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tables/table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ebextensions/taskpanes.xml" ContentType="application/vnd.ms-office.webextensiontaskpanes+xml"/>
  <Override PartName="/xl/webextensions/webextension2.xml" ContentType="application/vnd.ms-office.webextension+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11/relationships/webextensiontaskpanes" Target="xl/webextensions/taskpanes.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8"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d.docs.live.net/57DC0148A7FD1F98/Dokumen/"/>
    </mc:Choice>
  </mc:AlternateContent>
  <xr:revisionPtr revIDLastSave="0" documentId="13_ncr:41000001_{D6BE9A56-AAE5-454C-A933-45CA33954914}" xr6:coauthVersionLast="47" xr6:coauthVersionMax="47" xr10:uidLastSave="{00000000-0000-0000-0000-000000000000}"/>
  <bookViews>
    <workbookView xWindow="-120" yWindow="-120" windowWidth="38640" windowHeight="15720" tabRatio="730" activeTab="5" xr2:uid="{5AEF6B04-7A3C-406C-BE5D-30EA9652804C}"/>
  </bookViews>
  <sheets>
    <sheet name="契約書 (Filtro)" sheetId="32" r:id="rId1"/>
    <sheet name="DBGenzai" sheetId="4" r:id="rId2"/>
    <sheet name="Filtro" sheetId="7" r:id="rId3"/>
    <sheet name="Trasformacion" sheetId="5" r:id="rId4"/>
    <sheet name="TBKaisha" sheetId="22" r:id="rId5"/>
    <sheet name="個別契約書X" sheetId="8" r:id="rId6"/>
    <sheet name="ListaDinamicas" sheetId="33" state="hidden" r:id="rId7"/>
    <sheet name="通知書" sheetId="10" r:id="rId8"/>
    <sheet name="通知書(別々)" sheetId="18" r:id="rId9"/>
    <sheet name="通知書Genzai" sheetId="16" r:id="rId10"/>
    <sheet name="DAICHO" sheetId="15" r:id="rId11"/>
    <sheet name="派遣元管理台帳" sheetId="26" r:id="rId12"/>
    <sheet name="就業条件明示書" sheetId="27" r:id="rId13"/>
    <sheet name="契約書" sheetId="28" r:id="rId14"/>
    <sheet name="雇入れ時の待遇情報" sheetId="31" r:id="rId15"/>
    <sheet name=" タイムシート" sheetId="30" r:id="rId16"/>
    <sheet name="就業状況報告書（本社)" sheetId="25" r:id="rId17"/>
    <sheet name="通知書TOTAL" sheetId="12" r:id="rId18"/>
  </sheets>
  <definedNames>
    <definedName name="_xlnm._FilterDatabase" localSheetId="5" hidden="1">個別契約書X!$AC$1:$AJ$8</definedName>
    <definedName name="_xlnm.Print_Area" localSheetId="10">DAICHO!$A$1:$BE$78</definedName>
    <definedName name="_xlnm.Print_Area" localSheetId="3">Trasformacion!$A$1:$AC$193</definedName>
    <definedName name="_xlnm.Print_Area" localSheetId="13">契約書!$A$1:$R$54</definedName>
    <definedName name="_xlnm.Print_Area" localSheetId="0">'契約書 (Filtro)'!$A$1:$R$54</definedName>
    <definedName name="_xlnm.Print_Area" localSheetId="5">個別契約書X!$A$1:$AA$64</definedName>
    <definedName name="_xlnm.Print_Area" localSheetId="12">就業条件明示書!$A$1:$AA$56</definedName>
    <definedName name="_xlnm.Print_Area" localSheetId="16">'就業状況報告書（本社)'!$A$1:$AI$35</definedName>
    <definedName name="_xlnm.Print_Area" localSheetId="7">通知書!$H$1:$P$66</definedName>
    <definedName name="_xlnm.Print_Area" localSheetId="8">'通知書(別々)'!$H$1:$P$60</definedName>
    <definedName name="_xlnm.Print_Area" localSheetId="11">派遣元管理台帳!$A$1:$AB$71</definedName>
    <definedName name="CONSECUTIVO">通知書Genzai!$U$1</definedName>
    <definedName name="DateStart">個別契約書X!$AI$1</definedName>
    <definedName name="DatosExternos_1" localSheetId="1" hidden="1">DBGenzai!$A$1:$AP$1066</definedName>
    <definedName name="HakenKikanE">個別契約書X!$P$16</definedName>
    <definedName name="HakenKikanMenos">個別契約書X!$AD$12</definedName>
    <definedName name="HakenkikanS">個別契約書X!$H$16</definedName>
    <definedName name="Info">個別契約書X!$AD$6</definedName>
    <definedName name="KaishaInfo" localSheetId="0">TBKaishaInfo[]</definedName>
    <definedName name="KaishaInfo">TBKaishaInfo[]</definedName>
    <definedName name="Lista_Fabrica">_xlfn.UNIQUE(_xlfn._xlws.FILTER(TBKaisha!XEC:XEC,TBKaisha!XEB:XEB=OFFSET(INDIRECT("RC",FALSE),-1,0)))</definedName>
    <definedName name="Lista_Fabricas">_xlfn.UNIQUE(_xlfn._xlws.FILTER(TBKaisha!XEC:XEC,TBKaisha!XEB:XEB=OFFSET(INDIRECT("RC",FALSE),-1,0)))</definedName>
    <definedName name="Lista_Lineas">_xlfn.UNIQUE(_xlfn._xlws.FILTER(TBKaisha!XEE:XEE,(TBKaisha!XEB:XEB=OFFSET(INDIRECT("RC",FALSE),-3,0))*(TBKaisha!XEC:XEC=OFFSET(INDIRECT("RC",FALSE),-2,0))*(TBKaisha!XED:XED=OFFSET(INDIRECT("RC",FALSE),-1,0))))</definedName>
    <definedName name="Lista_Sectores">_xlfn.UNIQUE(_xlfn._xlws.FILTER(TBKaisha!XED:XED,(TBKaisha!XEB:XEB=OFFSET(INDIRECT("RC",FALSE),-2,0))*(TBKaisha!XEC:XEC=OFFSET(INDIRECT("RC",FALSE),-1,0))))</definedName>
    <definedName name="ListaSector">"UNIQUE(FILTER(TBKaishaInfo[部署],TBKaishaInfo[派遣先]=$AD$1))"</definedName>
    <definedName name="Ncopy">個別契約書X!$AH$10</definedName>
    <definedName name="_xlnm.Print_Titles" localSheetId="1">DBGenzai!$1:$1</definedName>
    <definedName name="ライン">個別契約書X!$AD$4</definedName>
    <definedName name="契約期限">個別契約書X!$AI$6</definedName>
    <definedName name="工場名">個別契約書X!$AD$2</definedName>
    <definedName name="時給単価">個別契約書X!$AD$5</definedName>
    <definedName name="派遣先">個別契約書X!$AD$1</definedName>
    <definedName name="現入社">派遣元管理台帳!$V$1</definedName>
    <definedName name="配属先">個別契約書X!$AD$3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33" i="22" l="1"/>
  <c r="AF31" i="22"/>
  <c r="AI1" i="8" a="1"/>
  <c r="AI1" i="8"/>
  <c r="J7" i="8" a="1"/>
  <c r="J7" i="8"/>
  <c r="D1" i="33" a="1"/>
  <c r="D1" i="33"/>
  <c r="C1" i="33" a="1"/>
  <c r="C1" i="33"/>
  <c r="B1" i="33" a="1"/>
  <c r="B1" i="33"/>
  <c r="A1" i="33" a="1"/>
  <c r="A1" i="33"/>
  <c r="P9" i="32"/>
  <c r="N9" i="32"/>
  <c r="L49" i="32"/>
  <c r="L51" i="32"/>
  <c r="D34" i="32"/>
  <c r="O50" i="18"/>
  <c r="O51" i="18"/>
  <c r="O52" i="18"/>
  <c r="O53" i="18"/>
  <c r="O54" i="18"/>
  <c r="O55" i="18"/>
  <c r="O56" i="18"/>
  <c r="O57" i="18"/>
  <c r="O58" i="18"/>
  <c r="O59" i="18"/>
  <c r="O60" i="18"/>
  <c r="O61" i="18"/>
  <c r="O62" i="18"/>
  <c r="O63" i="18"/>
  <c r="O64" i="18"/>
  <c r="O65" i="18"/>
  <c r="O66" i="18"/>
  <c r="H6" i="8" a="1"/>
  <c r="H6" i="8"/>
  <c r="J8" i="8" a="1"/>
  <c r="J8" i="8"/>
  <c r="AQ25" i="15"/>
  <c r="H17" i="8" a="1"/>
  <c r="H17" i="8"/>
  <c r="Q6" i="8" a="1"/>
  <c r="Q6" i="8"/>
  <c r="N10" i="32"/>
  <c r="H18" i="8" a="1"/>
  <c r="H18" i="8"/>
  <c r="E18" i="32"/>
  <c r="H22" i="8" a="1"/>
  <c r="H22" i="8"/>
  <c r="E19" i="32"/>
  <c r="H27" i="8" a="1"/>
  <c r="H27" i="8"/>
  <c r="I72" i="16"/>
  <c r="M72" i="16"/>
  <c r="L72" i="16"/>
  <c r="I73" i="16"/>
  <c r="P73" i="16"/>
  <c r="L73" i="16"/>
  <c r="I74" i="16"/>
  <c r="N74" i="16"/>
  <c r="L74" i="16"/>
  <c r="I75" i="16"/>
  <c r="N75" i="16"/>
  <c r="L75" i="16"/>
  <c r="I76" i="16"/>
  <c r="M76" i="16"/>
  <c r="L76" i="16"/>
  <c r="I77" i="16"/>
  <c r="P77" i="16"/>
  <c r="L77" i="16"/>
  <c r="I78" i="16"/>
  <c r="N78" i="16"/>
  <c r="L78" i="16"/>
  <c r="I79" i="16"/>
  <c r="N79" i="16"/>
  <c r="L79" i="16"/>
  <c r="I80" i="16"/>
  <c r="M80" i="16"/>
  <c r="L80" i="16"/>
  <c r="I81" i="16"/>
  <c r="P81" i="16"/>
  <c r="L81" i="16"/>
  <c r="I82" i="16"/>
  <c r="N82" i="16"/>
  <c r="L82" i="16"/>
  <c r="I83" i="16"/>
  <c r="N83" i="16"/>
  <c r="L83" i="16"/>
  <c r="I84" i="16"/>
  <c r="M84" i="16"/>
  <c r="L84" i="16"/>
  <c r="I85" i="16"/>
  <c r="P85" i="16"/>
  <c r="L85" i="16"/>
  <c r="I86" i="16"/>
  <c r="M86" i="16"/>
  <c r="L86" i="16"/>
  <c r="I87" i="16"/>
  <c r="N87" i="16"/>
  <c r="L87" i="16"/>
  <c r="I88" i="16"/>
  <c r="M88" i="16"/>
  <c r="L88" i="16"/>
  <c r="I89" i="16"/>
  <c r="P89" i="16"/>
  <c r="L89" i="16"/>
  <c r="I90" i="16"/>
  <c r="P90" i="16"/>
  <c r="L90" i="16"/>
  <c r="I91" i="16"/>
  <c r="N91" i="16"/>
  <c r="L91" i="16"/>
  <c r="I92" i="16"/>
  <c r="M92" i="16"/>
  <c r="L92" i="16"/>
  <c r="I93" i="16"/>
  <c r="P93" i="16"/>
  <c r="L93" i="16"/>
  <c r="I94" i="16"/>
  <c r="M94" i="16"/>
  <c r="L94" i="16"/>
  <c r="I95" i="16"/>
  <c r="N95" i="16"/>
  <c r="L95" i="16"/>
  <c r="I96" i="16"/>
  <c r="M96" i="16"/>
  <c r="L96" i="16"/>
  <c r="I97" i="16"/>
  <c r="P97" i="16"/>
  <c r="L97" i="16"/>
  <c r="I98" i="16"/>
  <c r="P98" i="16"/>
  <c r="L98" i="16"/>
  <c r="I99" i="16"/>
  <c r="N99" i="16"/>
  <c r="L99" i="16"/>
  <c r="I100" i="16"/>
  <c r="M100" i="16"/>
  <c r="L100" i="16"/>
  <c r="I101" i="16"/>
  <c r="P101" i="16"/>
  <c r="L101" i="16"/>
  <c r="I102" i="16"/>
  <c r="N102" i="16"/>
  <c r="L102" i="16"/>
  <c r="M82" i="16"/>
  <c r="O75" i="16"/>
  <c r="P82" i="16"/>
  <c r="Q75" i="16"/>
  <c r="P72" i="16"/>
  <c r="O94" i="16"/>
  <c r="Q87" i="16"/>
  <c r="O86" i="16"/>
  <c r="P94" i="16"/>
  <c r="O89" i="16"/>
  <c r="P86" i="16"/>
  <c r="P96" i="16"/>
  <c r="P78" i="16"/>
  <c r="O97" i="16"/>
  <c r="O82" i="16"/>
  <c r="Q79" i="16"/>
  <c r="M75" i="16"/>
  <c r="N72" i="16"/>
  <c r="Q95" i="16"/>
  <c r="P88" i="16"/>
  <c r="N98" i="16"/>
  <c r="O96" i="16"/>
  <c r="N90" i="16"/>
  <c r="O88" i="16"/>
  <c r="O79" i="16"/>
  <c r="P76" i="16"/>
  <c r="O98" i="16"/>
  <c r="O90" i="16"/>
  <c r="P100" i="16"/>
  <c r="M98" i="16"/>
  <c r="N96" i="16"/>
  <c r="P92" i="16"/>
  <c r="M90" i="16"/>
  <c r="N88" i="16"/>
  <c r="P84" i="16"/>
  <c r="M79" i="16"/>
  <c r="Q98" i="16"/>
  <c r="Q90" i="16"/>
  <c r="N76" i="16"/>
  <c r="Q74" i="16"/>
  <c r="O78" i="16"/>
  <c r="P74" i="16"/>
  <c r="P102" i="16"/>
  <c r="N94" i="16"/>
  <c r="O93" i="16"/>
  <c r="O92" i="16"/>
  <c r="Q91" i="16"/>
  <c r="N86" i="16"/>
  <c r="O85" i="16"/>
  <c r="O84" i="16"/>
  <c r="Q83" i="16"/>
  <c r="Q82" i="16"/>
  <c r="P80" i="16"/>
  <c r="M78" i="16"/>
  <c r="O74" i="16"/>
  <c r="O102" i="16"/>
  <c r="Q94" i="16"/>
  <c r="N92" i="16"/>
  <c r="Q86" i="16"/>
  <c r="N84" i="16"/>
  <c r="M83" i="16"/>
  <c r="N80" i="16"/>
  <c r="Q78" i="16"/>
  <c r="M74" i="16"/>
  <c r="Q102" i="16"/>
  <c r="M102" i="16"/>
  <c r="O81" i="16"/>
  <c r="O80" i="16"/>
  <c r="O77" i="16"/>
  <c r="O76" i="16"/>
  <c r="O73" i="16"/>
  <c r="O72" i="16"/>
  <c r="O100" i="16"/>
  <c r="Q99" i="16"/>
  <c r="O95" i="16"/>
  <c r="O91" i="16"/>
  <c r="O87" i="16"/>
  <c r="N100" i="16"/>
  <c r="M99" i="16"/>
  <c r="M95" i="16"/>
  <c r="M91" i="16"/>
  <c r="M87" i="16"/>
  <c r="N101" i="16"/>
  <c r="Q100" i="16"/>
  <c r="P99" i="16"/>
  <c r="N97" i="16"/>
  <c r="Q96" i="16"/>
  <c r="P95" i="16"/>
  <c r="N93" i="16"/>
  <c r="Q92" i="16"/>
  <c r="P91" i="16"/>
  <c r="N89" i="16"/>
  <c r="Q88" i="16"/>
  <c r="P87" i="16"/>
  <c r="N85" i="16"/>
  <c r="Q84" i="16"/>
  <c r="P83" i="16"/>
  <c r="N81" i="16"/>
  <c r="Q80" i="16"/>
  <c r="P79" i="16"/>
  <c r="N77" i="16"/>
  <c r="Q76" i="16"/>
  <c r="P75" i="16"/>
  <c r="N73" i="16"/>
  <c r="Q72" i="16"/>
  <c r="O101" i="16"/>
  <c r="Q101" i="16"/>
  <c r="O99" i="16"/>
  <c r="Q97" i="16"/>
  <c r="M93" i="16"/>
  <c r="M89" i="16"/>
  <c r="M85" i="16"/>
  <c r="O83" i="16"/>
  <c r="M81" i="16"/>
  <c r="Q73" i="16"/>
  <c r="M73" i="16"/>
  <c r="M101" i="16"/>
  <c r="M97" i="16"/>
  <c r="Q93" i="16"/>
  <c r="Q89" i="16"/>
  <c r="Q85" i="16"/>
  <c r="Q81" i="16"/>
  <c r="Q77" i="16"/>
  <c r="M77" i="16"/>
  <c r="AF35" i="22"/>
  <c r="AF36" i="22"/>
  <c r="K50" i="18"/>
  <c r="K51" i="18"/>
  <c r="K52" i="18"/>
  <c r="K53" i="18"/>
  <c r="K54" i="18"/>
  <c r="K55" i="18"/>
  <c r="K56" i="18"/>
  <c r="K57" i="18"/>
  <c r="K58" i="18"/>
  <c r="K59" i="18"/>
  <c r="K60" i="18"/>
  <c r="K61" i="18"/>
  <c r="K62" i="18"/>
  <c r="K63" i="18"/>
  <c r="K64" i="18"/>
  <c r="K65" i="18"/>
  <c r="K66" i="18"/>
  <c r="AD51" i="26"/>
  <c r="D18" i="27"/>
  <c r="A200" i="5" a="1"/>
  <c r="A200" i="5"/>
  <c r="A201" i="5" a="1"/>
  <c r="A201" i="5"/>
  <c r="A202" i="5" a="1"/>
  <c r="A202" i="5"/>
  <c r="A203" i="5" a="1"/>
  <c r="A203" i="5"/>
  <c r="AF2" i="22"/>
  <c r="AF3" i="22"/>
  <c r="AF4" i="22"/>
  <c r="AF5" i="22"/>
  <c r="AF6" i="22"/>
  <c r="AF7" i="22"/>
  <c r="AF8" i="22"/>
  <c r="AF9" i="22"/>
  <c r="AF10" i="22"/>
  <c r="AF11" i="22"/>
  <c r="AF12" i="22"/>
  <c r="AF13" i="22"/>
  <c r="AF15" i="22"/>
  <c r="AF16" i="22"/>
  <c r="AF17" i="22"/>
  <c r="AF18" i="22"/>
  <c r="AF19" i="22"/>
  <c r="AF20" i="22"/>
  <c r="AF21" i="22"/>
  <c r="AF22" i="22"/>
  <c r="AF23" i="22"/>
  <c r="AF25" i="22"/>
  <c r="AF26" i="22"/>
  <c r="AF28" i="22"/>
  <c r="AF29" i="22"/>
  <c r="AF30" i="22"/>
  <c r="AF32" i="22"/>
  <c r="AF34" i="22"/>
  <c r="A204" i="5" a="1"/>
  <c r="A204" i="5"/>
  <c r="E161" i="30"/>
  <c r="F161" i="30"/>
  <c r="E162" i="30"/>
  <c r="F162" i="30"/>
  <c r="E163" i="30"/>
  <c r="F163" i="30"/>
  <c r="E164" i="30"/>
  <c r="F164" i="30"/>
  <c r="E165" i="30"/>
  <c r="F165" i="30"/>
  <c r="E166" i="30"/>
  <c r="F166" i="30"/>
  <c r="E167" i="30"/>
  <c r="F167" i="30"/>
  <c r="E168" i="30"/>
  <c r="F168" i="30"/>
  <c r="E169" i="30"/>
  <c r="F169" i="30"/>
  <c r="E170" i="30"/>
  <c r="F170" i="30"/>
  <c r="E171" i="30"/>
  <c r="F171" i="30"/>
  <c r="E172" i="30"/>
  <c r="F172" i="30"/>
  <c r="E173" i="30"/>
  <c r="F173" i="30"/>
  <c r="E174" i="30"/>
  <c r="F174" i="30"/>
  <c r="E175" i="30"/>
  <c r="F175" i="30"/>
  <c r="E176" i="30"/>
  <c r="F176" i="30"/>
  <c r="E177" i="30"/>
  <c r="F177" i="30"/>
  <c r="F178" i="30"/>
  <c r="E179" i="30"/>
  <c r="F179" i="30"/>
  <c r="E180" i="30"/>
  <c r="F180" i="30"/>
  <c r="E181" i="30"/>
  <c r="F181" i="30"/>
  <c r="E182" i="30"/>
  <c r="F182" i="30"/>
  <c r="E183" i="30"/>
  <c r="F183" i="30"/>
  <c r="E184" i="30"/>
  <c r="F184" i="30"/>
  <c r="E185" i="30"/>
  <c r="F185" i="30"/>
  <c r="E186" i="30"/>
  <c r="F186" i="30"/>
  <c r="E187" i="30"/>
  <c r="F187" i="30"/>
  <c r="E188" i="30"/>
  <c r="F188" i="30"/>
  <c r="E189" i="30"/>
  <c r="F189" i="30"/>
  <c r="E190" i="30"/>
  <c r="F190" i="30"/>
  <c r="E113" i="30"/>
  <c r="F113" i="30"/>
  <c r="E114" i="30"/>
  <c r="F114" i="30"/>
  <c r="E115" i="30"/>
  <c r="F115" i="30"/>
  <c r="E116" i="30"/>
  <c r="F116" i="30"/>
  <c r="E117" i="30"/>
  <c r="F117" i="30"/>
  <c r="E118" i="30"/>
  <c r="F118" i="30"/>
  <c r="E119" i="30"/>
  <c r="F119" i="30"/>
  <c r="E120" i="30"/>
  <c r="F120" i="30"/>
  <c r="E121" i="30"/>
  <c r="F121" i="30"/>
  <c r="E122" i="30"/>
  <c r="F122" i="30"/>
  <c r="E123" i="30"/>
  <c r="F123" i="30"/>
  <c r="E124" i="30"/>
  <c r="F124" i="30"/>
  <c r="E125" i="30"/>
  <c r="F125" i="30"/>
  <c r="E126" i="30"/>
  <c r="F126" i="30"/>
  <c r="E127" i="30"/>
  <c r="F127" i="30"/>
  <c r="E128" i="30"/>
  <c r="F128" i="30"/>
  <c r="E129" i="30"/>
  <c r="F129" i="30"/>
  <c r="E130" i="30"/>
  <c r="F130" i="30"/>
  <c r="E131" i="30"/>
  <c r="F131" i="30"/>
  <c r="E132" i="30"/>
  <c r="F132" i="30"/>
  <c r="E133" i="30"/>
  <c r="F133" i="30"/>
  <c r="E134" i="30"/>
  <c r="F134" i="30"/>
  <c r="E135" i="30"/>
  <c r="F135" i="30"/>
  <c r="E136" i="30"/>
  <c r="F136" i="30"/>
  <c r="E137" i="30"/>
  <c r="F137" i="30"/>
  <c r="E138" i="30"/>
  <c r="F138" i="30"/>
  <c r="E139" i="30"/>
  <c r="F139" i="30"/>
  <c r="E140" i="30"/>
  <c r="F140" i="30"/>
  <c r="E141" i="30"/>
  <c r="F141" i="30"/>
  <c r="E142" i="30"/>
  <c r="F142" i="30"/>
  <c r="E65" i="30"/>
  <c r="F65" i="30"/>
  <c r="E66" i="30"/>
  <c r="F66" i="30"/>
  <c r="E67" i="30"/>
  <c r="F67" i="30"/>
  <c r="E68" i="30"/>
  <c r="F68" i="30"/>
  <c r="E69" i="30"/>
  <c r="F69" i="30"/>
  <c r="E70" i="30"/>
  <c r="F70" i="30"/>
  <c r="E71" i="30"/>
  <c r="F71" i="30"/>
  <c r="E72" i="30"/>
  <c r="F72" i="30"/>
  <c r="E73" i="30"/>
  <c r="F73" i="30"/>
  <c r="E74" i="30"/>
  <c r="F74" i="30"/>
  <c r="E75" i="30"/>
  <c r="F75" i="30"/>
  <c r="E76" i="30"/>
  <c r="F76" i="30"/>
  <c r="E77" i="30"/>
  <c r="F77" i="30"/>
  <c r="E78" i="30"/>
  <c r="F78" i="30"/>
  <c r="E79" i="30"/>
  <c r="F79" i="30"/>
  <c r="E80" i="30"/>
  <c r="F80" i="30"/>
  <c r="E81" i="30"/>
  <c r="F81" i="30"/>
  <c r="E82" i="30"/>
  <c r="F82" i="30"/>
  <c r="E83" i="30"/>
  <c r="F83" i="30"/>
  <c r="E84" i="30"/>
  <c r="F84" i="30"/>
  <c r="E85" i="30"/>
  <c r="F85" i="30"/>
  <c r="E86" i="30"/>
  <c r="F86" i="30"/>
  <c r="E87" i="30"/>
  <c r="F87" i="30"/>
  <c r="E88" i="30"/>
  <c r="F88" i="30"/>
  <c r="E89" i="30"/>
  <c r="F89" i="30"/>
  <c r="E90" i="30"/>
  <c r="F90" i="30"/>
  <c r="E91" i="30"/>
  <c r="F91" i="30"/>
  <c r="E92" i="30"/>
  <c r="F92" i="30"/>
  <c r="E93" i="30"/>
  <c r="F93" i="30"/>
  <c r="E94" i="30"/>
  <c r="F94" i="30"/>
  <c r="E160" i="30"/>
  <c r="F160" i="30"/>
  <c r="E112" i="30"/>
  <c r="F112" i="30"/>
  <c r="E64" i="30"/>
  <c r="F64" i="30"/>
  <c r="F24" i="30"/>
  <c r="F25" i="30"/>
  <c r="F31" i="30"/>
  <c r="F32" i="30"/>
  <c r="F38" i="30"/>
  <c r="F39" i="30"/>
  <c r="F44" i="30"/>
  <c r="F45" i="30"/>
  <c r="F46" i="30"/>
  <c r="F17" i="30"/>
  <c r="F18" i="30"/>
  <c r="E17" i="30"/>
  <c r="E18" i="30"/>
  <c r="E19" i="30"/>
  <c r="F19" i="30"/>
  <c r="E20" i="30"/>
  <c r="F20" i="30"/>
  <c r="E21" i="30"/>
  <c r="F21" i="30"/>
  <c r="E22" i="30"/>
  <c r="F22" i="30"/>
  <c r="E23" i="30"/>
  <c r="F23" i="30"/>
  <c r="E24" i="30"/>
  <c r="E25" i="30"/>
  <c r="E26" i="30"/>
  <c r="F26" i="30"/>
  <c r="E27" i="30"/>
  <c r="F27" i="30"/>
  <c r="E28" i="30"/>
  <c r="F28" i="30"/>
  <c r="E29" i="30"/>
  <c r="F29" i="30"/>
  <c r="E30" i="30"/>
  <c r="F30" i="30"/>
  <c r="E31" i="30"/>
  <c r="E32" i="30"/>
  <c r="E33" i="30"/>
  <c r="F33" i="30"/>
  <c r="E34" i="30"/>
  <c r="F34" i="30"/>
  <c r="E35" i="30"/>
  <c r="F35" i="30"/>
  <c r="E36" i="30"/>
  <c r="F36" i="30"/>
  <c r="E37" i="30"/>
  <c r="F37" i="30"/>
  <c r="E38" i="30"/>
  <c r="E39" i="30"/>
  <c r="E40" i="30"/>
  <c r="F40" i="30"/>
  <c r="E41" i="30"/>
  <c r="F41" i="30"/>
  <c r="E42" i="30"/>
  <c r="F42" i="30"/>
  <c r="E43" i="30"/>
  <c r="F43" i="30"/>
  <c r="E44" i="30"/>
  <c r="E45" i="30"/>
  <c r="E46" i="30"/>
  <c r="E16" i="30"/>
  <c r="F16" i="30"/>
  <c r="B190" i="30"/>
  <c r="B189" i="30"/>
  <c r="B188" i="30"/>
  <c r="B187" i="30"/>
  <c r="B186" i="30"/>
  <c r="B185" i="30"/>
  <c r="B184" i="30"/>
  <c r="B183" i="30"/>
  <c r="B182" i="30"/>
  <c r="B181" i="30"/>
  <c r="B180" i="30"/>
  <c r="B179" i="30"/>
  <c r="B178" i="30"/>
  <c r="B177" i="30"/>
  <c r="B176" i="30"/>
  <c r="B175" i="30"/>
  <c r="B174" i="30"/>
  <c r="B173" i="30"/>
  <c r="B172" i="30"/>
  <c r="B171" i="30"/>
  <c r="B170" i="30"/>
  <c r="B169" i="30"/>
  <c r="B168" i="30"/>
  <c r="B167" i="30"/>
  <c r="B166" i="30"/>
  <c r="B165" i="30"/>
  <c r="B164" i="30"/>
  <c r="B163" i="30"/>
  <c r="B162" i="30"/>
  <c r="B161" i="30"/>
  <c r="B160" i="30"/>
  <c r="B142" i="30"/>
  <c r="B141" i="30"/>
  <c r="B140" i="30"/>
  <c r="B139" i="30"/>
  <c r="B138" i="30"/>
  <c r="B137" i="30"/>
  <c r="B136" i="30"/>
  <c r="B135" i="30"/>
  <c r="B134" i="30"/>
  <c r="B133" i="30"/>
  <c r="B132" i="30"/>
  <c r="B131" i="30"/>
  <c r="B130" i="30"/>
  <c r="B129" i="30"/>
  <c r="B128" i="30"/>
  <c r="B127" i="30"/>
  <c r="B126" i="30"/>
  <c r="B125" i="30"/>
  <c r="B124" i="30"/>
  <c r="B123" i="30"/>
  <c r="B122" i="30"/>
  <c r="B121" i="30"/>
  <c r="B120" i="30"/>
  <c r="B119" i="30"/>
  <c r="B118" i="30"/>
  <c r="B117" i="30"/>
  <c r="B116" i="30"/>
  <c r="B115" i="30"/>
  <c r="B114" i="30"/>
  <c r="B113" i="30"/>
  <c r="B112" i="30"/>
  <c r="B94" i="30"/>
  <c r="B93" i="30"/>
  <c r="B92" i="30"/>
  <c r="B91" i="30"/>
  <c r="B90" i="30"/>
  <c r="B89" i="30"/>
  <c r="B88" i="30"/>
  <c r="B87" i="30"/>
  <c r="B86" i="30"/>
  <c r="B85" i="30"/>
  <c r="B84" i="30"/>
  <c r="B83" i="30"/>
  <c r="B82" i="30"/>
  <c r="B81" i="30"/>
  <c r="B80" i="30"/>
  <c r="B79" i="30"/>
  <c r="B78" i="30"/>
  <c r="B77" i="30"/>
  <c r="B76" i="30"/>
  <c r="B75" i="30"/>
  <c r="B74" i="30"/>
  <c r="B73" i="30"/>
  <c r="B72" i="30"/>
  <c r="B71" i="30"/>
  <c r="B70" i="30"/>
  <c r="B69" i="30"/>
  <c r="B68" i="30"/>
  <c r="B67" i="30"/>
  <c r="B66" i="30"/>
  <c r="B65" i="30"/>
  <c r="B64" i="30"/>
  <c r="A205" i="5" a="1"/>
  <c r="A205" i="5"/>
  <c r="B45" i="30"/>
  <c r="B46" i="30"/>
  <c r="B17" i="30"/>
  <c r="B18" i="30"/>
  <c r="B19" i="30"/>
  <c r="B20" i="30"/>
  <c r="B21" i="30"/>
  <c r="B22" i="30"/>
  <c r="B23" i="30"/>
  <c r="B24" i="30"/>
  <c r="B25" i="30"/>
  <c r="B26" i="30"/>
  <c r="B27" i="30"/>
  <c r="B28" i="30"/>
  <c r="B29" i="30"/>
  <c r="B30" i="30"/>
  <c r="B31" i="30"/>
  <c r="B32" i="30"/>
  <c r="B33" i="30"/>
  <c r="B34" i="30"/>
  <c r="B35" i="30"/>
  <c r="B36" i="30"/>
  <c r="B37" i="30"/>
  <c r="B38" i="30"/>
  <c r="B39" i="30"/>
  <c r="B40" i="30"/>
  <c r="B41" i="30"/>
  <c r="B42" i="30"/>
  <c r="B43" i="30"/>
  <c r="B44" i="30"/>
  <c r="B16" i="30"/>
  <c r="H15" i="8" a="1"/>
  <c r="H15" i="8"/>
  <c r="A206" i="5" a="1"/>
  <c r="A206" i="5"/>
  <c r="E19" i="28"/>
  <c r="C34" i="25"/>
  <c r="J34" i="25"/>
  <c r="C35" i="25"/>
  <c r="J35" i="25"/>
  <c r="C24" i="25"/>
  <c r="X24" i="25" a="1"/>
  <c r="X24" i="25"/>
  <c r="C25" i="25"/>
  <c r="X25" i="25" a="1"/>
  <c r="X25" i="25"/>
  <c r="C26" i="25"/>
  <c r="C27" i="25"/>
  <c r="J27" i="25"/>
  <c r="C28" i="25"/>
  <c r="X28" i="25" a="1"/>
  <c r="X28" i="25"/>
  <c r="A207" i="5" a="1"/>
  <c r="A207" i="5"/>
  <c r="X35" i="25" a="1"/>
  <c r="X35" i="25"/>
  <c r="AB34" i="25"/>
  <c r="X34" i="25" a="1"/>
  <c r="X34" i="25"/>
  <c r="J24" i="25"/>
  <c r="AB35" i="25"/>
  <c r="J28" i="25"/>
  <c r="J26" i="25"/>
  <c r="X26" i="25" a="1"/>
  <c r="X26" i="25"/>
  <c r="X27" i="25" a="1"/>
  <c r="X27" i="25"/>
  <c r="J25" i="25"/>
  <c r="Q7" i="8" a="1"/>
  <c r="Q7" i="8"/>
  <c r="A208" i="5" a="1"/>
  <c r="A208" i="5"/>
  <c r="C29" i="25"/>
  <c r="C30" i="25"/>
  <c r="C31" i="25"/>
  <c r="C32" i="25"/>
  <c r="C33" i="25"/>
  <c r="H8" i="25"/>
  <c r="A209" i="5" a="1"/>
  <c r="A209" i="5"/>
  <c r="A210" i="5" a="1"/>
  <c r="A210" i="5"/>
  <c r="A211" i="5" a="1"/>
  <c r="A211" i="5"/>
  <c r="A212" i="5" a="1"/>
  <c r="A212" i="5"/>
  <c r="A213" i="5" a="1"/>
  <c r="A213" i="5"/>
  <c r="A214" i="5" a="1"/>
  <c r="A214" i="5"/>
  <c r="A215" i="5" a="1"/>
  <c r="A215" i="5"/>
  <c r="A216" i="5" a="1"/>
  <c r="A216" i="5"/>
  <c r="A217" i="5" a="1"/>
  <c r="A217" i="5"/>
  <c r="A218" i="5" a="1"/>
  <c r="A218" i="5"/>
  <c r="A219" i="5" a="1"/>
  <c r="A219" i="5"/>
  <c r="A220" i="5" a="1"/>
  <c r="A220" i="5"/>
  <c r="A221" i="5" a="1"/>
  <c r="A221" i="5"/>
  <c r="A222" i="5" a="1"/>
  <c r="A222" i="5"/>
  <c r="A223" i="5" a="1"/>
  <c r="A223" i="5"/>
  <c r="X31" i="25" a="1"/>
  <c r="X31" i="25"/>
  <c r="J31" i="25"/>
  <c r="X30" i="25" a="1"/>
  <c r="X30" i="25"/>
  <c r="J30" i="25"/>
  <c r="X33" i="25" a="1"/>
  <c r="X33" i="25"/>
  <c r="J33" i="25"/>
  <c r="J29" i="25"/>
  <c r="X29" i="25" a="1"/>
  <c r="X29" i="25"/>
  <c r="X32" i="25" a="1"/>
  <c r="X32" i="25"/>
  <c r="J32" i="25"/>
  <c r="O50" i="10"/>
  <c r="O51" i="10"/>
  <c r="O52" i="10"/>
  <c r="O53" i="10"/>
  <c r="O54" i="10"/>
  <c r="O55" i="10"/>
  <c r="O56" i="10"/>
  <c r="O57" i="10"/>
  <c r="O58" i="10"/>
  <c r="O59" i="10"/>
  <c r="O60" i="10"/>
  <c r="O61" i="10"/>
  <c r="O62" i="10"/>
  <c r="O63" i="10"/>
  <c r="O64" i="10"/>
  <c r="O65" i="10"/>
  <c r="O66" i="10"/>
  <c r="A224" i="5" a="1"/>
  <c r="A224" i="5"/>
  <c r="A225" i="5" a="1"/>
  <c r="A225" i="5"/>
  <c r="A226" i="5" a="1"/>
  <c r="A226" i="5"/>
  <c r="A227" i="5" a="1"/>
  <c r="A227" i="5"/>
  <c r="A228" i="5" a="1"/>
  <c r="A228" i="5"/>
  <c r="A229" i="5" a="1"/>
  <c r="A229" i="5"/>
  <c r="A230" i="5" a="1"/>
  <c r="A230" i="5"/>
  <c r="A231" i="5" a="1"/>
  <c r="A231" i="5"/>
  <c r="A232" i="5" a="1"/>
  <c r="A232" i="5"/>
  <c r="A233" i="5" a="1"/>
  <c r="A233" i="5"/>
  <c r="A234" i="5" a="1"/>
  <c r="A234" i="5"/>
  <c r="K3" i="12"/>
  <c r="Z5" i="16"/>
  <c r="J3" i="16"/>
  <c r="H49" i="18"/>
  <c r="O49" i="18"/>
  <c r="H48" i="18"/>
  <c r="O48" i="18"/>
  <c r="H47" i="18"/>
  <c r="O47" i="18"/>
  <c r="H46" i="18"/>
  <c r="O46" i="18"/>
  <c r="H45" i="18"/>
  <c r="O45" i="18"/>
  <c r="H44" i="18"/>
  <c r="O44" i="18"/>
  <c r="H43" i="18"/>
  <c r="O43" i="18"/>
  <c r="H42" i="18"/>
  <c r="O42" i="18"/>
  <c r="H41" i="18"/>
  <c r="O41" i="18"/>
  <c r="H40" i="18"/>
  <c r="O40" i="18"/>
  <c r="H39" i="18"/>
  <c r="O39" i="18"/>
  <c r="H38" i="18"/>
  <c r="O38" i="18"/>
  <c r="H37" i="18"/>
  <c r="O37" i="18"/>
  <c r="AD9" i="18"/>
  <c r="Y5" i="18"/>
  <c r="H49" i="10"/>
  <c r="K49" i="10"/>
  <c r="H48" i="10"/>
  <c r="K48" i="10"/>
  <c r="H47" i="10"/>
  <c r="K47" i="10"/>
  <c r="H46" i="10"/>
  <c r="K46" i="10"/>
  <c r="H45" i="10"/>
  <c r="K45" i="10"/>
  <c r="H44" i="10"/>
  <c r="K44" i="10"/>
  <c r="H43" i="10"/>
  <c r="K43" i="10"/>
  <c r="H42" i="10"/>
  <c r="K42" i="10"/>
  <c r="H41" i="10"/>
  <c r="K41" i="10"/>
  <c r="H40" i="10"/>
  <c r="K40" i="10"/>
  <c r="H39" i="10"/>
  <c r="K39" i="10"/>
  <c r="H38" i="10"/>
  <c r="K38" i="10"/>
  <c r="H37" i="10"/>
  <c r="K37" i="10"/>
  <c r="Y5" i="10"/>
  <c r="J33" i="8" a="1"/>
  <c r="J33" i="8"/>
  <c r="Q32" i="8" a="1"/>
  <c r="Q32" i="8"/>
  <c r="K32" i="8" a="1"/>
  <c r="K32" i="8"/>
  <c r="L31" i="8" a="1"/>
  <c r="L31" i="8"/>
  <c r="K29" i="8"/>
  <c r="Q29" i="8"/>
  <c r="H26" i="8" a="1"/>
  <c r="H26" i="8"/>
  <c r="Y11" i="8" a="1"/>
  <c r="Y11" i="8"/>
  <c r="Q11" i="8" a="1"/>
  <c r="Q11" i="8"/>
  <c r="J11" i="8" a="1"/>
  <c r="J11" i="8"/>
  <c r="Y10" i="8" a="1"/>
  <c r="Y10" i="8"/>
  <c r="Q10" i="8" a="1"/>
  <c r="Q10" i="8"/>
  <c r="J10" i="8" a="1"/>
  <c r="J10" i="8"/>
  <c r="Y9" i="8" a="1"/>
  <c r="Y9" i="8"/>
  <c r="Q9" i="8" a="1"/>
  <c r="Q9" i="8"/>
  <c r="J9" i="8" a="1"/>
  <c r="J9" i="8"/>
  <c r="AD8" i="8"/>
  <c r="Y8" i="8" a="1"/>
  <c r="Y8" i="8"/>
  <c r="Q8" i="8" a="1"/>
  <c r="Q8" i="8"/>
  <c r="AE7" i="8"/>
  <c r="AD7" i="8"/>
  <c r="H16" i="8"/>
  <c r="P16" i="8" a="1"/>
  <c r="P16" i="8"/>
  <c r="Y7" i="8" a="1"/>
  <c r="Y7" i="8"/>
  <c r="AT28" i="15"/>
  <c r="N10" i="28"/>
  <c r="Y5" i="8" a="1"/>
  <c r="Y5" i="8"/>
  <c r="Q5" i="8" a="1"/>
  <c r="Q5" i="8"/>
  <c r="O25" i="15"/>
  <c r="Y4" i="8" a="1"/>
  <c r="Y4" i="8"/>
  <c r="Q4" i="8"/>
  <c r="I4" i="8"/>
  <c r="I5" i="8" a="1"/>
  <c r="I5" i="8"/>
  <c r="O28" i="15"/>
  <c r="A2" i="8"/>
  <c r="C1" i="7" a="1"/>
  <c r="A2" i="7"/>
  <c r="B2" i="7"/>
  <c r="A3" i="7"/>
  <c r="A7" i="7"/>
  <c r="A11" i="7"/>
  <c r="A15" i="7"/>
  <c r="A19" i="7"/>
  <c r="A23" i="7"/>
  <c r="A27" i="7"/>
  <c r="A31" i="7"/>
  <c r="A35" i="7"/>
  <c r="A39" i="7"/>
  <c r="A43" i="7"/>
  <c r="A47" i="7"/>
  <c r="A51" i="7"/>
  <c r="A55" i="7"/>
  <c r="A59" i="7"/>
  <c r="A63" i="7"/>
  <c r="A67" i="7"/>
  <c r="A71" i="7"/>
  <c r="A75" i="7"/>
  <c r="A79" i="7"/>
  <c r="A83" i="7"/>
  <c r="A87" i="7"/>
  <c r="A91" i="7"/>
  <c r="A95" i="7"/>
  <c r="A99" i="7"/>
  <c r="A103" i="7"/>
  <c r="A107" i="7"/>
  <c r="A111" i="7"/>
  <c r="A115" i="7"/>
  <c r="A119" i="7"/>
  <c r="A123" i="7"/>
  <c r="A127" i="7"/>
  <c r="A131" i="7"/>
  <c r="A135" i="7"/>
  <c r="A139" i="7"/>
  <c r="A143" i="7"/>
  <c r="A147" i="7"/>
  <c r="A151" i="7"/>
  <c r="A155" i="7"/>
  <c r="A159" i="7"/>
  <c r="A163" i="7"/>
  <c r="A167" i="7"/>
  <c r="A171" i="7"/>
  <c r="A175" i="7"/>
  <c r="A179" i="7"/>
  <c r="A183" i="7"/>
  <c r="A187" i="7"/>
  <c r="A191" i="7"/>
  <c r="A195" i="7"/>
  <c r="A199" i="7"/>
  <c r="A203" i="7"/>
  <c r="A207" i="7"/>
  <c r="A211" i="7"/>
  <c r="A215" i="7"/>
  <c r="A219" i="7"/>
  <c r="A223" i="7"/>
  <c r="A227" i="7"/>
  <c r="A231" i="7"/>
  <c r="A235" i="7"/>
  <c r="A239" i="7"/>
  <c r="A243" i="7"/>
  <c r="A247" i="7"/>
  <c r="A251" i="7"/>
  <c r="A255" i="7"/>
  <c r="A259" i="7"/>
  <c r="A4" i="7"/>
  <c r="A8" i="7"/>
  <c r="A12" i="7"/>
  <c r="A16" i="7"/>
  <c r="A20" i="7"/>
  <c r="A24" i="7"/>
  <c r="A28" i="7"/>
  <c r="A32" i="7"/>
  <c r="A36" i="7"/>
  <c r="A40" i="7"/>
  <c r="A44" i="7"/>
  <c r="A48" i="7"/>
  <c r="A52" i="7"/>
  <c r="A56" i="7"/>
  <c r="A60" i="7"/>
  <c r="A64" i="7"/>
  <c r="A68" i="7"/>
  <c r="A72" i="7"/>
  <c r="A76" i="7"/>
  <c r="A80" i="7"/>
  <c r="A84" i="7"/>
  <c r="A88" i="7"/>
  <c r="A92" i="7"/>
  <c r="A96" i="7"/>
  <c r="A100" i="7"/>
  <c r="A104" i="7"/>
  <c r="A108" i="7"/>
  <c r="A112" i="7"/>
  <c r="A116" i="7"/>
  <c r="A120" i="7"/>
  <c r="A124" i="7"/>
  <c r="A128" i="7"/>
  <c r="A132" i="7"/>
  <c r="A136" i="7"/>
  <c r="A140" i="7"/>
  <c r="A144" i="7"/>
  <c r="A148" i="7"/>
  <c r="A152" i="7"/>
  <c r="A156" i="7"/>
  <c r="A160" i="7"/>
  <c r="A164" i="7"/>
  <c r="A168" i="7"/>
  <c r="A172" i="7"/>
  <c r="A176" i="7"/>
  <c r="A180" i="7"/>
  <c r="A184" i="7"/>
  <c r="A188" i="7"/>
  <c r="A192" i="7"/>
  <c r="A196" i="7"/>
  <c r="A200" i="7"/>
  <c r="A204" i="7"/>
  <c r="A208" i="7"/>
  <c r="A212" i="7"/>
  <c r="A5" i="7"/>
  <c r="A9" i="7"/>
  <c r="A13" i="7"/>
  <c r="A17" i="7"/>
  <c r="A21" i="7"/>
  <c r="A25" i="7"/>
  <c r="A29" i="7"/>
  <c r="A33" i="7"/>
  <c r="A37" i="7"/>
  <c r="A41" i="7"/>
  <c r="A45" i="7"/>
  <c r="A49" i="7"/>
  <c r="A53" i="7"/>
  <c r="A57" i="7"/>
  <c r="A61" i="7"/>
  <c r="A65" i="7"/>
  <c r="A69" i="7"/>
  <c r="A73" i="7"/>
  <c r="A77" i="7"/>
  <c r="A81" i="7"/>
  <c r="A85" i="7"/>
  <c r="A89" i="7"/>
  <c r="A93" i="7"/>
  <c r="A97" i="7"/>
  <c r="A101" i="7"/>
  <c r="A105" i="7"/>
  <c r="A109" i="7"/>
  <c r="A113" i="7"/>
  <c r="A117" i="7"/>
  <c r="A121" i="7"/>
  <c r="A125" i="7"/>
  <c r="A129" i="7"/>
  <c r="A133" i="7"/>
  <c r="A137" i="7"/>
  <c r="A141" i="7"/>
  <c r="A145" i="7"/>
  <c r="A149" i="7"/>
  <c r="A153" i="7"/>
  <c r="A157" i="7"/>
  <c r="A161" i="7"/>
  <c r="A165" i="7"/>
  <c r="A169" i="7"/>
  <c r="A173" i="7"/>
  <c r="A177" i="7"/>
  <c r="A181" i="7"/>
  <c r="A185" i="7"/>
  <c r="A189" i="7"/>
  <c r="A193" i="7"/>
  <c r="A197" i="7"/>
  <c r="A201" i="7"/>
  <c r="A205" i="7"/>
  <c r="A209" i="7"/>
  <c r="A213" i="7"/>
  <c r="A217" i="7"/>
  <c r="A221" i="7"/>
  <c r="A225" i="7"/>
  <c r="A229" i="7"/>
  <c r="A233" i="7"/>
  <c r="A237" i="7"/>
  <c r="A241" i="7"/>
  <c r="A245" i="7"/>
  <c r="A249" i="7"/>
  <c r="A253" i="7"/>
  <c r="A257" i="7"/>
  <c r="A261" i="7"/>
  <c r="A265" i="7"/>
  <c r="A269" i="7"/>
  <c r="A273" i="7"/>
  <c r="A277" i="7"/>
  <c r="A281" i="7"/>
  <c r="A285" i="7"/>
  <c r="A289" i="7"/>
  <c r="A293" i="7"/>
  <c r="A297" i="7"/>
  <c r="A301" i="7"/>
  <c r="A305" i="7"/>
  <c r="A309" i="7"/>
  <c r="A313" i="7"/>
  <c r="A317" i="7"/>
  <c r="A321" i="7"/>
  <c r="A325" i="7"/>
  <c r="A329" i="7"/>
  <c r="A333" i="7"/>
  <c r="A337" i="7"/>
  <c r="A341" i="7"/>
  <c r="A6" i="7"/>
  <c r="A22" i="7"/>
  <c r="A38" i="7"/>
  <c r="A54" i="7"/>
  <c r="A70" i="7"/>
  <c r="A86" i="7"/>
  <c r="A102" i="7"/>
  <c r="A118" i="7"/>
  <c r="A134" i="7"/>
  <c r="A150" i="7"/>
  <c r="A166" i="7"/>
  <c r="A182" i="7"/>
  <c r="A198" i="7"/>
  <c r="A214" i="7"/>
  <c r="A222" i="7"/>
  <c r="A230" i="7"/>
  <c r="A238" i="7"/>
  <c r="A246" i="7"/>
  <c r="A254" i="7"/>
  <c r="A262" i="7"/>
  <c r="A267" i="7"/>
  <c r="A10" i="7"/>
  <c r="A26" i="7"/>
  <c r="A42" i="7"/>
  <c r="A58" i="7"/>
  <c r="A74" i="7"/>
  <c r="A90" i="7"/>
  <c r="A106" i="7"/>
  <c r="A122" i="7"/>
  <c r="A138" i="7"/>
  <c r="A154" i="7"/>
  <c r="A170" i="7"/>
  <c r="A186" i="7"/>
  <c r="A202" i="7"/>
  <c r="A216" i="7"/>
  <c r="A224" i="7"/>
  <c r="A232" i="7"/>
  <c r="A240" i="7"/>
  <c r="A248" i="7"/>
  <c r="A256" i="7"/>
  <c r="A263" i="7"/>
  <c r="A268" i="7"/>
  <c r="A274" i="7"/>
  <c r="A279" i="7"/>
  <c r="A284" i="7"/>
  <c r="A290" i="7"/>
  <c r="A295" i="7"/>
  <c r="A300" i="7"/>
  <c r="A306" i="7"/>
  <c r="A311" i="7"/>
  <c r="A316" i="7"/>
  <c r="A322" i="7"/>
  <c r="A327" i="7"/>
  <c r="A332" i="7"/>
  <c r="A338" i="7"/>
  <c r="A343" i="7"/>
  <c r="A347" i="7"/>
  <c r="A351" i="7"/>
  <c r="A355" i="7"/>
  <c r="A359" i="7"/>
  <c r="A363" i="7"/>
  <c r="A367" i="7"/>
  <c r="A371" i="7"/>
  <c r="A375" i="7"/>
  <c r="A379" i="7"/>
  <c r="A383" i="7"/>
  <c r="A387" i="7"/>
  <c r="A391" i="7"/>
  <c r="A395" i="7"/>
  <c r="A399" i="7"/>
  <c r="A403" i="7"/>
  <c r="A407" i="7"/>
  <c r="A411" i="7"/>
  <c r="A415" i="7"/>
  <c r="A419" i="7"/>
  <c r="A423" i="7"/>
  <c r="A427" i="7"/>
  <c r="A431" i="7"/>
  <c r="A435" i="7"/>
  <c r="A439" i="7"/>
  <c r="A443" i="7"/>
  <c r="A447" i="7"/>
  <c r="A451" i="7"/>
  <c r="A455" i="7"/>
  <c r="A459" i="7"/>
  <c r="A463" i="7"/>
  <c r="A467" i="7"/>
  <c r="A471" i="7"/>
  <c r="A475" i="7"/>
  <c r="A479" i="7"/>
  <c r="A483" i="7"/>
  <c r="A487" i="7"/>
  <c r="A491" i="7"/>
  <c r="A495" i="7"/>
  <c r="A499" i="7"/>
  <c r="A503" i="7"/>
  <c r="A507" i="7"/>
  <c r="A511" i="7"/>
  <c r="A515" i="7"/>
  <c r="A519" i="7"/>
  <c r="A523" i="7"/>
  <c r="A527" i="7"/>
  <c r="A531" i="7"/>
  <c r="A535" i="7"/>
  <c r="A539" i="7"/>
  <c r="A543" i="7"/>
  <c r="A14" i="7"/>
  <c r="A30" i="7"/>
  <c r="A46" i="7"/>
  <c r="A62" i="7"/>
  <c r="A78" i="7"/>
  <c r="A94" i="7"/>
  <c r="A110" i="7"/>
  <c r="A126" i="7"/>
  <c r="A142" i="7"/>
  <c r="A158" i="7"/>
  <c r="A174" i="7"/>
  <c r="A190" i="7"/>
  <c r="A206" i="7"/>
  <c r="A218" i="7"/>
  <c r="A226" i="7"/>
  <c r="A234" i="7"/>
  <c r="A242" i="7"/>
  <c r="A250" i="7"/>
  <c r="A258" i="7"/>
  <c r="A264" i="7"/>
  <c r="A270" i="7"/>
  <c r="A275" i="7"/>
  <c r="A280" i="7"/>
  <c r="A286" i="7"/>
  <c r="A291" i="7"/>
  <c r="A296" i="7"/>
  <c r="A302" i="7"/>
  <c r="A307" i="7"/>
  <c r="A312" i="7"/>
  <c r="A318" i="7"/>
  <c r="A323" i="7"/>
  <c r="A328" i="7"/>
  <c r="A334" i="7"/>
  <c r="A339" i="7"/>
  <c r="A344" i="7"/>
  <c r="A348" i="7"/>
  <c r="A352" i="7"/>
  <c r="A356" i="7"/>
  <c r="A360" i="7"/>
  <c r="A364" i="7"/>
  <c r="A368" i="7"/>
  <c r="A372" i="7"/>
  <c r="A376" i="7"/>
  <c r="A380" i="7"/>
  <c r="A384" i="7"/>
  <c r="A388" i="7"/>
  <c r="A392" i="7"/>
  <c r="A396" i="7"/>
  <c r="A400" i="7"/>
  <c r="A404" i="7"/>
  <c r="A408" i="7"/>
  <c r="A412" i="7"/>
  <c r="A416" i="7"/>
  <c r="A420" i="7"/>
  <c r="A424" i="7"/>
  <c r="A428" i="7"/>
  <c r="A432" i="7"/>
  <c r="A436" i="7"/>
  <c r="A440" i="7"/>
  <c r="A444" i="7"/>
  <c r="A448" i="7"/>
  <c r="A452" i="7"/>
  <c r="A456" i="7"/>
  <c r="A460" i="7"/>
  <c r="A464" i="7"/>
  <c r="A468" i="7"/>
  <c r="A472" i="7"/>
  <c r="A476" i="7"/>
  <c r="A480" i="7"/>
  <c r="A484" i="7"/>
  <c r="A488" i="7"/>
  <c r="A492" i="7"/>
  <c r="A496" i="7"/>
  <c r="A500" i="7"/>
  <c r="A504" i="7"/>
  <c r="A508" i="7"/>
  <c r="A512" i="7"/>
  <c r="A516" i="7"/>
  <c r="A520" i="7"/>
  <c r="A524" i="7"/>
  <c r="A528" i="7"/>
  <c r="A532" i="7"/>
  <c r="A536" i="7"/>
  <c r="A540" i="7"/>
  <c r="A544" i="7"/>
  <c r="A548" i="7"/>
  <c r="A552" i="7"/>
  <c r="A556" i="7"/>
  <c r="A560" i="7"/>
  <c r="A564" i="7"/>
  <c r="A568" i="7"/>
  <c r="A572" i="7"/>
  <c r="A576" i="7"/>
  <c r="A580" i="7"/>
  <c r="A584" i="7"/>
  <c r="A588" i="7"/>
  <c r="A592" i="7"/>
  <c r="A596" i="7"/>
  <c r="A600" i="7"/>
  <c r="A604" i="7"/>
  <c r="A608" i="7"/>
  <c r="A612" i="7"/>
  <c r="A18" i="7"/>
  <c r="A82" i="7"/>
  <c r="A146" i="7"/>
  <c r="A210" i="7"/>
  <c r="A244" i="7"/>
  <c r="A271" i="7"/>
  <c r="A282" i="7"/>
  <c r="A292" i="7"/>
  <c r="A303" i="7"/>
  <c r="A314" i="7"/>
  <c r="A324" i="7"/>
  <c r="A335" i="7"/>
  <c r="A345" i="7"/>
  <c r="A353" i="7"/>
  <c r="A361" i="7"/>
  <c r="A369" i="7"/>
  <c r="A377" i="7"/>
  <c r="A385" i="7"/>
  <c r="A393" i="7"/>
  <c r="A401" i="7"/>
  <c r="A409" i="7"/>
  <c r="A417" i="7"/>
  <c r="A425" i="7"/>
  <c r="A433" i="7"/>
  <c r="A441" i="7"/>
  <c r="A449" i="7"/>
  <c r="A457" i="7"/>
  <c r="A465" i="7"/>
  <c r="A473" i="7"/>
  <c r="A481" i="7"/>
  <c r="A489" i="7"/>
  <c r="A497" i="7"/>
  <c r="A505" i="7"/>
  <c r="A513" i="7"/>
  <c r="A521" i="7"/>
  <c r="A529" i="7"/>
  <c r="A537" i="7"/>
  <c r="A545" i="7"/>
  <c r="A550" i="7"/>
  <c r="A555" i="7"/>
  <c r="A561" i="7"/>
  <c r="A566" i="7"/>
  <c r="A571" i="7"/>
  <c r="A577" i="7"/>
  <c r="A582" i="7"/>
  <c r="A587" i="7"/>
  <c r="A593" i="7"/>
  <c r="A598" i="7"/>
  <c r="A603" i="7"/>
  <c r="A609" i="7"/>
  <c r="A614" i="7"/>
  <c r="A618" i="7"/>
  <c r="A622" i="7"/>
  <c r="A626" i="7"/>
  <c r="A630" i="7"/>
  <c r="A634" i="7"/>
  <c r="A638" i="7"/>
  <c r="A642" i="7"/>
  <c r="A646" i="7"/>
  <c r="A650" i="7"/>
  <c r="A654" i="7"/>
  <c r="A658" i="7"/>
  <c r="A662" i="7"/>
  <c r="A666" i="7"/>
  <c r="A670" i="7"/>
  <c r="A674" i="7"/>
  <c r="A678" i="7"/>
  <c r="A682" i="7"/>
  <c r="A686" i="7"/>
  <c r="A690" i="7"/>
  <c r="A694" i="7"/>
  <c r="A698" i="7"/>
  <c r="A702" i="7"/>
  <c r="A706" i="7"/>
  <c r="A710" i="7"/>
  <c r="A714" i="7"/>
  <c r="A718" i="7"/>
  <c r="A722" i="7"/>
  <c r="A726" i="7"/>
  <c r="A730" i="7"/>
  <c r="A734" i="7"/>
  <c r="A738" i="7"/>
  <c r="A742" i="7"/>
  <c r="A746" i="7"/>
  <c r="A750" i="7"/>
  <c r="A34" i="7"/>
  <c r="A98" i="7"/>
  <c r="A162" i="7"/>
  <c r="A220" i="7"/>
  <c r="A252" i="7"/>
  <c r="A272" i="7"/>
  <c r="A283" i="7"/>
  <c r="A294" i="7"/>
  <c r="A304" i="7"/>
  <c r="A315" i="7"/>
  <c r="A326" i="7"/>
  <c r="A336" i="7"/>
  <c r="A346" i="7"/>
  <c r="A354" i="7"/>
  <c r="A362" i="7"/>
  <c r="A370" i="7"/>
  <c r="A378" i="7"/>
  <c r="A386" i="7"/>
  <c r="A394" i="7"/>
  <c r="A402" i="7"/>
  <c r="A410" i="7"/>
  <c r="A418" i="7"/>
  <c r="A426" i="7"/>
  <c r="A434" i="7"/>
  <c r="A442" i="7"/>
  <c r="A450" i="7"/>
  <c r="A458" i="7"/>
  <c r="A466" i="7"/>
  <c r="A474" i="7"/>
  <c r="A482" i="7"/>
  <c r="A490" i="7"/>
  <c r="A498" i="7"/>
  <c r="A506" i="7"/>
  <c r="A514" i="7"/>
  <c r="A522" i="7"/>
  <c r="A530" i="7"/>
  <c r="A538" i="7"/>
  <c r="A546" i="7"/>
  <c r="A551" i="7"/>
  <c r="A557" i="7"/>
  <c r="A562" i="7"/>
  <c r="A567" i="7"/>
  <c r="A573" i="7"/>
  <c r="A578" i="7"/>
  <c r="A583" i="7"/>
  <c r="A589" i="7"/>
  <c r="A594" i="7"/>
  <c r="A599" i="7"/>
  <c r="A605" i="7"/>
  <c r="A610" i="7"/>
  <c r="A615" i="7"/>
  <c r="A619" i="7"/>
  <c r="A623" i="7"/>
  <c r="A627" i="7"/>
  <c r="A631" i="7"/>
  <c r="A635" i="7"/>
  <c r="A639" i="7"/>
  <c r="A643" i="7"/>
  <c r="A647" i="7"/>
  <c r="A651" i="7"/>
  <c r="A655" i="7"/>
  <c r="A659" i="7"/>
  <c r="A663" i="7"/>
  <c r="A667" i="7"/>
  <c r="A671" i="7"/>
  <c r="A675" i="7"/>
  <c r="A679" i="7"/>
  <c r="A683" i="7"/>
  <c r="A687" i="7"/>
  <c r="A691" i="7"/>
  <c r="A695" i="7"/>
  <c r="A699" i="7"/>
  <c r="A703" i="7"/>
  <c r="A707" i="7"/>
  <c r="A711" i="7"/>
  <c r="A715" i="7"/>
  <c r="A719" i="7"/>
  <c r="A723" i="7"/>
  <c r="A727" i="7"/>
  <c r="A731" i="7"/>
  <c r="A735" i="7"/>
  <c r="A739" i="7"/>
  <c r="A743" i="7"/>
  <c r="A747" i="7"/>
  <c r="A50" i="7"/>
  <c r="A114" i="7"/>
  <c r="A178" i="7"/>
  <c r="A228" i="7"/>
  <c r="A260" i="7"/>
  <c r="A276" i="7"/>
  <c r="A287" i="7"/>
  <c r="A298" i="7"/>
  <c r="A308" i="7"/>
  <c r="A319" i="7"/>
  <c r="A330" i="7"/>
  <c r="A340" i="7"/>
  <c r="A349" i="7"/>
  <c r="A357" i="7"/>
  <c r="A365" i="7"/>
  <c r="A373" i="7"/>
  <c r="A381" i="7"/>
  <c r="A389" i="7"/>
  <c r="A397" i="7"/>
  <c r="A405" i="7"/>
  <c r="A413" i="7"/>
  <c r="A421" i="7"/>
  <c r="A429" i="7"/>
  <c r="A437" i="7"/>
  <c r="A445" i="7"/>
  <c r="A453" i="7"/>
  <c r="A461" i="7"/>
  <c r="A469" i="7"/>
  <c r="A477" i="7"/>
  <c r="A485" i="7"/>
  <c r="A493" i="7"/>
  <c r="A501" i="7"/>
  <c r="A509" i="7"/>
  <c r="A517" i="7"/>
  <c r="A525" i="7"/>
  <c r="A533" i="7"/>
  <c r="A541" i="7"/>
  <c r="A547" i="7"/>
  <c r="A553" i="7"/>
  <c r="A558" i="7"/>
  <c r="A563" i="7"/>
  <c r="A569" i="7"/>
  <c r="A574" i="7"/>
  <c r="A579" i="7"/>
  <c r="A585" i="7"/>
  <c r="A590" i="7"/>
  <c r="A595" i="7"/>
  <c r="A601" i="7"/>
  <c r="A606" i="7"/>
  <c r="A611" i="7"/>
  <c r="A616" i="7"/>
  <c r="A620" i="7"/>
  <c r="A624" i="7"/>
  <c r="A628" i="7"/>
  <c r="A632" i="7"/>
  <c r="A636" i="7"/>
  <c r="A640" i="7"/>
  <c r="A644" i="7"/>
  <c r="A648" i="7"/>
  <c r="A652" i="7"/>
  <c r="A656" i="7"/>
  <c r="A660" i="7"/>
  <c r="A664" i="7"/>
  <c r="A668" i="7"/>
  <c r="A672" i="7"/>
  <c r="A676" i="7"/>
  <c r="A680" i="7"/>
  <c r="A684" i="7"/>
  <c r="A66" i="7"/>
  <c r="A266" i="7"/>
  <c r="A310" i="7"/>
  <c r="A350" i="7"/>
  <c r="A382" i="7"/>
  <c r="A414" i="7"/>
  <c r="A446" i="7"/>
  <c r="A478" i="7"/>
  <c r="A510" i="7"/>
  <c r="A542" i="7"/>
  <c r="A565" i="7"/>
  <c r="A586" i="7"/>
  <c r="A607" i="7"/>
  <c r="A625" i="7"/>
  <c r="A641" i="7"/>
  <c r="A657" i="7"/>
  <c r="A673" i="7"/>
  <c r="A688" i="7"/>
  <c r="A696" i="7"/>
  <c r="A704" i="7"/>
  <c r="A712" i="7"/>
  <c r="A720" i="7"/>
  <c r="A728" i="7"/>
  <c r="A736" i="7"/>
  <c r="A744" i="7"/>
  <c r="A751" i="7"/>
  <c r="A755" i="7"/>
  <c r="A759" i="7"/>
  <c r="A763" i="7"/>
  <c r="A767" i="7"/>
  <c r="A771" i="7"/>
  <c r="A775" i="7"/>
  <c r="A779" i="7"/>
  <c r="A783" i="7"/>
  <c r="A787" i="7"/>
  <c r="A791" i="7"/>
  <c r="A795" i="7"/>
  <c r="A799" i="7"/>
  <c r="A803" i="7"/>
  <c r="A807" i="7"/>
  <c r="A811" i="7"/>
  <c r="A815" i="7"/>
  <c r="A819" i="7"/>
  <c r="A823" i="7"/>
  <c r="A827" i="7"/>
  <c r="A831" i="7"/>
  <c r="A835" i="7"/>
  <c r="A839" i="7"/>
  <c r="A843" i="7"/>
  <c r="A847" i="7"/>
  <c r="A851" i="7"/>
  <c r="A855" i="7"/>
  <c r="A859" i="7"/>
  <c r="A863" i="7"/>
  <c r="A867" i="7"/>
  <c r="A871" i="7"/>
  <c r="A875" i="7"/>
  <c r="A879" i="7"/>
  <c r="A883" i="7"/>
  <c r="A887" i="7"/>
  <c r="A891" i="7"/>
  <c r="A895" i="7"/>
  <c r="A899" i="7"/>
  <c r="A903" i="7"/>
  <c r="A907" i="7"/>
  <c r="A911" i="7"/>
  <c r="A915" i="7"/>
  <c r="A919" i="7"/>
  <c r="A923" i="7"/>
  <c r="A927" i="7"/>
  <c r="A931" i="7"/>
  <c r="A935" i="7"/>
  <c r="A939" i="7"/>
  <c r="A943" i="7"/>
  <c r="A947" i="7"/>
  <c r="A951" i="7"/>
  <c r="A955" i="7"/>
  <c r="A959" i="7"/>
  <c r="A963" i="7"/>
  <c r="A967" i="7"/>
  <c r="A971" i="7"/>
  <c r="A975" i="7"/>
  <c r="A979" i="7"/>
  <c r="A983" i="7"/>
  <c r="A987" i="7"/>
  <c r="A991" i="7"/>
  <c r="A995" i="7"/>
  <c r="A999" i="7"/>
  <c r="A1003" i="7"/>
  <c r="A1007" i="7"/>
  <c r="A1011" i="7"/>
  <c r="A1015" i="7"/>
  <c r="A1019" i="7"/>
  <c r="A1023" i="7"/>
  <c r="A1027" i="7"/>
  <c r="A1031" i="7"/>
  <c r="A1035" i="7"/>
  <c r="A1039" i="7"/>
  <c r="A1043" i="7"/>
  <c r="A1047" i="7"/>
  <c r="A1051" i="7"/>
  <c r="A1055" i="7"/>
  <c r="A1059" i="7"/>
  <c r="A1063" i="7"/>
  <c r="A1067" i="7"/>
  <c r="A1071" i="7"/>
  <c r="A1075" i="7"/>
  <c r="A1079" i="7"/>
  <c r="A1083" i="7"/>
  <c r="A1087" i="7"/>
  <c r="A1091" i="7"/>
  <c r="A1095" i="7"/>
  <c r="A1099" i="7"/>
  <c r="A1103" i="7"/>
  <c r="A1107" i="7"/>
  <c r="A1111" i="7"/>
  <c r="A1115" i="7"/>
  <c r="A1119" i="7"/>
  <c r="A1123" i="7"/>
  <c r="A1127" i="7"/>
  <c r="A1131" i="7"/>
  <c r="A1135" i="7"/>
  <c r="A1139" i="7"/>
  <c r="A1143" i="7"/>
  <c r="A1147" i="7"/>
  <c r="A890" i="7"/>
  <c r="A926" i="7"/>
  <c r="A942" i="7"/>
  <c r="A950" i="7"/>
  <c r="A966" i="7"/>
  <c r="A982" i="7"/>
  <c r="A994" i="7"/>
  <c r="A1006" i="7"/>
  <c r="A130" i="7"/>
  <c r="A278" i="7"/>
  <c r="A320" i="7"/>
  <c r="A358" i="7"/>
  <c r="A390" i="7"/>
  <c r="A422" i="7"/>
  <c r="A454" i="7"/>
  <c r="A486" i="7"/>
  <c r="A518" i="7"/>
  <c r="A549" i="7"/>
  <c r="A570" i="7"/>
  <c r="A591" i="7"/>
  <c r="A613" i="7"/>
  <c r="A629" i="7"/>
  <c r="A645" i="7"/>
  <c r="A661" i="7"/>
  <c r="A677" i="7"/>
  <c r="A689" i="7"/>
  <c r="A697" i="7"/>
  <c r="A705" i="7"/>
  <c r="A713" i="7"/>
  <c r="A721" i="7"/>
  <c r="A729" i="7"/>
  <c r="A737" i="7"/>
  <c r="A745" i="7"/>
  <c r="A752" i="7"/>
  <c r="A756" i="7"/>
  <c r="A760" i="7"/>
  <c r="A764" i="7"/>
  <c r="A768" i="7"/>
  <c r="A772" i="7"/>
  <c r="A776" i="7"/>
  <c r="A780" i="7"/>
  <c r="A784" i="7"/>
  <c r="A788" i="7"/>
  <c r="A792" i="7"/>
  <c r="A796" i="7"/>
  <c r="A800" i="7"/>
  <c r="A804" i="7"/>
  <c r="A808" i="7"/>
  <c r="A812" i="7"/>
  <c r="A816" i="7"/>
  <c r="A820" i="7"/>
  <c r="A824" i="7"/>
  <c r="A828" i="7"/>
  <c r="A832" i="7"/>
  <c r="A836" i="7"/>
  <c r="A840" i="7"/>
  <c r="A844" i="7"/>
  <c r="A848" i="7"/>
  <c r="A852" i="7"/>
  <c r="A856" i="7"/>
  <c r="A860" i="7"/>
  <c r="A864" i="7"/>
  <c r="A868" i="7"/>
  <c r="A872" i="7"/>
  <c r="A876" i="7"/>
  <c r="A880" i="7"/>
  <c r="A884" i="7"/>
  <c r="A888" i="7"/>
  <c r="A892" i="7"/>
  <c r="A896" i="7"/>
  <c r="A900" i="7"/>
  <c r="A904" i="7"/>
  <c r="A908" i="7"/>
  <c r="A912" i="7"/>
  <c r="A916" i="7"/>
  <c r="A920" i="7"/>
  <c r="A924" i="7"/>
  <c r="A928" i="7"/>
  <c r="A932" i="7"/>
  <c r="A936" i="7"/>
  <c r="A940" i="7"/>
  <c r="A944" i="7"/>
  <c r="A948" i="7"/>
  <c r="A952" i="7"/>
  <c r="A956" i="7"/>
  <c r="A960" i="7"/>
  <c r="A964" i="7"/>
  <c r="A968" i="7"/>
  <c r="A972" i="7"/>
  <c r="A976" i="7"/>
  <c r="A980" i="7"/>
  <c r="A984" i="7"/>
  <c r="A988" i="7"/>
  <c r="A992" i="7"/>
  <c r="A996" i="7"/>
  <c r="A1000" i="7"/>
  <c r="A1004" i="7"/>
  <c r="A1008" i="7"/>
  <c r="A1012" i="7"/>
  <c r="A1016" i="7"/>
  <c r="A1020" i="7"/>
  <c r="A1024" i="7"/>
  <c r="A1028" i="7"/>
  <c r="A1032" i="7"/>
  <c r="A1036" i="7"/>
  <c r="A1040" i="7"/>
  <c r="A1044" i="7"/>
  <c r="A1048" i="7"/>
  <c r="A1052" i="7"/>
  <c r="A1056" i="7"/>
  <c r="A1060" i="7"/>
  <c r="A1064" i="7"/>
  <c r="A1068" i="7"/>
  <c r="A1072" i="7"/>
  <c r="A1076" i="7"/>
  <c r="A1080" i="7"/>
  <c r="A1084" i="7"/>
  <c r="A1088" i="7"/>
  <c r="A1092" i="7"/>
  <c r="A1096" i="7"/>
  <c r="A1100" i="7"/>
  <c r="A1104" i="7"/>
  <c r="A1108" i="7"/>
  <c r="A1112" i="7"/>
  <c r="A1116" i="7"/>
  <c r="A1120" i="7"/>
  <c r="A1124" i="7"/>
  <c r="A1128" i="7"/>
  <c r="A1132" i="7"/>
  <c r="A1136" i="7"/>
  <c r="A1140" i="7"/>
  <c r="A1144" i="7"/>
  <c r="A1148" i="7"/>
  <c r="A236" i="7"/>
  <c r="A342" i="7"/>
  <c r="A374" i="7"/>
  <c r="A406" i="7"/>
  <c r="A438" i="7"/>
  <c r="A470" i="7"/>
  <c r="A502" i="7"/>
  <c r="A534" i="7"/>
  <c r="A559" i="7"/>
  <c r="A581" i="7"/>
  <c r="A602" i="7"/>
  <c r="A621" i="7"/>
  <c r="A653" i="7"/>
  <c r="A685" i="7"/>
  <c r="A701" i="7"/>
  <c r="A717" i="7"/>
  <c r="A733" i="7"/>
  <c r="A749" i="7"/>
  <c r="A758" i="7"/>
  <c r="A766" i="7"/>
  <c r="A774" i="7"/>
  <c r="A782" i="7"/>
  <c r="A790" i="7"/>
  <c r="A798" i="7"/>
  <c r="A806" i="7"/>
  <c r="A814" i="7"/>
  <c r="A826" i="7"/>
  <c r="A834" i="7"/>
  <c r="A842" i="7"/>
  <c r="A850" i="7"/>
  <c r="A858" i="7"/>
  <c r="A866" i="7"/>
  <c r="A874" i="7"/>
  <c r="A886" i="7"/>
  <c r="A894" i="7"/>
  <c r="A902" i="7"/>
  <c r="A910" i="7"/>
  <c r="A918" i="7"/>
  <c r="A930" i="7"/>
  <c r="A938" i="7"/>
  <c r="A954" i="7"/>
  <c r="A962" i="7"/>
  <c r="A974" i="7"/>
  <c r="A986" i="7"/>
  <c r="A998" i="7"/>
  <c r="A194" i="7"/>
  <c r="A288" i="7"/>
  <c r="A331" i="7"/>
  <c r="A366" i="7"/>
  <c r="A398" i="7"/>
  <c r="A430" i="7"/>
  <c r="A462" i="7"/>
  <c r="A494" i="7"/>
  <c r="A526" i="7"/>
  <c r="A554" i="7"/>
  <c r="A575" i="7"/>
  <c r="A597" i="7"/>
  <c r="A617" i="7"/>
  <c r="A633" i="7"/>
  <c r="A649" i="7"/>
  <c r="A665" i="7"/>
  <c r="A681" i="7"/>
  <c r="A692" i="7"/>
  <c r="A700" i="7"/>
  <c r="A708" i="7"/>
  <c r="A716" i="7"/>
  <c r="A724" i="7"/>
  <c r="A732" i="7"/>
  <c r="A740" i="7"/>
  <c r="A748" i="7"/>
  <c r="A753" i="7"/>
  <c r="A757" i="7"/>
  <c r="A761" i="7"/>
  <c r="A765" i="7"/>
  <c r="A769" i="7"/>
  <c r="A773" i="7"/>
  <c r="A777" i="7"/>
  <c r="A781" i="7"/>
  <c r="A785" i="7"/>
  <c r="A789" i="7"/>
  <c r="A793" i="7"/>
  <c r="A797" i="7"/>
  <c r="A801" i="7"/>
  <c r="A805" i="7"/>
  <c r="A809" i="7"/>
  <c r="A813" i="7"/>
  <c r="A817" i="7"/>
  <c r="A821" i="7"/>
  <c r="A825" i="7"/>
  <c r="A829" i="7"/>
  <c r="A833" i="7"/>
  <c r="A837" i="7"/>
  <c r="A841" i="7"/>
  <c r="A845" i="7"/>
  <c r="A849" i="7"/>
  <c r="A853" i="7"/>
  <c r="A857" i="7"/>
  <c r="A861" i="7"/>
  <c r="A865" i="7"/>
  <c r="A869" i="7"/>
  <c r="A873" i="7"/>
  <c r="A877" i="7"/>
  <c r="A881" i="7"/>
  <c r="A885" i="7"/>
  <c r="A889" i="7"/>
  <c r="A893" i="7"/>
  <c r="A897" i="7"/>
  <c r="A901" i="7"/>
  <c r="A905" i="7"/>
  <c r="A909" i="7"/>
  <c r="A913" i="7"/>
  <c r="A917" i="7"/>
  <c r="A921" i="7"/>
  <c r="A925" i="7"/>
  <c r="A929" i="7"/>
  <c r="A933" i="7"/>
  <c r="A937" i="7"/>
  <c r="A941" i="7"/>
  <c r="A945" i="7"/>
  <c r="A949" i="7"/>
  <c r="A953" i="7"/>
  <c r="A957" i="7"/>
  <c r="A961" i="7"/>
  <c r="A965" i="7"/>
  <c r="A969" i="7"/>
  <c r="A973" i="7"/>
  <c r="A977" i="7"/>
  <c r="A981" i="7"/>
  <c r="A985" i="7"/>
  <c r="A989" i="7"/>
  <c r="A993" i="7"/>
  <c r="A997" i="7"/>
  <c r="A1001" i="7"/>
  <c r="A1005" i="7"/>
  <c r="A1009" i="7"/>
  <c r="A1013" i="7"/>
  <c r="A1017" i="7"/>
  <c r="A1021" i="7"/>
  <c r="A1025" i="7"/>
  <c r="A1029" i="7"/>
  <c r="A1033" i="7"/>
  <c r="A1037" i="7"/>
  <c r="A1041" i="7"/>
  <c r="A1045" i="7"/>
  <c r="A1049" i="7"/>
  <c r="A1053" i="7"/>
  <c r="A1057" i="7"/>
  <c r="A1061" i="7"/>
  <c r="A1065" i="7"/>
  <c r="A1069" i="7"/>
  <c r="A1073" i="7"/>
  <c r="A1077" i="7"/>
  <c r="A1081" i="7"/>
  <c r="A1085" i="7"/>
  <c r="A1089" i="7"/>
  <c r="A1093" i="7"/>
  <c r="A1097" i="7"/>
  <c r="A1101" i="7"/>
  <c r="A1105" i="7"/>
  <c r="A1109" i="7"/>
  <c r="A1113" i="7"/>
  <c r="A1117" i="7"/>
  <c r="A1121" i="7"/>
  <c r="A1125" i="7"/>
  <c r="A1129" i="7"/>
  <c r="A1133" i="7"/>
  <c r="A1137" i="7"/>
  <c r="A1141" i="7"/>
  <c r="A1145" i="7"/>
  <c r="A1149" i="7"/>
  <c r="A299" i="7"/>
  <c r="A637" i="7"/>
  <c r="A669" i="7"/>
  <c r="A693" i="7"/>
  <c r="A709" i="7"/>
  <c r="A725" i="7"/>
  <c r="A741" i="7"/>
  <c r="A754" i="7"/>
  <c r="A762" i="7"/>
  <c r="A770" i="7"/>
  <c r="A778" i="7"/>
  <c r="A786" i="7"/>
  <c r="A794" i="7"/>
  <c r="A802" i="7"/>
  <c r="A810" i="7"/>
  <c r="A818" i="7"/>
  <c r="A822" i="7"/>
  <c r="A830" i="7"/>
  <c r="A838" i="7"/>
  <c r="A846" i="7"/>
  <c r="A854" i="7"/>
  <c r="A862" i="7"/>
  <c r="A870" i="7"/>
  <c r="A878" i="7"/>
  <c r="A882" i="7"/>
  <c r="A898" i="7"/>
  <c r="A906" i="7"/>
  <c r="A914" i="7"/>
  <c r="A922" i="7"/>
  <c r="A934" i="7"/>
  <c r="A946" i="7"/>
  <c r="A958" i="7"/>
  <c r="A970" i="7"/>
  <c r="A978" i="7"/>
  <c r="A990" i="7"/>
  <c r="A1002" i="7"/>
  <c r="A1010" i="7"/>
  <c r="A1026" i="7"/>
  <c r="A1042" i="7"/>
  <c r="A1058" i="7"/>
  <c r="A1074" i="7"/>
  <c r="A1090" i="7"/>
  <c r="A1106" i="7"/>
  <c r="A1122" i="7"/>
  <c r="A1138" i="7"/>
  <c r="A1070" i="7"/>
  <c r="A1134" i="7"/>
  <c r="A1014" i="7"/>
  <c r="A1030" i="7"/>
  <c r="A1046" i="7"/>
  <c r="A1062" i="7"/>
  <c r="A1078" i="7"/>
  <c r="A1094" i="7"/>
  <c r="A1110" i="7"/>
  <c r="A1126" i="7"/>
  <c r="A1142" i="7"/>
  <c r="A1038" i="7"/>
  <c r="A1086" i="7"/>
  <c r="A1150" i="7"/>
  <c r="A1018" i="7"/>
  <c r="A1034" i="7"/>
  <c r="A1050" i="7"/>
  <c r="A1066" i="7"/>
  <c r="A1082" i="7"/>
  <c r="A1098" i="7"/>
  <c r="A1114" i="7"/>
  <c r="A1130" i="7"/>
  <c r="A1146" i="7"/>
  <c r="A1054" i="7"/>
  <c r="A1102" i="7"/>
  <c r="A1022" i="7"/>
  <c r="A1118" i="7"/>
  <c r="B973" i="7"/>
  <c r="B975" i="7"/>
  <c r="B977" i="7"/>
  <c r="B979" i="7"/>
  <c r="B981" i="7"/>
  <c r="B983" i="7"/>
  <c r="B985" i="7"/>
  <c r="B987" i="7"/>
  <c r="B989" i="7"/>
  <c r="B991" i="7"/>
  <c r="B993" i="7"/>
  <c r="B995" i="7"/>
  <c r="B997" i="7"/>
  <c r="B999" i="7"/>
  <c r="B1001" i="7"/>
  <c r="B1003" i="7"/>
  <c r="B1005" i="7"/>
  <c r="B1007" i="7"/>
  <c r="B1009" i="7"/>
  <c r="B1011" i="7"/>
  <c r="B1013" i="7"/>
  <c r="B1015" i="7"/>
  <c r="B1017" i="7"/>
  <c r="B1019" i="7"/>
  <c r="B1021" i="7"/>
  <c r="B1023" i="7"/>
  <c r="B1025" i="7"/>
  <c r="B1027" i="7"/>
  <c r="B1029" i="7"/>
  <c r="B1031" i="7"/>
  <c r="B1033" i="7"/>
  <c r="B1035" i="7"/>
  <c r="B1037" i="7"/>
  <c r="B1039" i="7"/>
  <c r="B1041" i="7"/>
  <c r="B1043" i="7"/>
  <c r="B1045" i="7"/>
  <c r="B1047" i="7"/>
  <c r="B1049" i="7"/>
  <c r="B1051" i="7"/>
  <c r="B1053" i="7"/>
  <c r="B1055" i="7"/>
  <c r="B974" i="7"/>
  <c r="B982" i="7"/>
  <c r="B990" i="7"/>
  <c r="B998" i="7"/>
  <c r="B1006" i="7"/>
  <c r="B1014" i="7"/>
  <c r="B1022" i="7"/>
  <c r="B1042" i="7"/>
  <c r="B1050" i="7"/>
  <c r="B976" i="7"/>
  <c r="B984" i="7"/>
  <c r="B992" i="7"/>
  <c r="B1000" i="7"/>
  <c r="B1008" i="7"/>
  <c r="B1016" i="7"/>
  <c r="B1024" i="7"/>
  <c r="B1028" i="7"/>
  <c r="B1032" i="7"/>
  <c r="B1036" i="7"/>
  <c r="B1040" i="7"/>
  <c r="B1048" i="7"/>
  <c r="B1056" i="7"/>
  <c r="B1058" i="7"/>
  <c r="B1060" i="7"/>
  <c r="B1062" i="7"/>
  <c r="B1064" i="7"/>
  <c r="B1066" i="7"/>
  <c r="B1068" i="7"/>
  <c r="B1070" i="7"/>
  <c r="B1072" i="7"/>
  <c r="B1074" i="7"/>
  <c r="B1076" i="7"/>
  <c r="B1078" i="7"/>
  <c r="B1080" i="7"/>
  <c r="B1082" i="7"/>
  <c r="B1084" i="7"/>
  <c r="B1086" i="7"/>
  <c r="B1088" i="7"/>
  <c r="B1090" i="7"/>
  <c r="B1092" i="7"/>
  <c r="B1094" i="7"/>
  <c r="B1096" i="7"/>
  <c r="B1098" i="7"/>
  <c r="B1100" i="7"/>
  <c r="B1102" i="7"/>
  <c r="B1104" i="7"/>
  <c r="B1106" i="7"/>
  <c r="B1108" i="7"/>
  <c r="B1110" i="7"/>
  <c r="B1112" i="7"/>
  <c r="B1114" i="7"/>
  <c r="B1116" i="7"/>
  <c r="B1118" i="7"/>
  <c r="B1120" i="7"/>
  <c r="B1122" i="7"/>
  <c r="B1124" i="7"/>
  <c r="B1126" i="7"/>
  <c r="B1128" i="7"/>
  <c r="B1130" i="7"/>
  <c r="B1132" i="7"/>
  <c r="B1134" i="7"/>
  <c r="B1136" i="7"/>
  <c r="B1138" i="7"/>
  <c r="B1140" i="7"/>
  <c r="B1142" i="7"/>
  <c r="B1144" i="7"/>
  <c r="B1146" i="7"/>
  <c r="B1148" i="7"/>
  <c r="B1150" i="7"/>
  <c r="B978" i="7"/>
  <c r="B986" i="7"/>
  <c r="B994" i="7"/>
  <c r="B1002" i="7"/>
  <c r="B1010" i="7"/>
  <c r="B1018" i="7"/>
  <c r="B1046" i="7"/>
  <c r="B1054" i="7"/>
  <c r="B988" i="7"/>
  <c r="B1020" i="7"/>
  <c r="B1038" i="7"/>
  <c r="B1059" i="7"/>
  <c r="B1067" i="7"/>
  <c r="B1075" i="7"/>
  <c r="B1083" i="7"/>
  <c r="B1091" i="7"/>
  <c r="B1099" i="7"/>
  <c r="B1107" i="7"/>
  <c r="B1115" i="7"/>
  <c r="B1123" i="7"/>
  <c r="B1131" i="7"/>
  <c r="B1139" i="7"/>
  <c r="B1147" i="7"/>
  <c r="B5" i="7"/>
  <c r="B9" i="7"/>
  <c r="B13" i="7"/>
  <c r="B17" i="7"/>
  <c r="B21" i="7"/>
  <c r="B24" i="7"/>
  <c r="B27" i="7"/>
  <c r="B32" i="7"/>
  <c r="B35" i="7"/>
  <c r="B40" i="7"/>
  <c r="B43" i="7"/>
  <c r="B48" i="7"/>
  <c r="B51" i="7"/>
  <c r="B996" i="7"/>
  <c r="B1026" i="7"/>
  <c r="B1052" i="7"/>
  <c r="B1061" i="7"/>
  <c r="B1069" i="7"/>
  <c r="B1077" i="7"/>
  <c r="B1085" i="7"/>
  <c r="B1093" i="7"/>
  <c r="B1101" i="7"/>
  <c r="B1109" i="7"/>
  <c r="B1117" i="7"/>
  <c r="B1125" i="7"/>
  <c r="B1133" i="7"/>
  <c r="B1141" i="7"/>
  <c r="B1149" i="7"/>
  <c r="B6" i="7"/>
  <c r="B10" i="7"/>
  <c r="B14" i="7"/>
  <c r="B18" i="7"/>
  <c r="B22" i="7"/>
  <c r="B25" i="7"/>
  <c r="B30" i="7"/>
  <c r="B33" i="7"/>
  <c r="B38" i="7"/>
  <c r="B41" i="7"/>
  <c r="B46" i="7"/>
  <c r="B49" i="7"/>
  <c r="B54" i="7"/>
  <c r="B56" i="7"/>
  <c r="B58" i="7"/>
  <c r="B60" i="7"/>
  <c r="B62" i="7"/>
  <c r="B64" i="7"/>
  <c r="B66" i="7"/>
  <c r="B68" i="7"/>
  <c r="B70" i="7"/>
  <c r="B72" i="7"/>
  <c r="B74" i="7"/>
  <c r="B76" i="7"/>
  <c r="B78" i="7"/>
  <c r="B80" i="7"/>
  <c r="B82" i="7"/>
  <c r="B84" i="7"/>
  <c r="B86" i="7"/>
  <c r="B88" i="7"/>
  <c r="B90" i="7"/>
  <c r="B92" i="7"/>
  <c r="B94" i="7"/>
  <c r="B96" i="7"/>
  <c r="B98" i="7"/>
  <c r="B100" i="7"/>
  <c r="B972" i="7"/>
  <c r="B1004" i="7"/>
  <c r="B1030" i="7"/>
  <c r="B1044" i="7"/>
  <c r="B1063" i="7"/>
  <c r="B1071" i="7"/>
  <c r="B1079" i="7"/>
  <c r="B1087" i="7"/>
  <c r="B1095" i="7"/>
  <c r="B1103" i="7"/>
  <c r="B1111" i="7"/>
  <c r="B1119" i="7"/>
  <c r="B1127" i="7"/>
  <c r="B1135" i="7"/>
  <c r="B1143" i="7"/>
  <c r="B3" i="7"/>
  <c r="B7" i="7"/>
  <c r="B11" i="7"/>
  <c r="B15" i="7"/>
  <c r="B19" i="7"/>
  <c r="B23" i="7"/>
  <c r="B28" i="7"/>
  <c r="B31" i="7"/>
  <c r="B36" i="7"/>
  <c r="B39" i="7"/>
  <c r="B44" i="7"/>
  <c r="B47" i="7"/>
  <c r="B52" i="7"/>
  <c r="B1034" i="7"/>
  <c r="B1073" i="7"/>
  <c r="B1105" i="7"/>
  <c r="B1137" i="7"/>
  <c r="B12" i="7"/>
  <c r="B26" i="7"/>
  <c r="B37" i="7"/>
  <c r="B57" i="7"/>
  <c r="B65" i="7"/>
  <c r="B73" i="7"/>
  <c r="B81" i="7"/>
  <c r="B89" i="7"/>
  <c r="B97" i="7"/>
  <c r="B103" i="7"/>
  <c r="B107" i="7"/>
  <c r="B111" i="7"/>
  <c r="B115" i="7"/>
  <c r="B120" i="7"/>
  <c r="B123" i="7"/>
  <c r="B128" i="7"/>
  <c r="B131" i="7"/>
  <c r="B136" i="7"/>
  <c r="B139" i="7"/>
  <c r="B144" i="7"/>
  <c r="B147" i="7"/>
  <c r="B152" i="7"/>
  <c r="B155" i="7"/>
  <c r="B160" i="7"/>
  <c r="B163" i="7"/>
  <c r="B168" i="7"/>
  <c r="B171" i="7"/>
  <c r="B176" i="7"/>
  <c r="B179" i="7"/>
  <c r="B184" i="7"/>
  <c r="B187" i="7"/>
  <c r="B192" i="7"/>
  <c r="B195" i="7"/>
  <c r="B200" i="7"/>
  <c r="B203" i="7"/>
  <c r="B208" i="7"/>
  <c r="B211" i="7"/>
  <c r="B216" i="7"/>
  <c r="B219" i="7"/>
  <c r="B224" i="7"/>
  <c r="B227" i="7"/>
  <c r="B232" i="7"/>
  <c r="B235" i="7"/>
  <c r="B240" i="7"/>
  <c r="B243" i="7"/>
  <c r="B248" i="7"/>
  <c r="B251" i="7"/>
  <c r="B256" i="7"/>
  <c r="B259" i="7"/>
  <c r="B264" i="7"/>
  <c r="B267" i="7"/>
  <c r="B272" i="7"/>
  <c r="B275" i="7"/>
  <c r="B280" i="7"/>
  <c r="B283" i="7"/>
  <c r="B288" i="7"/>
  <c r="B291" i="7"/>
  <c r="B296" i="7"/>
  <c r="B299" i="7"/>
  <c r="B304" i="7"/>
  <c r="B307" i="7"/>
  <c r="B312" i="7"/>
  <c r="B315" i="7"/>
  <c r="B320" i="7"/>
  <c r="B323" i="7"/>
  <c r="B1081" i="7"/>
  <c r="B1113" i="7"/>
  <c r="B1145" i="7"/>
  <c r="B16" i="7"/>
  <c r="B29" i="7"/>
  <c r="B50" i="7"/>
  <c r="B59" i="7"/>
  <c r="B67" i="7"/>
  <c r="B75" i="7"/>
  <c r="B83" i="7"/>
  <c r="B91" i="7"/>
  <c r="B99" i="7"/>
  <c r="B104" i="7"/>
  <c r="B108" i="7"/>
  <c r="B112" i="7"/>
  <c r="B118" i="7"/>
  <c r="B121" i="7"/>
  <c r="B126" i="7"/>
  <c r="B129" i="7"/>
  <c r="B134" i="7"/>
  <c r="B137" i="7"/>
  <c r="B142" i="7"/>
  <c r="B145" i="7"/>
  <c r="B150" i="7"/>
  <c r="B153" i="7"/>
  <c r="B158" i="7"/>
  <c r="B161" i="7"/>
  <c r="B166" i="7"/>
  <c r="B169" i="7"/>
  <c r="B174" i="7"/>
  <c r="B177" i="7"/>
  <c r="B182" i="7"/>
  <c r="B185" i="7"/>
  <c r="B190" i="7"/>
  <c r="B193" i="7"/>
  <c r="B198" i="7"/>
  <c r="B201" i="7"/>
  <c r="B206" i="7"/>
  <c r="B209" i="7"/>
  <c r="B214" i="7"/>
  <c r="B217" i="7"/>
  <c r="B222" i="7"/>
  <c r="B225" i="7"/>
  <c r="B230" i="7"/>
  <c r="B233" i="7"/>
  <c r="B238" i="7"/>
  <c r="B241" i="7"/>
  <c r="B246" i="7"/>
  <c r="B249" i="7"/>
  <c r="B254" i="7"/>
  <c r="B257" i="7"/>
  <c r="B262" i="7"/>
  <c r="B265" i="7"/>
  <c r="B270" i="7"/>
  <c r="B273" i="7"/>
  <c r="B278" i="7"/>
  <c r="B281" i="7"/>
  <c r="B286" i="7"/>
  <c r="B289" i="7"/>
  <c r="B980" i="7"/>
  <c r="B1057" i="7"/>
  <c r="B1089" i="7"/>
  <c r="B1121" i="7"/>
  <c r="B4" i="7"/>
  <c r="B20" i="7"/>
  <c r="B42" i="7"/>
  <c r="B53" i="7"/>
  <c r="B61" i="7"/>
  <c r="B69" i="7"/>
  <c r="B77" i="7"/>
  <c r="B85" i="7"/>
  <c r="B93" i="7"/>
  <c r="B101" i="7"/>
  <c r="B105" i="7"/>
  <c r="B109" i="7"/>
  <c r="B113" i="7"/>
  <c r="B116" i="7"/>
  <c r="B119" i="7"/>
  <c r="B124" i="7"/>
  <c r="B127" i="7"/>
  <c r="B132" i="7"/>
  <c r="B135" i="7"/>
  <c r="B140" i="7"/>
  <c r="B143" i="7"/>
  <c r="B148" i="7"/>
  <c r="B151" i="7"/>
  <c r="B156" i="7"/>
  <c r="B159" i="7"/>
  <c r="B164" i="7"/>
  <c r="B167" i="7"/>
  <c r="B172" i="7"/>
  <c r="B175" i="7"/>
  <c r="B180" i="7"/>
  <c r="B183" i="7"/>
  <c r="B188" i="7"/>
  <c r="B191" i="7"/>
  <c r="B196" i="7"/>
  <c r="B199" i="7"/>
  <c r="B204" i="7"/>
  <c r="B207" i="7"/>
  <c r="B212" i="7"/>
  <c r="B215" i="7"/>
  <c r="B220" i="7"/>
  <c r="B223" i="7"/>
  <c r="B228" i="7"/>
  <c r="B231" i="7"/>
  <c r="B236" i="7"/>
  <c r="B239" i="7"/>
  <c r="B244" i="7"/>
  <c r="B247" i="7"/>
  <c r="B252" i="7"/>
  <c r="B255" i="7"/>
  <c r="B260" i="7"/>
  <c r="B263" i="7"/>
  <c r="B268" i="7"/>
  <c r="B271" i="7"/>
  <c r="B276" i="7"/>
  <c r="B279" i="7"/>
  <c r="B284" i="7"/>
  <c r="B287" i="7"/>
  <c r="B292" i="7"/>
  <c r="B295" i="7"/>
  <c r="B300" i="7"/>
  <c r="B303" i="7"/>
  <c r="B308" i="7"/>
  <c r="B311" i="7"/>
  <c r="B316" i="7"/>
  <c r="B319" i="7"/>
  <c r="B324" i="7"/>
  <c r="B326" i="7"/>
  <c r="B328" i="7"/>
  <c r="B330" i="7"/>
  <c r="B332" i="7"/>
  <c r="B334" i="7"/>
  <c r="B336" i="7"/>
  <c r="B338" i="7"/>
  <c r="B340" i="7"/>
  <c r="B342" i="7"/>
  <c r="B344" i="7"/>
  <c r="B346" i="7"/>
  <c r="B348" i="7"/>
  <c r="B350" i="7"/>
  <c r="B352" i="7"/>
  <c r="B354" i="7"/>
  <c r="B356" i="7"/>
  <c r="B358" i="7"/>
  <c r="B360" i="7"/>
  <c r="B362" i="7"/>
  <c r="B364" i="7"/>
  <c r="B366" i="7"/>
  <c r="B368" i="7"/>
  <c r="B370" i="7"/>
  <c r="B372" i="7"/>
  <c r="B374" i="7"/>
  <c r="B376" i="7"/>
  <c r="B378" i="7"/>
  <c r="B380" i="7"/>
  <c r="B382" i="7"/>
  <c r="B384" i="7"/>
  <c r="B386" i="7"/>
  <c r="B388" i="7"/>
  <c r="B390" i="7"/>
  <c r="B392" i="7"/>
  <c r="B394" i="7"/>
  <c r="B396" i="7"/>
  <c r="B398" i="7"/>
  <c r="B400" i="7"/>
  <c r="B402" i="7"/>
  <c r="B404" i="7"/>
  <c r="B406" i="7"/>
  <c r="B408" i="7"/>
  <c r="B410" i="7"/>
  <c r="B412" i="7"/>
  <c r="B414" i="7"/>
  <c r="B416" i="7"/>
  <c r="B418" i="7"/>
  <c r="B420" i="7"/>
  <c r="B422" i="7"/>
  <c r="B424" i="7"/>
  <c r="B426" i="7"/>
  <c r="B428" i="7"/>
  <c r="B430" i="7"/>
  <c r="B432" i="7"/>
  <c r="B434" i="7"/>
  <c r="B436" i="7"/>
  <c r="B438" i="7"/>
  <c r="B440" i="7"/>
  <c r="B442" i="7"/>
  <c r="B444" i="7"/>
  <c r="B446" i="7"/>
  <c r="B448" i="7"/>
  <c r="B450" i="7"/>
  <c r="B452" i="7"/>
  <c r="B454" i="7"/>
  <c r="B456" i="7"/>
  <c r="B458" i="7"/>
  <c r="B460" i="7"/>
  <c r="B462" i="7"/>
  <c r="B464" i="7"/>
  <c r="B466" i="7"/>
  <c r="B468" i="7"/>
  <c r="B470" i="7"/>
  <c r="B472" i="7"/>
  <c r="B474" i="7"/>
  <c r="B476" i="7"/>
  <c r="B478" i="7"/>
  <c r="B480" i="7"/>
  <c r="B482" i="7"/>
  <c r="B484" i="7"/>
  <c r="B486" i="7"/>
  <c r="B488" i="7"/>
  <c r="B490" i="7"/>
  <c r="B492" i="7"/>
  <c r="B494" i="7"/>
  <c r="B496" i="7"/>
  <c r="B498" i="7"/>
  <c r="B500" i="7"/>
  <c r="B502" i="7"/>
  <c r="B504" i="7"/>
  <c r="B506" i="7"/>
  <c r="B508" i="7"/>
  <c r="B510" i="7"/>
  <c r="B512" i="7"/>
  <c r="B514" i="7"/>
  <c r="B516" i="7"/>
  <c r="B518" i="7"/>
  <c r="B520" i="7"/>
  <c r="B522" i="7"/>
  <c r="B524" i="7"/>
  <c r="B526" i="7"/>
  <c r="B528" i="7"/>
  <c r="B530" i="7"/>
  <c r="B532" i="7"/>
  <c r="B534" i="7"/>
  <c r="B536" i="7"/>
  <c r="B538" i="7"/>
  <c r="B540" i="7"/>
  <c r="B1012" i="7"/>
  <c r="B8" i="7"/>
  <c r="B55" i="7"/>
  <c r="B87" i="7"/>
  <c r="B110" i="7"/>
  <c r="B122" i="7"/>
  <c r="B133" i="7"/>
  <c r="B154" i="7"/>
  <c r="B165" i="7"/>
  <c r="B186" i="7"/>
  <c r="B197" i="7"/>
  <c r="B218" i="7"/>
  <c r="B229" i="7"/>
  <c r="B250" i="7"/>
  <c r="B261" i="7"/>
  <c r="B282" i="7"/>
  <c r="B293" i="7"/>
  <c r="B298" i="7"/>
  <c r="B309" i="7"/>
  <c r="B314" i="7"/>
  <c r="B327" i="7"/>
  <c r="B335" i="7"/>
  <c r="B343" i="7"/>
  <c r="B351" i="7"/>
  <c r="B359" i="7"/>
  <c r="B367" i="7"/>
  <c r="B375" i="7"/>
  <c r="B383" i="7"/>
  <c r="B391" i="7"/>
  <c r="B399" i="7"/>
  <c r="B407" i="7"/>
  <c r="B415" i="7"/>
  <c r="B423" i="7"/>
  <c r="B431" i="7"/>
  <c r="B439" i="7"/>
  <c r="B447" i="7"/>
  <c r="B455" i="7"/>
  <c r="B463" i="7"/>
  <c r="B471" i="7"/>
  <c r="B479" i="7"/>
  <c r="B487" i="7"/>
  <c r="B495" i="7"/>
  <c r="B503" i="7"/>
  <c r="B511" i="7"/>
  <c r="B519" i="7"/>
  <c r="B527" i="7"/>
  <c r="B535" i="7"/>
  <c r="B1065" i="7"/>
  <c r="B63" i="7"/>
  <c r="B95" i="7"/>
  <c r="B114" i="7"/>
  <c r="B125" i="7"/>
  <c r="B146" i="7"/>
  <c r="B157" i="7"/>
  <c r="B178" i="7"/>
  <c r="B189" i="7"/>
  <c r="B210" i="7"/>
  <c r="B221" i="7"/>
  <c r="B242" i="7"/>
  <c r="B253" i="7"/>
  <c r="B274" i="7"/>
  <c r="B285" i="7"/>
  <c r="B294" i="7"/>
  <c r="B305" i="7"/>
  <c r="B310" i="7"/>
  <c r="B321" i="7"/>
  <c r="B325" i="7"/>
  <c r="B333" i="7"/>
  <c r="B341" i="7"/>
  <c r="B349" i="7"/>
  <c r="B357" i="7"/>
  <c r="B365" i="7"/>
  <c r="B373" i="7"/>
  <c r="B381" i="7"/>
  <c r="B389" i="7"/>
  <c r="B397" i="7"/>
  <c r="B405" i="7"/>
  <c r="B413" i="7"/>
  <c r="B421" i="7"/>
  <c r="B429" i="7"/>
  <c r="B437" i="7"/>
  <c r="B445" i="7"/>
  <c r="B453" i="7"/>
  <c r="B461" i="7"/>
  <c r="B469" i="7"/>
  <c r="B477" i="7"/>
  <c r="B485" i="7"/>
  <c r="B493" i="7"/>
  <c r="B501" i="7"/>
  <c r="B509" i="7"/>
  <c r="B517" i="7"/>
  <c r="B525" i="7"/>
  <c r="B533" i="7"/>
  <c r="B541" i="7"/>
  <c r="B543" i="7"/>
  <c r="B545" i="7"/>
  <c r="B547" i="7"/>
  <c r="B549" i="7"/>
  <c r="B551" i="7"/>
  <c r="B553" i="7"/>
  <c r="B555" i="7"/>
  <c r="B557" i="7"/>
  <c r="B559" i="7"/>
  <c r="B561" i="7"/>
  <c r="B563" i="7"/>
  <c r="B565" i="7"/>
  <c r="B567" i="7"/>
  <c r="B569" i="7"/>
  <c r="B571" i="7"/>
  <c r="B573" i="7"/>
  <c r="B575" i="7"/>
  <c r="B577" i="7"/>
  <c r="B579" i="7"/>
  <c r="B581" i="7"/>
  <c r="B583" i="7"/>
  <c r="B585" i="7"/>
  <c r="B587" i="7"/>
  <c r="B589" i="7"/>
  <c r="B591" i="7"/>
  <c r="B593" i="7"/>
  <c r="B595" i="7"/>
  <c r="B597" i="7"/>
  <c r="B599" i="7"/>
  <c r="B601" i="7"/>
  <c r="B603" i="7"/>
  <c r="B605" i="7"/>
  <c r="B607" i="7"/>
  <c r="B609" i="7"/>
  <c r="B611" i="7"/>
  <c r="B613" i="7"/>
  <c r="B615" i="7"/>
  <c r="B617" i="7"/>
  <c r="B619" i="7"/>
  <c r="B621" i="7"/>
  <c r="B623" i="7"/>
  <c r="B625" i="7"/>
  <c r="B627" i="7"/>
  <c r="B629" i="7"/>
  <c r="B631" i="7"/>
  <c r="B633" i="7"/>
  <c r="B635" i="7"/>
  <c r="B637" i="7"/>
  <c r="B639" i="7"/>
  <c r="B641" i="7"/>
  <c r="B643" i="7"/>
  <c r="B645" i="7"/>
  <c r="B647" i="7"/>
  <c r="B1097" i="7"/>
  <c r="B34" i="7"/>
  <c r="B71" i="7"/>
  <c r="B102" i="7"/>
  <c r="B117" i="7"/>
  <c r="B138" i="7"/>
  <c r="B149" i="7"/>
  <c r="B170" i="7"/>
  <c r="B181" i="7"/>
  <c r="B202" i="7"/>
  <c r="B213" i="7"/>
  <c r="B234" i="7"/>
  <c r="B245" i="7"/>
  <c r="B266" i="7"/>
  <c r="B277" i="7"/>
  <c r="B301" i="7"/>
  <c r="B306" i="7"/>
  <c r="B317" i="7"/>
  <c r="B322" i="7"/>
  <c r="B331" i="7"/>
  <c r="B339" i="7"/>
  <c r="B347" i="7"/>
  <c r="B355" i="7"/>
  <c r="B363" i="7"/>
  <c r="B371" i="7"/>
  <c r="B379" i="7"/>
  <c r="B387" i="7"/>
  <c r="B395" i="7"/>
  <c r="B403" i="7"/>
  <c r="B411" i="7"/>
  <c r="B419" i="7"/>
  <c r="B427" i="7"/>
  <c r="B435" i="7"/>
  <c r="B443" i="7"/>
  <c r="B451" i="7"/>
  <c r="B459" i="7"/>
  <c r="B467" i="7"/>
  <c r="B475" i="7"/>
  <c r="B483" i="7"/>
  <c r="B491" i="7"/>
  <c r="B499" i="7"/>
  <c r="B507" i="7"/>
  <c r="B515" i="7"/>
  <c r="B523" i="7"/>
  <c r="B531" i="7"/>
  <c r="B539" i="7"/>
  <c r="B1129" i="7"/>
  <c r="B162" i="7"/>
  <c r="B205" i="7"/>
  <c r="B290" i="7"/>
  <c r="B313" i="7"/>
  <c r="B329" i="7"/>
  <c r="B361" i="7"/>
  <c r="B393" i="7"/>
  <c r="B425" i="7"/>
  <c r="B457" i="7"/>
  <c r="B489" i="7"/>
  <c r="B521" i="7"/>
  <c r="B542" i="7"/>
  <c r="B550" i="7"/>
  <c r="B558" i="7"/>
  <c r="B566" i="7"/>
  <c r="B574" i="7"/>
  <c r="B582" i="7"/>
  <c r="B590" i="7"/>
  <c r="B598" i="7"/>
  <c r="B606" i="7"/>
  <c r="B614" i="7"/>
  <c r="B622" i="7"/>
  <c r="B630" i="7"/>
  <c r="B638" i="7"/>
  <c r="B646" i="7"/>
  <c r="B651" i="7"/>
  <c r="B655" i="7"/>
  <c r="B659" i="7"/>
  <c r="B663" i="7"/>
  <c r="B666" i="7"/>
  <c r="B671" i="7"/>
  <c r="B674" i="7"/>
  <c r="B679" i="7"/>
  <c r="B682" i="7"/>
  <c r="B687" i="7"/>
  <c r="B690" i="7"/>
  <c r="B695" i="7"/>
  <c r="B698" i="7"/>
  <c r="B703" i="7"/>
  <c r="B706" i="7"/>
  <c r="B711" i="7"/>
  <c r="B714" i="7"/>
  <c r="B719" i="7"/>
  <c r="B722" i="7"/>
  <c r="B727" i="7"/>
  <c r="B730" i="7"/>
  <c r="B735" i="7"/>
  <c r="B738" i="7"/>
  <c r="B743" i="7"/>
  <c r="B746" i="7"/>
  <c r="B751" i="7"/>
  <c r="B754" i="7"/>
  <c r="B759" i="7"/>
  <c r="B762" i="7"/>
  <c r="B767" i="7"/>
  <c r="B770" i="7"/>
  <c r="B775" i="7"/>
  <c r="B778" i="7"/>
  <c r="B783" i="7"/>
  <c r="B786" i="7"/>
  <c r="B791" i="7"/>
  <c r="B794" i="7"/>
  <c r="B799" i="7"/>
  <c r="B802" i="7"/>
  <c r="B807" i="7"/>
  <c r="B810" i="7"/>
  <c r="B815" i="7"/>
  <c r="B818" i="7"/>
  <c r="B823" i="7"/>
  <c r="B826" i="7"/>
  <c r="B831" i="7"/>
  <c r="B834" i="7"/>
  <c r="B45" i="7"/>
  <c r="B130" i="7"/>
  <c r="B173" i="7"/>
  <c r="B258" i="7"/>
  <c r="B297" i="7"/>
  <c r="B318" i="7"/>
  <c r="B353" i="7"/>
  <c r="B385" i="7"/>
  <c r="B417" i="7"/>
  <c r="B449" i="7"/>
  <c r="B481" i="7"/>
  <c r="B513" i="7"/>
  <c r="B544" i="7"/>
  <c r="B552" i="7"/>
  <c r="B560" i="7"/>
  <c r="B568" i="7"/>
  <c r="B576" i="7"/>
  <c r="B584" i="7"/>
  <c r="B592" i="7"/>
  <c r="B600" i="7"/>
  <c r="B608" i="7"/>
  <c r="B616" i="7"/>
  <c r="B624" i="7"/>
  <c r="B632" i="7"/>
  <c r="B640" i="7"/>
  <c r="B648" i="7"/>
  <c r="B652" i="7"/>
  <c r="B656" i="7"/>
  <c r="B660" i="7"/>
  <c r="B664" i="7"/>
  <c r="B669" i="7"/>
  <c r="B672" i="7"/>
  <c r="B677" i="7"/>
  <c r="B680" i="7"/>
  <c r="B685" i="7"/>
  <c r="B688" i="7"/>
  <c r="B693" i="7"/>
  <c r="B696" i="7"/>
  <c r="B701" i="7"/>
  <c r="B704" i="7"/>
  <c r="B709" i="7"/>
  <c r="B712" i="7"/>
  <c r="B717" i="7"/>
  <c r="B720" i="7"/>
  <c r="B725" i="7"/>
  <c r="B728" i="7"/>
  <c r="B733" i="7"/>
  <c r="B736" i="7"/>
  <c r="B741" i="7"/>
  <c r="B744" i="7"/>
  <c r="B749" i="7"/>
  <c r="B752" i="7"/>
  <c r="B757" i="7"/>
  <c r="B760" i="7"/>
  <c r="B765" i="7"/>
  <c r="B768" i="7"/>
  <c r="B773" i="7"/>
  <c r="B776" i="7"/>
  <c r="B781" i="7"/>
  <c r="B784" i="7"/>
  <c r="B789" i="7"/>
  <c r="B792" i="7"/>
  <c r="B797" i="7"/>
  <c r="B800" i="7"/>
  <c r="B805" i="7"/>
  <c r="B808" i="7"/>
  <c r="B813" i="7"/>
  <c r="B816" i="7"/>
  <c r="B821" i="7"/>
  <c r="B824" i="7"/>
  <c r="B829" i="7"/>
  <c r="B832" i="7"/>
  <c r="B837" i="7"/>
  <c r="B839" i="7"/>
  <c r="B841" i="7"/>
  <c r="B843" i="7"/>
  <c r="B845" i="7"/>
  <c r="B847" i="7"/>
  <c r="B849" i="7"/>
  <c r="B851" i="7"/>
  <c r="B853" i="7"/>
  <c r="B855" i="7"/>
  <c r="B857" i="7"/>
  <c r="B859" i="7"/>
  <c r="B861" i="7"/>
  <c r="B863" i="7"/>
  <c r="B865" i="7"/>
  <c r="B867" i="7"/>
  <c r="B869" i="7"/>
  <c r="B871" i="7"/>
  <c r="B873" i="7"/>
  <c r="B875" i="7"/>
  <c r="B877" i="7"/>
  <c r="B879" i="7"/>
  <c r="B881" i="7"/>
  <c r="B883" i="7"/>
  <c r="B885" i="7"/>
  <c r="B887" i="7"/>
  <c r="B889" i="7"/>
  <c r="B891" i="7"/>
  <c r="B893" i="7"/>
  <c r="B895" i="7"/>
  <c r="B897" i="7"/>
  <c r="B899" i="7"/>
  <c r="B901" i="7"/>
  <c r="B903" i="7"/>
  <c r="B905" i="7"/>
  <c r="B907" i="7"/>
  <c r="B909" i="7"/>
  <c r="B911" i="7"/>
  <c r="B913" i="7"/>
  <c r="B915" i="7"/>
  <c r="B917" i="7"/>
  <c r="B919" i="7"/>
  <c r="B921" i="7"/>
  <c r="B923" i="7"/>
  <c r="B925" i="7"/>
  <c r="B927" i="7"/>
  <c r="B929" i="7"/>
  <c r="B931" i="7"/>
  <c r="B933" i="7"/>
  <c r="B935" i="7"/>
  <c r="B937" i="7"/>
  <c r="B939" i="7"/>
  <c r="B941" i="7"/>
  <c r="B943" i="7"/>
  <c r="B945" i="7"/>
  <c r="B947" i="7"/>
  <c r="B949" i="7"/>
  <c r="B951" i="7"/>
  <c r="B953" i="7"/>
  <c r="B955" i="7"/>
  <c r="B957" i="7"/>
  <c r="B79" i="7"/>
  <c r="B141" i="7"/>
  <c r="B226" i="7"/>
  <c r="B269" i="7"/>
  <c r="B302" i="7"/>
  <c r="B345" i="7"/>
  <c r="B377" i="7"/>
  <c r="B409" i="7"/>
  <c r="B441" i="7"/>
  <c r="B473" i="7"/>
  <c r="B505" i="7"/>
  <c r="B537" i="7"/>
  <c r="B546" i="7"/>
  <c r="B554" i="7"/>
  <c r="B562" i="7"/>
  <c r="B570" i="7"/>
  <c r="B578" i="7"/>
  <c r="B586" i="7"/>
  <c r="B594" i="7"/>
  <c r="B602" i="7"/>
  <c r="B610" i="7"/>
  <c r="B618" i="7"/>
  <c r="B626" i="7"/>
  <c r="B634" i="7"/>
  <c r="B642" i="7"/>
  <c r="B649" i="7"/>
  <c r="B653" i="7"/>
  <c r="B657" i="7"/>
  <c r="B661" i="7"/>
  <c r="B667" i="7"/>
  <c r="B670" i="7"/>
  <c r="B675" i="7"/>
  <c r="B678" i="7"/>
  <c r="B683" i="7"/>
  <c r="B686" i="7"/>
  <c r="B691" i="7"/>
  <c r="B694" i="7"/>
  <c r="B699" i="7"/>
  <c r="B702" i="7"/>
  <c r="B707" i="7"/>
  <c r="B710" i="7"/>
  <c r="B715" i="7"/>
  <c r="B718" i="7"/>
  <c r="B723" i="7"/>
  <c r="B726" i="7"/>
  <c r="B731" i="7"/>
  <c r="B734" i="7"/>
  <c r="B739" i="7"/>
  <c r="B742" i="7"/>
  <c r="B747" i="7"/>
  <c r="B750" i="7"/>
  <c r="B755" i="7"/>
  <c r="B758" i="7"/>
  <c r="B763" i="7"/>
  <c r="B766" i="7"/>
  <c r="B771" i="7"/>
  <c r="B774" i="7"/>
  <c r="B779" i="7"/>
  <c r="B782" i="7"/>
  <c r="B787" i="7"/>
  <c r="B790" i="7"/>
  <c r="B795" i="7"/>
  <c r="B798" i="7"/>
  <c r="B803" i="7"/>
  <c r="B806" i="7"/>
  <c r="B811" i="7"/>
  <c r="B814" i="7"/>
  <c r="B819" i="7"/>
  <c r="B822" i="7"/>
  <c r="B827" i="7"/>
  <c r="B830" i="7"/>
  <c r="B835" i="7"/>
  <c r="B106" i="7"/>
  <c r="B433" i="7"/>
  <c r="B556" i="7"/>
  <c r="B588" i="7"/>
  <c r="B620" i="7"/>
  <c r="B650" i="7"/>
  <c r="B665" i="7"/>
  <c r="B676" i="7"/>
  <c r="B697" i="7"/>
  <c r="B708" i="7"/>
  <c r="B729" i="7"/>
  <c r="B740" i="7"/>
  <c r="B761" i="7"/>
  <c r="B772" i="7"/>
  <c r="B793" i="7"/>
  <c r="B804" i="7"/>
  <c r="B825" i="7"/>
  <c r="B836" i="7"/>
  <c r="B844" i="7"/>
  <c r="B852" i="7"/>
  <c r="B860" i="7"/>
  <c r="B868" i="7"/>
  <c r="B876" i="7"/>
  <c r="B884" i="7"/>
  <c r="B892" i="7"/>
  <c r="B900" i="7"/>
  <c r="B961" i="7"/>
  <c r="B964" i="7"/>
  <c r="B969" i="7"/>
  <c r="B401" i="7"/>
  <c r="B529" i="7"/>
  <c r="B564" i="7"/>
  <c r="B596" i="7"/>
  <c r="B628" i="7"/>
  <c r="B654" i="7"/>
  <c r="B668" i="7"/>
  <c r="B689" i="7"/>
  <c r="B700" i="7"/>
  <c r="B721" i="7"/>
  <c r="B732" i="7"/>
  <c r="B753" i="7"/>
  <c r="B764" i="7"/>
  <c r="B785" i="7"/>
  <c r="B796" i="7"/>
  <c r="B817" i="7"/>
  <c r="B828" i="7"/>
  <c r="B838" i="7"/>
  <c r="B846" i="7"/>
  <c r="B854" i="7"/>
  <c r="B862" i="7"/>
  <c r="B870" i="7"/>
  <c r="B878" i="7"/>
  <c r="B886" i="7"/>
  <c r="B894" i="7"/>
  <c r="B902" i="7"/>
  <c r="B908" i="7"/>
  <c r="B912" i="7"/>
  <c r="B916" i="7"/>
  <c r="B920" i="7"/>
  <c r="B924" i="7"/>
  <c r="B928" i="7"/>
  <c r="B932" i="7"/>
  <c r="B936" i="7"/>
  <c r="B940" i="7"/>
  <c r="B944" i="7"/>
  <c r="B948" i="7"/>
  <c r="B952" i="7"/>
  <c r="B956" i="7"/>
  <c r="B959" i="7"/>
  <c r="B962" i="7"/>
  <c r="B967" i="7"/>
  <c r="B970" i="7"/>
  <c r="B194" i="7"/>
  <c r="B369" i="7"/>
  <c r="B497" i="7"/>
  <c r="B572" i="7"/>
  <c r="B604" i="7"/>
  <c r="B636" i="7"/>
  <c r="B658" i="7"/>
  <c r="B681" i="7"/>
  <c r="B692" i="7"/>
  <c r="B713" i="7"/>
  <c r="B724" i="7"/>
  <c r="B745" i="7"/>
  <c r="B756" i="7"/>
  <c r="B777" i="7"/>
  <c r="B788" i="7"/>
  <c r="B809" i="7"/>
  <c r="B820" i="7"/>
  <c r="B840" i="7"/>
  <c r="B848" i="7"/>
  <c r="B856" i="7"/>
  <c r="B864" i="7"/>
  <c r="B872" i="7"/>
  <c r="B880" i="7"/>
  <c r="B888" i="7"/>
  <c r="B896" i="7"/>
  <c r="B904" i="7"/>
  <c r="B960" i="7"/>
  <c r="B965" i="7"/>
  <c r="B968" i="7"/>
  <c r="B673" i="7"/>
  <c r="B716" i="7"/>
  <c r="B737" i="7"/>
  <c r="B769" i="7"/>
  <c r="B801" i="7"/>
  <c r="B842" i="7"/>
  <c r="B858" i="7"/>
  <c r="B874" i="7"/>
  <c r="B882" i="7"/>
  <c r="B890" i="7"/>
  <c r="B898" i="7"/>
  <c r="B910" i="7"/>
  <c r="B918" i="7"/>
  <c r="B922" i="7"/>
  <c r="B930" i="7"/>
  <c r="B938" i="7"/>
  <c r="B946" i="7"/>
  <c r="B954" i="7"/>
  <c r="B966" i="7"/>
  <c r="B971" i="7"/>
  <c r="B237" i="7"/>
  <c r="B337" i="7"/>
  <c r="B465" i="7"/>
  <c r="B548" i="7"/>
  <c r="B580" i="7"/>
  <c r="B612" i="7"/>
  <c r="B644" i="7"/>
  <c r="B662" i="7"/>
  <c r="B684" i="7"/>
  <c r="B705" i="7"/>
  <c r="B748" i="7"/>
  <c r="B780" i="7"/>
  <c r="B812" i="7"/>
  <c r="B833" i="7"/>
  <c r="B850" i="7"/>
  <c r="B866" i="7"/>
  <c r="B906" i="7"/>
  <c r="B914" i="7"/>
  <c r="B926" i="7"/>
  <c r="B934" i="7"/>
  <c r="B942" i="7"/>
  <c r="B950" i="7"/>
  <c r="B958" i="7"/>
  <c r="B963" i="7"/>
  <c r="I2" i="18"/>
  <c r="K14" i="25"/>
  <c r="B31" i="27"/>
  <c r="A59" i="8"/>
  <c r="A235" i="5" a="1"/>
  <c r="A235" i="5"/>
  <c r="A236" i="5" a="1"/>
  <c r="A236" i="5"/>
  <c r="A237" i="5" a="1"/>
  <c r="A237" i="5"/>
  <c r="K37" i="18"/>
  <c r="K41" i="18"/>
  <c r="K45" i="18"/>
  <c r="K49" i="18"/>
  <c r="K38" i="18"/>
  <c r="K47" i="18"/>
  <c r="K42" i="18"/>
  <c r="K46" i="18"/>
  <c r="K40" i="18"/>
  <c r="K44" i="18"/>
  <c r="K48" i="18"/>
  <c r="K43" i="18"/>
  <c r="K39" i="18"/>
  <c r="B54" i="26"/>
  <c r="AA54" i="26"/>
  <c r="B56" i="26"/>
  <c r="B53" i="26"/>
  <c r="B55" i="26"/>
  <c r="P1" i="18"/>
  <c r="P1" i="10"/>
  <c r="K17" i="25"/>
  <c r="E18" i="28"/>
  <c r="C1" i="25"/>
  <c r="N40" i="10"/>
  <c r="O40" i="10"/>
  <c r="L44" i="10"/>
  <c r="O44" i="10"/>
  <c r="N48" i="10"/>
  <c r="O48" i="10"/>
  <c r="N37" i="10"/>
  <c r="O37" i="10"/>
  <c r="M41" i="10"/>
  <c r="O41" i="10"/>
  <c r="O45" i="10"/>
  <c r="M49" i="10"/>
  <c r="O49" i="10"/>
  <c r="M38" i="10"/>
  <c r="O38" i="10"/>
  <c r="M42" i="10"/>
  <c r="O42" i="10"/>
  <c r="M46" i="10"/>
  <c r="O46" i="10"/>
  <c r="N39" i="10"/>
  <c r="O39" i="10"/>
  <c r="N43" i="10"/>
  <c r="O43" i="10"/>
  <c r="N47" i="10"/>
  <c r="O47" i="10"/>
  <c r="N38" i="18"/>
  <c r="N42" i="18"/>
  <c r="N46" i="18"/>
  <c r="N47" i="18"/>
  <c r="N40" i="18"/>
  <c r="N44" i="18"/>
  <c r="N48" i="18"/>
  <c r="N37" i="18"/>
  <c r="N41" i="18"/>
  <c r="N45" i="18"/>
  <c r="N49" i="18"/>
  <c r="W29" i="8"/>
  <c r="K30" i="8"/>
  <c r="I2" i="10"/>
  <c r="C1" i="7"/>
  <c r="P47" i="10"/>
  <c r="L39" i="10"/>
  <c r="N42" i="10"/>
  <c r="P41" i="18"/>
  <c r="P44" i="18"/>
  <c r="M40" i="18"/>
  <c r="L48" i="18"/>
  <c r="M42" i="18"/>
  <c r="M48" i="18"/>
  <c r="L41" i="18"/>
  <c r="L44" i="18"/>
  <c r="M39" i="10"/>
  <c r="L43" i="10"/>
  <c r="M44" i="10"/>
  <c r="P39" i="10"/>
  <c r="M43" i="10"/>
  <c r="P43" i="10"/>
  <c r="M45" i="10"/>
  <c r="M47" i="10"/>
  <c r="N41" i="10"/>
  <c r="N44" i="10"/>
  <c r="N45" i="10"/>
  <c r="L47" i="10"/>
  <c r="M37" i="10"/>
  <c r="L42" i="10"/>
  <c r="N49" i="10"/>
  <c r="N30" i="8"/>
  <c r="L49" i="18"/>
  <c r="L37" i="18"/>
  <c r="M38" i="18"/>
  <c r="P40" i="18"/>
  <c r="M44" i="18"/>
  <c r="L45" i="18"/>
  <c r="M46" i="18"/>
  <c r="P49" i="18"/>
  <c r="P37" i="18"/>
  <c r="L40" i="18"/>
  <c r="P45" i="18"/>
  <c r="P48" i="18"/>
  <c r="P37" i="10"/>
  <c r="L37" i="10"/>
  <c r="N38" i="10"/>
  <c r="P42" i="10"/>
  <c r="P45" i="10"/>
  <c r="L45" i="10"/>
  <c r="N46" i="10"/>
  <c r="P47" i="18"/>
  <c r="L47" i="18"/>
  <c r="M47" i="18"/>
  <c r="P40" i="10"/>
  <c r="P48" i="10"/>
  <c r="P43" i="18"/>
  <c r="L43" i="18"/>
  <c r="M43" i="18"/>
  <c r="P38" i="10"/>
  <c r="L40" i="10"/>
  <c r="P41" i="10"/>
  <c r="L41" i="10"/>
  <c r="P46" i="10"/>
  <c r="L48" i="10"/>
  <c r="P49" i="10"/>
  <c r="L49" i="10"/>
  <c r="P39" i="18"/>
  <c r="L39" i="18"/>
  <c r="M39" i="18"/>
  <c r="N43" i="18"/>
  <c r="K2" i="12"/>
  <c r="J2" i="16"/>
  <c r="L38" i="10"/>
  <c r="M40" i="10"/>
  <c r="P44" i="10"/>
  <c r="L46" i="10"/>
  <c r="M48" i="10"/>
  <c r="N39" i="18"/>
  <c r="L38" i="18"/>
  <c r="P38" i="18"/>
  <c r="L42" i="18"/>
  <c r="P42" i="18"/>
  <c r="L46" i="18"/>
  <c r="P46" i="18"/>
  <c r="M37" i="18"/>
  <c r="M41" i="18"/>
  <c r="M45" i="18"/>
  <c r="M49" i="18"/>
  <c r="Q72" i="5"/>
  <c r="W23" i="5"/>
  <c r="R23" i="5"/>
  <c r="P41" i="5"/>
  <c r="K41" i="5"/>
  <c r="R45" i="5"/>
  <c r="P149" i="5"/>
  <c r="K149" i="5"/>
  <c r="J198" i="5"/>
  <c r="R198" i="5"/>
  <c r="E198" i="5"/>
  <c r="E145" i="5"/>
  <c r="E23" i="5"/>
  <c r="E41" i="5"/>
  <c r="E45" i="5"/>
  <c r="E149" i="5"/>
  <c r="E17" i="5"/>
  <c r="E32" i="5"/>
  <c r="E22" i="5"/>
  <c r="D22" i="5"/>
  <c r="W149" i="5"/>
  <c r="Q198" i="5"/>
  <c r="F23" i="5"/>
  <c r="F149" i="5"/>
  <c r="F22" i="5"/>
  <c r="G22" i="5"/>
  <c r="AA23" i="5"/>
  <c r="AA45" i="5"/>
  <c r="W41" i="5"/>
  <c r="Q23" i="5"/>
  <c r="J41" i="5"/>
  <c r="AC41" i="5"/>
  <c r="Q45" i="5"/>
  <c r="J149" i="5"/>
  <c r="AC149" i="5"/>
  <c r="K198" i="5"/>
  <c r="L198" i="5"/>
  <c r="W198" i="5"/>
  <c r="D198" i="5"/>
  <c r="D145" i="5"/>
  <c r="D23" i="5"/>
  <c r="D41" i="5"/>
  <c r="D45" i="5"/>
  <c r="D149" i="5"/>
  <c r="D17" i="5"/>
  <c r="D32" i="5"/>
  <c r="AA149" i="5"/>
  <c r="Q41" i="5"/>
  <c r="Q149" i="5"/>
  <c r="F145" i="5"/>
  <c r="G145" i="5"/>
  <c r="F45" i="5"/>
  <c r="F32" i="5"/>
  <c r="G32" i="5"/>
  <c r="W45" i="5"/>
  <c r="P23" i="5"/>
  <c r="K23" i="5"/>
  <c r="R41" i="5"/>
  <c r="P45" i="5"/>
  <c r="K45" i="5"/>
  <c r="R149" i="5"/>
  <c r="P198" i="5"/>
  <c r="AA198" i="5"/>
  <c r="C198" i="5"/>
  <c r="C145" i="5"/>
  <c r="C23" i="5"/>
  <c r="C41" i="5"/>
  <c r="C45" i="5"/>
  <c r="C149" i="5"/>
  <c r="C17" i="5"/>
  <c r="C32" i="5"/>
  <c r="C22" i="5"/>
  <c r="AA41" i="5"/>
  <c r="J23" i="5"/>
  <c r="AC23" i="5"/>
  <c r="J45" i="5"/>
  <c r="AC45" i="5"/>
  <c r="F198" i="5"/>
  <c r="F41" i="5"/>
  <c r="F17" i="5"/>
  <c r="G17" i="5"/>
  <c r="K145" i="5"/>
  <c r="Q21" i="5"/>
  <c r="F21" i="5"/>
  <c r="R169" i="5"/>
  <c r="J169" i="5"/>
  <c r="AC169" i="5"/>
  <c r="C169" i="5"/>
  <c r="R17" i="5"/>
  <c r="J17" i="5"/>
  <c r="AC17" i="5"/>
  <c r="K32" i="5"/>
  <c r="P78" i="5"/>
  <c r="F78" i="5"/>
  <c r="R22" i="5"/>
  <c r="J22" i="5"/>
  <c r="AC22" i="5"/>
  <c r="K46" i="5"/>
  <c r="E46" i="5"/>
  <c r="Q24" i="5"/>
  <c r="F24" i="5"/>
  <c r="R59" i="5"/>
  <c r="K59" i="5"/>
  <c r="D59" i="5"/>
  <c r="P54" i="5"/>
  <c r="F54" i="5"/>
  <c r="R19" i="5"/>
  <c r="J19" i="5"/>
  <c r="AC19" i="5"/>
  <c r="C19" i="5"/>
  <c r="K53" i="5"/>
  <c r="E53" i="5"/>
  <c r="Q33" i="5"/>
  <c r="J33" i="5"/>
  <c r="AC33" i="5"/>
  <c r="C33" i="5"/>
  <c r="K16" i="5"/>
  <c r="E16" i="5"/>
  <c r="Q49" i="5"/>
  <c r="F49" i="5"/>
  <c r="R50" i="5"/>
  <c r="J50" i="5"/>
  <c r="AC50" i="5"/>
  <c r="D50" i="5"/>
  <c r="P40" i="5"/>
  <c r="E40" i="5"/>
  <c r="Q34" i="5"/>
  <c r="C34" i="5"/>
  <c r="K73" i="5"/>
  <c r="D73" i="5"/>
  <c r="P12" i="5"/>
  <c r="E12" i="5"/>
  <c r="Q74" i="5"/>
  <c r="J74" i="5"/>
  <c r="AC74" i="5"/>
  <c r="C74" i="5"/>
  <c r="K35" i="5"/>
  <c r="D35" i="5"/>
  <c r="P72" i="5"/>
  <c r="R145" i="5"/>
  <c r="J145" i="5"/>
  <c r="AC145" i="5"/>
  <c r="P21" i="5"/>
  <c r="E21" i="5"/>
  <c r="Q169" i="5"/>
  <c r="F169" i="5"/>
  <c r="Q17" i="5"/>
  <c r="R32" i="5"/>
  <c r="J32" i="5"/>
  <c r="AC32" i="5"/>
  <c r="K78" i="5"/>
  <c r="E78" i="5"/>
  <c r="Q22" i="5"/>
  <c r="R46" i="5"/>
  <c r="J46" i="5"/>
  <c r="AC46" i="5"/>
  <c r="D46" i="5"/>
  <c r="P24" i="5"/>
  <c r="E24" i="5"/>
  <c r="Q59" i="5"/>
  <c r="J59" i="5"/>
  <c r="AC59" i="5"/>
  <c r="C59" i="5"/>
  <c r="K54" i="5"/>
  <c r="E54" i="5"/>
  <c r="Q19" i="5"/>
  <c r="F19" i="5"/>
  <c r="R53" i="5"/>
  <c r="J53" i="5"/>
  <c r="AC53" i="5"/>
  <c r="D53" i="5"/>
  <c r="P33" i="5"/>
  <c r="F33" i="5"/>
  <c r="R16" i="5"/>
  <c r="J16" i="5"/>
  <c r="AC16" i="5"/>
  <c r="D16" i="5"/>
  <c r="P49" i="5"/>
  <c r="E49" i="5"/>
  <c r="Q50" i="5"/>
  <c r="C50" i="5"/>
  <c r="K40" i="5"/>
  <c r="D40" i="5"/>
  <c r="P34" i="5"/>
  <c r="F34" i="5"/>
  <c r="R73" i="5"/>
  <c r="J73" i="5"/>
  <c r="AC73" i="5"/>
  <c r="C73" i="5"/>
  <c r="K12" i="5"/>
  <c r="D12" i="5"/>
  <c r="P74" i="5"/>
  <c r="F74" i="5"/>
  <c r="R35" i="5"/>
  <c r="J35" i="5"/>
  <c r="AC35" i="5"/>
  <c r="C35" i="5"/>
  <c r="E72" i="5"/>
  <c r="Q37" i="5"/>
  <c r="F37" i="5"/>
  <c r="R30" i="5"/>
  <c r="K30" i="5"/>
  <c r="D30" i="5"/>
  <c r="P4" i="5"/>
  <c r="E4" i="5"/>
  <c r="Q65" i="5"/>
  <c r="F65" i="5"/>
  <c r="R31" i="5"/>
  <c r="J31" i="5"/>
  <c r="AC31" i="5"/>
  <c r="C31" i="5"/>
  <c r="K29" i="5"/>
  <c r="D29" i="5"/>
  <c r="P26" i="5"/>
  <c r="F26" i="5"/>
  <c r="R20" i="5"/>
  <c r="J20" i="5"/>
  <c r="AC20" i="5"/>
  <c r="D20" i="5"/>
  <c r="Q145" i="5"/>
  <c r="K21" i="5"/>
  <c r="D21" i="5"/>
  <c r="P169" i="5"/>
  <c r="E169" i="5"/>
  <c r="P17" i="5"/>
  <c r="Q32" i="5"/>
  <c r="R78" i="5"/>
  <c r="J78" i="5"/>
  <c r="AC78" i="5"/>
  <c r="D78" i="5"/>
  <c r="P22" i="5"/>
  <c r="Q46" i="5"/>
  <c r="C46" i="5"/>
  <c r="K24" i="5"/>
  <c r="D24" i="5"/>
  <c r="P59" i="5"/>
  <c r="F59" i="5"/>
  <c r="R54" i="5"/>
  <c r="J54" i="5"/>
  <c r="AC54" i="5"/>
  <c r="D54" i="5"/>
  <c r="P19" i="5"/>
  <c r="E19" i="5"/>
  <c r="Q53" i="5"/>
  <c r="C53" i="5"/>
  <c r="E33" i="5"/>
  <c r="Q16" i="5"/>
  <c r="C16" i="5"/>
  <c r="K49" i="5"/>
  <c r="D49" i="5"/>
  <c r="P50" i="5"/>
  <c r="F50" i="5"/>
  <c r="R40" i="5"/>
  <c r="J40" i="5"/>
  <c r="AC40" i="5"/>
  <c r="C40" i="5"/>
  <c r="K34" i="5"/>
  <c r="E34" i="5"/>
  <c r="Q73" i="5"/>
  <c r="F73" i="5"/>
  <c r="R12" i="5"/>
  <c r="J12" i="5"/>
  <c r="AC12" i="5"/>
  <c r="C12" i="5"/>
  <c r="E74" i="5"/>
  <c r="Q35" i="5"/>
  <c r="F35" i="5"/>
  <c r="R72" i="5"/>
  <c r="K72" i="5"/>
  <c r="D72" i="5"/>
  <c r="P37" i="5"/>
  <c r="E37" i="5"/>
  <c r="Q30" i="5"/>
  <c r="J30" i="5"/>
  <c r="AC30" i="5"/>
  <c r="C30" i="5"/>
  <c r="K4" i="5"/>
  <c r="D4" i="5"/>
  <c r="P65" i="5"/>
  <c r="E65" i="5"/>
  <c r="Q31" i="5"/>
  <c r="F31" i="5"/>
  <c r="R29" i="5"/>
  <c r="J29" i="5"/>
  <c r="AC29" i="5"/>
  <c r="C29" i="5"/>
  <c r="E26" i="5"/>
  <c r="Q20" i="5"/>
  <c r="C20" i="5"/>
  <c r="K28" i="5"/>
  <c r="C21" i="5"/>
  <c r="P32" i="5"/>
  <c r="C78" i="5"/>
  <c r="F46" i="5"/>
  <c r="C54" i="5"/>
  <c r="F53" i="5"/>
  <c r="P16" i="5"/>
  <c r="C49" i="5"/>
  <c r="F40" i="5"/>
  <c r="P73" i="5"/>
  <c r="R74" i="5"/>
  <c r="E35" i="5"/>
  <c r="C72" i="5"/>
  <c r="D37" i="5"/>
  <c r="F30" i="5"/>
  <c r="J4" i="5"/>
  <c r="AC4" i="5"/>
  <c r="K65" i="5"/>
  <c r="P31" i="5"/>
  <c r="Q29" i="5"/>
  <c r="R26" i="5"/>
  <c r="D26" i="5"/>
  <c r="F20" i="5"/>
  <c r="P28" i="5"/>
  <c r="D28" i="5"/>
  <c r="P25" i="5"/>
  <c r="E25" i="5"/>
  <c r="Q18" i="5"/>
  <c r="J18" i="5"/>
  <c r="AC18" i="5"/>
  <c r="C18" i="5"/>
  <c r="K10" i="5"/>
  <c r="E10" i="5"/>
  <c r="Q8" i="5"/>
  <c r="F8" i="5"/>
  <c r="R15" i="5"/>
  <c r="J15" i="5"/>
  <c r="AC15" i="5"/>
  <c r="C15" i="5"/>
  <c r="E14" i="5"/>
  <c r="Q13" i="5"/>
  <c r="J13" i="5"/>
  <c r="AC13" i="5"/>
  <c r="C13" i="5"/>
  <c r="E51" i="5"/>
  <c r="Q11" i="5"/>
  <c r="J11" i="5"/>
  <c r="AC11" i="5"/>
  <c r="C11" i="5"/>
  <c r="E9" i="5"/>
  <c r="Q7" i="5"/>
  <c r="J7" i="5"/>
  <c r="AC7" i="5"/>
  <c r="C7" i="5"/>
  <c r="E6" i="5"/>
  <c r="Q5" i="5"/>
  <c r="J5" i="5"/>
  <c r="AC5" i="5"/>
  <c r="C5" i="5"/>
  <c r="E68" i="5"/>
  <c r="AA22" i="5"/>
  <c r="AA19" i="5"/>
  <c r="AA16" i="5"/>
  <c r="AA73" i="5"/>
  <c r="AA35" i="5"/>
  <c r="AA65" i="5"/>
  <c r="AA28" i="5"/>
  <c r="AA18" i="5"/>
  <c r="AA13" i="5"/>
  <c r="AA6" i="5"/>
  <c r="W169" i="5"/>
  <c r="P145" i="5"/>
  <c r="K169" i="5"/>
  <c r="K22" i="5"/>
  <c r="R24" i="5"/>
  <c r="E59" i="5"/>
  <c r="K19" i="5"/>
  <c r="R33" i="5"/>
  <c r="F16" i="5"/>
  <c r="K50" i="5"/>
  <c r="R34" i="5"/>
  <c r="E73" i="5"/>
  <c r="K74" i="5"/>
  <c r="R37" i="5"/>
  <c r="C37" i="5"/>
  <c r="E30" i="5"/>
  <c r="F4" i="5"/>
  <c r="J65" i="5"/>
  <c r="AC65" i="5"/>
  <c r="K31" i="5"/>
  <c r="P29" i="5"/>
  <c r="Q26" i="5"/>
  <c r="C26" i="5"/>
  <c r="E20" i="5"/>
  <c r="J28" i="5"/>
  <c r="C28" i="5"/>
  <c r="K25" i="5"/>
  <c r="D25" i="5"/>
  <c r="P18" i="5"/>
  <c r="R21" i="5"/>
  <c r="D169" i="5"/>
  <c r="K17" i="5"/>
  <c r="Q78" i="5"/>
  <c r="J24" i="5"/>
  <c r="AC24" i="5"/>
  <c r="Q54" i="5"/>
  <c r="D19" i="5"/>
  <c r="K33" i="5"/>
  <c r="R49" i="5"/>
  <c r="E50" i="5"/>
  <c r="J34" i="5"/>
  <c r="AC34" i="5"/>
  <c r="Q12" i="5"/>
  <c r="D74" i="5"/>
  <c r="J72" i="5"/>
  <c r="AC72" i="5"/>
  <c r="K37" i="5"/>
  <c r="P30" i="5"/>
  <c r="R4" i="5"/>
  <c r="C4" i="5"/>
  <c r="D65" i="5"/>
  <c r="E31" i="5"/>
  <c r="F29" i="5"/>
  <c r="K26" i="5"/>
  <c r="P20" i="5"/>
  <c r="R28" i="5"/>
  <c r="F28" i="5"/>
  <c r="R25" i="5"/>
  <c r="J25" i="5"/>
  <c r="AC25" i="5"/>
  <c r="C25" i="5"/>
  <c r="E18" i="5"/>
  <c r="Q10" i="5"/>
  <c r="C10" i="5"/>
  <c r="K8" i="5"/>
  <c r="D8" i="5"/>
  <c r="P15" i="5"/>
  <c r="E15" i="5"/>
  <c r="Q14" i="5"/>
  <c r="J14" i="5"/>
  <c r="AC14" i="5"/>
  <c r="C14" i="5"/>
  <c r="E13" i="5"/>
  <c r="Q51" i="5"/>
  <c r="J51" i="5"/>
  <c r="AC51" i="5"/>
  <c r="C51" i="5"/>
  <c r="E11" i="5"/>
  <c r="Q9" i="5"/>
  <c r="J9" i="5"/>
  <c r="AC9" i="5"/>
  <c r="C9" i="5"/>
  <c r="E7" i="5"/>
  <c r="Q6" i="5"/>
  <c r="J6" i="5"/>
  <c r="AC6" i="5"/>
  <c r="C6" i="5"/>
  <c r="E5" i="5"/>
  <c r="Q68" i="5"/>
  <c r="J68" i="5"/>
  <c r="AC68" i="5"/>
  <c r="C68" i="5"/>
  <c r="AA78" i="5"/>
  <c r="AA54" i="5"/>
  <c r="AA49" i="5"/>
  <c r="AA34" i="5"/>
  <c r="AA72" i="5"/>
  <c r="AA4" i="5"/>
  <c r="AA25" i="5"/>
  <c r="AA10" i="5"/>
  <c r="AA51" i="5"/>
  <c r="AA7" i="5"/>
  <c r="W17" i="5"/>
  <c r="W46" i="5"/>
  <c r="W19" i="5"/>
  <c r="W49" i="5"/>
  <c r="W73" i="5"/>
  <c r="W72" i="5"/>
  <c r="W65" i="5"/>
  <c r="P46" i="5"/>
  <c r="D33" i="5"/>
  <c r="F12" i="5"/>
  <c r="D31" i="5"/>
  <c r="Q28" i="5"/>
  <c r="R18" i="5"/>
  <c r="R10" i="5"/>
  <c r="D10" i="5"/>
  <c r="E8" i="5"/>
  <c r="F15" i="5"/>
  <c r="K14" i="5"/>
  <c r="P13" i="5"/>
  <c r="R51" i="5"/>
  <c r="D51" i="5"/>
  <c r="F11" i="5"/>
  <c r="K9" i="5"/>
  <c r="P7" i="5"/>
  <c r="R6" i="5"/>
  <c r="D6" i="5"/>
  <c r="F5" i="5"/>
  <c r="K68" i="5"/>
  <c r="AA32" i="5"/>
  <c r="AA59" i="5"/>
  <c r="AA12" i="5"/>
  <c r="AA30" i="5"/>
  <c r="AA26" i="5"/>
  <c r="AA5" i="5"/>
  <c r="W24" i="5"/>
  <c r="W33" i="5"/>
  <c r="W34" i="5"/>
  <c r="W37" i="5"/>
  <c r="W29" i="5"/>
  <c r="W25" i="5"/>
  <c r="W15" i="5"/>
  <c r="W11" i="5"/>
  <c r="W5" i="5"/>
  <c r="W16" i="5"/>
  <c r="W30" i="5"/>
  <c r="W18" i="5"/>
  <c r="W9" i="5"/>
  <c r="F6" i="5"/>
  <c r="AA17" i="5"/>
  <c r="AA37" i="5"/>
  <c r="AA14" i="5"/>
  <c r="W53" i="5"/>
  <c r="W31" i="5"/>
  <c r="W51" i="5"/>
  <c r="C24" i="5"/>
  <c r="J49" i="5"/>
  <c r="AC49" i="5"/>
  <c r="P35" i="5"/>
  <c r="Q4" i="5"/>
  <c r="E29" i="5"/>
  <c r="E28" i="5"/>
  <c r="K18" i="5"/>
  <c r="P10" i="5"/>
  <c r="R8" i="5"/>
  <c r="C8" i="5"/>
  <c r="D15" i="5"/>
  <c r="F14" i="5"/>
  <c r="K13" i="5"/>
  <c r="P51" i="5"/>
  <c r="R11" i="5"/>
  <c r="D11" i="5"/>
  <c r="F9" i="5"/>
  <c r="K7" i="5"/>
  <c r="P6" i="5"/>
  <c r="R5" i="5"/>
  <c r="D5" i="5"/>
  <c r="F68" i="5"/>
  <c r="AA21" i="5"/>
  <c r="AA50" i="5"/>
  <c r="AA74" i="5"/>
  <c r="AA20" i="5"/>
  <c r="AA8" i="5"/>
  <c r="AA11" i="5"/>
  <c r="AA68" i="5"/>
  <c r="W32" i="5"/>
  <c r="W59" i="5"/>
  <c r="W12" i="5"/>
  <c r="W26" i="5"/>
  <c r="W14" i="5"/>
  <c r="W68" i="5"/>
  <c r="P68" i="5"/>
  <c r="AA24" i="5"/>
  <c r="AA29" i="5"/>
  <c r="W21" i="5"/>
  <c r="W40" i="5"/>
  <c r="W28" i="5"/>
  <c r="W6" i="5"/>
  <c r="Q40" i="5"/>
  <c r="F72" i="5"/>
  <c r="R65" i="5"/>
  <c r="J26" i="5"/>
  <c r="AC26" i="5"/>
  <c r="Q25" i="5"/>
  <c r="F18" i="5"/>
  <c r="J10" i="5"/>
  <c r="AC10" i="5"/>
  <c r="P8" i="5"/>
  <c r="Q15" i="5"/>
  <c r="R14" i="5"/>
  <c r="D14" i="5"/>
  <c r="F13" i="5"/>
  <c r="K51" i="5"/>
  <c r="P11" i="5"/>
  <c r="R9" i="5"/>
  <c r="D9" i="5"/>
  <c r="F7" i="5"/>
  <c r="K6" i="5"/>
  <c r="P5" i="5"/>
  <c r="R68" i="5"/>
  <c r="D68" i="5"/>
  <c r="AA169" i="5"/>
  <c r="AA46" i="5"/>
  <c r="AA53" i="5"/>
  <c r="AA40" i="5"/>
  <c r="AA31" i="5"/>
  <c r="AA15" i="5"/>
  <c r="AA9" i="5"/>
  <c r="W78" i="5"/>
  <c r="W54" i="5"/>
  <c r="W50" i="5"/>
  <c r="W74" i="5"/>
  <c r="W4" i="5"/>
  <c r="W20" i="5"/>
  <c r="W10" i="5"/>
  <c r="W13" i="5"/>
  <c r="W7" i="5"/>
  <c r="J21" i="5"/>
  <c r="AC21" i="5"/>
  <c r="P53" i="5"/>
  <c r="D34" i="5"/>
  <c r="J37" i="5"/>
  <c r="AC37" i="5"/>
  <c r="C65" i="5"/>
  <c r="K20" i="5"/>
  <c r="F25" i="5"/>
  <c r="D18" i="5"/>
  <c r="F10" i="5"/>
  <c r="J8" i="5"/>
  <c r="AC8" i="5"/>
  <c r="K15" i="5"/>
  <c r="P14" i="5"/>
  <c r="R13" i="5"/>
  <c r="D13" i="5"/>
  <c r="F51" i="5"/>
  <c r="K11" i="5"/>
  <c r="P9" i="5"/>
  <c r="R7" i="5"/>
  <c r="D7" i="5"/>
  <c r="K5" i="5"/>
  <c r="AA33" i="5"/>
  <c r="W22" i="5"/>
  <c r="W35" i="5"/>
  <c r="W8" i="5"/>
  <c r="E83" i="5"/>
  <c r="E47" i="5"/>
  <c r="E159" i="5"/>
  <c r="E175" i="5"/>
  <c r="E162" i="5"/>
  <c r="E66" i="5"/>
  <c r="E70" i="5"/>
  <c r="E75" i="5"/>
  <c r="E77" i="5"/>
  <c r="E55" i="5"/>
  <c r="E154" i="5"/>
  <c r="E89" i="5"/>
  <c r="E69" i="5"/>
  <c r="E94" i="5"/>
  <c r="E98" i="5"/>
  <c r="E101" i="5"/>
  <c r="E143" i="5"/>
  <c r="E150" i="5"/>
  <c r="E158" i="5"/>
  <c r="E166" i="5"/>
  <c r="E174" i="5"/>
  <c r="E180" i="5"/>
  <c r="E107" i="5"/>
  <c r="E111" i="5"/>
  <c r="E115" i="5"/>
  <c r="E119" i="5"/>
  <c r="E123" i="5"/>
  <c r="E127" i="5"/>
  <c r="E131" i="5"/>
  <c r="E135" i="5"/>
  <c r="E139" i="5"/>
  <c r="E141" i="5"/>
  <c r="E42" i="5"/>
  <c r="E151" i="5"/>
  <c r="E183" i="5"/>
  <c r="E187" i="5"/>
  <c r="E191" i="5"/>
  <c r="E195" i="5"/>
  <c r="E167" i="5"/>
  <c r="E112" i="5"/>
  <c r="E120" i="5"/>
  <c r="E124" i="5"/>
  <c r="E132" i="5"/>
  <c r="E140" i="5"/>
  <c r="E188" i="5"/>
  <c r="E196" i="5"/>
  <c r="E85" i="5"/>
  <c r="E103" i="5"/>
  <c r="E157" i="5"/>
  <c r="E179" i="5"/>
  <c r="E114" i="5"/>
  <c r="E126" i="5"/>
  <c r="E138" i="5"/>
  <c r="E186" i="5"/>
  <c r="E3" i="5"/>
  <c r="E48" i="5"/>
  <c r="E168" i="5"/>
  <c r="E58" i="5"/>
  <c r="E172" i="5"/>
  <c r="E176" i="5"/>
  <c r="E82" i="5"/>
  <c r="E88" i="5"/>
  <c r="E56" i="5"/>
  <c r="E163" i="5"/>
  <c r="E60" i="5"/>
  <c r="E71" i="5"/>
  <c r="E95" i="5"/>
  <c r="E97" i="5"/>
  <c r="E80" i="5"/>
  <c r="E144" i="5"/>
  <c r="E152" i="5"/>
  <c r="E160" i="5"/>
  <c r="E177" i="5"/>
  <c r="E104" i="5"/>
  <c r="E108" i="5"/>
  <c r="E116" i="5"/>
  <c r="E128" i="5"/>
  <c r="E136" i="5"/>
  <c r="E27" i="5"/>
  <c r="E43" i="5"/>
  <c r="E184" i="5"/>
  <c r="E192" i="5"/>
  <c r="E165" i="5"/>
  <c r="E106" i="5"/>
  <c r="E118" i="5"/>
  <c r="E130" i="5"/>
  <c r="E142" i="5"/>
  <c r="E38" i="5"/>
  <c r="E190" i="5"/>
  <c r="E84" i="5"/>
  <c r="E39" i="5"/>
  <c r="E52" i="5"/>
  <c r="E156" i="5"/>
  <c r="E161" i="5"/>
  <c r="E63" i="5"/>
  <c r="E87" i="5"/>
  <c r="E64" i="5"/>
  <c r="E79" i="5"/>
  <c r="E61" i="5"/>
  <c r="E90" i="5"/>
  <c r="E92" i="5"/>
  <c r="E96" i="5"/>
  <c r="E99" i="5"/>
  <c r="E102" i="5"/>
  <c r="E146" i="5"/>
  <c r="E153" i="5"/>
  <c r="E164" i="5"/>
  <c r="E170" i="5"/>
  <c r="E178" i="5"/>
  <c r="E105" i="5"/>
  <c r="E109" i="5"/>
  <c r="E113" i="5"/>
  <c r="E117" i="5"/>
  <c r="E121" i="5"/>
  <c r="E125" i="5"/>
  <c r="E129" i="5"/>
  <c r="E133" i="5"/>
  <c r="E137" i="5"/>
  <c r="E36" i="5"/>
  <c r="E147" i="5"/>
  <c r="E181" i="5"/>
  <c r="E185" i="5"/>
  <c r="E189" i="5"/>
  <c r="E193" i="5"/>
  <c r="E197" i="5"/>
  <c r="E86" i="5"/>
  <c r="E44" i="5"/>
  <c r="E155" i="5"/>
  <c r="E57" i="5"/>
  <c r="E62" i="5"/>
  <c r="E173" i="5"/>
  <c r="E67" i="5"/>
  <c r="E76" i="5"/>
  <c r="E81" i="5"/>
  <c r="E91" i="5"/>
  <c r="E93" i="5"/>
  <c r="E100" i="5"/>
  <c r="E148" i="5"/>
  <c r="E171" i="5"/>
  <c r="E110" i="5"/>
  <c r="E122" i="5"/>
  <c r="E134" i="5"/>
  <c r="E182" i="5"/>
  <c r="E194" i="5"/>
  <c r="C181" i="5"/>
  <c r="C185" i="5"/>
  <c r="C189" i="5"/>
  <c r="C193" i="5"/>
  <c r="C197" i="5"/>
  <c r="D184" i="5"/>
  <c r="D188" i="5"/>
  <c r="D192" i="5"/>
  <c r="D196" i="5"/>
  <c r="F182" i="5"/>
  <c r="F186" i="5"/>
  <c r="F190" i="5"/>
  <c r="F194" i="5"/>
  <c r="J183" i="5"/>
  <c r="AC183" i="5"/>
  <c r="J187" i="5"/>
  <c r="AC187" i="5"/>
  <c r="J191" i="5"/>
  <c r="AC191" i="5"/>
  <c r="J195" i="5"/>
  <c r="AC195" i="5"/>
  <c r="K182" i="5"/>
  <c r="L182" i="5"/>
  <c r="K186" i="5"/>
  <c r="L186" i="5"/>
  <c r="K190" i="5"/>
  <c r="L190" i="5"/>
  <c r="K194" i="5"/>
  <c r="L194" i="5"/>
  <c r="P183" i="5"/>
  <c r="P187" i="5"/>
  <c r="P191" i="5"/>
  <c r="P195" i="5"/>
  <c r="Q182" i="5"/>
  <c r="Q186" i="5"/>
  <c r="Q190" i="5"/>
  <c r="Q194" i="5"/>
  <c r="R181" i="5"/>
  <c r="R185" i="5"/>
  <c r="R189" i="5"/>
  <c r="R193" i="5"/>
  <c r="R197" i="5"/>
  <c r="W184" i="5"/>
  <c r="W188" i="5"/>
  <c r="W192" i="5"/>
  <c r="W196" i="5"/>
  <c r="C182" i="5"/>
  <c r="C186" i="5"/>
  <c r="C190" i="5"/>
  <c r="C194" i="5"/>
  <c r="D181" i="5"/>
  <c r="D185" i="5"/>
  <c r="D189" i="5"/>
  <c r="D193" i="5"/>
  <c r="D197" i="5"/>
  <c r="F183" i="5"/>
  <c r="F187" i="5"/>
  <c r="F191" i="5"/>
  <c r="F195" i="5"/>
  <c r="J184" i="5"/>
  <c r="AC184" i="5"/>
  <c r="J188" i="5"/>
  <c r="AC188" i="5"/>
  <c r="J192" i="5"/>
  <c r="AC192" i="5"/>
  <c r="J196" i="5"/>
  <c r="AC196" i="5"/>
  <c r="K183" i="5"/>
  <c r="L183" i="5"/>
  <c r="K187" i="5"/>
  <c r="L187" i="5"/>
  <c r="K191" i="5"/>
  <c r="L191" i="5"/>
  <c r="K195" i="5"/>
  <c r="L195" i="5"/>
  <c r="P184" i="5"/>
  <c r="P188" i="5"/>
  <c r="P192" i="5"/>
  <c r="P196" i="5"/>
  <c r="Q183" i="5"/>
  <c r="Q187" i="5"/>
  <c r="Q191" i="5"/>
  <c r="Q195" i="5"/>
  <c r="C183" i="5"/>
  <c r="C187" i="5"/>
  <c r="C191" i="5"/>
  <c r="C195" i="5"/>
  <c r="D182" i="5"/>
  <c r="D186" i="5"/>
  <c r="D190" i="5"/>
  <c r="D194" i="5"/>
  <c r="F184" i="5"/>
  <c r="F188" i="5"/>
  <c r="F192" i="5"/>
  <c r="F196" i="5"/>
  <c r="J181" i="5"/>
  <c r="AC181" i="5"/>
  <c r="J185" i="5"/>
  <c r="AC185" i="5"/>
  <c r="J189" i="5"/>
  <c r="AC189" i="5"/>
  <c r="J193" i="5"/>
  <c r="AC193" i="5"/>
  <c r="J197" i="5"/>
  <c r="AC197" i="5"/>
  <c r="K184" i="5"/>
  <c r="L184" i="5"/>
  <c r="K188" i="5"/>
  <c r="L188" i="5"/>
  <c r="K192" i="5"/>
  <c r="L192" i="5"/>
  <c r="K196" i="5"/>
  <c r="L196" i="5"/>
  <c r="P181" i="5"/>
  <c r="P185" i="5"/>
  <c r="P189" i="5"/>
  <c r="P193" i="5"/>
  <c r="P197" i="5"/>
  <c r="Q184" i="5"/>
  <c r="Q188" i="5"/>
  <c r="Q192" i="5"/>
  <c r="Q196" i="5"/>
  <c r="R183" i="5"/>
  <c r="R187" i="5"/>
  <c r="R191" i="5"/>
  <c r="R195" i="5"/>
  <c r="W182" i="5"/>
  <c r="W186" i="5"/>
  <c r="W190" i="5"/>
  <c r="W194" i="5"/>
  <c r="C184" i="5"/>
  <c r="D183" i="5"/>
  <c r="F181" i="5"/>
  <c r="F197" i="5"/>
  <c r="J194" i="5"/>
  <c r="AC194" i="5"/>
  <c r="K193" i="5"/>
  <c r="L193" i="5"/>
  <c r="P186" i="5"/>
  <c r="Q185" i="5"/>
  <c r="R182" i="5"/>
  <c r="R190" i="5"/>
  <c r="W185" i="5"/>
  <c r="W193" i="5"/>
  <c r="AA182" i="5"/>
  <c r="AB182" i="5" a="1"/>
  <c r="AB182" i="5"/>
  <c r="AA186" i="5"/>
  <c r="AB186" i="5" a="1"/>
  <c r="AB186" i="5"/>
  <c r="AA190" i="5"/>
  <c r="AB190" i="5" a="1"/>
  <c r="AB190" i="5"/>
  <c r="AA194" i="5"/>
  <c r="AB194" i="5" a="1"/>
  <c r="AB194" i="5"/>
  <c r="C188" i="5"/>
  <c r="D187" i="5"/>
  <c r="F185" i="5"/>
  <c r="J182" i="5"/>
  <c r="AC182" i="5"/>
  <c r="K181" i="5"/>
  <c r="L181" i="5"/>
  <c r="K197" i="5"/>
  <c r="L197" i="5"/>
  <c r="P190" i="5"/>
  <c r="Q189" i="5"/>
  <c r="R184" i="5"/>
  <c r="R192" i="5"/>
  <c r="W187" i="5"/>
  <c r="W195" i="5"/>
  <c r="AA183" i="5"/>
  <c r="AB183" i="5" a="1"/>
  <c r="AB183" i="5"/>
  <c r="AA187" i="5"/>
  <c r="AB187" i="5" a="1"/>
  <c r="AB187" i="5"/>
  <c r="AA191" i="5"/>
  <c r="AB191" i="5" a="1"/>
  <c r="AB191" i="5"/>
  <c r="AA195" i="5"/>
  <c r="AB195" i="5" a="1"/>
  <c r="AB195" i="5"/>
  <c r="C192" i="5"/>
  <c r="D191" i="5"/>
  <c r="F189" i="5"/>
  <c r="J186" i="5"/>
  <c r="AC186" i="5"/>
  <c r="K185" i="5"/>
  <c r="L185" i="5"/>
  <c r="P194" i="5"/>
  <c r="Q193" i="5"/>
  <c r="R186" i="5"/>
  <c r="R194" i="5"/>
  <c r="W181" i="5"/>
  <c r="W189" i="5"/>
  <c r="W197" i="5"/>
  <c r="AA184" i="5"/>
  <c r="AB184" i="5" a="1"/>
  <c r="AB184" i="5"/>
  <c r="AA188" i="5"/>
  <c r="AB188" i="5" a="1"/>
  <c r="AB188" i="5"/>
  <c r="AA192" i="5"/>
  <c r="AB192" i="5" a="1"/>
  <c r="AB192" i="5"/>
  <c r="AA196" i="5"/>
  <c r="AB196" i="5" a="1"/>
  <c r="AB196" i="5"/>
  <c r="C196" i="5"/>
  <c r="D195" i="5"/>
  <c r="F193" i="5"/>
  <c r="J190" i="5"/>
  <c r="AC190" i="5"/>
  <c r="K189" i="5"/>
  <c r="L189" i="5"/>
  <c r="P182" i="5"/>
  <c r="Q181" i="5"/>
  <c r="Q197" i="5"/>
  <c r="R188" i="5"/>
  <c r="R196" i="5"/>
  <c r="W183" i="5"/>
  <c r="W191" i="5"/>
  <c r="AA181" i="5"/>
  <c r="AB181" i="5" a="1"/>
  <c r="AB181" i="5"/>
  <c r="AA185" i="5"/>
  <c r="AB185" i="5" a="1"/>
  <c r="AB185" i="5"/>
  <c r="AA189" i="5"/>
  <c r="AB189" i="5" a="1"/>
  <c r="AB189" i="5"/>
  <c r="AA193" i="5"/>
  <c r="AB193" i="5" a="1"/>
  <c r="AB193" i="5"/>
  <c r="AA197" i="5"/>
  <c r="AB197" i="5" a="1"/>
  <c r="AB197" i="5"/>
  <c r="C27" i="5"/>
  <c r="J27" i="5"/>
  <c r="AC27" i="5"/>
  <c r="R27" i="5"/>
  <c r="D141" i="5"/>
  <c r="K141" i="5"/>
  <c r="W141" i="5"/>
  <c r="P142" i="5"/>
  <c r="AA142" i="5"/>
  <c r="F36" i="5"/>
  <c r="Q36" i="5"/>
  <c r="C38" i="5"/>
  <c r="J38" i="5"/>
  <c r="AC38" i="5"/>
  <c r="R38" i="5"/>
  <c r="D42" i="5"/>
  <c r="K42" i="5"/>
  <c r="W42" i="5"/>
  <c r="P147" i="5"/>
  <c r="AA147" i="5"/>
  <c r="F43" i="5"/>
  <c r="Q43" i="5"/>
  <c r="C151" i="5"/>
  <c r="J151" i="5"/>
  <c r="AC151" i="5"/>
  <c r="R151" i="5"/>
  <c r="D44" i="5"/>
  <c r="K44" i="5"/>
  <c r="W44" i="5"/>
  <c r="P154" i="5"/>
  <c r="AA154" i="5"/>
  <c r="F156" i="5"/>
  <c r="Q156" i="5"/>
  <c r="C48" i="5"/>
  <c r="J48" i="5"/>
  <c r="AC48" i="5"/>
  <c r="R48" i="5"/>
  <c r="D175" i="5"/>
  <c r="K175" i="5"/>
  <c r="W175" i="5"/>
  <c r="P159" i="5"/>
  <c r="AA159" i="5"/>
  <c r="F155" i="5"/>
  <c r="Q155" i="5"/>
  <c r="C161" i="5"/>
  <c r="J161" i="5"/>
  <c r="AC161" i="5"/>
  <c r="R161" i="5"/>
  <c r="D52" i="5"/>
  <c r="K52" i="5"/>
  <c r="W52" i="5"/>
  <c r="P163" i="5"/>
  <c r="AA163" i="5"/>
  <c r="F168" i="5"/>
  <c r="Q168" i="5"/>
  <c r="C162" i="5"/>
  <c r="Q162" i="5"/>
  <c r="C62" i="5"/>
  <c r="J62" i="5"/>
  <c r="AC62" i="5"/>
  <c r="R62" i="5"/>
  <c r="D57" i="5"/>
  <c r="K57" i="5"/>
  <c r="W57" i="5"/>
  <c r="P58" i="5"/>
  <c r="AA58" i="5"/>
  <c r="F63" i="5"/>
  <c r="Q63" i="5"/>
  <c r="C64" i="5"/>
  <c r="J64" i="5"/>
  <c r="AC64" i="5"/>
  <c r="R64" i="5"/>
  <c r="D27" i="5"/>
  <c r="K27" i="5"/>
  <c r="W27" i="5"/>
  <c r="P141" i="5"/>
  <c r="AA141" i="5"/>
  <c r="F142" i="5"/>
  <c r="Q142" i="5"/>
  <c r="C36" i="5"/>
  <c r="J36" i="5"/>
  <c r="AC36" i="5"/>
  <c r="R36" i="5"/>
  <c r="D38" i="5"/>
  <c r="K38" i="5"/>
  <c r="W38" i="5"/>
  <c r="P42" i="5"/>
  <c r="AA42" i="5"/>
  <c r="F147" i="5"/>
  <c r="Q147" i="5"/>
  <c r="C43" i="5"/>
  <c r="J43" i="5"/>
  <c r="AC43" i="5"/>
  <c r="R43" i="5"/>
  <c r="D151" i="5"/>
  <c r="K151" i="5"/>
  <c r="W151" i="5"/>
  <c r="P44" i="5"/>
  <c r="AA44" i="5"/>
  <c r="F154" i="5"/>
  <c r="Q154" i="5"/>
  <c r="C156" i="5"/>
  <c r="J156" i="5"/>
  <c r="AC156" i="5"/>
  <c r="R156" i="5"/>
  <c r="D48" i="5"/>
  <c r="K48" i="5"/>
  <c r="W48" i="5"/>
  <c r="P175" i="5"/>
  <c r="AA175" i="5"/>
  <c r="F159" i="5"/>
  <c r="Q159" i="5"/>
  <c r="C155" i="5"/>
  <c r="J155" i="5"/>
  <c r="AC155" i="5"/>
  <c r="R155" i="5"/>
  <c r="D161" i="5"/>
  <c r="K161" i="5"/>
  <c r="W161" i="5"/>
  <c r="P52" i="5"/>
  <c r="AA52" i="5"/>
  <c r="F163" i="5"/>
  <c r="Q163" i="5"/>
  <c r="C168" i="5"/>
  <c r="J168" i="5"/>
  <c r="AC168" i="5"/>
  <c r="R168" i="5"/>
  <c r="D162" i="5"/>
  <c r="J162" i="5"/>
  <c r="AC162" i="5"/>
  <c r="R162" i="5"/>
  <c r="D62" i="5"/>
  <c r="K62" i="5"/>
  <c r="W62" i="5"/>
  <c r="P57" i="5"/>
  <c r="AA57" i="5"/>
  <c r="F58" i="5"/>
  <c r="Q58" i="5"/>
  <c r="C63" i="5"/>
  <c r="J63" i="5"/>
  <c r="AC63" i="5"/>
  <c r="R63" i="5"/>
  <c r="D64" i="5"/>
  <c r="K64" i="5"/>
  <c r="W64" i="5"/>
  <c r="W145" i="5"/>
  <c r="P27" i="5"/>
  <c r="AA27" i="5"/>
  <c r="F141" i="5"/>
  <c r="Q141" i="5"/>
  <c r="C142" i="5"/>
  <c r="J142" i="5"/>
  <c r="AC142" i="5"/>
  <c r="R142" i="5"/>
  <c r="D36" i="5"/>
  <c r="K36" i="5"/>
  <c r="W36" i="5"/>
  <c r="P38" i="5"/>
  <c r="AA38" i="5"/>
  <c r="F42" i="5"/>
  <c r="Q42" i="5"/>
  <c r="C147" i="5"/>
  <c r="J147" i="5"/>
  <c r="AC147" i="5"/>
  <c r="R147" i="5"/>
  <c r="D43" i="5"/>
  <c r="K43" i="5"/>
  <c r="W43" i="5"/>
  <c r="P151" i="5"/>
  <c r="AA151" i="5"/>
  <c r="F44" i="5"/>
  <c r="Q44" i="5"/>
  <c r="C154" i="5"/>
  <c r="J154" i="5"/>
  <c r="AC154" i="5"/>
  <c r="R154" i="5"/>
  <c r="D156" i="5"/>
  <c r="K156" i="5"/>
  <c r="W156" i="5"/>
  <c r="P48" i="5"/>
  <c r="AA48" i="5"/>
  <c r="F175" i="5"/>
  <c r="H175" i="5"/>
  <c r="Q175" i="5"/>
  <c r="C159" i="5"/>
  <c r="J159" i="5"/>
  <c r="AC159" i="5"/>
  <c r="R159" i="5"/>
  <c r="D155" i="5"/>
  <c r="K155" i="5"/>
  <c r="W155" i="5"/>
  <c r="P161" i="5"/>
  <c r="AA161" i="5"/>
  <c r="F52" i="5"/>
  <c r="Q52" i="5"/>
  <c r="C163" i="5"/>
  <c r="J163" i="5"/>
  <c r="AC163" i="5"/>
  <c r="R163" i="5"/>
  <c r="D168" i="5"/>
  <c r="K168" i="5"/>
  <c r="W168" i="5"/>
  <c r="K162" i="5"/>
  <c r="W162" i="5"/>
  <c r="P62" i="5"/>
  <c r="AA62" i="5"/>
  <c r="F57" i="5"/>
  <c r="Q57" i="5"/>
  <c r="C58" i="5"/>
  <c r="J58" i="5"/>
  <c r="AC58" i="5"/>
  <c r="R58" i="5"/>
  <c r="D63" i="5"/>
  <c r="K63" i="5"/>
  <c r="W63" i="5"/>
  <c r="P64" i="5"/>
  <c r="AA64" i="5"/>
  <c r="AA145" i="5"/>
  <c r="F27" i="5"/>
  <c r="Q27" i="5"/>
  <c r="C141" i="5"/>
  <c r="J141" i="5"/>
  <c r="AC141" i="5"/>
  <c r="R141" i="5"/>
  <c r="D142" i="5"/>
  <c r="K142" i="5"/>
  <c r="W142" i="5"/>
  <c r="P36" i="5"/>
  <c r="AA36" i="5"/>
  <c r="F38" i="5"/>
  <c r="Q38" i="5"/>
  <c r="C42" i="5"/>
  <c r="J42" i="5"/>
  <c r="AC42" i="5"/>
  <c r="R42" i="5"/>
  <c r="D147" i="5"/>
  <c r="K147" i="5"/>
  <c r="W147" i="5"/>
  <c r="P43" i="5"/>
  <c r="AA43" i="5"/>
  <c r="F151" i="5"/>
  <c r="Q151" i="5"/>
  <c r="C44" i="5"/>
  <c r="J44" i="5"/>
  <c r="AC44" i="5"/>
  <c r="R44" i="5"/>
  <c r="D154" i="5"/>
  <c r="K154" i="5"/>
  <c r="W154" i="5"/>
  <c r="P156" i="5"/>
  <c r="AA156" i="5"/>
  <c r="F48" i="5"/>
  <c r="Q48" i="5"/>
  <c r="C175" i="5"/>
  <c r="J175" i="5"/>
  <c r="AC175" i="5"/>
  <c r="R175" i="5"/>
  <c r="D159" i="5"/>
  <c r="K159" i="5"/>
  <c r="W159" i="5"/>
  <c r="P155" i="5"/>
  <c r="AA155" i="5"/>
  <c r="F161" i="5"/>
  <c r="Q161" i="5"/>
  <c r="C52" i="5"/>
  <c r="J52" i="5"/>
  <c r="AC52" i="5"/>
  <c r="R52" i="5"/>
  <c r="D163" i="5"/>
  <c r="K163" i="5"/>
  <c r="W163" i="5"/>
  <c r="P168" i="5"/>
  <c r="AA168" i="5"/>
  <c r="F162" i="5"/>
  <c r="P162" i="5"/>
  <c r="AA162" i="5"/>
  <c r="F62" i="5"/>
  <c r="Q62" i="5"/>
  <c r="C57" i="5"/>
  <c r="J57" i="5"/>
  <c r="AC57" i="5"/>
  <c r="R57" i="5"/>
  <c r="D58" i="5"/>
  <c r="K58" i="5"/>
  <c r="W58" i="5"/>
  <c r="P63" i="5"/>
  <c r="AA63" i="5"/>
  <c r="F64" i="5"/>
  <c r="Q64" i="5"/>
  <c r="C172" i="5"/>
  <c r="D172" i="5"/>
  <c r="K172" i="5"/>
  <c r="W172" i="5"/>
  <c r="P66" i="5"/>
  <c r="AA66" i="5"/>
  <c r="F173" i="5"/>
  <c r="Q173" i="5"/>
  <c r="C176" i="5"/>
  <c r="J176" i="5"/>
  <c r="AC176" i="5"/>
  <c r="R176" i="5"/>
  <c r="D70" i="5"/>
  <c r="K70" i="5"/>
  <c r="W70" i="5"/>
  <c r="P67" i="5"/>
  <c r="AA67" i="5"/>
  <c r="F55" i="5"/>
  <c r="Q55" i="5"/>
  <c r="C61" i="5"/>
  <c r="J61" i="5"/>
  <c r="AC61" i="5"/>
  <c r="R61" i="5"/>
  <c r="D56" i="5"/>
  <c r="K56" i="5"/>
  <c r="W56" i="5"/>
  <c r="P75" i="5"/>
  <c r="AA75" i="5"/>
  <c r="F76" i="5"/>
  <c r="Q76" i="5"/>
  <c r="C77" i="5"/>
  <c r="J77" i="5"/>
  <c r="AC77" i="5"/>
  <c r="R77" i="5"/>
  <c r="D79" i="5"/>
  <c r="K79" i="5"/>
  <c r="W79" i="5"/>
  <c r="P81" i="5"/>
  <c r="AA81" i="5"/>
  <c r="F85" i="5"/>
  <c r="Q85" i="5"/>
  <c r="C82" i="5"/>
  <c r="J82" i="5"/>
  <c r="AC82" i="5"/>
  <c r="R82" i="5"/>
  <c r="D83" i="5"/>
  <c r="K83" i="5"/>
  <c r="W83" i="5"/>
  <c r="P84" i="5"/>
  <c r="AA84" i="5"/>
  <c r="F39" i="5"/>
  <c r="Q39" i="5"/>
  <c r="C87" i="5"/>
  <c r="J87" i="5"/>
  <c r="AC87" i="5"/>
  <c r="R87" i="5"/>
  <c r="D88" i="5"/>
  <c r="K88" i="5"/>
  <c r="W88" i="5"/>
  <c r="P86" i="5"/>
  <c r="AA86" i="5"/>
  <c r="F47" i="5"/>
  <c r="Q47" i="5"/>
  <c r="C89" i="5"/>
  <c r="J89" i="5"/>
  <c r="AC89" i="5"/>
  <c r="R89" i="5"/>
  <c r="D60" i="5"/>
  <c r="K60" i="5"/>
  <c r="W60" i="5"/>
  <c r="P90" i="5"/>
  <c r="AA90" i="5"/>
  <c r="F91" i="5"/>
  <c r="Q91" i="5"/>
  <c r="C69" i="5"/>
  <c r="J69" i="5"/>
  <c r="AC69" i="5"/>
  <c r="R69" i="5"/>
  <c r="D71" i="5"/>
  <c r="K71" i="5"/>
  <c r="W71" i="5"/>
  <c r="P92" i="5"/>
  <c r="AA92" i="5"/>
  <c r="F93" i="5"/>
  <c r="Q93" i="5"/>
  <c r="C94" i="5"/>
  <c r="J94" i="5"/>
  <c r="AC94" i="5"/>
  <c r="R94" i="5"/>
  <c r="D95" i="5"/>
  <c r="K95" i="5"/>
  <c r="W95" i="5"/>
  <c r="P96" i="5"/>
  <c r="AA96" i="5"/>
  <c r="AB96" i="5" a="1"/>
  <c r="AB96" i="5"/>
  <c r="F98" i="5"/>
  <c r="Q98" i="5"/>
  <c r="C97" i="5"/>
  <c r="J97" i="5"/>
  <c r="AC97" i="5"/>
  <c r="R97" i="5"/>
  <c r="D99" i="5"/>
  <c r="K99" i="5"/>
  <c r="W99" i="5"/>
  <c r="P100" i="5"/>
  <c r="AA100" i="5"/>
  <c r="AB100" i="5" a="1"/>
  <c r="AB100" i="5"/>
  <c r="F101" i="5"/>
  <c r="Q101" i="5"/>
  <c r="C80" i="5"/>
  <c r="J80" i="5"/>
  <c r="AC80" i="5"/>
  <c r="R80" i="5"/>
  <c r="D102" i="5"/>
  <c r="K102" i="5"/>
  <c r="W102" i="5"/>
  <c r="P103" i="5"/>
  <c r="AA103" i="5"/>
  <c r="AB103" i="5" a="1"/>
  <c r="AB103" i="5"/>
  <c r="F143" i="5"/>
  <c r="Q143" i="5"/>
  <c r="C144" i="5"/>
  <c r="J144" i="5"/>
  <c r="AC144" i="5"/>
  <c r="R144" i="5"/>
  <c r="D146" i="5"/>
  <c r="K146" i="5"/>
  <c r="W146" i="5"/>
  <c r="P148" i="5"/>
  <c r="AA148" i="5"/>
  <c r="AB148" i="5" a="1"/>
  <c r="AB148" i="5"/>
  <c r="F150" i="5"/>
  <c r="Q150" i="5"/>
  <c r="C152" i="5"/>
  <c r="J152" i="5"/>
  <c r="AC152" i="5"/>
  <c r="R152" i="5"/>
  <c r="D153" i="5"/>
  <c r="K153" i="5"/>
  <c r="W153" i="5"/>
  <c r="P157" i="5"/>
  <c r="AA157" i="5"/>
  <c r="AB157" i="5" a="1"/>
  <c r="AB157" i="5"/>
  <c r="F158" i="5"/>
  <c r="Q158" i="5"/>
  <c r="C160" i="5"/>
  <c r="J160" i="5"/>
  <c r="AC160" i="5"/>
  <c r="R160" i="5"/>
  <c r="D164" i="5"/>
  <c r="K164" i="5"/>
  <c r="W164" i="5"/>
  <c r="P165" i="5"/>
  <c r="AA165" i="5"/>
  <c r="AB165" i="5" a="1"/>
  <c r="AB165" i="5"/>
  <c r="F166" i="5"/>
  <c r="Q166" i="5"/>
  <c r="C167" i="5"/>
  <c r="J167" i="5"/>
  <c r="AC167" i="5"/>
  <c r="R167" i="5"/>
  <c r="D170" i="5"/>
  <c r="K170" i="5"/>
  <c r="W170" i="5"/>
  <c r="P171" i="5"/>
  <c r="AA171" i="5"/>
  <c r="AB171" i="5" a="1"/>
  <c r="AB171" i="5"/>
  <c r="F174" i="5"/>
  <c r="Q174" i="5"/>
  <c r="C177" i="5"/>
  <c r="J177" i="5"/>
  <c r="AC177" i="5"/>
  <c r="R177" i="5"/>
  <c r="D178" i="5"/>
  <c r="K178" i="5"/>
  <c r="W178" i="5"/>
  <c r="P179" i="5"/>
  <c r="AA179" i="5"/>
  <c r="AB179" i="5" a="1"/>
  <c r="AB179" i="5"/>
  <c r="F180" i="5"/>
  <c r="Q180" i="5"/>
  <c r="C104" i="5"/>
  <c r="J104" i="5"/>
  <c r="AC104" i="5"/>
  <c r="R104" i="5"/>
  <c r="D105" i="5"/>
  <c r="K105" i="5"/>
  <c r="L105" i="5"/>
  <c r="W105" i="5"/>
  <c r="P106" i="5"/>
  <c r="AA106" i="5"/>
  <c r="AB106" i="5" a="1"/>
  <c r="AB106" i="5"/>
  <c r="F107" i="5"/>
  <c r="Q107" i="5"/>
  <c r="C108" i="5"/>
  <c r="J108" i="5"/>
  <c r="AC108" i="5"/>
  <c r="R108" i="5"/>
  <c r="D109" i="5"/>
  <c r="K109" i="5"/>
  <c r="L109" i="5"/>
  <c r="W109" i="5"/>
  <c r="P110" i="5"/>
  <c r="AA110" i="5"/>
  <c r="AB110" i="5" a="1"/>
  <c r="AB110" i="5"/>
  <c r="F111" i="5"/>
  <c r="Q111" i="5"/>
  <c r="C112" i="5"/>
  <c r="J112" i="5"/>
  <c r="AC112" i="5"/>
  <c r="R112" i="5"/>
  <c r="D113" i="5"/>
  <c r="K113" i="5"/>
  <c r="L113" i="5"/>
  <c r="W113" i="5"/>
  <c r="P114" i="5"/>
  <c r="AA114" i="5"/>
  <c r="AB114" i="5" a="1"/>
  <c r="AB114" i="5"/>
  <c r="F115" i="5"/>
  <c r="Q115" i="5"/>
  <c r="C116" i="5"/>
  <c r="J116" i="5"/>
  <c r="AC116" i="5"/>
  <c r="R116" i="5"/>
  <c r="D117" i="5"/>
  <c r="K117" i="5"/>
  <c r="L117" i="5"/>
  <c r="W117" i="5"/>
  <c r="P118" i="5"/>
  <c r="AA118" i="5"/>
  <c r="AB118" i="5" a="1"/>
  <c r="AB118" i="5"/>
  <c r="F119" i="5"/>
  <c r="Q119" i="5"/>
  <c r="C120" i="5"/>
  <c r="J120" i="5"/>
  <c r="AC120" i="5"/>
  <c r="R120" i="5"/>
  <c r="D121" i="5"/>
  <c r="K121" i="5"/>
  <c r="L121" i="5"/>
  <c r="W121" i="5"/>
  <c r="P122" i="5"/>
  <c r="AA122" i="5"/>
  <c r="AB122" i="5" a="1"/>
  <c r="AB122" i="5"/>
  <c r="F123" i="5"/>
  <c r="Q123" i="5"/>
  <c r="C124" i="5"/>
  <c r="J124" i="5"/>
  <c r="AC124" i="5"/>
  <c r="R124" i="5"/>
  <c r="D125" i="5"/>
  <c r="K125" i="5"/>
  <c r="L125" i="5"/>
  <c r="W125" i="5"/>
  <c r="P126" i="5"/>
  <c r="AA126" i="5"/>
  <c r="AB126" i="5" a="1"/>
  <c r="AB126" i="5"/>
  <c r="F127" i="5"/>
  <c r="Q127" i="5"/>
  <c r="C128" i="5"/>
  <c r="J128" i="5"/>
  <c r="AC128" i="5"/>
  <c r="R128" i="5"/>
  <c r="D129" i="5"/>
  <c r="K129" i="5"/>
  <c r="L129" i="5"/>
  <c r="W129" i="5"/>
  <c r="P130" i="5"/>
  <c r="AA130" i="5"/>
  <c r="AB130" i="5" a="1"/>
  <c r="AB130" i="5"/>
  <c r="F131" i="5"/>
  <c r="Q131" i="5"/>
  <c r="C132" i="5"/>
  <c r="J132" i="5"/>
  <c r="AC132" i="5"/>
  <c r="R132" i="5"/>
  <c r="D133" i="5"/>
  <c r="K133" i="5"/>
  <c r="L133" i="5"/>
  <c r="W133" i="5"/>
  <c r="P134" i="5"/>
  <c r="AA134" i="5"/>
  <c r="AB134" i="5" a="1"/>
  <c r="AB134" i="5"/>
  <c r="F135" i="5"/>
  <c r="Q135" i="5"/>
  <c r="C136" i="5"/>
  <c r="J136" i="5"/>
  <c r="AC136" i="5"/>
  <c r="R136" i="5"/>
  <c r="D137" i="5"/>
  <c r="K137" i="5"/>
  <c r="L137" i="5"/>
  <c r="W137" i="5"/>
  <c r="P138" i="5"/>
  <c r="AA138" i="5"/>
  <c r="AB138" i="5" a="1"/>
  <c r="AB138" i="5"/>
  <c r="F139" i="5"/>
  <c r="Q139" i="5"/>
  <c r="C140" i="5"/>
  <c r="J140" i="5"/>
  <c r="AC140" i="5"/>
  <c r="R140" i="5"/>
  <c r="P172" i="5"/>
  <c r="AA172" i="5"/>
  <c r="F66" i="5"/>
  <c r="Q66" i="5"/>
  <c r="C173" i="5"/>
  <c r="J173" i="5"/>
  <c r="AC173" i="5"/>
  <c r="R173" i="5"/>
  <c r="D176" i="5"/>
  <c r="K176" i="5"/>
  <c r="W176" i="5"/>
  <c r="P70" i="5"/>
  <c r="AA70" i="5"/>
  <c r="F67" i="5"/>
  <c r="Q67" i="5"/>
  <c r="C55" i="5"/>
  <c r="J55" i="5"/>
  <c r="AC55" i="5"/>
  <c r="R55" i="5"/>
  <c r="D61" i="5"/>
  <c r="K61" i="5"/>
  <c r="W61" i="5"/>
  <c r="P56" i="5"/>
  <c r="AA56" i="5"/>
  <c r="F75" i="5"/>
  <c r="Q75" i="5"/>
  <c r="C76" i="5"/>
  <c r="J76" i="5"/>
  <c r="AC76" i="5"/>
  <c r="R76" i="5"/>
  <c r="D77" i="5"/>
  <c r="K77" i="5"/>
  <c r="W77" i="5"/>
  <c r="P79" i="5"/>
  <c r="AA79" i="5"/>
  <c r="F81" i="5"/>
  <c r="Q81" i="5"/>
  <c r="C85" i="5"/>
  <c r="J85" i="5"/>
  <c r="AC85" i="5"/>
  <c r="R85" i="5"/>
  <c r="D82" i="5"/>
  <c r="K82" i="5"/>
  <c r="W82" i="5"/>
  <c r="P83" i="5"/>
  <c r="AA83" i="5"/>
  <c r="F84" i="5"/>
  <c r="Q84" i="5"/>
  <c r="C39" i="5"/>
  <c r="J39" i="5"/>
  <c r="AC39" i="5"/>
  <c r="R39" i="5"/>
  <c r="D87" i="5"/>
  <c r="K87" i="5"/>
  <c r="W87" i="5"/>
  <c r="P88" i="5"/>
  <c r="AA88" i="5"/>
  <c r="F86" i="5"/>
  <c r="Q86" i="5"/>
  <c r="C47" i="5"/>
  <c r="J47" i="5"/>
  <c r="AC47" i="5"/>
  <c r="R47" i="5"/>
  <c r="D89" i="5"/>
  <c r="K89" i="5"/>
  <c r="W89" i="5"/>
  <c r="P60" i="5"/>
  <c r="AA60" i="5"/>
  <c r="F90" i="5"/>
  <c r="Q90" i="5"/>
  <c r="C91" i="5"/>
  <c r="J91" i="5"/>
  <c r="AC91" i="5"/>
  <c r="R91" i="5"/>
  <c r="D69" i="5"/>
  <c r="K69" i="5"/>
  <c r="W69" i="5"/>
  <c r="P71" i="5"/>
  <c r="AA71" i="5"/>
  <c r="F92" i="5"/>
  <c r="Q92" i="5"/>
  <c r="C93" i="5"/>
  <c r="J93" i="5"/>
  <c r="AC93" i="5"/>
  <c r="R93" i="5"/>
  <c r="D94" i="5"/>
  <c r="K94" i="5"/>
  <c r="W94" i="5"/>
  <c r="P95" i="5"/>
  <c r="AA95" i="5"/>
  <c r="AB95" i="5" a="1"/>
  <c r="AB95" i="5"/>
  <c r="F96" i="5"/>
  <c r="Q96" i="5"/>
  <c r="C98" i="5"/>
  <c r="J98" i="5"/>
  <c r="AC98" i="5"/>
  <c r="R98" i="5"/>
  <c r="D97" i="5"/>
  <c r="K97" i="5"/>
  <c r="W97" i="5"/>
  <c r="P99" i="5"/>
  <c r="AA99" i="5"/>
  <c r="AB99" i="5" a="1"/>
  <c r="AB99" i="5"/>
  <c r="F100" i="5"/>
  <c r="Q100" i="5"/>
  <c r="C101" i="5"/>
  <c r="J101" i="5"/>
  <c r="AC101" i="5"/>
  <c r="R101" i="5"/>
  <c r="D80" i="5"/>
  <c r="K80" i="5"/>
  <c r="W80" i="5"/>
  <c r="P102" i="5"/>
  <c r="AA102" i="5"/>
  <c r="AB102" i="5" a="1"/>
  <c r="AB102" i="5"/>
  <c r="F103" i="5"/>
  <c r="Q103" i="5"/>
  <c r="C143" i="5"/>
  <c r="J143" i="5"/>
  <c r="AC143" i="5"/>
  <c r="R143" i="5"/>
  <c r="D144" i="5"/>
  <c r="K144" i="5"/>
  <c r="W144" i="5"/>
  <c r="P146" i="5"/>
  <c r="AA146" i="5"/>
  <c r="AB146" i="5" a="1"/>
  <c r="AB146" i="5"/>
  <c r="F148" i="5"/>
  <c r="Q148" i="5"/>
  <c r="C150" i="5"/>
  <c r="J150" i="5"/>
  <c r="AC150" i="5"/>
  <c r="R150" i="5"/>
  <c r="D152" i="5"/>
  <c r="K152" i="5"/>
  <c r="W152" i="5"/>
  <c r="P153" i="5"/>
  <c r="AA153" i="5"/>
  <c r="AB153" i="5" a="1"/>
  <c r="AB153" i="5"/>
  <c r="F157" i="5"/>
  <c r="Q157" i="5"/>
  <c r="C158" i="5"/>
  <c r="J158" i="5"/>
  <c r="AC158" i="5"/>
  <c r="R158" i="5"/>
  <c r="D160" i="5"/>
  <c r="K160" i="5"/>
  <c r="W160" i="5"/>
  <c r="P164" i="5"/>
  <c r="AA164" i="5"/>
  <c r="AB164" i="5" a="1"/>
  <c r="AB164" i="5"/>
  <c r="F165" i="5"/>
  <c r="Q165" i="5"/>
  <c r="C166" i="5"/>
  <c r="J166" i="5"/>
  <c r="AC166" i="5"/>
  <c r="R166" i="5"/>
  <c r="D167" i="5"/>
  <c r="K167" i="5"/>
  <c r="W167" i="5"/>
  <c r="P170" i="5"/>
  <c r="AA170" i="5"/>
  <c r="AB170" i="5" a="1"/>
  <c r="AB170" i="5"/>
  <c r="F171" i="5"/>
  <c r="Q171" i="5"/>
  <c r="C174" i="5"/>
  <c r="J174" i="5"/>
  <c r="AC174" i="5"/>
  <c r="R174" i="5"/>
  <c r="D177" i="5"/>
  <c r="K177" i="5"/>
  <c r="L177" i="5"/>
  <c r="W177" i="5"/>
  <c r="P178" i="5"/>
  <c r="AA178" i="5"/>
  <c r="AB178" i="5" a="1"/>
  <c r="AB178" i="5"/>
  <c r="F179" i="5"/>
  <c r="Q179" i="5"/>
  <c r="C180" i="5"/>
  <c r="J180" i="5"/>
  <c r="AC180" i="5"/>
  <c r="R180" i="5"/>
  <c r="D104" i="5"/>
  <c r="K104" i="5"/>
  <c r="L104" i="5"/>
  <c r="W104" i="5"/>
  <c r="P105" i="5"/>
  <c r="AA105" i="5"/>
  <c r="AB105" i="5" a="1"/>
  <c r="AB105" i="5"/>
  <c r="F106" i="5"/>
  <c r="Q106" i="5"/>
  <c r="C107" i="5"/>
  <c r="J107" i="5"/>
  <c r="AC107" i="5"/>
  <c r="R107" i="5"/>
  <c r="D108" i="5"/>
  <c r="K108" i="5"/>
  <c r="L108" i="5"/>
  <c r="W108" i="5"/>
  <c r="P109" i="5"/>
  <c r="AA109" i="5"/>
  <c r="AB109" i="5" a="1"/>
  <c r="AB109" i="5"/>
  <c r="F110" i="5"/>
  <c r="Q110" i="5"/>
  <c r="C111" i="5"/>
  <c r="J111" i="5"/>
  <c r="AC111" i="5"/>
  <c r="R111" i="5"/>
  <c r="D112" i="5"/>
  <c r="K112" i="5"/>
  <c r="L112" i="5"/>
  <c r="W112" i="5"/>
  <c r="P113" i="5"/>
  <c r="AA113" i="5"/>
  <c r="AB113" i="5" a="1"/>
  <c r="AB113" i="5"/>
  <c r="F114" i="5"/>
  <c r="Q114" i="5"/>
  <c r="C115" i="5"/>
  <c r="J115" i="5"/>
  <c r="AC115" i="5"/>
  <c r="R115" i="5"/>
  <c r="D116" i="5"/>
  <c r="K116" i="5"/>
  <c r="L116" i="5"/>
  <c r="W116" i="5"/>
  <c r="P117" i="5"/>
  <c r="AA117" i="5"/>
  <c r="AB117" i="5" a="1"/>
  <c r="AB117" i="5"/>
  <c r="F118" i="5"/>
  <c r="Q118" i="5"/>
  <c r="C119" i="5"/>
  <c r="J119" i="5"/>
  <c r="AC119" i="5"/>
  <c r="R119" i="5"/>
  <c r="D120" i="5"/>
  <c r="K120" i="5"/>
  <c r="L120" i="5"/>
  <c r="W120" i="5"/>
  <c r="P121" i="5"/>
  <c r="AA121" i="5"/>
  <c r="AB121" i="5" a="1"/>
  <c r="AB121" i="5"/>
  <c r="F122" i="5"/>
  <c r="Q122" i="5"/>
  <c r="C123" i="5"/>
  <c r="J123" i="5"/>
  <c r="AC123" i="5"/>
  <c r="R123" i="5"/>
  <c r="D124" i="5"/>
  <c r="K124" i="5"/>
  <c r="L124" i="5"/>
  <c r="W124" i="5"/>
  <c r="P125" i="5"/>
  <c r="AA125" i="5"/>
  <c r="AB125" i="5" a="1"/>
  <c r="AB125" i="5"/>
  <c r="F126" i="5"/>
  <c r="Q126" i="5"/>
  <c r="C127" i="5"/>
  <c r="J127" i="5"/>
  <c r="AC127" i="5"/>
  <c r="R127" i="5"/>
  <c r="D128" i="5"/>
  <c r="K128" i="5"/>
  <c r="L128" i="5"/>
  <c r="W128" i="5"/>
  <c r="P129" i="5"/>
  <c r="AA129" i="5"/>
  <c r="AB129" i="5" a="1"/>
  <c r="AB129" i="5"/>
  <c r="F130" i="5"/>
  <c r="Q130" i="5"/>
  <c r="C131" i="5"/>
  <c r="J131" i="5"/>
  <c r="AC131" i="5"/>
  <c r="R131" i="5"/>
  <c r="D132" i="5"/>
  <c r="K132" i="5"/>
  <c r="L132" i="5"/>
  <c r="W132" i="5"/>
  <c r="P133" i="5"/>
  <c r="AA133" i="5"/>
  <c r="AB133" i="5" a="1"/>
  <c r="AB133" i="5"/>
  <c r="F134" i="5"/>
  <c r="Q134" i="5"/>
  <c r="C135" i="5"/>
  <c r="J135" i="5"/>
  <c r="AC135" i="5"/>
  <c r="R135" i="5"/>
  <c r="D136" i="5"/>
  <c r="K136" i="5"/>
  <c r="L136" i="5"/>
  <c r="W136" i="5"/>
  <c r="P137" i="5"/>
  <c r="AA137" i="5"/>
  <c r="AB137" i="5" a="1"/>
  <c r="AB137" i="5"/>
  <c r="F138" i="5"/>
  <c r="Q138" i="5"/>
  <c r="C139" i="5"/>
  <c r="J139" i="5"/>
  <c r="AC139" i="5"/>
  <c r="R139" i="5"/>
  <c r="D140" i="5"/>
  <c r="K140" i="5"/>
  <c r="L140" i="5"/>
  <c r="W140" i="5"/>
  <c r="F172" i="5"/>
  <c r="Q172" i="5"/>
  <c r="C66" i="5"/>
  <c r="J66" i="5"/>
  <c r="AC66" i="5"/>
  <c r="R66" i="5"/>
  <c r="D173" i="5"/>
  <c r="K173" i="5"/>
  <c r="W173" i="5"/>
  <c r="P176" i="5"/>
  <c r="AA176" i="5"/>
  <c r="F70" i="5"/>
  <c r="Q70" i="5"/>
  <c r="C67" i="5"/>
  <c r="J67" i="5"/>
  <c r="AC67" i="5"/>
  <c r="R67" i="5"/>
  <c r="D55" i="5"/>
  <c r="K55" i="5"/>
  <c r="W55" i="5"/>
  <c r="P61" i="5"/>
  <c r="AA61" i="5"/>
  <c r="F56" i="5"/>
  <c r="Q56" i="5"/>
  <c r="C75" i="5"/>
  <c r="J75" i="5"/>
  <c r="AC75" i="5"/>
  <c r="R75" i="5"/>
  <c r="D76" i="5"/>
  <c r="K76" i="5"/>
  <c r="W76" i="5"/>
  <c r="P77" i="5"/>
  <c r="AA77" i="5"/>
  <c r="F79" i="5"/>
  <c r="Q79" i="5"/>
  <c r="C81" i="5"/>
  <c r="J81" i="5"/>
  <c r="AC81" i="5"/>
  <c r="R81" i="5"/>
  <c r="D85" i="5"/>
  <c r="K85" i="5"/>
  <c r="W85" i="5"/>
  <c r="P82" i="5"/>
  <c r="AA82" i="5"/>
  <c r="F83" i="5"/>
  <c r="Q83" i="5"/>
  <c r="C84" i="5"/>
  <c r="J84" i="5"/>
  <c r="AC84" i="5"/>
  <c r="R84" i="5"/>
  <c r="D39" i="5"/>
  <c r="K39" i="5"/>
  <c r="W39" i="5"/>
  <c r="P87" i="5"/>
  <c r="AA87" i="5"/>
  <c r="F88" i="5"/>
  <c r="Q88" i="5"/>
  <c r="C86" i="5"/>
  <c r="J86" i="5"/>
  <c r="AC86" i="5"/>
  <c r="R86" i="5"/>
  <c r="D47" i="5"/>
  <c r="K47" i="5"/>
  <c r="W47" i="5"/>
  <c r="P89" i="5"/>
  <c r="AA89" i="5"/>
  <c r="F60" i="5"/>
  <c r="Q60" i="5"/>
  <c r="C90" i="5"/>
  <c r="J90" i="5"/>
  <c r="AC90" i="5"/>
  <c r="R90" i="5"/>
  <c r="D91" i="5"/>
  <c r="K91" i="5"/>
  <c r="W91" i="5"/>
  <c r="P69" i="5"/>
  <c r="AA69" i="5"/>
  <c r="F71" i="5"/>
  <c r="Q71" i="5"/>
  <c r="C92" i="5"/>
  <c r="J92" i="5"/>
  <c r="AC92" i="5"/>
  <c r="R92" i="5"/>
  <c r="D93" i="5"/>
  <c r="K93" i="5"/>
  <c r="W93" i="5"/>
  <c r="P94" i="5"/>
  <c r="AA94" i="5"/>
  <c r="F95" i="5"/>
  <c r="Q95" i="5"/>
  <c r="C96" i="5"/>
  <c r="J96" i="5"/>
  <c r="AC96" i="5"/>
  <c r="D98" i="5"/>
  <c r="K98" i="5"/>
  <c r="W98" i="5"/>
  <c r="P97" i="5"/>
  <c r="AA97" i="5"/>
  <c r="AB97" i="5" a="1"/>
  <c r="AB97" i="5"/>
  <c r="F99" i="5"/>
  <c r="Q99" i="5"/>
  <c r="C100" i="5"/>
  <c r="J100" i="5"/>
  <c r="AC100" i="5"/>
  <c r="R100" i="5"/>
  <c r="D101" i="5"/>
  <c r="K101" i="5"/>
  <c r="W101" i="5"/>
  <c r="P80" i="5"/>
  <c r="AA80" i="5"/>
  <c r="AB80" i="5" a="1"/>
  <c r="AB80" i="5"/>
  <c r="F102" i="5"/>
  <c r="Q102" i="5"/>
  <c r="C103" i="5"/>
  <c r="J103" i="5"/>
  <c r="AC103" i="5"/>
  <c r="R103" i="5"/>
  <c r="D143" i="5"/>
  <c r="K143" i="5"/>
  <c r="W143" i="5"/>
  <c r="P144" i="5"/>
  <c r="AA144" i="5"/>
  <c r="AB144" i="5" a="1"/>
  <c r="AB144" i="5"/>
  <c r="F146" i="5"/>
  <c r="Q146" i="5"/>
  <c r="C148" i="5"/>
  <c r="J148" i="5"/>
  <c r="AC148" i="5"/>
  <c r="R148" i="5"/>
  <c r="D150" i="5"/>
  <c r="K150" i="5"/>
  <c r="W150" i="5"/>
  <c r="P152" i="5"/>
  <c r="AA152" i="5"/>
  <c r="AB152" i="5" a="1"/>
  <c r="AB152" i="5"/>
  <c r="F153" i="5"/>
  <c r="Q153" i="5"/>
  <c r="C157" i="5"/>
  <c r="J157" i="5"/>
  <c r="AC157" i="5"/>
  <c r="R157" i="5"/>
  <c r="D158" i="5"/>
  <c r="K158" i="5"/>
  <c r="W158" i="5"/>
  <c r="P160" i="5"/>
  <c r="AA160" i="5"/>
  <c r="AB160" i="5" a="1"/>
  <c r="AB160" i="5"/>
  <c r="F164" i="5"/>
  <c r="Q164" i="5"/>
  <c r="C165" i="5"/>
  <c r="J165" i="5"/>
  <c r="AC165" i="5"/>
  <c r="R165" i="5"/>
  <c r="D166" i="5"/>
  <c r="K166" i="5"/>
  <c r="W166" i="5"/>
  <c r="P167" i="5"/>
  <c r="AA167" i="5"/>
  <c r="AB167" i="5" a="1"/>
  <c r="AB167" i="5"/>
  <c r="F170" i="5"/>
  <c r="Q170" i="5"/>
  <c r="C171" i="5"/>
  <c r="J171" i="5"/>
  <c r="AC171" i="5"/>
  <c r="R171" i="5"/>
  <c r="D174" i="5"/>
  <c r="K174" i="5"/>
  <c r="W174" i="5"/>
  <c r="P177" i="5"/>
  <c r="AA177" i="5"/>
  <c r="AB177" i="5" a="1"/>
  <c r="AB177" i="5"/>
  <c r="F178" i="5"/>
  <c r="Q178" i="5"/>
  <c r="C179" i="5"/>
  <c r="J179" i="5"/>
  <c r="AC179" i="5"/>
  <c r="R179" i="5"/>
  <c r="D180" i="5"/>
  <c r="K180" i="5"/>
  <c r="W180" i="5"/>
  <c r="P104" i="5"/>
  <c r="AA104" i="5"/>
  <c r="AB104" i="5" a="1"/>
  <c r="AB104" i="5"/>
  <c r="F105" i="5"/>
  <c r="Q105" i="5"/>
  <c r="C106" i="5"/>
  <c r="J106" i="5"/>
  <c r="AC106" i="5"/>
  <c r="R106" i="5"/>
  <c r="D107" i="5"/>
  <c r="K107" i="5"/>
  <c r="L107" i="5"/>
  <c r="W107" i="5"/>
  <c r="P108" i="5"/>
  <c r="AA108" i="5"/>
  <c r="AB108" i="5" a="1"/>
  <c r="AB108" i="5"/>
  <c r="F109" i="5"/>
  <c r="Q109" i="5"/>
  <c r="C110" i="5"/>
  <c r="J110" i="5"/>
  <c r="AC110" i="5"/>
  <c r="R110" i="5"/>
  <c r="D111" i="5"/>
  <c r="K111" i="5"/>
  <c r="L111" i="5"/>
  <c r="W111" i="5"/>
  <c r="P112" i="5"/>
  <c r="AA112" i="5"/>
  <c r="AB112" i="5" a="1"/>
  <c r="AB112" i="5"/>
  <c r="F113" i="5"/>
  <c r="Q113" i="5"/>
  <c r="C114" i="5"/>
  <c r="J114" i="5"/>
  <c r="AC114" i="5"/>
  <c r="R114" i="5"/>
  <c r="D115" i="5"/>
  <c r="K115" i="5"/>
  <c r="L115" i="5"/>
  <c r="W115" i="5"/>
  <c r="P116" i="5"/>
  <c r="AA116" i="5"/>
  <c r="AB116" i="5" a="1"/>
  <c r="AB116" i="5"/>
  <c r="F117" i="5"/>
  <c r="Q117" i="5"/>
  <c r="C118" i="5"/>
  <c r="J118" i="5"/>
  <c r="AC118" i="5"/>
  <c r="R118" i="5"/>
  <c r="D119" i="5"/>
  <c r="K119" i="5"/>
  <c r="L119" i="5"/>
  <c r="W119" i="5"/>
  <c r="P120" i="5"/>
  <c r="AA120" i="5"/>
  <c r="AB120" i="5" a="1"/>
  <c r="AB120" i="5"/>
  <c r="F121" i="5"/>
  <c r="Q121" i="5"/>
  <c r="C122" i="5"/>
  <c r="J122" i="5"/>
  <c r="AC122" i="5"/>
  <c r="R122" i="5"/>
  <c r="D123" i="5"/>
  <c r="K123" i="5"/>
  <c r="L123" i="5"/>
  <c r="W123" i="5"/>
  <c r="P124" i="5"/>
  <c r="AA124" i="5"/>
  <c r="AB124" i="5" a="1"/>
  <c r="AB124" i="5"/>
  <c r="F125" i="5"/>
  <c r="Q125" i="5"/>
  <c r="C126" i="5"/>
  <c r="J126" i="5"/>
  <c r="AC126" i="5"/>
  <c r="R126" i="5"/>
  <c r="D127" i="5"/>
  <c r="K127" i="5"/>
  <c r="L127" i="5"/>
  <c r="W127" i="5"/>
  <c r="P128" i="5"/>
  <c r="AA128" i="5"/>
  <c r="AB128" i="5" a="1"/>
  <c r="AB128" i="5"/>
  <c r="F129" i="5"/>
  <c r="Q129" i="5"/>
  <c r="C130" i="5"/>
  <c r="J130" i="5"/>
  <c r="AC130" i="5"/>
  <c r="R130" i="5"/>
  <c r="D131" i="5"/>
  <c r="K131" i="5"/>
  <c r="L131" i="5"/>
  <c r="W131" i="5"/>
  <c r="P132" i="5"/>
  <c r="AA132" i="5"/>
  <c r="AB132" i="5" a="1"/>
  <c r="AB132" i="5"/>
  <c r="F133" i="5"/>
  <c r="Q133" i="5"/>
  <c r="C134" i="5"/>
  <c r="J134" i="5"/>
  <c r="AC134" i="5"/>
  <c r="R134" i="5"/>
  <c r="D135" i="5"/>
  <c r="K135" i="5"/>
  <c r="L135" i="5"/>
  <c r="W135" i="5"/>
  <c r="P136" i="5"/>
  <c r="AA136" i="5"/>
  <c r="AB136" i="5" a="1"/>
  <c r="AB136" i="5"/>
  <c r="F137" i="5"/>
  <c r="Q137" i="5"/>
  <c r="C138" i="5"/>
  <c r="J138" i="5"/>
  <c r="AC138" i="5"/>
  <c r="R138" i="5"/>
  <c r="D139" i="5"/>
  <c r="K139" i="5"/>
  <c r="L139" i="5"/>
  <c r="W139" i="5"/>
  <c r="P140" i="5"/>
  <c r="AA140" i="5"/>
  <c r="AB140" i="5" a="1"/>
  <c r="AB140" i="5"/>
  <c r="J172" i="5"/>
  <c r="AC172" i="5"/>
  <c r="R172" i="5"/>
  <c r="D66" i="5"/>
  <c r="K66" i="5"/>
  <c r="W66" i="5"/>
  <c r="P173" i="5"/>
  <c r="AA173" i="5"/>
  <c r="F176" i="5"/>
  <c r="Q176" i="5"/>
  <c r="C70" i="5"/>
  <c r="J70" i="5"/>
  <c r="AC70" i="5"/>
  <c r="R70" i="5"/>
  <c r="D67" i="5"/>
  <c r="K67" i="5"/>
  <c r="W67" i="5"/>
  <c r="P55" i="5"/>
  <c r="AA55" i="5"/>
  <c r="F61" i="5"/>
  <c r="Q61" i="5"/>
  <c r="C56" i="5"/>
  <c r="J56" i="5"/>
  <c r="AC56" i="5"/>
  <c r="R56" i="5"/>
  <c r="D75" i="5"/>
  <c r="K75" i="5"/>
  <c r="W75" i="5"/>
  <c r="P76" i="5"/>
  <c r="AA76" i="5"/>
  <c r="F77" i="5"/>
  <c r="Q77" i="5"/>
  <c r="C79" i="5"/>
  <c r="J79" i="5"/>
  <c r="AC79" i="5"/>
  <c r="R79" i="5"/>
  <c r="D81" i="5"/>
  <c r="K81" i="5"/>
  <c r="W81" i="5"/>
  <c r="P85" i="5"/>
  <c r="AA85" i="5"/>
  <c r="F82" i="5"/>
  <c r="Q82" i="5"/>
  <c r="C83" i="5"/>
  <c r="J83" i="5"/>
  <c r="AC83" i="5"/>
  <c r="R83" i="5"/>
  <c r="D84" i="5"/>
  <c r="K84" i="5"/>
  <c r="W84" i="5"/>
  <c r="P39" i="5"/>
  <c r="AA39" i="5"/>
  <c r="F87" i="5"/>
  <c r="Q87" i="5"/>
  <c r="C88" i="5"/>
  <c r="J88" i="5"/>
  <c r="AC88" i="5"/>
  <c r="R88" i="5"/>
  <c r="D86" i="5"/>
  <c r="K86" i="5"/>
  <c r="W86" i="5"/>
  <c r="P47" i="5"/>
  <c r="AA47" i="5"/>
  <c r="F89" i="5"/>
  <c r="Q89" i="5"/>
  <c r="C60" i="5"/>
  <c r="J60" i="5"/>
  <c r="AC60" i="5"/>
  <c r="R60" i="5"/>
  <c r="D90" i="5"/>
  <c r="K90" i="5"/>
  <c r="W90" i="5"/>
  <c r="P91" i="5"/>
  <c r="AA91" i="5"/>
  <c r="F69" i="5"/>
  <c r="Q69" i="5"/>
  <c r="C71" i="5"/>
  <c r="J71" i="5"/>
  <c r="AC71" i="5"/>
  <c r="R71" i="5"/>
  <c r="D92" i="5"/>
  <c r="K92" i="5"/>
  <c r="W92" i="5"/>
  <c r="P93" i="5"/>
  <c r="AA93" i="5"/>
  <c r="F94" i="5"/>
  <c r="Q94" i="5"/>
  <c r="C95" i="5"/>
  <c r="J95" i="5"/>
  <c r="AC95" i="5"/>
  <c r="R95" i="5"/>
  <c r="D96" i="5"/>
  <c r="K96" i="5"/>
  <c r="W96" i="5"/>
  <c r="P98" i="5"/>
  <c r="AA98" i="5"/>
  <c r="AB98" i="5" a="1"/>
  <c r="AB98" i="5"/>
  <c r="F97" i="5"/>
  <c r="Q97" i="5"/>
  <c r="C99" i="5"/>
  <c r="J99" i="5"/>
  <c r="AC99" i="5"/>
  <c r="R99" i="5"/>
  <c r="D100" i="5"/>
  <c r="K100" i="5"/>
  <c r="W100" i="5"/>
  <c r="P101" i="5"/>
  <c r="AA101" i="5"/>
  <c r="AB101" i="5" a="1"/>
  <c r="AB101" i="5"/>
  <c r="F80" i="5"/>
  <c r="Q80" i="5"/>
  <c r="C102" i="5"/>
  <c r="J102" i="5"/>
  <c r="AC102" i="5"/>
  <c r="R102" i="5"/>
  <c r="D103" i="5"/>
  <c r="K103" i="5"/>
  <c r="W103" i="5"/>
  <c r="P143" i="5"/>
  <c r="AA143" i="5"/>
  <c r="AB143" i="5" a="1"/>
  <c r="AB143" i="5"/>
  <c r="F144" i="5"/>
  <c r="Q144" i="5"/>
  <c r="C146" i="5"/>
  <c r="J146" i="5"/>
  <c r="AC146" i="5"/>
  <c r="R146" i="5"/>
  <c r="D148" i="5"/>
  <c r="K148" i="5"/>
  <c r="W148" i="5"/>
  <c r="P150" i="5"/>
  <c r="AA150" i="5"/>
  <c r="AB150" i="5" a="1"/>
  <c r="AB150" i="5"/>
  <c r="F152" i="5"/>
  <c r="Q152" i="5"/>
  <c r="C153" i="5"/>
  <c r="J153" i="5"/>
  <c r="AC153" i="5"/>
  <c r="R153" i="5"/>
  <c r="D157" i="5"/>
  <c r="K157" i="5"/>
  <c r="W157" i="5"/>
  <c r="P158" i="5"/>
  <c r="AA158" i="5"/>
  <c r="AB158" i="5" a="1"/>
  <c r="AB158" i="5"/>
  <c r="F160" i="5"/>
  <c r="Q160" i="5"/>
  <c r="C164" i="5"/>
  <c r="J164" i="5"/>
  <c r="AC164" i="5"/>
  <c r="R164" i="5"/>
  <c r="D165" i="5"/>
  <c r="K165" i="5"/>
  <c r="W165" i="5"/>
  <c r="P166" i="5"/>
  <c r="AA166" i="5"/>
  <c r="AB166" i="5" a="1"/>
  <c r="AB166" i="5"/>
  <c r="F167" i="5"/>
  <c r="Q167" i="5"/>
  <c r="C170" i="5"/>
  <c r="J170" i="5"/>
  <c r="AC170" i="5"/>
  <c r="R170" i="5"/>
  <c r="D171" i="5"/>
  <c r="K171" i="5"/>
  <c r="W171" i="5"/>
  <c r="P174" i="5"/>
  <c r="AA174" i="5"/>
  <c r="AB174" i="5" a="1"/>
  <c r="AB174" i="5"/>
  <c r="F177" i="5"/>
  <c r="Q177" i="5"/>
  <c r="C178" i="5"/>
  <c r="J178" i="5"/>
  <c r="AC178" i="5"/>
  <c r="R178" i="5"/>
  <c r="D179" i="5"/>
  <c r="K179" i="5"/>
  <c r="W179" i="5"/>
  <c r="P180" i="5"/>
  <c r="AA180" i="5"/>
  <c r="AB180" i="5" a="1"/>
  <c r="AB180" i="5"/>
  <c r="F104" i="5"/>
  <c r="Q104" i="5"/>
  <c r="C105" i="5"/>
  <c r="J105" i="5"/>
  <c r="AC105" i="5"/>
  <c r="R105" i="5"/>
  <c r="D106" i="5"/>
  <c r="K106" i="5"/>
  <c r="L106" i="5"/>
  <c r="W106" i="5"/>
  <c r="P107" i="5"/>
  <c r="AA107" i="5"/>
  <c r="AB107" i="5" a="1"/>
  <c r="AB107" i="5"/>
  <c r="F108" i="5"/>
  <c r="Q108" i="5"/>
  <c r="C109" i="5"/>
  <c r="J109" i="5"/>
  <c r="AC109" i="5"/>
  <c r="R109" i="5"/>
  <c r="D110" i="5"/>
  <c r="K110" i="5"/>
  <c r="L110" i="5"/>
  <c r="W110" i="5"/>
  <c r="P111" i="5"/>
  <c r="AA111" i="5"/>
  <c r="AB111" i="5" a="1"/>
  <c r="AB111" i="5"/>
  <c r="F112" i="5"/>
  <c r="Q112" i="5"/>
  <c r="C113" i="5"/>
  <c r="J113" i="5"/>
  <c r="AC113" i="5"/>
  <c r="R113" i="5"/>
  <c r="D114" i="5"/>
  <c r="K114" i="5"/>
  <c r="L114" i="5"/>
  <c r="W114" i="5"/>
  <c r="P115" i="5"/>
  <c r="AA115" i="5"/>
  <c r="AB115" i="5" a="1"/>
  <c r="AB115" i="5"/>
  <c r="F116" i="5"/>
  <c r="Q116" i="5"/>
  <c r="C117" i="5"/>
  <c r="J117" i="5"/>
  <c r="AC117" i="5"/>
  <c r="R117" i="5"/>
  <c r="D118" i="5"/>
  <c r="K118" i="5"/>
  <c r="L118" i="5"/>
  <c r="W118" i="5"/>
  <c r="P119" i="5"/>
  <c r="AA119" i="5"/>
  <c r="AB119" i="5" a="1"/>
  <c r="AB119" i="5"/>
  <c r="F120" i="5"/>
  <c r="Q120" i="5"/>
  <c r="C121" i="5"/>
  <c r="J121" i="5"/>
  <c r="AC121" i="5"/>
  <c r="R121" i="5"/>
  <c r="D122" i="5"/>
  <c r="K122" i="5"/>
  <c r="L122" i="5"/>
  <c r="W122" i="5"/>
  <c r="P123" i="5"/>
  <c r="AA123" i="5"/>
  <c r="AB123" i="5" a="1"/>
  <c r="AB123" i="5"/>
  <c r="F124" i="5"/>
  <c r="Q124" i="5"/>
  <c r="C125" i="5"/>
  <c r="J125" i="5"/>
  <c r="AC125" i="5"/>
  <c r="R125" i="5"/>
  <c r="D126" i="5"/>
  <c r="K126" i="5"/>
  <c r="L126" i="5"/>
  <c r="W126" i="5"/>
  <c r="P127" i="5"/>
  <c r="AA127" i="5"/>
  <c r="AB127" i="5" a="1"/>
  <c r="AB127" i="5"/>
  <c r="F128" i="5"/>
  <c r="Q128" i="5"/>
  <c r="C129" i="5"/>
  <c r="J129" i="5"/>
  <c r="AC129" i="5"/>
  <c r="R129" i="5"/>
  <c r="D130" i="5"/>
  <c r="K130" i="5"/>
  <c r="L130" i="5"/>
  <c r="W130" i="5"/>
  <c r="P131" i="5"/>
  <c r="AA131" i="5"/>
  <c r="AB131" i="5" a="1"/>
  <c r="AB131" i="5"/>
  <c r="F132" i="5"/>
  <c r="Q132" i="5"/>
  <c r="C133" i="5"/>
  <c r="J133" i="5"/>
  <c r="AC133" i="5"/>
  <c r="R133" i="5"/>
  <c r="D134" i="5"/>
  <c r="K134" i="5"/>
  <c r="L134" i="5"/>
  <c r="W134" i="5"/>
  <c r="P135" i="5"/>
  <c r="AA135" i="5"/>
  <c r="AB135" i="5" a="1"/>
  <c r="AB135" i="5"/>
  <c r="F136" i="5"/>
  <c r="Q136" i="5"/>
  <c r="C137" i="5"/>
  <c r="J137" i="5"/>
  <c r="AC137" i="5"/>
  <c r="R137" i="5"/>
  <c r="D138" i="5"/>
  <c r="K138" i="5"/>
  <c r="L138" i="5"/>
  <c r="W138" i="5"/>
  <c r="P139" i="5"/>
  <c r="AA139" i="5"/>
  <c r="AB139" i="5" a="1"/>
  <c r="AB139" i="5"/>
  <c r="F140" i="5"/>
  <c r="Q140" i="5"/>
  <c r="AA3" i="5"/>
  <c r="P3" i="5"/>
  <c r="R3" i="5"/>
  <c r="K3" i="5"/>
  <c r="J3" i="5"/>
  <c r="W3" i="5"/>
  <c r="Q3" i="5"/>
  <c r="F3" i="5"/>
  <c r="D3" i="5"/>
  <c r="C3" i="5"/>
  <c r="A238" i="5" a="1"/>
  <c r="A238" i="5"/>
  <c r="A239" i="5" a="1"/>
  <c r="A239" i="5"/>
  <c r="A240" i="5" a="1"/>
  <c r="A240" i="5"/>
  <c r="A241" i="5" a="1"/>
  <c r="A241" i="5"/>
  <c r="A242" i="5" a="1"/>
  <c r="A242" i="5"/>
  <c r="A243" i="5" a="1"/>
  <c r="A243" i="5"/>
  <c r="A244" i="5" a="1"/>
  <c r="A244" i="5"/>
  <c r="A245" i="5" a="1"/>
  <c r="A245" i="5"/>
  <c r="A246" i="5" a="1"/>
  <c r="A246" i="5"/>
  <c r="AA55" i="26"/>
  <c r="F55" i="26"/>
  <c r="C55" i="26"/>
  <c r="R55" i="26"/>
  <c r="C53" i="26"/>
  <c r="C54" i="26"/>
  <c r="AA56" i="26"/>
  <c r="C56" i="26"/>
  <c r="R56" i="26"/>
  <c r="F56" i="26"/>
  <c r="Q60" i="8"/>
  <c r="O61" i="8"/>
  <c r="C107" i="12"/>
  <c r="C103" i="12"/>
  <c r="C99" i="12"/>
  <c r="C95" i="12"/>
  <c r="C91" i="12"/>
  <c r="C87" i="12"/>
  <c r="C83" i="12"/>
  <c r="C79" i="12"/>
  <c r="C75" i="12"/>
  <c r="C71" i="12"/>
  <c r="C67" i="12"/>
  <c r="C63" i="12"/>
  <c r="C59" i="12"/>
  <c r="C55" i="12"/>
  <c r="C51" i="12"/>
  <c r="C47" i="12"/>
  <c r="C43" i="12"/>
  <c r="C39" i="12"/>
  <c r="C35" i="12"/>
  <c r="C31" i="12"/>
  <c r="C27" i="12"/>
  <c r="C23" i="12"/>
  <c r="C19" i="12"/>
  <c r="C15" i="12"/>
  <c r="C11" i="12"/>
  <c r="C106" i="12"/>
  <c r="C102" i="12"/>
  <c r="C98" i="12"/>
  <c r="C94" i="12"/>
  <c r="C90" i="12"/>
  <c r="C86" i="12"/>
  <c r="C82" i="12"/>
  <c r="C78" i="12"/>
  <c r="C74" i="12"/>
  <c r="C70" i="12"/>
  <c r="C66" i="12"/>
  <c r="C62" i="12"/>
  <c r="C58" i="12"/>
  <c r="C54" i="12"/>
  <c r="C50" i="12"/>
  <c r="C46" i="12"/>
  <c r="C42" i="12"/>
  <c r="C38" i="12"/>
  <c r="C34" i="12"/>
  <c r="C30" i="12"/>
  <c r="C26" i="12"/>
  <c r="C22" i="12"/>
  <c r="C18" i="12"/>
  <c r="C14" i="12"/>
  <c r="C10" i="12"/>
  <c r="C105" i="12"/>
  <c r="C101" i="12"/>
  <c r="C97" i="12"/>
  <c r="C93" i="12"/>
  <c r="C89" i="12"/>
  <c r="C85" i="12"/>
  <c r="C81" i="12"/>
  <c r="C77" i="12"/>
  <c r="C73" i="12"/>
  <c r="C69" i="12"/>
  <c r="C65" i="12"/>
  <c r="C61" i="12"/>
  <c r="C57" i="12"/>
  <c r="C53" i="12"/>
  <c r="C49" i="12"/>
  <c r="C45" i="12"/>
  <c r="C41" i="12"/>
  <c r="C37" i="12"/>
  <c r="C33" i="12"/>
  <c r="C29" i="12"/>
  <c r="C25" i="12"/>
  <c r="C21" i="12"/>
  <c r="C17" i="12"/>
  <c r="C13" i="12"/>
  <c r="C9" i="12"/>
  <c r="C104" i="12"/>
  <c r="C100" i="12"/>
  <c r="C96" i="12"/>
  <c r="C92" i="12"/>
  <c r="C88" i="12"/>
  <c r="C84" i="12"/>
  <c r="C80" i="12"/>
  <c r="C76" i="12"/>
  <c r="C72" i="12"/>
  <c r="C68" i="12"/>
  <c r="C64" i="12"/>
  <c r="C60" i="12"/>
  <c r="C56" i="12"/>
  <c r="C52" i="12"/>
  <c r="C48" i="12"/>
  <c r="C44" i="12"/>
  <c r="C40" i="12"/>
  <c r="C36" i="12"/>
  <c r="C32" i="12"/>
  <c r="C28" i="12"/>
  <c r="C24" i="12"/>
  <c r="C20" i="12"/>
  <c r="C16" i="12"/>
  <c r="C12" i="12"/>
  <c r="I7" i="10"/>
  <c r="J7" i="16"/>
  <c r="I7" i="18"/>
  <c r="AC3" i="5"/>
  <c r="L51" i="5"/>
  <c r="I9" i="10" a="1"/>
  <c r="I9" i="10"/>
  <c r="H9" i="10"/>
  <c r="L93" i="5"/>
  <c r="L170" i="5"/>
  <c r="L179" i="5"/>
  <c r="L180" i="5"/>
  <c r="L171" i="5"/>
  <c r="L58" i="5"/>
  <c r="L48" i="5"/>
  <c r="L166" i="5"/>
  <c r="L160" i="5"/>
  <c r="L178" i="5"/>
  <c r="L173" i="5"/>
  <c r="L91" i="5"/>
  <c r="L55" i="5"/>
  <c r="L167" i="5"/>
  <c r="L164" i="5"/>
  <c r="L165" i="5"/>
  <c r="L39" i="5"/>
  <c r="L172" i="5"/>
  <c r="AB175" i="5" a="1"/>
  <c r="AB175" i="5"/>
  <c r="L174" i="5"/>
  <c r="L85" i="5"/>
  <c r="A4" i="5"/>
  <c r="L76" i="5"/>
  <c r="L47" i="5"/>
  <c r="L38" i="5"/>
  <c r="L17" i="5"/>
  <c r="L63" i="5"/>
  <c r="L62" i="5"/>
  <c r="L161" i="5"/>
  <c r="L151" i="5"/>
  <c r="L27" i="5"/>
  <c r="L23" i="5"/>
  <c r="L33" i="5"/>
  <c r="L18" i="5"/>
  <c r="L15" i="5"/>
  <c r="L7" i="5"/>
  <c r="L68" i="5"/>
  <c r="A180" i="5"/>
  <c r="L13" i="5"/>
  <c r="L31" i="5"/>
  <c r="L22" i="5"/>
  <c r="M41" i="5"/>
  <c r="O41" i="5"/>
  <c r="N41" i="5"/>
  <c r="I41" i="5"/>
  <c r="L41" i="5"/>
  <c r="L19" i="5"/>
  <c r="L169" i="5"/>
  <c r="L34" i="5"/>
  <c r="N23" i="5"/>
  <c r="I23" i="5"/>
  <c r="M23" i="5"/>
  <c r="O23" i="5"/>
  <c r="G149" i="5"/>
  <c r="H149" i="5"/>
  <c r="L149" i="5"/>
  <c r="L5" i="5"/>
  <c r="L11" i="5"/>
  <c r="G41" i="5"/>
  <c r="H41" i="5"/>
  <c r="M149" i="5"/>
  <c r="O149" i="5"/>
  <c r="N149" i="5"/>
  <c r="I149" i="5"/>
  <c r="G45" i="5"/>
  <c r="H45" i="5"/>
  <c r="G23" i="5"/>
  <c r="H23" i="5"/>
  <c r="AB23" i="5" a="1"/>
  <c r="AB23" i="5"/>
  <c r="H198" i="5"/>
  <c r="G198" i="5"/>
  <c r="N45" i="5"/>
  <c r="I45" i="5"/>
  <c r="M45" i="5"/>
  <c r="O45" i="5"/>
  <c r="T198" i="5"/>
  <c r="O198" i="5"/>
  <c r="U198" i="5"/>
  <c r="V198" i="5"/>
  <c r="N198" i="5"/>
  <c r="M198" i="5"/>
  <c r="I198" i="5"/>
  <c r="X198" i="5"/>
  <c r="S198" i="5"/>
  <c r="Y198" i="5"/>
  <c r="Z198" i="5"/>
  <c r="L45" i="5"/>
  <c r="L6" i="5"/>
  <c r="L9" i="5"/>
  <c r="L20" i="5"/>
  <c r="L14" i="5"/>
  <c r="L21" i="5"/>
  <c r="L8" i="5"/>
  <c r="L72" i="5"/>
  <c r="L28" i="5"/>
  <c r="L4" i="5"/>
  <c r="L37" i="5"/>
  <c r="L25" i="5"/>
  <c r="L74" i="5"/>
  <c r="G7" i="5"/>
  <c r="H7" i="5"/>
  <c r="AB7" i="5" a="1"/>
  <c r="AB7" i="5"/>
  <c r="G9" i="5"/>
  <c r="H9" i="5"/>
  <c r="AB9" i="5" a="1"/>
  <c r="AB9" i="5"/>
  <c r="O24" i="5"/>
  <c r="N24" i="5"/>
  <c r="M24" i="5"/>
  <c r="I24" i="5"/>
  <c r="G6" i="5"/>
  <c r="H6" i="5"/>
  <c r="AB6" i="5" a="1"/>
  <c r="AB6" i="5"/>
  <c r="G11" i="5"/>
  <c r="H11" i="5"/>
  <c r="AB11" i="5" a="1"/>
  <c r="AB11" i="5"/>
  <c r="H12" i="5"/>
  <c r="G12" i="5"/>
  <c r="N25" i="5"/>
  <c r="O25" i="5"/>
  <c r="M25" i="5"/>
  <c r="I25" i="5"/>
  <c r="N37" i="5"/>
  <c r="I37" i="5"/>
  <c r="O37" i="5"/>
  <c r="M37" i="5"/>
  <c r="H30" i="5"/>
  <c r="AB30" i="5" a="1"/>
  <c r="AB30" i="5"/>
  <c r="G30" i="5"/>
  <c r="O78" i="5"/>
  <c r="M78" i="5"/>
  <c r="I78" i="5"/>
  <c r="N78" i="5"/>
  <c r="H31" i="5"/>
  <c r="G31" i="5"/>
  <c r="H73" i="5"/>
  <c r="G73" i="5"/>
  <c r="O40" i="5"/>
  <c r="N40" i="5"/>
  <c r="M40" i="5"/>
  <c r="I40" i="5"/>
  <c r="L24" i="5"/>
  <c r="H32" i="5"/>
  <c r="H145" i="5"/>
  <c r="L29" i="5"/>
  <c r="H65" i="5"/>
  <c r="AB65" i="5" a="1"/>
  <c r="AB65" i="5"/>
  <c r="G65" i="5"/>
  <c r="L12" i="5"/>
  <c r="H34" i="5"/>
  <c r="G34" i="5"/>
  <c r="M50" i="5"/>
  <c r="I50" i="5"/>
  <c r="N50" i="5"/>
  <c r="O50" i="5"/>
  <c r="H19" i="5"/>
  <c r="AB19" i="5" a="1"/>
  <c r="AB19" i="5"/>
  <c r="G19" i="5"/>
  <c r="O59" i="5"/>
  <c r="I59" i="5"/>
  <c r="N59" i="5"/>
  <c r="M59" i="5"/>
  <c r="H22" i="5"/>
  <c r="O32" i="5"/>
  <c r="N32" i="5"/>
  <c r="M32" i="5"/>
  <c r="I32" i="5"/>
  <c r="N74" i="5"/>
  <c r="I74" i="5"/>
  <c r="O74" i="5"/>
  <c r="M74" i="5"/>
  <c r="H10" i="5"/>
  <c r="G10" i="5"/>
  <c r="N65" i="5"/>
  <c r="I65" i="5"/>
  <c r="O65" i="5"/>
  <c r="M65" i="5"/>
  <c r="G13" i="5"/>
  <c r="H13" i="5"/>
  <c r="AB13" i="5" a="1"/>
  <c r="AB13" i="5"/>
  <c r="G14" i="5"/>
  <c r="H14" i="5"/>
  <c r="AB14" i="5" a="1"/>
  <c r="AB14" i="5"/>
  <c r="H15" i="5"/>
  <c r="AB15" i="5" a="1"/>
  <c r="AB15" i="5"/>
  <c r="G15" i="5"/>
  <c r="N10" i="5"/>
  <c r="I10" i="5"/>
  <c r="O10" i="5"/>
  <c r="M10" i="5"/>
  <c r="M26" i="5"/>
  <c r="N26" i="5"/>
  <c r="I26" i="5"/>
  <c r="O26" i="5"/>
  <c r="L10" i="5"/>
  <c r="H20" i="5"/>
  <c r="G20" i="5"/>
  <c r="H53" i="5"/>
  <c r="G53" i="5"/>
  <c r="N29" i="5"/>
  <c r="O29" i="5"/>
  <c r="I29" i="5"/>
  <c r="M29" i="5"/>
  <c r="I12" i="5"/>
  <c r="O12" i="5"/>
  <c r="N12" i="5"/>
  <c r="M12" i="5"/>
  <c r="H59" i="5"/>
  <c r="AB59" i="5" a="1"/>
  <c r="AB59" i="5"/>
  <c r="G59" i="5"/>
  <c r="O46" i="5"/>
  <c r="N46" i="5"/>
  <c r="M46" i="5"/>
  <c r="I46" i="5"/>
  <c r="H26" i="5"/>
  <c r="AB26" i="5" a="1"/>
  <c r="AB26" i="5"/>
  <c r="G26" i="5"/>
  <c r="M31" i="5"/>
  <c r="I31" i="5"/>
  <c r="N31" i="5"/>
  <c r="O31" i="5"/>
  <c r="L30" i="5"/>
  <c r="H74" i="5"/>
  <c r="G74" i="5"/>
  <c r="I73" i="5"/>
  <c r="O73" i="5"/>
  <c r="M73" i="5"/>
  <c r="N73" i="5"/>
  <c r="L16" i="5"/>
  <c r="L59" i="5"/>
  <c r="L32" i="5"/>
  <c r="H21" i="5"/>
  <c r="G21" i="5"/>
  <c r="O68" i="5"/>
  <c r="M68" i="5"/>
  <c r="I68" i="5"/>
  <c r="N68" i="5"/>
  <c r="O6" i="5"/>
  <c r="M6" i="5"/>
  <c r="I6" i="5"/>
  <c r="N6" i="5"/>
  <c r="O9" i="5"/>
  <c r="M9" i="5"/>
  <c r="I9" i="5"/>
  <c r="N9" i="5"/>
  <c r="O51" i="5"/>
  <c r="M51" i="5"/>
  <c r="I51" i="5"/>
  <c r="N51" i="5"/>
  <c r="M14" i="5"/>
  <c r="N14" i="5"/>
  <c r="I14" i="5"/>
  <c r="O14" i="5"/>
  <c r="L26" i="5"/>
  <c r="N4" i="5"/>
  <c r="I4" i="5"/>
  <c r="O4" i="5"/>
  <c r="M4" i="5"/>
  <c r="M28" i="5"/>
  <c r="N28" i="5"/>
  <c r="I28" i="5"/>
  <c r="O28" i="5"/>
  <c r="H4" i="5"/>
  <c r="G4" i="5"/>
  <c r="L50" i="5"/>
  <c r="H8" i="5"/>
  <c r="AB8" i="5" a="1"/>
  <c r="AB8" i="5"/>
  <c r="G8" i="5"/>
  <c r="M18" i="5"/>
  <c r="N18" i="5"/>
  <c r="O18" i="5"/>
  <c r="I18" i="5"/>
  <c r="L65" i="5"/>
  <c r="N72" i="5"/>
  <c r="I72" i="5"/>
  <c r="O72" i="5"/>
  <c r="M72" i="5"/>
  <c r="H40" i="5"/>
  <c r="G40" i="5"/>
  <c r="M54" i="5"/>
  <c r="I54" i="5"/>
  <c r="O54" i="5"/>
  <c r="N54" i="5"/>
  <c r="N20" i="5"/>
  <c r="M20" i="5"/>
  <c r="O20" i="5"/>
  <c r="I20" i="5"/>
  <c r="N30" i="5"/>
  <c r="I30" i="5"/>
  <c r="O30" i="5"/>
  <c r="M30" i="5"/>
  <c r="H35" i="5"/>
  <c r="G35" i="5"/>
  <c r="L49" i="5"/>
  <c r="N53" i="5"/>
  <c r="M53" i="5"/>
  <c r="O53" i="5"/>
  <c r="I53" i="5"/>
  <c r="N35" i="5"/>
  <c r="I35" i="5"/>
  <c r="O35" i="5"/>
  <c r="M35" i="5"/>
  <c r="N145" i="5"/>
  <c r="O145" i="5"/>
  <c r="I145" i="5"/>
  <c r="M145" i="5"/>
  <c r="L73" i="5"/>
  <c r="H49" i="5"/>
  <c r="G49" i="5"/>
  <c r="O33" i="5"/>
  <c r="N33" i="5"/>
  <c r="M33" i="5"/>
  <c r="I33" i="5"/>
  <c r="L53" i="5"/>
  <c r="H54" i="5"/>
  <c r="AB54" i="5" a="1"/>
  <c r="AB54" i="5"/>
  <c r="G54" i="5"/>
  <c r="L46" i="5"/>
  <c r="H78" i="5"/>
  <c r="G78" i="5"/>
  <c r="N17" i="5"/>
  <c r="I17" i="5"/>
  <c r="M17" i="5"/>
  <c r="O17" i="5"/>
  <c r="M169" i="5"/>
  <c r="N169" i="5"/>
  <c r="O169" i="5"/>
  <c r="I169" i="5"/>
  <c r="G51" i="5"/>
  <c r="H51" i="5"/>
  <c r="H25" i="5"/>
  <c r="AB25" i="5" a="1"/>
  <c r="AB25" i="5"/>
  <c r="G25" i="5"/>
  <c r="H18" i="5"/>
  <c r="AB18" i="5" a="1"/>
  <c r="AB18" i="5"/>
  <c r="G18" i="5"/>
  <c r="H72" i="5"/>
  <c r="G72" i="5"/>
  <c r="G68" i="5"/>
  <c r="H68" i="5"/>
  <c r="M8" i="5"/>
  <c r="I8" i="5"/>
  <c r="N8" i="5"/>
  <c r="O8" i="5"/>
  <c r="G5" i="5"/>
  <c r="H5" i="5"/>
  <c r="AB5" i="5" a="1"/>
  <c r="AB5" i="5"/>
  <c r="H28" i="5"/>
  <c r="G28" i="5"/>
  <c r="H29" i="5"/>
  <c r="AB29" i="5" a="1"/>
  <c r="AB29" i="5"/>
  <c r="G29" i="5"/>
  <c r="AC28" i="5"/>
  <c r="H16" i="5"/>
  <c r="G16" i="5"/>
  <c r="O5" i="5"/>
  <c r="M5" i="5"/>
  <c r="I5" i="5"/>
  <c r="N5" i="5"/>
  <c r="O7" i="5"/>
  <c r="M7" i="5"/>
  <c r="I7" i="5"/>
  <c r="N7" i="5"/>
  <c r="O11" i="5"/>
  <c r="M11" i="5"/>
  <c r="I11" i="5"/>
  <c r="N11" i="5"/>
  <c r="O13" i="5"/>
  <c r="M13" i="5"/>
  <c r="I13" i="5"/>
  <c r="N13" i="5"/>
  <c r="N15" i="5"/>
  <c r="O15" i="5"/>
  <c r="I15" i="5"/>
  <c r="M15" i="5"/>
  <c r="M49" i="5"/>
  <c r="I49" i="5"/>
  <c r="O49" i="5"/>
  <c r="N49" i="5"/>
  <c r="H46" i="5"/>
  <c r="G46" i="5"/>
  <c r="N21" i="5"/>
  <c r="O21" i="5"/>
  <c r="I21" i="5"/>
  <c r="M21" i="5"/>
  <c r="H50" i="5"/>
  <c r="G50" i="5"/>
  <c r="M16" i="5"/>
  <c r="O16" i="5"/>
  <c r="I16" i="5"/>
  <c r="N16" i="5"/>
  <c r="H37" i="5"/>
  <c r="G37" i="5"/>
  <c r="L40" i="5"/>
  <c r="H33" i="5"/>
  <c r="G33" i="5"/>
  <c r="L54" i="5"/>
  <c r="L78" i="5"/>
  <c r="H17" i="5"/>
  <c r="H169" i="5"/>
  <c r="G169" i="5"/>
  <c r="L35" i="5"/>
  <c r="I34" i="5"/>
  <c r="N34" i="5"/>
  <c r="O34" i="5"/>
  <c r="M34" i="5"/>
  <c r="O19" i="5"/>
  <c r="I19" i="5"/>
  <c r="N19" i="5"/>
  <c r="M19" i="5"/>
  <c r="H24" i="5"/>
  <c r="AB24" i="5" a="1"/>
  <c r="AB24" i="5"/>
  <c r="G24" i="5"/>
  <c r="M22" i="5"/>
  <c r="I22" i="5"/>
  <c r="O22" i="5"/>
  <c r="N22" i="5"/>
  <c r="L145" i="5"/>
  <c r="L150" i="5"/>
  <c r="L101" i="5"/>
  <c r="L158" i="5"/>
  <c r="L143" i="5"/>
  <c r="L98" i="5"/>
  <c r="L84" i="5"/>
  <c r="L66" i="5"/>
  <c r="L162" i="5"/>
  <c r="L64" i="5"/>
  <c r="L157" i="5"/>
  <c r="L103" i="5"/>
  <c r="L96" i="5"/>
  <c r="L90" i="5"/>
  <c r="L75" i="5"/>
  <c r="L168" i="5"/>
  <c r="L95" i="5"/>
  <c r="L80" i="5"/>
  <c r="L94" i="5"/>
  <c r="L89" i="5"/>
  <c r="L82" i="5"/>
  <c r="L86" i="5"/>
  <c r="L146" i="5"/>
  <c r="L71" i="5"/>
  <c r="L88" i="5"/>
  <c r="L43" i="5"/>
  <c r="L148" i="5"/>
  <c r="L100" i="5"/>
  <c r="L92" i="5"/>
  <c r="L81" i="5"/>
  <c r="L67" i="5"/>
  <c r="L99" i="5"/>
  <c r="L79" i="5"/>
  <c r="L70" i="5"/>
  <c r="L155" i="5"/>
  <c r="L144" i="5"/>
  <c r="L97" i="5"/>
  <c r="L69" i="5"/>
  <c r="L87" i="5"/>
  <c r="L77" i="5"/>
  <c r="L176" i="5"/>
  <c r="L159" i="5"/>
  <c r="L153" i="5"/>
  <c r="L102" i="5"/>
  <c r="L60" i="5"/>
  <c r="L83" i="5"/>
  <c r="L56" i="5"/>
  <c r="L152" i="5"/>
  <c r="L61" i="5"/>
  <c r="L163" i="5"/>
  <c r="L57" i="5"/>
  <c r="L52" i="5"/>
  <c r="L156" i="5"/>
  <c r="L147" i="5"/>
  <c r="L175" i="5"/>
  <c r="L154" i="5"/>
  <c r="L142" i="5"/>
  <c r="L36" i="5"/>
  <c r="L42" i="5"/>
  <c r="L44" i="5"/>
  <c r="L141" i="5"/>
  <c r="O137" i="5"/>
  <c r="N137" i="5"/>
  <c r="X137" i="5"/>
  <c r="T137" i="5"/>
  <c r="Y137" i="5"/>
  <c r="U137" i="5"/>
  <c r="Z137" i="5"/>
  <c r="M137" i="5"/>
  <c r="S137" i="5"/>
  <c r="V137" i="5"/>
  <c r="I137" i="5"/>
  <c r="G128" i="5"/>
  <c r="H128" i="5"/>
  <c r="I121" i="5"/>
  <c r="Z121" i="5"/>
  <c r="S121" i="5"/>
  <c r="X121" i="5"/>
  <c r="V121" i="5"/>
  <c r="T121" i="5"/>
  <c r="O121" i="5"/>
  <c r="N121" i="5"/>
  <c r="U121" i="5"/>
  <c r="M121" i="5"/>
  <c r="Y121" i="5"/>
  <c r="H112" i="5"/>
  <c r="G112" i="5"/>
  <c r="U105" i="5"/>
  <c r="M105" i="5"/>
  <c r="N105" i="5"/>
  <c r="T105" i="5"/>
  <c r="V105" i="5"/>
  <c r="Y105" i="5"/>
  <c r="I105" i="5"/>
  <c r="Z105" i="5"/>
  <c r="O105" i="5"/>
  <c r="X105" i="5"/>
  <c r="S105" i="5"/>
  <c r="H167" i="5"/>
  <c r="G167" i="5"/>
  <c r="I153" i="5"/>
  <c r="U153" i="5"/>
  <c r="M153" i="5"/>
  <c r="T153" i="5"/>
  <c r="Y153" i="5"/>
  <c r="N153" i="5"/>
  <c r="O153" i="5"/>
  <c r="V153" i="5"/>
  <c r="Z153" i="5"/>
  <c r="X153" i="5"/>
  <c r="S153" i="5"/>
  <c r="H80" i="5"/>
  <c r="G80" i="5"/>
  <c r="Y95" i="5"/>
  <c r="T95" i="5"/>
  <c r="I95" i="5"/>
  <c r="M95" i="5"/>
  <c r="X95" i="5"/>
  <c r="N95" i="5"/>
  <c r="S95" i="5"/>
  <c r="V95" i="5"/>
  <c r="O95" i="5"/>
  <c r="Z95" i="5"/>
  <c r="U95" i="5"/>
  <c r="H89" i="5"/>
  <c r="AB89" i="5" a="1"/>
  <c r="AB89" i="5"/>
  <c r="G89" i="5"/>
  <c r="Y83" i="5"/>
  <c r="U83" i="5"/>
  <c r="I83" i="5"/>
  <c r="T83" i="5"/>
  <c r="O83" i="5"/>
  <c r="M83" i="5"/>
  <c r="S83" i="5"/>
  <c r="N83" i="5"/>
  <c r="X83" i="5"/>
  <c r="Z83" i="5"/>
  <c r="V83" i="5"/>
  <c r="H61" i="5"/>
  <c r="AB61" i="5" a="1"/>
  <c r="AB61" i="5"/>
  <c r="G61" i="5"/>
  <c r="N138" i="5"/>
  <c r="T138" i="5"/>
  <c r="Z138" i="5"/>
  <c r="O138" i="5"/>
  <c r="X138" i="5"/>
  <c r="V138" i="5"/>
  <c r="U138" i="5"/>
  <c r="M138" i="5"/>
  <c r="I138" i="5"/>
  <c r="Y138" i="5"/>
  <c r="S138" i="5"/>
  <c r="G129" i="5"/>
  <c r="H129" i="5"/>
  <c r="O122" i="5"/>
  <c r="T122" i="5"/>
  <c r="X122" i="5"/>
  <c r="Y122" i="5"/>
  <c r="M122" i="5"/>
  <c r="S122" i="5"/>
  <c r="N122" i="5"/>
  <c r="V122" i="5"/>
  <c r="U122" i="5"/>
  <c r="I122" i="5"/>
  <c r="Z122" i="5"/>
  <c r="G113" i="5"/>
  <c r="H113" i="5"/>
  <c r="N106" i="5"/>
  <c r="V106" i="5"/>
  <c r="U106" i="5"/>
  <c r="I106" i="5"/>
  <c r="Y106" i="5"/>
  <c r="Z106" i="5"/>
  <c r="M106" i="5"/>
  <c r="S106" i="5"/>
  <c r="O106" i="5"/>
  <c r="T106" i="5"/>
  <c r="X106" i="5"/>
  <c r="G170" i="5"/>
  <c r="H170" i="5"/>
  <c r="O157" i="5"/>
  <c r="U157" i="5"/>
  <c r="Y157" i="5"/>
  <c r="I157" i="5"/>
  <c r="V157" i="5"/>
  <c r="S157" i="5"/>
  <c r="N157" i="5"/>
  <c r="M157" i="5"/>
  <c r="Z157" i="5"/>
  <c r="T157" i="5"/>
  <c r="X157" i="5"/>
  <c r="H102" i="5"/>
  <c r="G102" i="5"/>
  <c r="T96" i="5"/>
  <c r="N96" i="5"/>
  <c r="O96" i="5"/>
  <c r="I96" i="5"/>
  <c r="Z96" i="5"/>
  <c r="X96" i="5"/>
  <c r="V96" i="5"/>
  <c r="Y96" i="5"/>
  <c r="U96" i="5"/>
  <c r="S96" i="5"/>
  <c r="M96" i="5"/>
  <c r="G60" i="5"/>
  <c r="H60" i="5"/>
  <c r="AB60" i="5" a="1"/>
  <c r="AB60" i="5"/>
  <c r="N84" i="5"/>
  <c r="O84" i="5"/>
  <c r="S84" i="5"/>
  <c r="I84" i="5"/>
  <c r="X84" i="5"/>
  <c r="Y84" i="5"/>
  <c r="T84" i="5"/>
  <c r="U84" i="5"/>
  <c r="Z84" i="5"/>
  <c r="M84" i="5"/>
  <c r="V84" i="5"/>
  <c r="H56" i="5"/>
  <c r="AB56" i="5" a="1"/>
  <c r="AB56" i="5"/>
  <c r="G56" i="5"/>
  <c r="O66" i="5"/>
  <c r="S66" i="5"/>
  <c r="I66" i="5"/>
  <c r="X66" i="5"/>
  <c r="N66" i="5"/>
  <c r="Y66" i="5"/>
  <c r="T66" i="5"/>
  <c r="U66" i="5"/>
  <c r="Z66" i="5"/>
  <c r="M66" i="5"/>
  <c r="V66" i="5"/>
  <c r="O139" i="5"/>
  <c r="I139" i="5"/>
  <c r="X139" i="5"/>
  <c r="T139" i="5"/>
  <c r="S139" i="5"/>
  <c r="V139" i="5"/>
  <c r="N139" i="5"/>
  <c r="Y139" i="5"/>
  <c r="U139" i="5"/>
  <c r="Z139" i="5"/>
  <c r="M139" i="5"/>
  <c r="G130" i="5"/>
  <c r="H130" i="5"/>
  <c r="O123" i="5"/>
  <c r="T123" i="5"/>
  <c r="Z123" i="5"/>
  <c r="X123" i="5"/>
  <c r="V123" i="5"/>
  <c r="N123" i="5"/>
  <c r="S123" i="5"/>
  <c r="I123" i="5"/>
  <c r="Y123" i="5"/>
  <c r="U123" i="5"/>
  <c r="M123" i="5"/>
  <c r="H114" i="5"/>
  <c r="G114" i="5"/>
  <c r="Y107" i="5"/>
  <c r="I107" i="5"/>
  <c r="N107" i="5"/>
  <c r="U107" i="5"/>
  <c r="M107" i="5"/>
  <c r="V107" i="5"/>
  <c r="T107" i="5"/>
  <c r="X107" i="5"/>
  <c r="S107" i="5"/>
  <c r="O107" i="5"/>
  <c r="Z107" i="5"/>
  <c r="H171" i="5"/>
  <c r="G171" i="5"/>
  <c r="Y158" i="5"/>
  <c r="U158" i="5"/>
  <c r="T158" i="5"/>
  <c r="I158" i="5"/>
  <c r="M158" i="5"/>
  <c r="N158" i="5"/>
  <c r="X158" i="5"/>
  <c r="S158" i="5"/>
  <c r="V158" i="5"/>
  <c r="O158" i="5"/>
  <c r="Z158" i="5"/>
  <c r="H103" i="5"/>
  <c r="G103" i="5"/>
  <c r="N98" i="5"/>
  <c r="S98" i="5"/>
  <c r="O98" i="5"/>
  <c r="I98" i="5"/>
  <c r="Z98" i="5"/>
  <c r="Y98" i="5"/>
  <c r="X98" i="5"/>
  <c r="V98" i="5"/>
  <c r="U98" i="5"/>
  <c r="T98" i="5"/>
  <c r="M98" i="5"/>
  <c r="H90" i="5"/>
  <c r="AB90" i="5" a="1"/>
  <c r="AB90" i="5"/>
  <c r="G90" i="5"/>
  <c r="T39" i="5"/>
  <c r="M39" i="5"/>
  <c r="I39" i="5"/>
  <c r="S39" i="5"/>
  <c r="Y39" i="5"/>
  <c r="U39" i="5"/>
  <c r="O39" i="5"/>
  <c r="Z39" i="5"/>
  <c r="V39" i="5"/>
  <c r="X39" i="5"/>
  <c r="N39" i="5"/>
  <c r="H75" i="5"/>
  <c r="AB75" i="5" a="1"/>
  <c r="AB75" i="5"/>
  <c r="G75" i="5"/>
  <c r="Y173" i="5"/>
  <c r="M173" i="5"/>
  <c r="N173" i="5"/>
  <c r="O173" i="5"/>
  <c r="T173" i="5"/>
  <c r="U173" i="5"/>
  <c r="S173" i="5"/>
  <c r="I173" i="5"/>
  <c r="X173" i="5"/>
  <c r="Z173" i="5"/>
  <c r="V173" i="5"/>
  <c r="O140" i="5"/>
  <c r="Z140" i="5"/>
  <c r="S140" i="5"/>
  <c r="V140" i="5"/>
  <c r="T140" i="5"/>
  <c r="M140" i="5"/>
  <c r="U140" i="5"/>
  <c r="X140" i="5"/>
  <c r="N140" i="5"/>
  <c r="Y140" i="5"/>
  <c r="I140" i="5"/>
  <c r="H131" i="5"/>
  <c r="G131" i="5"/>
  <c r="U124" i="5"/>
  <c r="S124" i="5"/>
  <c r="V124" i="5"/>
  <c r="Z124" i="5"/>
  <c r="T124" i="5"/>
  <c r="Y124" i="5"/>
  <c r="O124" i="5"/>
  <c r="N124" i="5"/>
  <c r="M124" i="5"/>
  <c r="X124" i="5"/>
  <c r="I124" i="5"/>
  <c r="H115" i="5"/>
  <c r="G115" i="5"/>
  <c r="U108" i="5"/>
  <c r="V108" i="5"/>
  <c r="Y108" i="5"/>
  <c r="Z108" i="5"/>
  <c r="M108" i="5"/>
  <c r="S108" i="5"/>
  <c r="O108" i="5"/>
  <c r="N108" i="5"/>
  <c r="I108" i="5"/>
  <c r="T108" i="5"/>
  <c r="X108" i="5"/>
  <c r="H174" i="5"/>
  <c r="G174" i="5"/>
  <c r="N160" i="5"/>
  <c r="Y160" i="5"/>
  <c r="M160" i="5"/>
  <c r="V160" i="5"/>
  <c r="Z160" i="5"/>
  <c r="O160" i="5"/>
  <c r="I160" i="5"/>
  <c r="U160" i="5"/>
  <c r="S160" i="5"/>
  <c r="T160" i="5"/>
  <c r="X160" i="5"/>
  <c r="H143" i="5"/>
  <c r="G143" i="5"/>
  <c r="T97" i="5"/>
  <c r="I97" i="5"/>
  <c r="Y97" i="5"/>
  <c r="U97" i="5"/>
  <c r="M97" i="5"/>
  <c r="S97" i="5"/>
  <c r="O97" i="5"/>
  <c r="Z97" i="5"/>
  <c r="V97" i="5"/>
  <c r="N97" i="5"/>
  <c r="X97" i="5"/>
  <c r="H91" i="5"/>
  <c r="AB91" i="5" a="1"/>
  <c r="AB91" i="5"/>
  <c r="G91" i="5"/>
  <c r="O87" i="5"/>
  <c r="S87" i="5"/>
  <c r="N87" i="5"/>
  <c r="I87" i="5"/>
  <c r="Y87" i="5"/>
  <c r="U87" i="5"/>
  <c r="X87" i="5"/>
  <c r="Z87" i="5"/>
  <c r="M87" i="5"/>
  <c r="T87" i="5"/>
  <c r="V87" i="5"/>
  <c r="G76" i="5"/>
  <c r="H76" i="5"/>
  <c r="AB76" i="5" a="1"/>
  <c r="AB76" i="5"/>
  <c r="N176" i="5"/>
  <c r="S176" i="5"/>
  <c r="O176" i="5"/>
  <c r="I176" i="5"/>
  <c r="T176" i="5"/>
  <c r="V176" i="5"/>
  <c r="Y176" i="5"/>
  <c r="U176" i="5"/>
  <c r="M176" i="5"/>
  <c r="X176" i="5"/>
  <c r="Z176" i="5"/>
  <c r="X57" i="5"/>
  <c r="Y57" i="5"/>
  <c r="Z57" i="5"/>
  <c r="I57" i="5"/>
  <c r="O57" i="5"/>
  <c r="T57" i="5"/>
  <c r="N57" i="5"/>
  <c r="M57" i="5"/>
  <c r="S57" i="5"/>
  <c r="U57" i="5"/>
  <c r="V57" i="5"/>
  <c r="G161" i="5"/>
  <c r="H161" i="5"/>
  <c r="AB161" i="5" a="1"/>
  <c r="AB161" i="5"/>
  <c r="T44" i="5"/>
  <c r="I44" i="5"/>
  <c r="V44" i="5"/>
  <c r="Y44" i="5"/>
  <c r="U44" i="5"/>
  <c r="Z44" i="5"/>
  <c r="S44" i="5"/>
  <c r="N44" i="5"/>
  <c r="M44" i="5"/>
  <c r="O44" i="5"/>
  <c r="X44" i="5"/>
  <c r="G27" i="5"/>
  <c r="H27" i="5"/>
  <c r="U17" i="5"/>
  <c r="X17" i="5"/>
  <c r="V17" i="5"/>
  <c r="Z17" i="5"/>
  <c r="Y17" i="5"/>
  <c r="T17" i="5"/>
  <c r="S17" i="5"/>
  <c r="S49" i="5"/>
  <c r="V49" i="5"/>
  <c r="Y49" i="5"/>
  <c r="T49" i="5"/>
  <c r="Z49" i="5"/>
  <c r="X49" i="5"/>
  <c r="U49" i="5"/>
  <c r="S31" i="5"/>
  <c r="X31" i="5"/>
  <c r="U31" i="5"/>
  <c r="V31" i="5"/>
  <c r="Y31" i="5"/>
  <c r="Z31" i="5"/>
  <c r="T31" i="5"/>
  <c r="X159" i="5"/>
  <c r="Y159" i="5"/>
  <c r="O159" i="5"/>
  <c r="I159" i="5"/>
  <c r="N159" i="5"/>
  <c r="S159" i="5"/>
  <c r="T159" i="5"/>
  <c r="M159" i="5"/>
  <c r="V159" i="5"/>
  <c r="U159" i="5"/>
  <c r="Z159" i="5"/>
  <c r="G42" i="5"/>
  <c r="H42" i="5"/>
  <c r="AB42" i="5" a="1"/>
  <c r="AB42" i="5"/>
  <c r="S149" i="5"/>
  <c r="U149" i="5"/>
  <c r="Z149" i="5"/>
  <c r="X149" i="5"/>
  <c r="V149" i="5"/>
  <c r="T149" i="5"/>
  <c r="Y149" i="5"/>
  <c r="V73" i="5"/>
  <c r="Y73" i="5"/>
  <c r="U73" i="5"/>
  <c r="X73" i="5"/>
  <c r="T73" i="5"/>
  <c r="S73" i="5"/>
  <c r="Z73" i="5"/>
  <c r="H58" i="5"/>
  <c r="AB58" i="5" a="1"/>
  <c r="AB58" i="5"/>
  <c r="G58" i="5"/>
  <c r="V168" i="5"/>
  <c r="S168" i="5"/>
  <c r="O168" i="5"/>
  <c r="Z168" i="5"/>
  <c r="N168" i="5"/>
  <c r="I168" i="5"/>
  <c r="Y168" i="5"/>
  <c r="U168" i="5"/>
  <c r="X168" i="5"/>
  <c r="M168" i="5"/>
  <c r="T168" i="5"/>
  <c r="G154" i="5"/>
  <c r="H154" i="5"/>
  <c r="AB154" i="5" a="1"/>
  <c r="AB154" i="5"/>
  <c r="T36" i="5"/>
  <c r="V36" i="5"/>
  <c r="O36" i="5"/>
  <c r="N36" i="5"/>
  <c r="U36" i="5"/>
  <c r="X36" i="5"/>
  <c r="M36" i="5"/>
  <c r="I36" i="5"/>
  <c r="S36" i="5"/>
  <c r="Z36" i="5"/>
  <c r="Y36" i="5"/>
  <c r="S23" i="5"/>
  <c r="T23" i="5"/>
  <c r="X23" i="5"/>
  <c r="U23" i="5"/>
  <c r="Z23" i="5"/>
  <c r="V23" i="5"/>
  <c r="Y23" i="5"/>
  <c r="S72" i="5"/>
  <c r="V72" i="5"/>
  <c r="T72" i="5"/>
  <c r="U72" i="5"/>
  <c r="Z72" i="5"/>
  <c r="X72" i="5"/>
  <c r="Y72" i="5"/>
  <c r="O62" i="5"/>
  <c r="S62" i="5"/>
  <c r="Z62" i="5"/>
  <c r="V62" i="5"/>
  <c r="I62" i="5"/>
  <c r="T62" i="5"/>
  <c r="Y62" i="5"/>
  <c r="U62" i="5"/>
  <c r="M62" i="5"/>
  <c r="X62" i="5"/>
  <c r="N62" i="5"/>
  <c r="H168" i="5"/>
  <c r="AB168" i="5" a="1"/>
  <c r="AB168" i="5"/>
  <c r="G168" i="5"/>
  <c r="U48" i="5"/>
  <c r="Y48" i="5"/>
  <c r="T48" i="5"/>
  <c r="S48" i="5"/>
  <c r="N48" i="5"/>
  <c r="O48" i="5"/>
  <c r="M48" i="5"/>
  <c r="V48" i="5"/>
  <c r="I48" i="5"/>
  <c r="Z48" i="5"/>
  <c r="X48" i="5"/>
  <c r="G36" i="5"/>
  <c r="H36" i="5"/>
  <c r="AB36" i="5" a="1"/>
  <c r="AB36" i="5"/>
  <c r="S22" i="5"/>
  <c r="X22" i="5"/>
  <c r="T22" i="5"/>
  <c r="Z22" i="5"/>
  <c r="Y22" i="5"/>
  <c r="V22" i="5"/>
  <c r="U22" i="5"/>
  <c r="Y19" i="5"/>
  <c r="T19" i="5"/>
  <c r="Z19" i="5"/>
  <c r="X19" i="5"/>
  <c r="U19" i="5"/>
  <c r="S19" i="5"/>
  <c r="V19" i="5"/>
  <c r="U12" i="5"/>
  <c r="Y12" i="5"/>
  <c r="S12" i="5"/>
  <c r="Z12" i="5"/>
  <c r="X12" i="5"/>
  <c r="V12" i="5"/>
  <c r="T12" i="5"/>
  <c r="U8" i="5"/>
  <c r="S8" i="5"/>
  <c r="Y8" i="5"/>
  <c r="Z8" i="5"/>
  <c r="X8" i="5"/>
  <c r="V8" i="5"/>
  <c r="T8" i="5"/>
  <c r="S18" i="5"/>
  <c r="U18" i="5"/>
  <c r="Y18" i="5"/>
  <c r="X18" i="5"/>
  <c r="V18" i="5"/>
  <c r="T18" i="5"/>
  <c r="Z18" i="5"/>
  <c r="V51" i="5"/>
  <c r="T51" i="5"/>
  <c r="U51" i="5"/>
  <c r="Z51" i="5"/>
  <c r="X51" i="5"/>
  <c r="Y51" i="5"/>
  <c r="S51" i="5"/>
  <c r="Z68" i="5"/>
  <c r="U68" i="5"/>
  <c r="V68" i="5"/>
  <c r="X68" i="5"/>
  <c r="S68" i="5"/>
  <c r="Y68" i="5"/>
  <c r="T68" i="5"/>
  <c r="G196" i="5"/>
  <c r="H196" i="5"/>
  <c r="T183" i="5"/>
  <c r="X183" i="5"/>
  <c r="M183" i="5"/>
  <c r="N183" i="5"/>
  <c r="V183" i="5"/>
  <c r="Z183" i="5"/>
  <c r="I183" i="5"/>
  <c r="S183" i="5"/>
  <c r="U183" i="5"/>
  <c r="O183" i="5"/>
  <c r="Y183" i="5"/>
  <c r="G183" i="5"/>
  <c r="H183" i="5"/>
  <c r="M186" i="5"/>
  <c r="U186" i="5"/>
  <c r="N186" i="5"/>
  <c r="I186" i="5"/>
  <c r="O186" i="5"/>
  <c r="S186" i="5"/>
  <c r="V186" i="5"/>
  <c r="X186" i="5"/>
  <c r="Y186" i="5"/>
  <c r="T186" i="5"/>
  <c r="Z186" i="5"/>
  <c r="G190" i="5"/>
  <c r="H190" i="5"/>
  <c r="N193" i="5"/>
  <c r="V193" i="5"/>
  <c r="I193" i="5"/>
  <c r="O193" i="5"/>
  <c r="T193" i="5"/>
  <c r="X193" i="5"/>
  <c r="M193" i="5"/>
  <c r="Y193" i="5"/>
  <c r="S193" i="5"/>
  <c r="Z193" i="5"/>
  <c r="U193" i="5"/>
  <c r="G132" i="5"/>
  <c r="H132" i="5"/>
  <c r="X125" i="5"/>
  <c r="T125" i="5"/>
  <c r="O125" i="5"/>
  <c r="V125" i="5"/>
  <c r="N125" i="5"/>
  <c r="I125" i="5"/>
  <c r="S125" i="5"/>
  <c r="Z125" i="5"/>
  <c r="Y125" i="5"/>
  <c r="U125" i="5"/>
  <c r="M125" i="5"/>
  <c r="G116" i="5"/>
  <c r="H116" i="5"/>
  <c r="Y109" i="5"/>
  <c r="M109" i="5"/>
  <c r="Z109" i="5"/>
  <c r="T109" i="5"/>
  <c r="U109" i="5"/>
  <c r="N109" i="5"/>
  <c r="I109" i="5"/>
  <c r="O109" i="5"/>
  <c r="V109" i="5"/>
  <c r="X109" i="5"/>
  <c r="S109" i="5"/>
  <c r="H177" i="5"/>
  <c r="G177" i="5"/>
  <c r="I164" i="5"/>
  <c r="T164" i="5"/>
  <c r="Z164" i="5"/>
  <c r="U164" i="5"/>
  <c r="Y164" i="5"/>
  <c r="M164" i="5"/>
  <c r="N164" i="5"/>
  <c r="O164" i="5"/>
  <c r="V164" i="5"/>
  <c r="X164" i="5"/>
  <c r="S164" i="5"/>
  <c r="H144" i="5"/>
  <c r="G144" i="5"/>
  <c r="N99" i="5"/>
  <c r="U99" i="5"/>
  <c r="Y99" i="5"/>
  <c r="M99" i="5"/>
  <c r="I99" i="5"/>
  <c r="S99" i="5"/>
  <c r="T99" i="5"/>
  <c r="X99" i="5"/>
  <c r="O99" i="5"/>
  <c r="Z99" i="5"/>
  <c r="V99" i="5"/>
  <c r="H69" i="5"/>
  <c r="AB69" i="5" a="1"/>
  <c r="AB69" i="5"/>
  <c r="G69" i="5"/>
  <c r="T88" i="5"/>
  <c r="O88" i="5"/>
  <c r="Y88" i="5"/>
  <c r="M88" i="5"/>
  <c r="I88" i="5"/>
  <c r="S88" i="5"/>
  <c r="U88" i="5"/>
  <c r="N88" i="5"/>
  <c r="X88" i="5"/>
  <c r="Z88" i="5"/>
  <c r="V88" i="5"/>
  <c r="H77" i="5"/>
  <c r="AB77" i="5" a="1"/>
  <c r="AB77" i="5"/>
  <c r="G77" i="5"/>
  <c r="M70" i="5"/>
  <c r="X70" i="5"/>
  <c r="I70" i="5"/>
  <c r="T70" i="5"/>
  <c r="O70" i="5"/>
  <c r="Y70" i="5"/>
  <c r="N70" i="5"/>
  <c r="S70" i="5"/>
  <c r="U70" i="5"/>
  <c r="Z70" i="5"/>
  <c r="V70" i="5"/>
  <c r="H133" i="5"/>
  <c r="G133" i="5"/>
  <c r="M126" i="5"/>
  <c r="N126" i="5"/>
  <c r="I126" i="5"/>
  <c r="O126" i="5"/>
  <c r="V126" i="5"/>
  <c r="Y126" i="5"/>
  <c r="Z126" i="5"/>
  <c r="U126" i="5"/>
  <c r="T126" i="5"/>
  <c r="X126" i="5"/>
  <c r="S126" i="5"/>
  <c r="G117" i="5"/>
  <c r="H117" i="5"/>
  <c r="O110" i="5"/>
  <c r="V110" i="5"/>
  <c r="N110" i="5"/>
  <c r="Y110" i="5"/>
  <c r="M110" i="5"/>
  <c r="I110" i="5"/>
  <c r="U110" i="5"/>
  <c r="S110" i="5"/>
  <c r="Z110" i="5"/>
  <c r="T110" i="5"/>
  <c r="X110" i="5"/>
  <c r="G178" i="5"/>
  <c r="H178" i="5"/>
  <c r="O165" i="5"/>
  <c r="Y165" i="5"/>
  <c r="S165" i="5"/>
  <c r="U165" i="5"/>
  <c r="I165" i="5"/>
  <c r="V165" i="5"/>
  <c r="Z165" i="5"/>
  <c r="N165" i="5"/>
  <c r="M165" i="5"/>
  <c r="T165" i="5"/>
  <c r="X165" i="5"/>
  <c r="G146" i="5"/>
  <c r="H146" i="5"/>
  <c r="I100" i="5"/>
  <c r="V100" i="5"/>
  <c r="U100" i="5"/>
  <c r="O100" i="5"/>
  <c r="Z100" i="5"/>
  <c r="N100" i="5"/>
  <c r="S100" i="5"/>
  <c r="M100" i="5"/>
  <c r="Y100" i="5"/>
  <c r="T100" i="5"/>
  <c r="X100" i="5"/>
  <c r="G71" i="5"/>
  <c r="H71" i="5"/>
  <c r="AB71" i="5" a="1"/>
  <c r="AB71" i="5"/>
  <c r="N86" i="5"/>
  <c r="S86" i="5"/>
  <c r="O86" i="5"/>
  <c r="I86" i="5"/>
  <c r="X86" i="5"/>
  <c r="Y86" i="5"/>
  <c r="T86" i="5"/>
  <c r="U86" i="5"/>
  <c r="Z86" i="5"/>
  <c r="M86" i="5"/>
  <c r="V86" i="5"/>
  <c r="H79" i="5"/>
  <c r="AB79" i="5" a="1"/>
  <c r="AB79" i="5"/>
  <c r="G79" i="5"/>
  <c r="N67" i="5"/>
  <c r="S67" i="5"/>
  <c r="O67" i="5"/>
  <c r="I67" i="5"/>
  <c r="Z67" i="5"/>
  <c r="Y67" i="5"/>
  <c r="V67" i="5"/>
  <c r="U67" i="5"/>
  <c r="X67" i="5"/>
  <c r="M67" i="5"/>
  <c r="T67" i="5"/>
  <c r="G134" i="5"/>
  <c r="H134" i="5"/>
  <c r="O127" i="5"/>
  <c r="N127" i="5"/>
  <c r="I127" i="5"/>
  <c r="Z127" i="5"/>
  <c r="X127" i="5"/>
  <c r="T127" i="5"/>
  <c r="S127" i="5"/>
  <c r="V127" i="5"/>
  <c r="M127" i="5"/>
  <c r="Y127" i="5"/>
  <c r="U127" i="5"/>
  <c r="G118" i="5"/>
  <c r="H118" i="5"/>
  <c r="T111" i="5"/>
  <c r="V111" i="5"/>
  <c r="Y111" i="5"/>
  <c r="Z111" i="5"/>
  <c r="I111" i="5"/>
  <c r="U111" i="5"/>
  <c r="M111" i="5"/>
  <c r="X111" i="5"/>
  <c r="N111" i="5"/>
  <c r="S111" i="5"/>
  <c r="O111" i="5"/>
  <c r="H179" i="5"/>
  <c r="G179" i="5"/>
  <c r="Y166" i="5"/>
  <c r="M166" i="5"/>
  <c r="V166" i="5"/>
  <c r="T166" i="5"/>
  <c r="Z166" i="5"/>
  <c r="U166" i="5"/>
  <c r="I166" i="5"/>
  <c r="X166" i="5"/>
  <c r="S166" i="5"/>
  <c r="O166" i="5"/>
  <c r="N166" i="5"/>
  <c r="H148" i="5"/>
  <c r="G148" i="5"/>
  <c r="M101" i="5"/>
  <c r="T101" i="5"/>
  <c r="I101" i="5"/>
  <c r="Y101" i="5"/>
  <c r="V101" i="5"/>
  <c r="X101" i="5"/>
  <c r="U101" i="5"/>
  <c r="Z101" i="5"/>
  <c r="S101" i="5"/>
  <c r="O101" i="5"/>
  <c r="N101" i="5"/>
  <c r="H92" i="5"/>
  <c r="AB92" i="5" a="1"/>
  <c r="AB92" i="5"/>
  <c r="G92" i="5"/>
  <c r="T47" i="5"/>
  <c r="U47" i="5"/>
  <c r="M47" i="5"/>
  <c r="S47" i="5"/>
  <c r="I47" i="5"/>
  <c r="O47" i="5"/>
  <c r="Y47" i="5"/>
  <c r="Z47" i="5"/>
  <c r="V47" i="5"/>
  <c r="X47" i="5"/>
  <c r="N47" i="5"/>
  <c r="H81" i="5"/>
  <c r="AB81" i="5" a="1"/>
  <c r="AB81" i="5"/>
  <c r="G81" i="5"/>
  <c r="N55" i="5"/>
  <c r="M55" i="5"/>
  <c r="I55" i="5"/>
  <c r="Y55" i="5"/>
  <c r="U55" i="5"/>
  <c r="X55" i="5"/>
  <c r="S55" i="5"/>
  <c r="T55" i="5"/>
  <c r="O55" i="5"/>
  <c r="V55" i="5"/>
  <c r="Z55" i="5"/>
  <c r="H135" i="5"/>
  <c r="G135" i="5"/>
  <c r="T128" i="5"/>
  <c r="U128" i="5"/>
  <c r="Y128" i="5"/>
  <c r="V128" i="5"/>
  <c r="S128" i="5"/>
  <c r="Z128" i="5"/>
  <c r="O128" i="5"/>
  <c r="M128" i="5"/>
  <c r="I128" i="5"/>
  <c r="N128" i="5"/>
  <c r="X128" i="5"/>
  <c r="H119" i="5"/>
  <c r="G119" i="5"/>
  <c r="V112" i="5"/>
  <c r="O112" i="5"/>
  <c r="Z112" i="5"/>
  <c r="I112" i="5"/>
  <c r="N112" i="5"/>
  <c r="Y112" i="5"/>
  <c r="S112" i="5"/>
  <c r="M112" i="5"/>
  <c r="U112" i="5"/>
  <c r="T112" i="5"/>
  <c r="X112" i="5"/>
  <c r="H180" i="5"/>
  <c r="G180" i="5"/>
  <c r="O167" i="5"/>
  <c r="V167" i="5"/>
  <c r="M167" i="5"/>
  <c r="U167" i="5"/>
  <c r="S167" i="5"/>
  <c r="Y167" i="5"/>
  <c r="N167" i="5"/>
  <c r="Z167" i="5"/>
  <c r="I167" i="5"/>
  <c r="T167" i="5"/>
  <c r="X167" i="5"/>
  <c r="H150" i="5"/>
  <c r="G150" i="5"/>
  <c r="I80" i="5"/>
  <c r="N80" i="5"/>
  <c r="U80" i="5"/>
  <c r="V80" i="5"/>
  <c r="Y80" i="5"/>
  <c r="O80" i="5"/>
  <c r="M80" i="5"/>
  <c r="S80" i="5"/>
  <c r="Z80" i="5"/>
  <c r="T80" i="5"/>
  <c r="X80" i="5"/>
  <c r="H93" i="5"/>
  <c r="AB93" i="5" a="1"/>
  <c r="AB93" i="5"/>
  <c r="G93" i="5"/>
  <c r="I89" i="5"/>
  <c r="Y89" i="5"/>
  <c r="M89" i="5"/>
  <c r="U89" i="5"/>
  <c r="O89" i="5"/>
  <c r="T89" i="5"/>
  <c r="N89" i="5"/>
  <c r="X89" i="5"/>
  <c r="V89" i="5"/>
  <c r="S89" i="5"/>
  <c r="Z89" i="5"/>
  <c r="G85" i="5"/>
  <c r="H85" i="5"/>
  <c r="AB85" i="5" a="1"/>
  <c r="AB85" i="5"/>
  <c r="N61" i="5"/>
  <c r="O61" i="5"/>
  <c r="S61" i="5"/>
  <c r="I61" i="5"/>
  <c r="Y61" i="5"/>
  <c r="X61" i="5"/>
  <c r="Z61" i="5"/>
  <c r="U61" i="5"/>
  <c r="T61" i="5"/>
  <c r="V61" i="5"/>
  <c r="M61" i="5"/>
  <c r="Y172" i="5"/>
  <c r="N172" i="5"/>
  <c r="O172" i="5"/>
  <c r="T172" i="5"/>
  <c r="U172" i="5"/>
  <c r="S172" i="5"/>
  <c r="I172" i="5"/>
  <c r="X172" i="5"/>
  <c r="M172" i="5"/>
  <c r="Z172" i="5"/>
  <c r="V172" i="5"/>
  <c r="G162" i="5"/>
  <c r="H162" i="5"/>
  <c r="AB162" i="5" a="1"/>
  <c r="AB162" i="5"/>
  <c r="U175" i="5"/>
  <c r="Y175" i="5"/>
  <c r="M175" i="5"/>
  <c r="I175" i="5"/>
  <c r="T175" i="5"/>
  <c r="S175" i="5"/>
  <c r="N175" i="5"/>
  <c r="O175" i="5"/>
  <c r="V175" i="5"/>
  <c r="X175" i="5"/>
  <c r="Z175" i="5"/>
  <c r="G38" i="5"/>
  <c r="H38" i="5"/>
  <c r="AB38" i="5" a="1"/>
  <c r="AB38" i="5"/>
  <c r="U78" i="5"/>
  <c r="X78" i="5"/>
  <c r="Y78" i="5"/>
  <c r="T78" i="5"/>
  <c r="V78" i="5"/>
  <c r="S78" i="5"/>
  <c r="Z78" i="5"/>
  <c r="X35" i="5"/>
  <c r="S35" i="5"/>
  <c r="V35" i="5"/>
  <c r="U35" i="5"/>
  <c r="Z35" i="5"/>
  <c r="Y35" i="5"/>
  <c r="T35" i="5"/>
  <c r="G57" i="5"/>
  <c r="H57" i="5"/>
  <c r="AB57" i="5" a="1"/>
  <c r="AB57" i="5"/>
  <c r="I163" i="5"/>
  <c r="V163" i="5"/>
  <c r="S163" i="5"/>
  <c r="O163" i="5"/>
  <c r="Y163" i="5"/>
  <c r="X163" i="5"/>
  <c r="Z163" i="5"/>
  <c r="U163" i="5"/>
  <c r="N163" i="5"/>
  <c r="T163" i="5"/>
  <c r="M163" i="5"/>
  <c r="G44" i="5"/>
  <c r="H44" i="5"/>
  <c r="AB44" i="5" a="1"/>
  <c r="AB44" i="5"/>
  <c r="I142" i="5"/>
  <c r="S142" i="5"/>
  <c r="O142" i="5"/>
  <c r="X142" i="5"/>
  <c r="V142" i="5"/>
  <c r="T142" i="5"/>
  <c r="N142" i="5"/>
  <c r="Y142" i="5"/>
  <c r="U142" i="5"/>
  <c r="Z142" i="5"/>
  <c r="M142" i="5"/>
  <c r="Y33" i="5"/>
  <c r="S33" i="5"/>
  <c r="U33" i="5"/>
  <c r="X33" i="5"/>
  <c r="Z33" i="5"/>
  <c r="T33" i="5"/>
  <c r="V33" i="5"/>
  <c r="S59" i="5"/>
  <c r="Y59" i="5"/>
  <c r="U59" i="5"/>
  <c r="Z59" i="5"/>
  <c r="X59" i="5"/>
  <c r="V59" i="5"/>
  <c r="T59" i="5"/>
  <c r="G159" i="5"/>
  <c r="H159" i="5"/>
  <c r="AB159" i="5" a="1"/>
  <c r="AB159" i="5"/>
  <c r="T43" i="5"/>
  <c r="Y43" i="5"/>
  <c r="N43" i="5"/>
  <c r="V43" i="5"/>
  <c r="S43" i="5"/>
  <c r="M43" i="5"/>
  <c r="Z43" i="5"/>
  <c r="I43" i="5"/>
  <c r="O43" i="5"/>
  <c r="U43" i="5"/>
  <c r="X43" i="5"/>
  <c r="Y45" i="5"/>
  <c r="U45" i="5"/>
  <c r="X45" i="5"/>
  <c r="V45" i="5"/>
  <c r="S45" i="5"/>
  <c r="T45" i="5"/>
  <c r="Z45" i="5"/>
  <c r="U26" i="5"/>
  <c r="Y26" i="5"/>
  <c r="S26" i="5"/>
  <c r="X26" i="5"/>
  <c r="V26" i="5"/>
  <c r="Z26" i="5"/>
  <c r="T26" i="5"/>
  <c r="S64" i="5"/>
  <c r="O64" i="5"/>
  <c r="I64" i="5"/>
  <c r="Y64" i="5"/>
  <c r="X64" i="5"/>
  <c r="Z64" i="5"/>
  <c r="U64" i="5"/>
  <c r="T64" i="5"/>
  <c r="V64" i="5"/>
  <c r="M64" i="5"/>
  <c r="N64" i="5"/>
  <c r="X161" i="5"/>
  <c r="M161" i="5"/>
  <c r="V161" i="5"/>
  <c r="U161" i="5"/>
  <c r="Z161" i="5"/>
  <c r="Y161" i="5"/>
  <c r="O161" i="5"/>
  <c r="I161" i="5"/>
  <c r="N161" i="5"/>
  <c r="S161" i="5"/>
  <c r="T161" i="5"/>
  <c r="G43" i="5"/>
  <c r="H43" i="5"/>
  <c r="AB43" i="5" a="1"/>
  <c r="AB43" i="5"/>
  <c r="I27" i="5"/>
  <c r="O27" i="5"/>
  <c r="S27" i="5"/>
  <c r="T27" i="5"/>
  <c r="Z27" i="5"/>
  <c r="Y27" i="5"/>
  <c r="V27" i="5"/>
  <c r="U27" i="5"/>
  <c r="N27" i="5"/>
  <c r="M27" i="5"/>
  <c r="X27" i="5"/>
  <c r="T32" i="5"/>
  <c r="Z32" i="5"/>
  <c r="U32" i="5"/>
  <c r="X32" i="5"/>
  <c r="V32" i="5"/>
  <c r="S32" i="5"/>
  <c r="Y32" i="5"/>
  <c r="Y34" i="5"/>
  <c r="T34" i="5"/>
  <c r="S34" i="5"/>
  <c r="X34" i="5"/>
  <c r="V34" i="5"/>
  <c r="U34" i="5"/>
  <c r="Z34" i="5"/>
  <c r="Y29" i="5"/>
  <c r="X29" i="5"/>
  <c r="U29" i="5"/>
  <c r="S29" i="5"/>
  <c r="V29" i="5"/>
  <c r="T29" i="5"/>
  <c r="Z29" i="5"/>
  <c r="S9" i="5"/>
  <c r="V9" i="5"/>
  <c r="T9" i="5"/>
  <c r="U9" i="5"/>
  <c r="Z9" i="5"/>
  <c r="X9" i="5"/>
  <c r="Y9" i="5"/>
  <c r="Y11" i="5"/>
  <c r="S11" i="5"/>
  <c r="U11" i="5"/>
  <c r="X11" i="5"/>
  <c r="Z11" i="5"/>
  <c r="T11" i="5"/>
  <c r="V11" i="5"/>
  <c r="I188" i="5"/>
  <c r="O188" i="5"/>
  <c r="S188" i="5"/>
  <c r="M188" i="5"/>
  <c r="U188" i="5"/>
  <c r="N188" i="5"/>
  <c r="T188" i="5"/>
  <c r="Y188" i="5"/>
  <c r="V188" i="5"/>
  <c r="Z188" i="5"/>
  <c r="X188" i="5"/>
  <c r="U15" i="5"/>
  <c r="S15" i="5"/>
  <c r="Y15" i="5"/>
  <c r="Z15" i="5"/>
  <c r="V15" i="5"/>
  <c r="X15" i="5"/>
  <c r="T15" i="5"/>
  <c r="G197" i="5"/>
  <c r="H197" i="5"/>
  <c r="I184" i="5"/>
  <c r="O184" i="5"/>
  <c r="S184" i="5"/>
  <c r="M184" i="5"/>
  <c r="U184" i="5"/>
  <c r="X184" i="5"/>
  <c r="Y184" i="5"/>
  <c r="Z184" i="5"/>
  <c r="T184" i="5"/>
  <c r="N184" i="5"/>
  <c r="V184" i="5"/>
  <c r="G192" i="5"/>
  <c r="H192" i="5"/>
  <c r="T195" i="5"/>
  <c r="M195" i="5"/>
  <c r="N195" i="5"/>
  <c r="V195" i="5"/>
  <c r="I195" i="5"/>
  <c r="U195" i="5"/>
  <c r="Z195" i="5"/>
  <c r="O195" i="5"/>
  <c r="X195" i="5"/>
  <c r="S195" i="5"/>
  <c r="Y195" i="5"/>
  <c r="H195" i="5"/>
  <c r="G195" i="5"/>
  <c r="M182" i="5"/>
  <c r="U182" i="5"/>
  <c r="N182" i="5"/>
  <c r="I182" i="5"/>
  <c r="O182" i="5"/>
  <c r="S182" i="5"/>
  <c r="T182" i="5"/>
  <c r="V182" i="5"/>
  <c r="Y182" i="5"/>
  <c r="X182" i="5"/>
  <c r="Z182" i="5"/>
  <c r="G186" i="5"/>
  <c r="H186" i="5"/>
  <c r="N189" i="5"/>
  <c r="V189" i="5"/>
  <c r="I189" i="5"/>
  <c r="O189" i="5"/>
  <c r="T189" i="5"/>
  <c r="X189" i="5"/>
  <c r="M189" i="5"/>
  <c r="S189" i="5"/>
  <c r="U189" i="5"/>
  <c r="Y189" i="5"/>
  <c r="Z189" i="5"/>
  <c r="G136" i="5"/>
  <c r="H136" i="5"/>
  <c r="O129" i="5"/>
  <c r="S129" i="5"/>
  <c r="T129" i="5"/>
  <c r="X129" i="5"/>
  <c r="M129" i="5"/>
  <c r="Z129" i="5"/>
  <c r="I129" i="5"/>
  <c r="V129" i="5"/>
  <c r="Y129" i="5"/>
  <c r="N129" i="5"/>
  <c r="U129" i="5"/>
  <c r="G120" i="5"/>
  <c r="H120" i="5"/>
  <c r="U113" i="5"/>
  <c r="I113" i="5"/>
  <c r="N113" i="5"/>
  <c r="Y113" i="5"/>
  <c r="M113" i="5"/>
  <c r="V113" i="5"/>
  <c r="T113" i="5"/>
  <c r="Z113" i="5"/>
  <c r="O113" i="5"/>
  <c r="X113" i="5"/>
  <c r="S113" i="5"/>
  <c r="H104" i="5"/>
  <c r="G104" i="5"/>
  <c r="U170" i="5"/>
  <c r="T170" i="5"/>
  <c r="N170" i="5"/>
  <c r="V170" i="5"/>
  <c r="I170" i="5"/>
  <c r="Y170" i="5"/>
  <c r="M170" i="5"/>
  <c r="O170" i="5"/>
  <c r="Z170" i="5"/>
  <c r="X170" i="5"/>
  <c r="S170" i="5"/>
  <c r="H152" i="5"/>
  <c r="G152" i="5"/>
  <c r="M102" i="5"/>
  <c r="I102" i="5"/>
  <c r="Y102" i="5"/>
  <c r="T102" i="5"/>
  <c r="N102" i="5"/>
  <c r="O102" i="5"/>
  <c r="V102" i="5"/>
  <c r="Z102" i="5"/>
  <c r="X102" i="5"/>
  <c r="S102" i="5"/>
  <c r="U102" i="5"/>
  <c r="H94" i="5"/>
  <c r="AB94" i="5" a="1"/>
  <c r="AB94" i="5"/>
  <c r="G94" i="5"/>
  <c r="Y60" i="5"/>
  <c r="T60" i="5"/>
  <c r="M60" i="5"/>
  <c r="I60" i="5"/>
  <c r="X60" i="5"/>
  <c r="N60" i="5"/>
  <c r="S60" i="5"/>
  <c r="V60" i="5"/>
  <c r="O60" i="5"/>
  <c r="Z60" i="5"/>
  <c r="U60" i="5"/>
  <c r="H82" i="5"/>
  <c r="AB82" i="5" a="1"/>
  <c r="AB82" i="5"/>
  <c r="G82" i="5"/>
  <c r="N56" i="5"/>
  <c r="I56" i="5"/>
  <c r="T56" i="5"/>
  <c r="S56" i="5"/>
  <c r="M56" i="5"/>
  <c r="X56" i="5"/>
  <c r="O56" i="5"/>
  <c r="U56" i="5"/>
  <c r="Y56" i="5"/>
  <c r="Z56" i="5"/>
  <c r="V56" i="5"/>
  <c r="G137" i="5"/>
  <c r="H137" i="5"/>
  <c r="O130" i="5"/>
  <c r="Z130" i="5"/>
  <c r="V130" i="5"/>
  <c r="X130" i="5"/>
  <c r="M130" i="5"/>
  <c r="N130" i="5"/>
  <c r="Y130" i="5"/>
  <c r="T130" i="5"/>
  <c r="S130" i="5"/>
  <c r="I130" i="5"/>
  <c r="U130" i="5"/>
  <c r="G121" i="5"/>
  <c r="H121" i="5"/>
  <c r="U114" i="5"/>
  <c r="V114" i="5"/>
  <c r="I114" i="5"/>
  <c r="N114" i="5"/>
  <c r="Z114" i="5"/>
  <c r="S114" i="5"/>
  <c r="Y114" i="5"/>
  <c r="M114" i="5"/>
  <c r="O114" i="5"/>
  <c r="T114" i="5"/>
  <c r="X114" i="5"/>
  <c r="G105" i="5"/>
  <c r="H105" i="5"/>
  <c r="Y171" i="5"/>
  <c r="I171" i="5"/>
  <c r="V171" i="5"/>
  <c r="U171" i="5"/>
  <c r="O171" i="5"/>
  <c r="N171" i="5"/>
  <c r="Z171" i="5"/>
  <c r="M171" i="5"/>
  <c r="S171" i="5"/>
  <c r="T171" i="5"/>
  <c r="X171" i="5"/>
  <c r="H153" i="5"/>
  <c r="G153" i="5"/>
  <c r="I103" i="5"/>
  <c r="S103" i="5"/>
  <c r="M103" i="5"/>
  <c r="Y103" i="5"/>
  <c r="V103" i="5"/>
  <c r="U103" i="5"/>
  <c r="N103" i="5"/>
  <c r="O103" i="5"/>
  <c r="Z103" i="5"/>
  <c r="T103" i="5"/>
  <c r="X103" i="5"/>
  <c r="H95" i="5"/>
  <c r="G95" i="5"/>
  <c r="V90" i="5"/>
  <c r="S90" i="5"/>
  <c r="M90" i="5"/>
  <c r="I90" i="5"/>
  <c r="U90" i="5"/>
  <c r="Y90" i="5"/>
  <c r="N90" i="5"/>
  <c r="O90" i="5"/>
  <c r="Z90" i="5"/>
  <c r="T90" i="5"/>
  <c r="X90" i="5"/>
  <c r="G83" i="5"/>
  <c r="H83" i="5"/>
  <c r="AB83" i="5" a="1"/>
  <c r="AB83" i="5"/>
  <c r="N75" i="5"/>
  <c r="S75" i="5"/>
  <c r="O75" i="5"/>
  <c r="I75" i="5"/>
  <c r="X75" i="5"/>
  <c r="Y75" i="5"/>
  <c r="T75" i="5"/>
  <c r="U75" i="5"/>
  <c r="Z75" i="5"/>
  <c r="M75" i="5"/>
  <c r="V75" i="5"/>
  <c r="G172" i="5"/>
  <c r="H172" i="5"/>
  <c r="AB172" i="5" a="1"/>
  <c r="AB172" i="5"/>
  <c r="G138" i="5"/>
  <c r="H138" i="5"/>
  <c r="X131" i="5"/>
  <c r="T131" i="5"/>
  <c r="S131" i="5"/>
  <c r="O131" i="5"/>
  <c r="I131" i="5"/>
  <c r="N131" i="5"/>
  <c r="U131" i="5"/>
  <c r="M131" i="5"/>
  <c r="Z131" i="5"/>
  <c r="V131" i="5"/>
  <c r="Y131" i="5"/>
  <c r="G122" i="5"/>
  <c r="H122" i="5"/>
  <c r="O115" i="5"/>
  <c r="X115" i="5"/>
  <c r="Z115" i="5"/>
  <c r="S115" i="5"/>
  <c r="V115" i="5"/>
  <c r="I115" i="5"/>
  <c r="N115" i="5"/>
  <c r="T115" i="5"/>
  <c r="Y115" i="5"/>
  <c r="U115" i="5"/>
  <c r="M115" i="5"/>
  <c r="H106" i="5"/>
  <c r="G106" i="5"/>
  <c r="U174" i="5"/>
  <c r="T174" i="5"/>
  <c r="N174" i="5"/>
  <c r="Y174" i="5"/>
  <c r="I174" i="5"/>
  <c r="M174" i="5"/>
  <c r="V174" i="5"/>
  <c r="X174" i="5"/>
  <c r="Z174" i="5"/>
  <c r="S174" i="5"/>
  <c r="O174" i="5"/>
  <c r="H157" i="5"/>
  <c r="G157" i="5"/>
  <c r="I143" i="5"/>
  <c r="T143" i="5"/>
  <c r="Y143" i="5"/>
  <c r="M143" i="5"/>
  <c r="X143" i="5"/>
  <c r="N143" i="5"/>
  <c r="S143" i="5"/>
  <c r="V143" i="5"/>
  <c r="O143" i="5"/>
  <c r="U143" i="5"/>
  <c r="Z143" i="5"/>
  <c r="H96" i="5"/>
  <c r="G96" i="5"/>
  <c r="Y91" i="5"/>
  <c r="M91" i="5"/>
  <c r="I91" i="5"/>
  <c r="T91" i="5"/>
  <c r="Z91" i="5"/>
  <c r="O91" i="5"/>
  <c r="N91" i="5"/>
  <c r="X91" i="5"/>
  <c r="U91" i="5"/>
  <c r="V91" i="5"/>
  <c r="S91" i="5"/>
  <c r="H84" i="5"/>
  <c r="AB84" i="5" a="1"/>
  <c r="AB84" i="5"/>
  <c r="G84" i="5"/>
  <c r="T76" i="5"/>
  <c r="Y76" i="5"/>
  <c r="U76" i="5"/>
  <c r="S76" i="5"/>
  <c r="M76" i="5"/>
  <c r="O76" i="5"/>
  <c r="I76" i="5"/>
  <c r="Z76" i="5"/>
  <c r="V76" i="5"/>
  <c r="X76" i="5"/>
  <c r="N76" i="5"/>
  <c r="H66" i="5"/>
  <c r="AB66" i="5" a="1"/>
  <c r="AB66" i="5"/>
  <c r="G66" i="5"/>
  <c r="G139" i="5"/>
  <c r="H139" i="5"/>
  <c r="N132" i="5"/>
  <c r="S132" i="5"/>
  <c r="M132" i="5"/>
  <c r="V132" i="5"/>
  <c r="O132" i="5"/>
  <c r="U132" i="5"/>
  <c r="T132" i="5"/>
  <c r="I132" i="5"/>
  <c r="Y132" i="5"/>
  <c r="X132" i="5"/>
  <c r="Z132" i="5"/>
  <c r="H123" i="5"/>
  <c r="G123" i="5"/>
  <c r="N116" i="5"/>
  <c r="O116" i="5"/>
  <c r="Z116" i="5"/>
  <c r="X116" i="5"/>
  <c r="V116" i="5"/>
  <c r="S116" i="5"/>
  <c r="I116" i="5"/>
  <c r="Y116" i="5"/>
  <c r="M116" i="5"/>
  <c r="U116" i="5"/>
  <c r="T116" i="5"/>
  <c r="H107" i="5"/>
  <c r="G107" i="5"/>
  <c r="V177" i="5"/>
  <c r="O177" i="5"/>
  <c r="Y177" i="5"/>
  <c r="Z177" i="5"/>
  <c r="M177" i="5"/>
  <c r="I177" i="5"/>
  <c r="N177" i="5"/>
  <c r="S177" i="5"/>
  <c r="U177" i="5"/>
  <c r="T177" i="5"/>
  <c r="X177" i="5"/>
  <c r="G158" i="5"/>
  <c r="H158" i="5"/>
  <c r="Z144" i="5"/>
  <c r="I144" i="5"/>
  <c r="Y144" i="5"/>
  <c r="U144" i="5"/>
  <c r="M144" i="5"/>
  <c r="N144" i="5"/>
  <c r="O144" i="5"/>
  <c r="V144" i="5"/>
  <c r="S144" i="5"/>
  <c r="T144" i="5"/>
  <c r="X144" i="5"/>
  <c r="H98" i="5"/>
  <c r="G98" i="5"/>
  <c r="N69" i="5"/>
  <c r="S69" i="5"/>
  <c r="O69" i="5"/>
  <c r="Y69" i="5"/>
  <c r="M69" i="5"/>
  <c r="I69" i="5"/>
  <c r="Z69" i="5"/>
  <c r="V69" i="5"/>
  <c r="U69" i="5"/>
  <c r="T69" i="5"/>
  <c r="X69" i="5"/>
  <c r="G39" i="5"/>
  <c r="H39" i="5"/>
  <c r="AB39" i="5" a="1"/>
  <c r="AB39" i="5"/>
  <c r="N77" i="5"/>
  <c r="O77" i="5"/>
  <c r="S77" i="5"/>
  <c r="I77" i="5"/>
  <c r="Y77" i="5"/>
  <c r="U77" i="5"/>
  <c r="X77" i="5"/>
  <c r="Z77" i="5"/>
  <c r="M77" i="5"/>
  <c r="T77" i="5"/>
  <c r="V77" i="5"/>
  <c r="H173" i="5"/>
  <c r="AB173" i="5" a="1"/>
  <c r="AB173" i="5"/>
  <c r="G173" i="5"/>
  <c r="H62" i="5"/>
  <c r="AB62" i="5" a="1"/>
  <c r="AB62" i="5"/>
  <c r="G62" i="5"/>
  <c r="O52" i="5"/>
  <c r="V52" i="5"/>
  <c r="S52" i="5"/>
  <c r="N52" i="5"/>
  <c r="Z52" i="5"/>
  <c r="I52" i="5"/>
  <c r="Y52" i="5"/>
  <c r="X52" i="5"/>
  <c r="U52" i="5"/>
  <c r="T52" i="5"/>
  <c r="M52" i="5"/>
  <c r="G151" i="5"/>
  <c r="H151" i="5"/>
  <c r="AB151" i="5" a="1"/>
  <c r="AB151" i="5"/>
  <c r="O141" i="5"/>
  <c r="U141" i="5"/>
  <c r="X141" i="5"/>
  <c r="I141" i="5"/>
  <c r="M141" i="5"/>
  <c r="T141" i="5"/>
  <c r="V141" i="5"/>
  <c r="Z141" i="5"/>
  <c r="N141" i="5"/>
  <c r="Y141" i="5"/>
  <c r="S141" i="5"/>
  <c r="V53" i="5"/>
  <c r="X53" i="5"/>
  <c r="Z53" i="5"/>
  <c r="Y53" i="5"/>
  <c r="T53" i="5"/>
  <c r="U53" i="5"/>
  <c r="S53" i="5"/>
  <c r="S37" i="5"/>
  <c r="V37" i="5"/>
  <c r="T37" i="5"/>
  <c r="U37" i="5"/>
  <c r="Z37" i="5"/>
  <c r="X37" i="5"/>
  <c r="Y37" i="5"/>
  <c r="G175" i="5"/>
  <c r="O147" i="5"/>
  <c r="S147" i="5"/>
  <c r="I147" i="5"/>
  <c r="N147" i="5"/>
  <c r="T147" i="5"/>
  <c r="M147" i="5"/>
  <c r="V147" i="5"/>
  <c r="X147" i="5"/>
  <c r="U147" i="5"/>
  <c r="Z147" i="5"/>
  <c r="Y147" i="5"/>
  <c r="U21" i="5"/>
  <c r="Y21" i="5"/>
  <c r="S21" i="5"/>
  <c r="T21" i="5"/>
  <c r="X21" i="5"/>
  <c r="V21" i="5"/>
  <c r="Z21" i="5"/>
  <c r="N63" i="5"/>
  <c r="X63" i="5"/>
  <c r="T63" i="5"/>
  <c r="V63" i="5"/>
  <c r="U63" i="5"/>
  <c r="O63" i="5"/>
  <c r="M63" i="5"/>
  <c r="I63" i="5"/>
  <c r="Z63" i="5"/>
  <c r="Y63" i="5"/>
  <c r="S63" i="5"/>
  <c r="G163" i="5"/>
  <c r="H163" i="5"/>
  <c r="AB163" i="5" a="1"/>
  <c r="AB163" i="5"/>
  <c r="T156" i="5"/>
  <c r="M156" i="5"/>
  <c r="Y156" i="5"/>
  <c r="S156" i="5"/>
  <c r="Z156" i="5"/>
  <c r="O156" i="5"/>
  <c r="I156" i="5"/>
  <c r="N156" i="5"/>
  <c r="V156" i="5"/>
  <c r="U156" i="5"/>
  <c r="X156" i="5"/>
  <c r="H142" i="5"/>
  <c r="AB142" i="5" a="1"/>
  <c r="AB142" i="5"/>
  <c r="G142" i="5"/>
  <c r="U145" i="5"/>
  <c r="Y145" i="5"/>
  <c r="S145" i="5"/>
  <c r="T145" i="5"/>
  <c r="Z145" i="5"/>
  <c r="X145" i="5"/>
  <c r="V145" i="5"/>
  <c r="Y41" i="5"/>
  <c r="U41" i="5"/>
  <c r="T41" i="5"/>
  <c r="Z41" i="5"/>
  <c r="X41" i="5"/>
  <c r="V41" i="5"/>
  <c r="S41" i="5"/>
  <c r="Y4" i="5"/>
  <c r="U4" i="5"/>
  <c r="S4" i="5"/>
  <c r="T4" i="5"/>
  <c r="X4" i="5"/>
  <c r="V4" i="5"/>
  <c r="Z4" i="5"/>
  <c r="O162" i="5"/>
  <c r="I162" i="5"/>
  <c r="V162" i="5"/>
  <c r="M162" i="5"/>
  <c r="T162" i="5"/>
  <c r="S162" i="5"/>
  <c r="N162" i="5"/>
  <c r="Z162" i="5"/>
  <c r="Y162" i="5"/>
  <c r="U162" i="5"/>
  <c r="X162" i="5"/>
  <c r="G156" i="5"/>
  <c r="H156" i="5"/>
  <c r="AB156" i="5" a="1"/>
  <c r="AB156" i="5"/>
  <c r="I38" i="5"/>
  <c r="S38" i="5"/>
  <c r="O38" i="5"/>
  <c r="N38" i="5"/>
  <c r="M38" i="5"/>
  <c r="X38" i="5"/>
  <c r="T38" i="5"/>
  <c r="Z38" i="5"/>
  <c r="Y38" i="5"/>
  <c r="V38" i="5"/>
  <c r="U38" i="5"/>
  <c r="U16" i="5"/>
  <c r="S16" i="5"/>
  <c r="Y16" i="5"/>
  <c r="X16" i="5"/>
  <c r="V16" i="5"/>
  <c r="Z16" i="5"/>
  <c r="T16" i="5"/>
  <c r="U30" i="5"/>
  <c r="Y30" i="5"/>
  <c r="X30" i="5"/>
  <c r="V30" i="5"/>
  <c r="S30" i="5"/>
  <c r="T30" i="5"/>
  <c r="Z30" i="5"/>
  <c r="S10" i="5"/>
  <c r="X10" i="5"/>
  <c r="Y10" i="5"/>
  <c r="V10" i="5"/>
  <c r="T10" i="5"/>
  <c r="U10" i="5"/>
  <c r="Z10" i="5"/>
  <c r="I196" i="5"/>
  <c r="O196" i="5"/>
  <c r="S196" i="5"/>
  <c r="M196" i="5"/>
  <c r="U196" i="5"/>
  <c r="T196" i="5"/>
  <c r="Y196" i="5"/>
  <c r="V196" i="5"/>
  <c r="Z196" i="5"/>
  <c r="N196" i="5"/>
  <c r="X196" i="5"/>
  <c r="U20" i="5"/>
  <c r="Y20" i="5"/>
  <c r="S20" i="5"/>
  <c r="V20" i="5"/>
  <c r="T20" i="5"/>
  <c r="Z20" i="5"/>
  <c r="X20" i="5"/>
  <c r="S13" i="5"/>
  <c r="V13" i="5"/>
  <c r="T13" i="5"/>
  <c r="U13" i="5"/>
  <c r="Z13" i="5"/>
  <c r="X13" i="5"/>
  <c r="Y13" i="5"/>
  <c r="I192" i="5"/>
  <c r="O192" i="5"/>
  <c r="S192" i="5"/>
  <c r="M192" i="5"/>
  <c r="U192" i="5"/>
  <c r="X192" i="5"/>
  <c r="Y192" i="5"/>
  <c r="N192" i="5"/>
  <c r="Z192" i="5"/>
  <c r="T192" i="5"/>
  <c r="V192" i="5"/>
  <c r="X25" i="5"/>
  <c r="V25" i="5"/>
  <c r="Y25" i="5"/>
  <c r="Z25" i="5"/>
  <c r="S25" i="5"/>
  <c r="T25" i="5"/>
  <c r="U25" i="5"/>
  <c r="S14" i="5"/>
  <c r="U14" i="5"/>
  <c r="Y14" i="5"/>
  <c r="X14" i="5"/>
  <c r="T14" i="5"/>
  <c r="V14" i="5"/>
  <c r="Z14" i="5"/>
  <c r="G185" i="5"/>
  <c r="H185" i="5"/>
  <c r="S5" i="5"/>
  <c r="A146" i="5"/>
  <c r="A152" i="5"/>
  <c r="A140" i="5"/>
  <c r="A138" i="5"/>
  <c r="A134" i="5"/>
  <c r="A160" i="5"/>
  <c r="A69" i="5"/>
  <c r="A114" i="5"/>
  <c r="A46" i="5"/>
  <c r="A161" i="5"/>
  <c r="A172" i="5"/>
  <c r="A66" i="5"/>
  <c r="A174" i="5"/>
  <c r="A168" i="5"/>
  <c r="A158" i="5"/>
  <c r="A170" i="5"/>
  <c r="A178" i="5"/>
  <c r="A156" i="5"/>
  <c r="A106" i="5"/>
  <c r="A70" i="5"/>
  <c r="A82" i="5"/>
  <c r="A74" i="5"/>
  <c r="A44" i="5"/>
  <c r="A177" i="5"/>
  <c r="A169" i="5"/>
  <c r="A167" i="5"/>
  <c r="A159" i="5"/>
  <c r="A136" i="5"/>
  <c r="A150" i="5"/>
  <c r="A76" i="5"/>
  <c r="A176" i="5"/>
  <c r="A128" i="5"/>
  <c r="A110" i="5"/>
  <c r="A71" i="5"/>
  <c r="A108" i="5"/>
  <c r="A126" i="5"/>
  <c r="A80" i="5"/>
  <c r="A48" i="5"/>
  <c r="A179" i="5"/>
  <c r="A175" i="5"/>
  <c r="A165" i="5"/>
  <c r="A157" i="5"/>
  <c r="A144" i="5"/>
  <c r="A130" i="5"/>
  <c r="A148" i="5"/>
  <c r="A132" i="5"/>
  <c r="A166" i="5"/>
  <c r="A154" i="5"/>
  <c r="A162" i="5"/>
  <c r="A142" i="5"/>
  <c r="A78" i="5"/>
  <c r="A164" i="5"/>
  <c r="A124" i="5"/>
  <c r="A120" i="5"/>
  <c r="A112" i="5"/>
  <c r="A122" i="5"/>
  <c r="A118" i="5"/>
  <c r="A72" i="5"/>
  <c r="A171" i="5"/>
  <c r="A163" i="5"/>
  <c r="A155" i="5"/>
  <c r="A173" i="5"/>
  <c r="A116" i="5"/>
  <c r="A111" i="5"/>
  <c r="A149" i="5"/>
  <c r="A141" i="5"/>
  <c r="A133" i="5"/>
  <c r="A125" i="5"/>
  <c r="A89" i="5"/>
  <c r="A81" i="5"/>
  <c r="A73" i="5"/>
  <c r="A68" i="5"/>
  <c r="A104" i="5"/>
  <c r="A102" i="5"/>
  <c r="A100" i="5"/>
  <c r="A98" i="5"/>
  <c r="A96" i="5"/>
  <c r="A94" i="5"/>
  <c r="A92" i="5"/>
  <c r="A90" i="5"/>
  <c r="A60" i="5"/>
  <c r="A52" i="5"/>
  <c r="A39" i="5"/>
  <c r="A63" i="5"/>
  <c r="A53" i="5"/>
  <c r="A45" i="5"/>
  <c r="A36" i="5"/>
  <c r="A32" i="5"/>
  <c r="A35" i="5"/>
  <c r="T5" i="5"/>
  <c r="A10" i="5"/>
  <c r="A18" i="5"/>
  <c r="A26" i="5"/>
  <c r="Y5" i="5"/>
  <c r="Z5" i="5"/>
  <c r="A13" i="5"/>
  <c r="A21" i="5"/>
  <c r="A14" i="5"/>
  <c r="A25" i="5"/>
  <c r="A113" i="5"/>
  <c r="A147" i="5"/>
  <c r="A139" i="5"/>
  <c r="A131" i="5"/>
  <c r="A123" i="5"/>
  <c r="A101" i="5"/>
  <c r="A97" i="5"/>
  <c r="A93" i="5"/>
  <c r="A87" i="5"/>
  <c r="A75" i="5"/>
  <c r="A84" i="5"/>
  <c r="A54" i="5"/>
  <c r="A41" i="5"/>
  <c r="A65" i="5"/>
  <c r="A59" i="5"/>
  <c r="A51" i="5"/>
  <c r="A43" i="5"/>
  <c r="A34" i="5"/>
  <c r="A29" i="5"/>
  <c r="X5" i="5"/>
  <c r="A12" i="5"/>
  <c r="A20" i="5"/>
  <c r="A5" i="5"/>
  <c r="A7" i="5"/>
  <c r="A15" i="5"/>
  <c r="A23" i="5"/>
  <c r="A107" i="5"/>
  <c r="A153" i="5"/>
  <c r="A145" i="5"/>
  <c r="A137" i="5"/>
  <c r="A129" i="5"/>
  <c r="A121" i="5"/>
  <c r="A117" i="5"/>
  <c r="A115" i="5"/>
  <c r="A64" i="5"/>
  <c r="A85" i="5"/>
  <c r="A77" i="5"/>
  <c r="A86" i="5"/>
  <c r="A56" i="5"/>
  <c r="A40" i="5"/>
  <c r="A57" i="5"/>
  <c r="A49" i="5"/>
  <c r="A28" i="5"/>
  <c r="A31" i="5"/>
  <c r="A6" i="5"/>
  <c r="A22" i="5"/>
  <c r="A9" i="5"/>
  <c r="A17" i="5"/>
  <c r="A109" i="5"/>
  <c r="A151" i="5"/>
  <c r="A143" i="5"/>
  <c r="A135" i="5"/>
  <c r="A127" i="5"/>
  <c r="A119" i="5"/>
  <c r="A67" i="5"/>
  <c r="A105" i="5"/>
  <c r="A103" i="5"/>
  <c r="A99" i="5"/>
  <c r="A95" i="5"/>
  <c r="A91" i="5"/>
  <c r="A83" i="5"/>
  <c r="A79" i="5"/>
  <c r="A88" i="5"/>
  <c r="A62" i="5"/>
  <c r="A58" i="5"/>
  <c r="A50" i="5"/>
  <c r="A37" i="5"/>
  <c r="A42" i="5"/>
  <c r="A61" i="5"/>
  <c r="A55" i="5"/>
  <c r="A47" i="5"/>
  <c r="A38" i="5"/>
  <c r="A30" i="5"/>
  <c r="A33" i="5"/>
  <c r="A8" i="5"/>
  <c r="A16" i="5"/>
  <c r="A24" i="5"/>
  <c r="U5" i="5"/>
  <c r="V5" i="5"/>
  <c r="A11" i="5"/>
  <c r="A19" i="5"/>
  <c r="A27" i="5"/>
  <c r="G181" i="5"/>
  <c r="H181" i="5"/>
  <c r="G188" i="5"/>
  <c r="H188" i="5"/>
  <c r="T191" i="5"/>
  <c r="X191" i="5"/>
  <c r="M191" i="5"/>
  <c r="N191" i="5"/>
  <c r="V191" i="5"/>
  <c r="Z191" i="5"/>
  <c r="O191" i="5"/>
  <c r="S191" i="5"/>
  <c r="U191" i="5"/>
  <c r="I191" i="5"/>
  <c r="Y191" i="5"/>
  <c r="G191" i="5"/>
  <c r="H191" i="5"/>
  <c r="M194" i="5"/>
  <c r="U194" i="5"/>
  <c r="N194" i="5"/>
  <c r="I194" i="5"/>
  <c r="O194" i="5"/>
  <c r="S194" i="5"/>
  <c r="V194" i="5"/>
  <c r="X194" i="5"/>
  <c r="Y194" i="5"/>
  <c r="T194" i="5"/>
  <c r="Z194" i="5"/>
  <c r="G182" i="5"/>
  <c r="H182" i="5"/>
  <c r="N185" i="5"/>
  <c r="V185" i="5"/>
  <c r="I185" i="5"/>
  <c r="O185" i="5"/>
  <c r="T185" i="5"/>
  <c r="X185" i="5"/>
  <c r="Y185" i="5"/>
  <c r="S185" i="5"/>
  <c r="Z185" i="5"/>
  <c r="M185" i="5"/>
  <c r="U185" i="5"/>
  <c r="G140" i="5"/>
  <c r="H140" i="5"/>
  <c r="O133" i="5"/>
  <c r="Z133" i="5"/>
  <c r="V133" i="5"/>
  <c r="T133" i="5"/>
  <c r="N133" i="5"/>
  <c r="X133" i="5"/>
  <c r="U133" i="5"/>
  <c r="M133" i="5"/>
  <c r="I133" i="5"/>
  <c r="Y133" i="5"/>
  <c r="S133" i="5"/>
  <c r="G124" i="5"/>
  <c r="H124" i="5"/>
  <c r="T117" i="5"/>
  <c r="O117" i="5"/>
  <c r="V117" i="5"/>
  <c r="S117" i="5"/>
  <c r="N117" i="5"/>
  <c r="I117" i="5"/>
  <c r="X117" i="5"/>
  <c r="Y117" i="5"/>
  <c r="Z117" i="5"/>
  <c r="U117" i="5"/>
  <c r="M117" i="5"/>
  <c r="H108" i="5"/>
  <c r="G108" i="5"/>
  <c r="Y178" i="5"/>
  <c r="I178" i="5"/>
  <c r="Z178" i="5"/>
  <c r="M178" i="5"/>
  <c r="U178" i="5"/>
  <c r="T178" i="5"/>
  <c r="O178" i="5"/>
  <c r="N178" i="5"/>
  <c r="X178" i="5"/>
  <c r="V178" i="5"/>
  <c r="S178" i="5"/>
  <c r="H160" i="5"/>
  <c r="G160" i="5"/>
  <c r="I146" i="5"/>
  <c r="M146" i="5"/>
  <c r="T146" i="5"/>
  <c r="Y146" i="5"/>
  <c r="Z146" i="5"/>
  <c r="O146" i="5"/>
  <c r="U146" i="5"/>
  <c r="N146" i="5"/>
  <c r="X146" i="5"/>
  <c r="V146" i="5"/>
  <c r="S146" i="5"/>
  <c r="G97" i="5"/>
  <c r="H97" i="5"/>
  <c r="Y71" i="5"/>
  <c r="T71" i="5"/>
  <c r="I71" i="5"/>
  <c r="M71" i="5"/>
  <c r="V71" i="5"/>
  <c r="X71" i="5"/>
  <c r="Z71" i="5"/>
  <c r="S71" i="5"/>
  <c r="U71" i="5"/>
  <c r="O71" i="5"/>
  <c r="N71" i="5"/>
  <c r="H87" i="5"/>
  <c r="AB87" i="5" a="1"/>
  <c r="AB87" i="5"/>
  <c r="G87" i="5"/>
  <c r="T79" i="5"/>
  <c r="M79" i="5"/>
  <c r="I79" i="5"/>
  <c r="S79" i="5"/>
  <c r="U79" i="5"/>
  <c r="O79" i="5"/>
  <c r="Y79" i="5"/>
  <c r="N79" i="5"/>
  <c r="X79" i="5"/>
  <c r="Z79" i="5"/>
  <c r="V79" i="5"/>
  <c r="H176" i="5"/>
  <c r="AB176" i="5" a="1"/>
  <c r="AB176" i="5"/>
  <c r="G176" i="5"/>
  <c r="O134" i="5"/>
  <c r="V134" i="5"/>
  <c r="Z134" i="5"/>
  <c r="I134" i="5"/>
  <c r="Y134" i="5"/>
  <c r="U134" i="5"/>
  <c r="M134" i="5"/>
  <c r="X134" i="5"/>
  <c r="S134" i="5"/>
  <c r="T134" i="5"/>
  <c r="N134" i="5"/>
  <c r="G125" i="5"/>
  <c r="H125" i="5"/>
  <c r="I118" i="5"/>
  <c r="M118" i="5"/>
  <c r="U118" i="5"/>
  <c r="Y118" i="5"/>
  <c r="N118" i="5"/>
  <c r="T118" i="5"/>
  <c r="X118" i="5"/>
  <c r="V118" i="5"/>
  <c r="S118" i="5"/>
  <c r="Z118" i="5"/>
  <c r="O118" i="5"/>
  <c r="G109" i="5"/>
  <c r="H109" i="5"/>
  <c r="I179" i="5"/>
  <c r="Y179" i="5"/>
  <c r="U179" i="5"/>
  <c r="Z179" i="5"/>
  <c r="O179" i="5"/>
  <c r="S179" i="5"/>
  <c r="M179" i="5"/>
  <c r="N179" i="5"/>
  <c r="V179" i="5"/>
  <c r="T179" i="5"/>
  <c r="X179" i="5"/>
  <c r="H164" i="5"/>
  <c r="G164" i="5"/>
  <c r="Z148" i="5"/>
  <c r="N148" i="5"/>
  <c r="S148" i="5"/>
  <c r="M148" i="5"/>
  <c r="Y148" i="5"/>
  <c r="V148" i="5"/>
  <c r="I148" i="5"/>
  <c r="U148" i="5"/>
  <c r="O148" i="5"/>
  <c r="T148" i="5"/>
  <c r="X148" i="5"/>
  <c r="H99" i="5"/>
  <c r="G99" i="5"/>
  <c r="N92" i="5"/>
  <c r="Y92" i="5"/>
  <c r="Z92" i="5"/>
  <c r="V92" i="5"/>
  <c r="I92" i="5"/>
  <c r="U92" i="5"/>
  <c r="M92" i="5"/>
  <c r="O92" i="5"/>
  <c r="S92" i="5"/>
  <c r="T92" i="5"/>
  <c r="X92" i="5"/>
  <c r="H88" i="5"/>
  <c r="AB88" i="5" a="1"/>
  <c r="AB88" i="5"/>
  <c r="G88" i="5"/>
  <c r="N81" i="5"/>
  <c r="S81" i="5"/>
  <c r="O81" i="5"/>
  <c r="I81" i="5"/>
  <c r="X81" i="5"/>
  <c r="Y81" i="5"/>
  <c r="T81" i="5"/>
  <c r="U81" i="5"/>
  <c r="Z81" i="5"/>
  <c r="M81" i="5"/>
  <c r="V81" i="5"/>
  <c r="G70" i="5"/>
  <c r="H70" i="5"/>
  <c r="AB70" i="5" a="1"/>
  <c r="AB70" i="5"/>
  <c r="S135" i="5"/>
  <c r="T135" i="5"/>
  <c r="V135" i="5"/>
  <c r="N135" i="5"/>
  <c r="X135" i="5"/>
  <c r="I135" i="5"/>
  <c r="Z135" i="5"/>
  <c r="Y135" i="5"/>
  <c r="U135" i="5"/>
  <c r="O135" i="5"/>
  <c r="M135" i="5"/>
  <c r="G126" i="5"/>
  <c r="H126" i="5"/>
  <c r="T119" i="5"/>
  <c r="O119" i="5"/>
  <c r="N119" i="5"/>
  <c r="Z119" i="5"/>
  <c r="I119" i="5"/>
  <c r="X119" i="5"/>
  <c r="S119" i="5"/>
  <c r="M119" i="5"/>
  <c r="V119" i="5"/>
  <c r="Y119" i="5"/>
  <c r="U119" i="5"/>
  <c r="H110" i="5"/>
  <c r="G110" i="5"/>
  <c r="Y180" i="5"/>
  <c r="I180" i="5"/>
  <c r="V180" i="5"/>
  <c r="U180" i="5"/>
  <c r="M180" i="5"/>
  <c r="Z180" i="5"/>
  <c r="T180" i="5"/>
  <c r="X180" i="5"/>
  <c r="N180" i="5"/>
  <c r="S180" i="5"/>
  <c r="O180" i="5"/>
  <c r="H165" i="5"/>
  <c r="G165" i="5"/>
  <c r="I150" i="5"/>
  <c r="M150" i="5"/>
  <c r="T150" i="5"/>
  <c r="Y150" i="5"/>
  <c r="V150" i="5"/>
  <c r="X150" i="5"/>
  <c r="U150" i="5"/>
  <c r="Z150" i="5"/>
  <c r="S150" i="5"/>
  <c r="O150" i="5"/>
  <c r="N150" i="5"/>
  <c r="H100" i="5"/>
  <c r="G100" i="5"/>
  <c r="Y93" i="5"/>
  <c r="I93" i="5"/>
  <c r="M93" i="5"/>
  <c r="T93" i="5"/>
  <c r="N93" i="5"/>
  <c r="O93" i="5"/>
  <c r="U93" i="5"/>
  <c r="V93" i="5"/>
  <c r="Z93" i="5"/>
  <c r="X93" i="5"/>
  <c r="S93" i="5"/>
  <c r="G86" i="5"/>
  <c r="H86" i="5"/>
  <c r="AB86" i="5" a="1"/>
  <c r="AB86" i="5"/>
  <c r="T85" i="5"/>
  <c r="Y85" i="5"/>
  <c r="I85" i="5"/>
  <c r="U85" i="5"/>
  <c r="S85" i="5"/>
  <c r="M85" i="5"/>
  <c r="O85" i="5"/>
  <c r="Z85" i="5"/>
  <c r="V85" i="5"/>
  <c r="X85" i="5"/>
  <c r="N85" i="5"/>
  <c r="G67" i="5"/>
  <c r="H67" i="5"/>
  <c r="AB67" i="5" a="1"/>
  <c r="AB67" i="5"/>
  <c r="I136" i="5"/>
  <c r="U136" i="5"/>
  <c r="S136" i="5"/>
  <c r="O136" i="5"/>
  <c r="V136" i="5"/>
  <c r="T136" i="5"/>
  <c r="M136" i="5"/>
  <c r="Z136" i="5"/>
  <c r="Y136" i="5"/>
  <c r="N136" i="5"/>
  <c r="X136" i="5"/>
  <c r="G127" i="5"/>
  <c r="H127" i="5"/>
  <c r="S120" i="5"/>
  <c r="V120" i="5"/>
  <c r="N120" i="5"/>
  <c r="M120" i="5"/>
  <c r="O120" i="5"/>
  <c r="T120" i="5"/>
  <c r="I120" i="5"/>
  <c r="Z120" i="5"/>
  <c r="X120" i="5"/>
  <c r="U120" i="5"/>
  <c r="Y120" i="5"/>
  <c r="H111" i="5"/>
  <c r="G111" i="5"/>
  <c r="V104" i="5"/>
  <c r="U104" i="5"/>
  <c r="Y104" i="5"/>
  <c r="N104" i="5"/>
  <c r="Z104" i="5"/>
  <c r="S104" i="5"/>
  <c r="I104" i="5"/>
  <c r="M104" i="5"/>
  <c r="O104" i="5"/>
  <c r="T104" i="5"/>
  <c r="X104" i="5"/>
  <c r="G166" i="5"/>
  <c r="H166" i="5"/>
  <c r="Z152" i="5"/>
  <c r="I152" i="5"/>
  <c r="O152" i="5"/>
  <c r="V152" i="5"/>
  <c r="S152" i="5"/>
  <c r="U152" i="5"/>
  <c r="Y152" i="5"/>
  <c r="N152" i="5"/>
  <c r="M152" i="5"/>
  <c r="T152" i="5"/>
  <c r="X152" i="5"/>
  <c r="H101" i="5"/>
  <c r="G101" i="5"/>
  <c r="U94" i="5"/>
  <c r="O94" i="5"/>
  <c r="Y94" i="5"/>
  <c r="I94" i="5"/>
  <c r="N94" i="5"/>
  <c r="Z94" i="5"/>
  <c r="M94" i="5"/>
  <c r="S94" i="5"/>
  <c r="V94" i="5"/>
  <c r="T94" i="5"/>
  <c r="X94" i="5"/>
  <c r="G47" i="5"/>
  <c r="H47" i="5"/>
  <c r="AB47" i="5" a="1"/>
  <c r="AB47" i="5"/>
  <c r="N82" i="5"/>
  <c r="S82" i="5"/>
  <c r="O82" i="5"/>
  <c r="I82" i="5"/>
  <c r="Y82" i="5"/>
  <c r="U82" i="5"/>
  <c r="X82" i="5"/>
  <c r="Z82" i="5"/>
  <c r="M82" i="5"/>
  <c r="T82" i="5"/>
  <c r="V82" i="5"/>
  <c r="G55" i="5"/>
  <c r="H55" i="5"/>
  <c r="AB55" i="5" a="1"/>
  <c r="AB55" i="5"/>
  <c r="H64" i="5"/>
  <c r="AB64" i="5" a="1"/>
  <c r="AB64" i="5"/>
  <c r="G64" i="5"/>
  <c r="G48" i="5"/>
  <c r="H48" i="5"/>
  <c r="AB48" i="5" a="1"/>
  <c r="AB48" i="5"/>
  <c r="I42" i="5"/>
  <c r="O42" i="5"/>
  <c r="Z42" i="5"/>
  <c r="N42" i="5"/>
  <c r="S42" i="5"/>
  <c r="M42" i="5"/>
  <c r="Y42" i="5"/>
  <c r="V42" i="5"/>
  <c r="T42" i="5"/>
  <c r="U42" i="5"/>
  <c r="X42" i="5"/>
  <c r="U74" i="5"/>
  <c r="S74" i="5"/>
  <c r="X74" i="5"/>
  <c r="V74" i="5"/>
  <c r="Y74" i="5"/>
  <c r="Z74" i="5"/>
  <c r="T74" i="5"/>
  <c r="O58" i="5"/>
  <c r="S58" i="5"/>
  <c r="I58" i="5"/>
  <c r="X58" i="5"/>
  <c r="Z58" i="5"/>
  <c r="Y58" i="5"/>
  <c r="T58" i="5"/>
  <c r="V58" i="5"/>
  <c r="U58" i="5"/>
  <c r="N58" i="5"/>
  <c r="M58" i="5"/>
  <c r="H52" i="5"/>
  <c r="AB52" i="5" a="1"/>
  <c r="AB52" i="5"/>
  <c r="G52" i="5"/>
  <c r="O154" i="5"/>
  <c r="T154" i="5"/>
  <c r="X154" i="5"/>
  <c r="Y154" i="5"/>
  <c r="I154" i="5"/>
  <c r="N154" i="5"/>
  <c r="M154" i="5"/>
  <c r="V154" i="5"/>
  <c r="S154" i="5"/>
  <c r="U154" i="5"/>
  <c r="Z154" i="5"/>
  <c r="G141" i="5"/>
  <c r="H141" i="5"/>
  <c r="S46" i="5"/>
  <c r="X46" i="5"/>
  <c r="V46" i="5"/>
  <c r="T46" i="5"/>
  <c r="Y46" i="5"/>
  <c r="U46" i="5"/>
  <c r="Z46" i="5"/>
  <c r="U50" i="5"/>
  <c r="S50" i="5"/>
  <c r="Y50" i="5"/>
  <c r="Z50" i="5"/>
  <c r="T50" i="5"/>
  <c r="X50" i="5"/>
  <c r="V50" i="5"/>
  <c r="U65" i="5"/>
  <c r="Y65" i="5"/>
  <c r="S65" i="5"/>
  <c r="X65" i="5"/>
  <c r="V65" i="5"/>
  <c r="T65" i="5"/>
  <c r="Z65" i="5"/>
  <c r="T155" i="5"/>
  <c r="N155" i="5"/>
  <c r="S155" i="5"/>
  <c r="X155" i="5"/>
  <c r="V155" i="5"/>
  <c r="U155" i="5"/>
  <c r="Z155" i="5"/>
  <c r="Y155" i="5"/>
  <c r="O155" i="5"/>
  <c r="M155" i="5"/>
  <c r="I155" i="5"/>
  <c r="H147" i="5"/>
  <c r="AB147" i="5" a="1"/>
  <c r="AB147" i="5"/>
  <c r="G147" i="5"/>
  <c r="U169" i="5"/>
  <c r="X169" i="5"/>
  <c r="Z169" i="5"/>
  <c r="T169" i="5"/>
  <c r="V169" i="5"/>
  <c r="Y169" i="5"/>
  <c r="S169" i="5"/>
  <c r="S54" i="5"/>
  <c r="X54" i="5"/>
  <c r="Y54" i="5"/>
  <c r="V54" i="5"/>
  <c r="T54" i="5"/>
  <c r="U54" i="5"/>
  <c r="Z54" i="5"/>
  <c r="H63" i="5"/>
  <c r="AB63" i="5" a="1"/>
  <c r="AB63" i="5"/>
  <c r="G63" i="5"/>
  <c r="G155" i="5"/>
  <c r="H155" i="5"/>
  <c r="AB155" i="5" a="1"/>
  <c r="AB155" i="5"/>
  <c r="O151" i="5"/>
  <c r="S151" i="5"/>
  <c r="I151" i="5"/>
  <c r="N151" i="5"/>
  <c r="X151" i="5"/>
  <c r="M151" i="5"/>
  <c r="V151" i="5"/>
  <c r="U151" i="5"/>
  <c r="Z151" i="5"/>
  <c r="Y151" i="5"/>
  <c r="T151" i="5"/>
  <c r="X24" i="5"/>
  <c r="S24" i="5"/>
  <c r="T24" i="5"/>
  <c r="Z24" i="5"/>
  <c r="Y24" i="5"/>
  <c r="V24" i="5"/>
  <c r="U24" i="5"/>
  <c r="Y40" i="5"/>
  <c r="U40" i="5"/>
  <c r="S40" i="5"/>
  <c r="X40" i="5"/>
  <c r="V40" i="5"/>
  <c r="T40" i="5"/>
  <c r="Z40" i="5"/>
  <c r="Z6" i="5"/>
  <c r="Y6" i="5"/>
  <c r="S6" i="5"/>
  <c r="V6" i="5"/>
  <c r="U6" i="5"/>
  <c r="T6" i="5"/>
  <c r="X6" i="5"/>
  <c r="H193" i="5"/>
  <c r="G193" i="5"/>
  <c r="H189" i="5"/>
  <c r="G189" i="5"/>
  <c r="S28" i="5"/>
  <c r="U28" i="5"/>
  <c r="Y28" i="5"/>
  <c r="V28" i="5"/>
  <c r="T28" i="5"/>
  <c r="Z28" i="5"/>
  <c r="X28" i="5"/>
  <c r="S7" i="5"/>
  <c r="X7" i="5"/>
  <c r="Y7" i="5"/>
  <c r="V7" i="5"/>
  <c r="T7" i="5"/>
  <c r="U7" i="5"/>
  <c r="Z7" i="5"/>
  <c r="G184" i="5"/>
  <c r="H184" i="5"/>
  <c r="T187" i="5"/>
  <c r="X187" i="5"/>
  <c r="M187" i="5"/>
  <c r="N187" i="5"/>
  <c r="V187" i="5"/>
  <c r="O187" i="5"/>
  <c r="U187" i="5"/>
  <c r="Z187" i="5"/>
  <c r="I187" i="5"/>
  <c r="S187" i="5"/>
  <c r="Y187" i="5"/>
  <c r="G187" i="5"/>
  <c r="H187" i="5"/>
  <c r="M190" i="5"/>
  <c r="U190" i="5"/>
  <c r="N190" i="5"/>
  <c r="I190" i="5"/>
  <c r="O190" i="5"/>
  <c r="S190" i="5"/>
  <c r="T190" i="5"/>
  <c r="V190" i="5"/>
  <c r="Y190" i="5"/>
  <c r="X190" i="5"/>
  <c r="Z190" i="5"/>
  <c r="G194" i="5"/>
  <c r="H194" i="5"/>
  <c r="N197" i="5"/>
  <c r="V197" i="5"/>
  <c r="I197" i="5"/>
  <c r="O197" i="5"/>
  <c r="T197" i="5"/>
  <c r="S197" i="5"/>
  <c r="X197" i="5"/>
  <c r="U197" i="5"/>
  <c r="Y197" i="5"/>
  <c r="M197" i="5"/>
  <c r="Z197" i="5"/>
  <c r="N181" i="5"/>
  <c r="V181" i="5"/>
  <c r="I181" i="5"/>
  <c r="O181" i="5"/>
  <c r="T181" i="5"/>
  <c r="X181" i="5"/>
  <c r="S181" i="5"/>
  <c r="U181" i="5"/>
  <c r="Y181" i="5"/>
  <c r="M181" i="5"/>
  <c r="Z181" i="5"/>
  <c r="A3" i="5"/>
  <c r="T3" i="5"/>
  <c r="V3" i="5"/>
  <c r="O3" i="5"/>
  <c r="N3" i="5"/>
  <c r="Z3" i="5"/>
  <c r="S3" i="5"/>
  <c r="X3" i="5"/>
  <c r="L3" i="5"/>
  <c r="Y3" i="5"/>
  <c r="I3" i="5"/>
  <c r="U3" i="5"/>
  <c r="M3" i="5"/>
  <c r="A247" i="5" a="1"/>
  <c r="A247" i="5"/>
  <c r="A248" i="5" a="1"/>
  <c r="A248" i="5"/>
  <c r="A249" i="5" a="1"/>
  <c r="A249" i="5"/>
  <c r="A250" i="5" a="1"/>
  <c r="A250" i="5"/>
  <c r="A251" i="5" a="1"/>
  <c r="A251" i="5"/>
  <c r="A252" i="5" a="1"/>
  <c r="A252" i="5"/>
  <c r="A253" i="5" a="1"/>
  <c r="A253" i="5"/>
  <c r="A254" i="5" a="1"/>
  <c r="A254" i="5"/>
  <c r="P5" i="18"/>
  <c r="P5" i="10"/>
  <c r="E53" i="12"/>
  <c r="F53" i="12"/>
  <c r="M53" i="12"/>
  <c r="D53" i="12"/>
  <c r="I53" i="12"/>
  <c r="G53" i="12"/>
  <c r="H53" i="12"/>
  <c r="K53" i="12"/>
  <c r="L53" i="12"/>
  <c r="H24" i="12"/>
  <c r="G24" i="12"/>
  <c r="K24" i="12"/>
  <c r="D24" i="12"/>
  <c r="I24" i="12"/>
  <c r="L24" i="12"/>
  <c r="E24" i="12"/>
  <c r="F24" i="12"/>
  <c r="M24" i="12"/>
  <c r="L40" i="12"/>
  <c r="D40" i="12"/>
  <c r="I40" i="12"/>
  <c r="E40" i="12"/>
  <c r="F40" i="12"/>
  <c r="M40" i="12"/>
  <c r="G40" i="12"/>
  <c r="H40" i="12"/>
  <c r="K40" i="12"/>
  <c r="H56" i="12"/>
  <c r="D56" i="12"/>
  <c r="I56" i="12"/>
  <c r="K56" i="12"/>
  <c r="E56" i="12"/>
  <c r="F56" i="12"/>
  <c r="M56" i="12"/>
  <c r="G56" i="12"/>
  <c r="L56" i="12"/>
  <c r="L72" i="12"/>
  <c r="D72" i="12"/>
  <c r="I72" i="12"/>
  <c r="E72" i="12"/>
  <c r="F72" i="12"/>
  <c r="M72" i="12"/>
  <c r="H72" i="12"/>
  <c r="G72" i="12"/>
  <c r="K72" i="12"/>
  <c r="L88" i="12"/>
  <c r="K88" i="12"/>
  <c r="D88" i="12"/>
  <c r="I88" i="12"/>
  <c r="E88" i="12"/>
  <c r="F88" i="12"/>
  <c r="M88" i="12"/>
  <c r="H88" i="12"/>
  <c r="G88" i="12"/>
  <c r="L104" i="12"/>
  <c r="E104" i="12"/>
  <c r="F104" i="12"/>
  <c r="M104" i="12"/>
  <c r="H104" i="12"/>
  <c r="D104" i="12"/>
  <c r="I104" i="12"/>
  <c r="G104" i="12"/>
  <c r="K104" i="12"/>
  <c r="H21" i="12"/>
  <c r="K21" i="12"/>
  <c r="E21" i="12"/>
  <c r="F21" i="12"/>
  <c r="M21" i="12"/>
  <c r="G21" i="12"/>
  <c r="L21" i="12"/>
  <c r="D21" i="12"/>
  <c r="I21" i="12"/>
  <c r="L37" i="12"/>
  <c r="H37" i="12"/>
  <c r="D37" i="12"/>
  <c r="I37" i="12"/>
  <c r="E37" i="12"/>
  <c r="F37" i="12"/>
  <c r="M37" i="12"/>
  <c r="G37" i="12"/>
  <c r="K37" i="12"/>
  <c r="H20" i="12"/>
  <c r="K20" i="12"/>
  <c r="D20" i="12"/>
  <c r="I20" i="12"/>
  <c r="L20" i="12"/>
  <c r="E20" i="12"/>
  <c r="F20" i="12"/>
  <c r="M20" i="12"/>
  <c r="G20" i="12"/>
  <c r="H36" i="12"/>
  <c r="D36" i="12"/>
  <c r="I36" i="12"/>
  <c r="G36" i="12"/>
  <c r="E36" i="12"/>
  <c r="F36" i="12"/>
  <c r="M36" i="12"/>
  <c r="L36" i="12"/>
  <c r="K36" i="12"/>
  <c r="E52" i="12"/>
  <c r="F52" i="12"/>
  <c r="M52" i="12"/>
  <c r="K52" i="12"/>
  <c r="L52" i="12"/>
  <c r="G52" i="12"/>
  <c r="D52" i="12"/>
  <c r="I52" i="12"/>
  <c r="H52" i="12"/>
  <c r="L68" i="12"/>
  <c r="H68" i="12"/>
  <c r="D68" i="12"/>
  <c r="I68" i="12"/>
  <c r="E68" i="12"/>
  <c r="F68" i="12"/>
  <c r="M68" i="12"/>
  <c r="K68" i="12"/>
  <c r="G68" i="12"/>
  <c r="L84" i="12"/>
  <c r="D84" i="12"/>
  <c r="I84" i="12"/>
  <c r="G84" i="12"/>
  <c r="E84" i="12"/>
  <c r="F84" i="12"/>
  <c r="M84" i="12"/>
  <c r="H84" i="12"/>
  <c r="K84" i="12"/>
  <c r="L100" i="12"/>
  <c r="K100" i="12"/>
  <c r="D100" i="12"/>
  <c r="I100" i="12"/>
  <c r="G100" i="12"/>
  <c r="E100" i="12"/>
  <c r="F100" i="12"/>
  <c r="M100" i="12"/>
  <c r="H100" i="12"/>
  <c r="L17" i="12"/>
  <c r="G17" i="12"/>
  <c r="D17" i="12"/>
  <c r="I17" i="12"/>
  <c r="K17" i="12"/>
  <c r="E17" i="12"/>
  <c r="F17" i="12"/>
  <c r="M17" i="12"/>
  <c r="H17" i="12"/>
  <c r="L33" i="12"/>
  <c r="H33" i="12"/>
  <c r="K33" i="12"/>
  <c r="E33" i="12"/>
  <c r="F33" i="12"/>
  <c r="M33" i="12"/>
  <c r="G33" i="12"/>
  <c r="D33" i="12"/>
  <c r="I33" i="12"/>
  <c r="K49" i="12"/>
  <c r="G49" i="12"/>
  <c r="L49" i="12"/>
  <c r="D49" i="12"/>
  <c r="I49" i="12"/>
  <c r="E49" i="12"/>
  <c r="F49" i="12"/>
  <c r="M49" i="12"/>
  <c r="H49" i="12"/>
  <c r="H69" i="12"/>
  <c r="E69" i="12"/>
  <c r="F69" i="12"/>
  <c r="M69" i="12"/>
  <c r="G69" i="12"/>
  <c r="D69" i="12"/>
  <c r="I69" i="12"/>
  <c r="K69" i="12"/>
  <c r="L69" i="12"/>
  <c r="H73" i="12"/>
  <c r="L73" i="12"/>
  <c r="D73" i="12"/>
  <c r="I73" i="12"/>
  <c r="G73" i="12"/>
  <c r="K73" i="12"/>
  <c r="E73" i="12"/>
  <c r="F73" i="12"/>
  <c r="M73" i="12"/>
  <c r="H89" i="12"/>
  <c r="E89" i="12"/>
  <c r="F89" i="12"/>
  <c r="M89" i="12"/>
  <c r="K89" i="12"/>
  <c r="D89" i="12"/>
  <c r="I89" i="12"/>
  <c r="G89" i="12"/>
  <c r="L89" i="12"/>
  <c r="H105" i="12"/>
  <c r="K105" i="12"/>
  <c r="L105" i="12"/>
  <c r="G105" i="12"/>
  <c r="D105" i="12"/>
  <c r="I105" i="12"/>
  <c r="E105" i="12"/>
  <c r="F105" i="12"/>
  <c r="M105" i="12"/>
  <c r="D22" i="12"/>
  <c r="I22" i="12"/>
  <c r="L22" i="12"/>
  <c r="H22" i="12"/>
  <c r="K22" i="12"/>
  <c r="E22" i="12"/>
  <c r="F22" i="12"/>
  <c r="M22" i="12"/>
  <c r="G22" i="12"/>
  <c r="E38" i="12"/>
  <c r="F38" i="12"/>
  <c r="M38" i="12"/>
  <c r="K38" i="12"/>
  <c r="L38" i="12"/>
  <c r="D38" i="12"/>
  <c r="I38" i="12"/>
  <c r="G38" i="12"/>
  <c r="H38" i="12"/>
  <c r="E54" i="12"/>
  <c r="F54" i="12"/>
  <c r="M54" i="12"/>
  <c r="H54" i="12"/>
  <c r="G54" i="12"/>
  <c r="K54" i="12"/>
  <c r="D54" i="12"/>
  <c r="I54" i="12"/>
  <c r="L54" i="12"/>
  <c r="G70" i="12"/>
  <c r="K70" i="12"/>
  <c r="D70" i="12"/>
  <c r="I70" i="12"/>
  <c r="L70" i="12"/>
  <c r="E70" i="12"/>
  <c r="F70" i="12"/>
  <c r="M70" i="12"/>
  <c r="H70" i="12"/>
  <c r="K86" i="12"/>
  <c r="L86" i="12"/>
  <c r="E86" i="12"/>
  <c r="F86" i="12"/>
  <c r="M86" i="12"/>
  <c r="H86" i="12"/>
  <c r="D86" i="12"/>
  <c r="I86" i="12"/>
  <c r="G86" i="12"/>
  <c r="L102" i="12"/>
  <c r="D102" i="12"/>
  <c r="I102" i="12"/>
  <c r="E102" i="12"/>
  <c r="F102" i="12"/>
  <c r="M102" i="12"/>
  <c r="K102" i="12"/>
  <c r="G102" i="12"/>
  <c r="H102" i="12"/>
  <c r="L19" i="12"/>
  <c r="H19" i="12"/>
  <c r="D19" i="12"/>
  <c r="I19" i="12"/>
  <c r="G19" i="12"/>
  <c r="E19" i="12"/>
  <c r="F19" i="12"/>
  <c r="M19" i="12"/>
  <c r="K19" i="12"/>
  <c r="D35" i="12"/>
  <c r="I35" i="12"/>
  <c r="G35" i="12"/>
  <c r="K35" i="12"/>
  <c r="E35" i="12"/>
  <c r="F35" i="12"/>
  <c r="M35" i="12"/>
  <c r="H35" i="12"/>
  <c r="L35" i="12"/>
  <c r="K51" i="12"/>
  <c r="H51" i="12"/>
  <c r="G51" i="12"/>
  <c r="E51" i="12"/>
  <c r="F51" i="12"/>
  <c r="M51" i="12"/>
  <c r="L51" i="12"/>
  <c r="D51" i="12"/>
  <c r="I51" i="12"/>
  <c r="H67" i="12"/>
  <c r="E67" i="12"/>
  <c r="F67" i="12"/>
  <c r="M67" i="12"/>
  <c r="G67" i="12"/>
  <c r="L67" i="12"/>
  <c r="D67" i="12"/>
  <c r="I67" i="12"/>
  <c r="K67" i="12"/>
  <c r="L83" i="12"/>
  <c r="G83" i="12"/>
  <c r="H83" i="12"/>
  <c r="D83" i="12"/>
  <c r="I83" i="12"/>
  <c r="K83" i="12"/>
  <c r="E83" i="12"/>
  <c r="F83" i="12"/>
  <c r="M83" i="12"/>
  <c r="H99" i="12"/>
  <c r="E99" i="12"/>
  <c r="F99" i="12"/>
  <c r="M99" i="12"/>
  <c r="K99" i="12"/>
  <c r="L99" i="12"/>
  <c r="D99" i="12"/>
  <c r="I99" i="12"/>
  <c r="G99" i="12"/>
  <c r="K12" i="12"/>
  <c r="H12" i="12"/>
  <c r="G12" i="12"/>
  <c r="E12" i="12"/>
  <c r="F12" i="12"/>
  <c r="M12" i="12"/>
  <c r="L12" i="12"/>
  <c r="D12" i="12"/>
  <c r="I12" i="12"/>
  <c r="H28" i="12"/>
  <c r="D28" i="12"/>
  <c r="I28" i="12"/>
  <c r="G28" i="12"/>
  <c r="E28" i="12"/>
  <c r="F28" i="12"/>
  <c r="M28" i="12"/>
  <c r="L28" i="12"/>
  <c r="K28" i="12"/>
  <c r="L44" i="12"/>
  <c r="E44" i="12"/>
  <c r="F44" i="12"/>
  <c r="M44" i="12"/>
  <c r="K44" i="12"/>
  <c r="D44" i="12"/>
  <c r="I44" i="12"/>
  <c r="H44" i="12"/>
  <c r="G44" i="12"/>
  <c r="L60" i="12"/>
  <c r="K60" i="12"/>
  <c r="D60" i="12"/>
  <c r="I60" i="12"/>
  <c r="H60" i="12"/>
  <c r="G60" i="12"/>
  <c r="E60" i="12"/>
  <c r="F60" i="12"/>
  <c r="M60" i="12"/>
  <c r="L76" i="12"/>
  <c r="K76" i="12"/>
  <c r="E76" i="12"/>
  <c r="F76" i="12"/>
  <c r="M76" i="12"/>
  <c r="H76" i="12"/>
  <c r="G76" i="12"/>
  <c r="D76" i="12"/>
  <c r="I76" i="12"/>
  <c r="L92" i="12"/>
  <c r="D92" i="12"/>
  <c r="I92" i="12"/>
  <c r="H92" i="12"/>
  <c r="K92" i="12"/>
  <c r="G92" i="12"/>
  <c r="E92" i="12"/>
  <c r="F92" i="12"/>
  <c r="M92" i="12"/>
  <c r="K9" i="12"/>
  <c r="L9" i="12"/>
  <c r="E9" i="12"/>
  <c r="F9" i="12"/>
  <c r="M9" i="12"/>
  <c r="G9" i="12"/>
  <c r="D9" i="12"/>
  <c r="I9" i="12"/>
  <c r="H9" i="12"/>
  <c r="H25" i="12"/>
  <c r="E25" i="12"/>
  <c r="F25" i="12"/>
  <c r="M25" i="12"/>
  <c r="K25" i="12"/>
  <c r="L25" i="12"/>
  <c r="D25" i="12"/>
  <c r="I25" i="12"/>
  <c r="G25" i="12"/>
  <c r="L41" i="12"/>
  <c r="G41" i="12"/>
  <c r="H41" i="12"/>
  <c r="E41" i="12"/>
  <c r="F41" i="12"/>
  <c r="M41" i="12"/>
  <c r="K41" i="12"/>
  <c r="D41" i="12"/>
  <c r="I41" i="12"/>
  <c r="H57" i="12"/>
  <c r="D57" i="12"/>
  <c r="I57" i="12"/>
  <c r="E57" i="12"/>
  <c r="F57" i="12"/>
  <c r="M57" i="12"/>
  <c r="L57" i="12"/>
  <c r="K57" i="12"/>
  <c r="G57" i="12"/>
  <c r="K16" i="12"/>
  <c r="E16" i="12"/>
  <c r="F16" i="12"/>
  <c r="M16" i="12"/>
  <c r="G16" i="12"/>
  <c r="D16" i="12"/>
  <c r="I16" i="12"/>
  <c r="L16" i="12"/>
  <c r="H16" i="12"/>
  <c r="H32" i="12"/>
  <c r="D32" i="12"/>
  <c r="I32" i="12"/>
  <c r="G32" i="12"/>
  <c r="L32" i="12"/>
  <c r="K32" i="12"/>
  <c r="E32" i="12"/>
  <c r="F32" i="12"/>
  <c r="M32" i="12"/>
  <c r="H48" i="12"/>
  <c r="G48" i="12"/>
  <c r="D48" i="12"/>
  <c r="I48" i="12"/>
  <c r="E48" i="12"/>
  <c r="F48" i="12"/>
  <c r="M48" i="12"/>
  <c r="L48" i="12"/>
  <c r="K48" i="12"/>
  <c r="L64" i="12"/>
  <c r="K64" i="12"/>
  <c r="G64" i="12"/>
  <c r="D64" i="12"/>
  <c r="I64" i="12"/>
  <c r="E64" i="12"/>
  <c r="F64" i="12"/>
  <c r="M64" i="12"/>
  <c r="H64" i="12"/>
  <c r="L80" i="12"/>
  <c r="D80" i="12"/>
  <c r="I80" i="12"/>
  <c r="E80" i="12"/>
  <c r="F80" i="12"/>
  <c r="M80" i="12"/>
  <c r="K80" i="12"/>
  <c r="G80" i="12"/>
  <c r="H80" i="12"/>
  <c r="L96" i="12"/>
  <c r="G96" i="12"/>
  <c r="E96" i="12"/>
  <c r="F96" i="12"/>
  <c r="M96" i="12"/>
  <c r="H96" i="12"/>
  <c r="D96" i="12"/>
  <c r="I96" i="12"/>
  <c r="K96" i="12"/>
  <c r="K13" i="12"/>
  <c r="L13" i="12"/>
  <c r="E13" i="12"/>
  <c r="F13" i="12"/>
  <c r="M13" i="12"/>
  <c r="G13" i="12"/>
  <c r="H13" i="12"/>
  <c r="D13" i="12"/>
  <c r="I13" i="12"/>
  <c r="L29" i="12"/>
  <c r="H29" i="12"/>
  <c r="E29" i="12"/>
  <c r="F29" i="12"/>
  <c r="M29" i="12"/>
  <c r="D29" i="12"/>
  <c r="I29" i="12"/>
  <c r="G29" i="12"/>
  <c r="K29" i="12"/>
  <c r="K45" i="12"/>
  <c r="E45" i="12"/>
  <c r="F45" i="12"/>
  <c r="M45" i="12"/>
  <c r="D45" i="12"/>
  <c r="I45" i="12"/>
  <c r="H45" i="12"/>
  <c r="G45" i="12"/>
  <c r="L45" i="12"/>
  <c r="H61" i="12"/>
  <c r="K61" i="12"/>
  <c r="G61" i="12"/>
  <c r="L61" i="12"/>
  <c r="D61" i="12"/>
  <c r="I61" i="12"/>
  <c r="E61" i="12"/>
  <c r="F61" i="12"/>
  <c r="M61" i="12"/>
  <c r="H77" i="12"/>
  <c r="E77" i="12"/>
  <c r="F77" i="12"/>
  <c r="M77" i="12"/>
  <c r="G77" i="12"/>
  <c r="D77" i="12"/>
  <c r="I77" i="12"/>
  <c r="L77" i="12"/>
  <c r="K77" i="12"/>
  <c r="H93" i="12"/>
  <c r="E93" i="12"/>
  <c r="F93" i="12"/>
  <c r="M93" i="12"/>
  <c r="G93" i="12"/>
  <c r="K93" i="12"/>
  <c r="L93" i="12"/>
  <c r="D93" i="12"/>
  <c r="I93" i="12"/>
  <c r="E10" i="12"/>
  <c r="F10" i="12"/>
  <c r="M10" i="12"/>
  <c r="D10" i="12"/>
  <c r="I10" i="12"/>
  <c r="G10" i="12"/>
  <c r="L10" i="12"/>
  <c r="K10" i="12"/>
  <c r="H10" i="12"/>
  <c r="E26" i="12"/>
  <c r="F26" i="12"/>
  <c r="M26" i="12"/>
  <c r="D26" i="12"/>
  <c r="I26" i="12"/>
  <c r="G26" i="12"/>
  <c r="H26" i="12"/>
  <c r="K26" i="12"/>
  <c r="L26" i="12"/>
  <c r="K42" i="12"/>
  <c r="D42" i="12"/>
  <c r="I42" i="12"/>
  <c r="H42" i="12"/>
  <c r="G42" i="12"/>
  <c r="L42" i="12"/>
  <c r="E42" i="12"/>
  <c r="F42" i="12"/>
  <c r="M42" i="12"/>
  <c r="E58" i="12"/>
  <c r="F58" i="12"/>
  <c r="M58" i="12"/>
  <c r="K58" i="12"/>
  <c r="G58" i="12"/>
  <c r="L58" i="12"/>
  <c r="H58" i="12"/>
  <c r="D58" i="12"/>
  <c r="I58" i="12"/>
  <c r="E74" i="12"/>
  <c r="F74" i="12"/>
  <c r="M74" i="12"/>
  <c r="G74" i="12"/>
  <c r="L74" i="12"/>
  <c r="D74" i="12"/>
  <c r="I74" i="12"/>
  <c r="H74" i="12"/>
  <c r="K74" i="12"/>
  <c r="K90" i="12"/>
  <c r="D90" i="12"/>
  <c r="I90" i="12"/>
  <c r="L90" i="12"/>
  <c r="G90" i="12"/>
  <c r="H90" i="12"/>
  <c r="E90" i="12"/>
  <c r="F90" i="12"/>
  <c r="M90" i="12"/>
  <c r="L106" i="12"/>
  <c r="E106" i="12"/>
  <c r="F106" i="12"/>
  <c r="M106" i="12"/>
  <c r="D106" i="12"/>
  <c r="I106" i="12"/>
  <c r="H106" i="12"/>
  <c r="G106" i="12"/>
  <c r="K106" i="12"/>
  <c r="E23" i="12"/>
  <c r="F23" i="12"/>
  <c r="M23" i="12"/>
  <c r="K23" i="12"/>
  <c r="G23" i="12"/>
  <c r="H23" i="12"/>
  <c r="D23" i="12"/>
  <c r="I23" i="12"/>
  <c r="L23" i="12"/>
  <c r="E39" i="12"/>
  <c r="F39" i="12"/>
  <c r="M39" i="12"/>
  <c r="G39" i="12"/>
  <c r="H39" i="12"/>
  <c r="K39" i="12"/>
  <c r="L39" i="12"/>
  <c r="D39" i="12"/>
  <c r="I39" i="12"/>
  <c r="D55" i="12"/>
  <c r="I55" i="12"/>
  <c r="K55" i="12"/>
  <c r="L55" i="12"/>
  <c r="E55" i="12"/>
  <c r="F55" i="12"/>
  <c r="M55" i="12"/>
  <c r="H55" i="12"/>
  <c r="G55" i="12"/>
  <c r="H71" i="12"/>
  <c r="G71" i="12"/>
  <c r="E71" i="12"/>
  <c r="F71" i="12"/>
  <c r="M71" i="12"/>
  <c r="L71" i="12"/>
  <c r="D71" i="12"/>
  <c r="I71" i="12"/>
  <c r="K71" i="12"/>
  <c r="G87" i="12"/>
  <c r="H87" i="12"/>
  <c r="D87" i="12"/>
  <c r="I87" i="12"/>
  <c r="K87" i="12"/>
  <c r="E87" i="12"/>
  <c r="F87" i="12"/>
  <c r="M87" i="12"/>
  <c r="L87" i="12"/>
  <c r="H103" i="12"/>
  <c r="K103" i="12"/>
  <c r="G103" i="12"/>
  <c r="D103" i="12"/>
  <c r="I103" i="12"/>
  <c r="E103" i="12"/>
  <c r="F103" i="12"/>
  <c r="M103" i="12"/>
  <c r="L103" i="12"/>
  <c r="H65" i="12"/>
  <c r="K65" i="12"/>
  <c r="E65" i="12"/>
  <c r="F65" i="12"/>
  <c r="M65" i="12"/>
  <c r="G65" i="12"/>
  <c r="D65" i="12"/>
  <c r="I65" i="12"/>
  <c r="L65" i="12"/>
  <c r="H81" i="12"/>
  <c r="E81" i="12"/>
  <c r="F81" i="12"/>
  <c r="M81" i="12"/>
  <c r="K81" i="12"/>
  <c r="G81" i="12"/>
  <c r="D81" i="12"/>
  <c r="I81" i="12"/>
  <c r="L81" i="12"/>
  <c r="H97" i="12"/>
  <c r="G97" i="12"/>
  <c r="L97" i="12"/>
  <c r="D97" i="12"/>
  <c r="I97" i="12"/>
  <c r="E97" i="12"/>
  <c r="F97" i="12"/>
  <c r="M97" i="12"/>
  <c r="K97" i="12"/>
  <c r="K14" i="12"/>
  <c r="D14" i="12"/>
  <c r="I14" i="12"/>
  <c r="E14" i="12"/>
  <c r="F14" i="12"/>
  <c r="M14" i="12"/>
  <c r="H14" i="12"/>
  <c r="L14" i="12"/>
  <c r="G14" i="12"/>
  <c r="E30" i="12"/>
  <c r="F30" i="12"/>
  <c r="M30" i="12"/>
  <c r="K30" i="12"/>
  <c r="L30" i="12"/>
  <c r="G30" i="12"/>
  <c r="D30" i="12"/>
  <c r="I30" i="12"/>
  <c r="H30" i="12"/>
  <c r="G46" i="12"/>
  <c r="L46" i="12"/>
  <c r="D46" i="12"/>
  <c r="I46" i="12"/>
  <c r="H46" i="12"/>
  <c r="K46" i="12"/>
  <c r="E46" i="12"/>
  <c r="F46" i="12"/>
  <c r="M46" i="12"/>
  <c r="E62" i="12"/>
  <c r="F62" i="12"/>
  <c r="M62" i="12"/>
  <c r="G62" i="12"/>
  <c r="L62" i="12"/>
  <c r="D62" i="12"/>
  <c r="I62" i="12"/>
  <c r="K62" i="12"/>
  <c r="H62" i="12"/>
  <c r="E78" i="12"/>
  <c r="F78" i="12"/>
  <c r="M78" i="12"/>
  <c r="K78" i="12"/>
  <c r="G78" i="12"/>
  <c r="L78" i="12"/>
  <c r="H78" i="12"/>
  <c r="D78" i="12"/>
  <c r="I78" i="12"/>
  <c r="L94" i="12"/>
  <c r="D94" i="12"/>
  <c r="I94" i="12"/>
  <c r="H94" i="12"/>
  <c r="G94" i="12"/>
  <c r="E94" i="12"/>
  <c r="F94" i="12"/>
  <c r="M94" i="12"/>
  <c r="K94" i="12"/>
  <c r="K11" i="12"/>
  <c r="D11" i="12"/>
  <c r="I11" i="12"/>
  <c r="H11" i="12"/>
  <c r="E11" i="12"/>
  <c r="F11" i="12"/>
  <c r="M11" i="12"/>
  <c r="L11" i="12"/>
  <c r="G11" i="12"/>
  <c r="E27" i="12"/>
  <c r="F27" i="12"/>
  <c r="M27" i="12"/>
  <c r="G27" i="12"/>
  <c r="H27" i="12"/>
  <c r="D27" i="12"/>
  <c r="I27" i="12"/>
  <c r="L27" i="12"/>
  <c r="K27" i="12"/>
  <c r="K43" i="12"/>
  <c r="E43" i="12"/>
  <c r="F43" i="12"/>
  <c r="M43" i="12"/>
  <c r="G43" i="12"/>
  <c r="H43" i="12"/>
  <c r="L43" i="12"/>
  <c r="D43" i="12"/>
  <c r="I43" i="12"/>
  <c r="K59" i="12"/>
  <c r="D59" i="12"/>
  <c r="I59" i="12"/>
  <c r="H59" i="12"/>
  <c r="G59" i="12"/>
  <c r="L59" i="12"/>
  <c r="E59" i="12"/>
  <c r="F59" i="12"/>
  <c r="M59" i="12"/>
  <c r="K75" i="12"/>
  <c r="D75" i="12"/>
  <c r="I75" i="12"/>
  <c r="H75" i="12"/>
  <c r="G75" i="12"/>
  <c r="L75" i="12"/>
  <c r="E75" i="12"/>
  <c r="F75" i="12"/>
  <c r="M75" i="12"/>
  <c r="L91" i="12"/>
  <c r="E91" i="12"/>
  <c r="F91" i="12"/>
  <c r="M91" i="12"/>
  <c r="K91" i="12"/>
  <c r="D91" i="12"/>
  <c r="I91" i="12"/>
  <c r="H91" i="12"/>
  <c r="G91" i="12"/>
  <c r="L107" i="12"/>
  <c r="G107" i="12"/>
  <c r="H107" i="12"/>
  <c r="K107" i="12"/>
  <c r="D107" i="12"/>
  <c r="I107" i="12"/>
  <c r="E107" i="12"/>
  <c r="F107" i="12"/>
  <c r="M107" i="12"/>
  <c r="H85" i="12"/>
  <c r="L85" i="12"/>
  <c r="D85" i="12"/>
  <c r="I85" i="12"/>
  <c r="G85" i="12"/>
  <c r="K85" i="12"/>
  <c r="E85" i="12"/>
  <c r="F85" i="12"/>
  <c r="M85" i="12"/>
  <c r="H101" i="12"/>
  <c r="E101" i="12"/>
  <c r="F101" i="12"/>
  <c r="M101" i="12"/>
  <c r="K101" i="12"/>
  <c r="G101" i="12"/>
  <c r="L101" i="12"/>
  <c r="D101" i="12"/>
  <c r="I101" i="12"/>
  <c r="D18" i="12"/>
  <c r="I18" i="12"/>
  <c r="L18" i="12"/>
  <c r="H18" i="12"/>
  <c r="K18" i="12"/>
  <c r="G18" i="12"/>
  <c r="E18" i="12"/>
  <c r="F18" i="12"/>
  <c r="M18" i="12"/>
  <c r="E34" i="12"/>
  <c r="F34" i="12"/>
  <c r="M34" i="12"/>
  <c r="K34" i="12"/>
  <c r="L34" i="12"/>
  <c r="H34" i="12"/>
  <c r="D34" i="12"/>
  <c r="I34" i="12"/>
  <c r="G34" i="12"/>
  <c r="E50" i="12"/>
  <c r="F50" i="12"/>
  <c r="M50" i="12"/>
  <c r="D50" i="12"/>
  <c r="I50" i="12"/>
  <c r="K50" i="12"/>
  <c r="H50" i="12"/>
  <c r="G50" i="12"/>
  <c r="L50" i="12"/>
  <c r="K66" i="12"/>
  <c r="L66" i="12"/>
  <c r="E66" i="12"/>
  <c r="F66" i="12"/>
  <c r="M66" i="12"/>
  <c r="H66" i="12"/>
  <c r="G66" i="12"/>
  <c r="D66" i="12"/>
  <c r="I66" i="12"/>
  <c r="E82" i="12"/>
  <c r="F82" i="12"/>
  <c r="M82" i="12"/>
  <c r="D82" i="12"/>
  <c r="I82" i="12"/>
  <c r="G82" i="12"/>
  <c r="H82" i="12"/>
  <c r="K82" i="12"/>
  <c r="L82" i="12"/>
  <c r="L98" i="12"/>
  <c r="E98" i="12"/>
  <c r="F98" i="12"/>
  <c r="M98" i="12"/>
  <c r="K98" i="12"/>
  <c r="H98" i="12"/>
  <c r="D98" i="12"/>
  <c r="I98" i="12"/>
  <c r="G98" i="12"/>
  <c r="K15" i="12"/>
  <c r="E15" i="12"/>
  <c r="F15" i="12"/>
  <c r="M15" i="12"/>
  <c r="D15" i="12"/>
  <c r="I15" i="12"/>
  <c r="H15" i="12"/>
  <c r="L15" i="12"/>
  <c r="G15" i="12"/>
  <c r="D31" i="12"/>
  <c r="I31" i="12"/>
  <c r="G31" i="12"/>
  <c r="E31" i="12"/>
  <c r="F31" i="12"/>
  <c r="M31" i="12"/>
  <c r="K31" i="12"/>
  <c r="L31" i="12"/>
  <c r="H31" i="12"/>
  <c r="K47" i="12"/>
  <c r="L47" i="12"/>
  <c r="E47" i="12"/>
  <c r="F47" i="12"/>
  <c r="M47" i="12"/>
  <c r="D47" i="12"/>
  <c r="I47" i="12"/>
  <c r="H47" i="12"/>
  <c r="G47" i="12"/>
  <c r="K63" i="12"/>
  <c r="H63" i="12"/>
  <c r="G63" i="12"/>
  <c r="D63" i="12"/>
  <c r="I63" i="12"/>
  <c r="L63" i="12"/>
  <c r="E63" i="12"/>
  <c r="F63" i="12"/>
  <c r="M63" i="12"/>
  <c r="K79" i="12"/>
  <c r="E79" i="12"/>
  <c r="F79" i="12"/>
  <c r="M79" i="12"/>
  <c r="G79" i="12"/>
  <c r="L79" i="12"/>
  <c r="D79" i="12"/>
  <c r="I79" i="12"/>
  <c r="H79" i="12"/>
  <c r="L95" i="12"/>
  <c r="D95" i="12"/>
  <c r="I95" i="12"/>
  <c r="K95" i="12"/>
  <c r="G95" i="12"/>
  <c r="H95" i="12"/>
  <c r="E95" i="12"/>
  <c r="F95" i="12"/>
  <c r="M95" i="12"/>
  <c r="B9" i="18" a="1"/>
  <c r="B9" i="18"/>
  <c r="G3" i="5"/>
  <c r="H3" i="5"/>
  <c r="I9" i="18" a="1"/>
  <c r="C23" i="25"/>
  <c r="J23" i="25"/>
  <c r="G9" i="18" a="1"/>
  <c r="G9" i="18"/>
  <c r="A55" i="30"/>
  <c r="J55" i="30" a="1"/>
  <c r="J55" i="30"/>
  <c r="A7" i="30"/>
  <c r="J7" i="30" a="1"/>
  <c r="J7" i="30"/>
  <c r="A151" i="30"/>
  <c r="J151" i="30" a="1"/>
  <c r="J151" i="30"/>
  <c r="C20" i="25"/>
  <c r="J20" i="25"/>
  <c r="A103" i="30"/>
  <c r="J103" i="30" a="1"/>
  <c r="J103" i="30"/>
  <c r="C22" i="25"/>
  <c r="J22" i="25"/>
  <c r="C21" i="25"/>
  <c r="J21" i="25"/>
  <c r="G9" i="10" a="1"/>
  <c r="G9" i="10"/>
  <c r="B9" i="16" a="1"/>
  <c r="B9" i="16"/>
  <c r="F9" i="16" a="1"/>
  <c r="F9" i="16"/>
  <c r="C9" i="16" a="1"/>
  <c r="C9" i="16"/>
  <c r="G9" i="16" a="1"/>
  <c r="G9" i="16"/>
  <c r="D9" i="16" a="1"/>
  <c r="D9" i="16"/>
  <c r="H9" i="16" a="1"/>
  <c r="E9" i="16" a="1"/>
  <c r="E9" i="16"/>
  <c r="AB27" i="25"/>
  <c r="AB26" i="25"/>
  <c r="A37" i="25" a="1"/>
  <c r="A37" i="25"/>
  <c r="A59" i="25" a="1"/>
  <c r="A59" i="25"/>
  <c r="A53" i="25" a="1"/>
  <c r="A53" i="25"/>
  <c r="A26" i="25" a="1"/>
  <c r="A26" i="25"/>
  <c r="Q26" i="25" a="1"/>
  <c r="Q26" i="25"/>
  <c r="A56" i="25" a="1"/>
  <c r="A56" i="25"/>
  <c r="A24" i="25" a="1"/>
  <c r="A24" i="25"/>
  <c r="Q24" i="25" a="1"/>
  <c r="Q24" i="25"/>
  <c r="A20" i="25" a="1"/>
  <c r="A20" i="25"/>
  <c r="Q20" i="25" a="1"/>
  <c r="Q20" i="25"/>
  <c r="A63" i="25" a="1"/>
  <c r="A63" i="25"/>
  <c r="A47" i="25" a="1"/>
  <c r="A47" i="25"/>
  <c r="A35" i="25" a="1"/>
  <c r="A35" i="25"/>
  <c r="Q35" i="25" a="1"/>
  <c r="Q35" i="25"/>
  <c r="A70" i="25" a="1"/>
  <c r="A70" i="25"/>
  <c r="A54" i="25" a="1"/>
  <c r="A54" i="25"/>
  <c r="A38" i="25" a="1"/>
  <c r="A38" i="25"/>
  <c r="A40" i="25" a="1"/>
  <c r="A40" i="25"/>
  <c r="A45" i="25" a="1"/>
  <c r="A45" i="25"/>
  <c r="A43" i="25" a="1"/>
  <c r="A43" i="25"/>
  <c r="A32" i="25" a="1"/>
  <c r="A32" i="25"/>
  <c r="Q32" i="25" a="1"/>
  <c r="Q32" i="25"/>
  <c r="A71" i="25" a="1"/>
  <c r="A71" i="25"/>
  <c r="A39" i="25" a="1"/>
  <c r="A39" i="25"/>
  <c r="A62" i="25" a="1"/>
  <c r="A62" i="25"/>
  <c r="A31" i="25" a="1"/>
  <c r="A31" i="25"/>
  <c r="Q31" i="25" a="1"/>
  <c r="Q31" i="25"/>
  <c r="A67" i="25" a="1"/>
  <c r="A67" i="25"/>
  <c r="A58" i="25" a="1"/>
  <c r="A58" i="25"/>
  <c r="A34" i="25" a="1"/>
  <c r="A34" i="25"/>
  <c r="Q34" i="25" a="1"/>
  <c r="Q34" i="25"/>
  <c r="A64" i="25" a="1"/>
  <c r="A64" i="25"/>
  <c r="A29" i="25" a="1"/>
  <c r="A29" i="25"/>
  <c r="Q29" i="25" a="1"/>
  <c r="Q29" i="25"/>
  <c r="A33" i="25" a="1"/>
  <c r="A33" i="25"/>
  <c r="Q33" i="25" a="1"/>
  <c r="Q33" i="25"/>
  <c r="A74" i="25" a="1"/>
  <c r="A74" i="25"/>
  <c r="A60" i="25" a="1"/>
  <c r="A60" i="25"/>
  <c r="A44" i="25" a="1"/>
  <c r="A44" i="25"/>
  <c r="A30" i="25" a="1"/>
  <c r="A30" i="25"/>
  <c r="Q30" i="25" a="1"/>
  <c r="Q30" i="25"/>
  <c r="A65" i="25" a="1"/>
  <c r="A65" i="25"/>
  <c r="A49" i="25" a="1"/>
  <c r="A49" i="25"/>
  <c r="A61" i="25" a="1"/>
  <c r="A61" i="25"/>
  <c r="A66" i="25" a="1"/>
  <c r="A66" i="25"/>
  <c r="A72" i="25" a="1"/>
  <c r="A72" i="25"/>
  <c r="A28" i="25" a="1"/>
  <c r="A28" i="25"/>
  <c r="Q28" i="25" a="1"/>
  <c r="Q28" i="25"/>
  <c r="A55" i="25" a="1"/>
  <c r="A55" i="25"/>
  <c r="A27" i="25" a="1"/>
  <c r="A27" i="25"/>
  <c r="Q27" i="25" a="1"/>
  <c r="Q27" i="25"/>
  <c r="A46" i="25" a="1"/>
  <c r="A46" i="25"/>
  <c r="A69" i="25" a="1"/>
  <c r="A69" i="25"/>
  <c r="A48" i="25" a="1"/>
  <c r="A48" i="25"/>
  <c r="A50" i="25" a="1"/>
  <c r="A50" i="25"/>
  <c r="A23" i="25" a="1"/>
  <c r="A23" i="25"/>
  <c r="Q23" i="25" a="1"/>
  <c r="Q23" i="25"/>
  <c r="A51" i="25" a="1"/>
  <c r="A51" i="25"/>
  <c r="A21" i="25" a="1"/>
  <c r="A21" i="25"/>
  <c r="Q21" i="25" a="1"/>
  <c r="Q21" i="25"/>
  <c r="A42" i="25" a="1"/>
  <c r="A42" i="25"/>
  <c r="A25" i="25" a="1"/>
  <c r="A25" i="25"/>
  <c r="Q25" i="25" a="1"/>
  <c r="Q25" i="25"/>
  <c r="A68" i="25" a="1"/>
  <c r="A68" i="25"/>
  <c r="A52" i="25" a="1"/>
  <c r="A52" i="25"/>
  <c r="A22" i="25" a="1"/>
  <c r="A22" i="25"/>
  <c r="Q22" i="25" a="1"/>
  <c r="Q22" i="25"/>
  <c r="A73" i="25" a="1"/>
  <c r="A73" i="25"/>
  <c r="A57" i="25" a="1"/>
  <c r="A57" i="25"/>
  <c r="A41" i="25" a="1"/>
  <c r="A41" i="25"/>
  <c r="R9" i="10" a="1"/>
  <c r="R9" i="10"/>
  <c r="A9" i="10" a="1"/>
  <c r="A9" i="10"/>
  <c r="J9" i="10" a="1"/>
  <c r="J9" i="10"/>
  <c r="E9" i="10" a="1"/>
  <c r="E9" i="10"/>
  <c r="F9" i="18" a="1"/>
  <c r="F9" i="18"/>
  <c r="K9" i="16" a="1"/>
  <c r="K9" i="16"/>
  <c r="E9" i="18" a="1"/>
  <c r="E9" i="18"/>
  <c r="J9" i="16" a="1"/>
  <c r="D9" i="18" a="1"/>
  <c r="D9" i="18"/>
  <c r="C9" i="18" a="1"/>
  <c r="C9" i="18"/>
  <c r="D9" i="10" a="1"/>
  <c r="D9" i="10"/>
  <c r="A9" i="18" a="1"/>
  <c r="A9" i="18"/>
  <c r="A9" i="16" a="1"/>
  <c r="A9" i="16"/>
  <c r="B9" i="10" a="1"/>
  <c r="B9" i="10"/>
  <c r="C9" i="10" a="1"/>
  <c r="C9" i="10"/>
  <c r="F9" i="10" a="1"/>
  <c r="F9" i="10"/>
  <c r="Q31" i="12"/>
  <c r="P31" i="12"/>
  <c r="O31" i="12"/>
  <c r="N31" i="12"/>
  <c r="R31" i="12"/>
  <c r="P107" i="12"/>
  <c r="R107" i="12"/>
  <c r="N107" i="12"/>
  <c r="O107" i="12"/>
  <c r="Q107" i="12"/>
  <c r="R27" i="12"/>
  <c r="P27" i="12"/>
  <c r="Q27" i="12"/>
  <c r="O27" i="12"/>
  <c r="N27" i="12"/>
  <c r="O94" i="12"/>
  <c r="N94" i="12"/>
  <c r="Q94" i="12"/>
  <c r="R94" i="12"/>
  <c r="P94" i="12"/>
  <c r="R30" i="12"/>
  <c r="O30" i="12"/>
  <c r="Q30" i="12"/>
  <c r="P30" i="12"/>
  <c r="N30" i="12"/>
  <c r="P97" i="12"/>
  <c r="N97" i="12"/>
  <c r="Q97" i="12"/>
  <c r="R97" i="12"/>
  <c r="O97" i="12"/>
  <c r="P65" i="12"/>
  <c r="N65" i="12"/>
  <c r="Q65" i="12"/>
  <c r="R65" i="12"/>
  <c r="O65" i="12"/>
  <c r="R55" i="12"/>
  <c r="P55" i="12"/>
  <c r="N55" i="12"/>
  <c r="O55" i="12"/>
  <c r="Q55" i="12"/>
  <c r="Q39" i="12"/>
  <c r="R39" i="12"/>
  <c r="P39" i="12"/>
  <c r="O39" i="12"/>
  <c r="N39" i="12"/>
  <c r="R23" i="12"/>
  <c r="Q23" i="12"/>
  <c r="P23" i="12"/>
  <c r="O23" i="12"/>
  <c r="N23" i="12"/>
  <c r="R58" i="12"/>
  <c r="N58" i="12"/>
  <c r="Q58" i="12"/>
  <c r="O58" i="12"/>
  <c r="P58" i="12"/>
  <c r="P61" i="12"/>
  <c r="R61" i="12"/>
  <c r="N61" i="12"/>
  <c r="O61" i="12"/>
  <c r="Q61" i="12"/>
  <c r="Q29" i="12"/>
  <c r="O29" i="12"/>
  <c r="R29" i="12"/>
  <c r="P29" i="12"/>
  <c r="N29" i="12"/>
  <c r="O96" i="12"/>
  <c r="P96" i="12"/>
  <c r="R96" i="12"/>
  <c r="Q96" i="12"/>
  <c r="N96" i="12"/>
  <c r="R80" i="12"/>
  <c r="P80" i="12"/>
  <c r="O80" i="12"/>
  <c r="Q80" i="12"/>
  <c r="N80" i="12"/>
  <c r="Q64" i="12"/>
  <c r="P64" i="12"/>
  <c r="R64" i="12"/>
  <c r="O64" i="12"/>
  <c r="N64" i="12"/>
  <c r="Q60" i="12"/>
  <c r="O60" i="12"/>
  <c r="N60" i="12"/>
  <c r="P60" i="12"/>
  <c r="R60" i="12"/>
  <c r="R28" i="12"/>
  <c r="O28" i="12"/>
  <c r="P28" i="12"/>
  <c r="Q28" i="12"/>
  <c r="N28" i="12"/>
  <c r="N67" i="12"/>
  <c r="P67" i="12"/>
  <c r="O67" i="12"/>
  <c r="R67" i="12"/>
  <c r="Q67" i="12"/>
  <c r="Q70" i="12"/>
  <c r="O70" i="12"/>
  <c r="P70" i="12"/>
  <c r="R70" i="12"/>
  <c r="N70" i="12"/>
  <c r="O54" i="12"/>
  <c r="Q54" i="12"/>
  <c r="R54" i="12"/>
  <c r="N54" i="12"/>
  <c r="P54" i="12"/>
  <c r="R38" i="12"/>
  <c r="O38" i="12"/>
  <c r="P38" i="12"/>
  <c r="Q38" i="12"/>
  <c r="N38" i="12"/>
  <c r="P22" i="12"/>
  <c r="O22" i="12"/>
  <c r="R22" i="12"/>
  <c r="N22" i="12"/>
  <c r="Q22" i="12"/>
  <c r="P105" i="12"/>
  <c r="O105" i="12"/>
  <c r="N105" i="12"/>
  <c r="Q105" i="12"/>
  <c r="R105" i="12"/>
  <c r="Q84" i="12"/>
  <c r="N84" i="12"/>
  <c r="P84" i="12"/>
  <c r="R84" i="12"/>
  <c r="O84" i="12"/>
  <c r="O52" i="12"/>
  <c r="Q52" i="12"/>
  <c r="P52" i="12"/>
  <c r="N52" i="12"/>
  <c r="R52" i="12"/>
  <c r="R20" i="12"/>
  <c r="N20" i="12"/>
  <c r="O20" i="12"/>
  <c r="P20" i="12"/>
  <c r="Q20" i="12"/>
  <c r="N21" i="12"/>
  <c r="P21" i="12"/>
  <c r="O21" i="12"/>
  <c r="Q21" i="12"/>
  <c r="R21" i="12"/>
  <c r="P88" i="12"/>
  <c r="Q88" i="12"/>
  <c r="R88" i="12"/>
  <c r="N88" i="12"/>
  <c r="O88" i="12"/>
  <c r="Q95" i="12"/>
  <c r="O95" i="12"/>
  <c r="R95" i="12"/>
  <c r="P95" i="12"/>
  <c r="N95" i="12"/>
  <c r="P79" i="12"/>
  <c r="Q79" i="12"/>
  <c r="O79" i="12"/>
  <c r="R79" i="12"/>
  <c r="N79" i="12"/>
  <c r="P47" i="12"/>
  <c r="R47" i="12"/>
  <c r="O47" i="12"/>
  <c r="N47" i="12"/>
  <c r="Q47" i="12"/>
  <c r="N15" i="12"/>
  <c r="P15" i="12"/>
  <c r="Q15" i="12"/>
  <c r="O15" i="12"/>
  <c r="R15" i="12"/>
  <c r="Q98" i="12"/>
  <c r="N98" i="12"/>
  <c r="P98" i="12"/>
  <c r="R98" i="12"/>
  <c r="O98" i="12"/>
  <c r="N82" i="12"/>
  <c r="R82" i="12"/>
  <c r="Q82" i="12"/>
  <c r="O82" i="12"/>
  <c r="P82" i="12"/>
  <c r="P101" i="12"/>
  <c r="R101" i="12"/>
  <c r="Q101" i="12"/>
  <c r="N101" i="12"/>
  <c r="O101" i="12"/>
  <c r="R85" i="12"/>
  <c r="O85" i="12"/>
  <c r="Q85" i="12"/>
  <c r="P85" i="12"/>
  <c r="N85" i="12"/>
  <c r="P59" i="12"/>
  <c r="Q59" i="12"/>
  <c r="O59" i="12"/>
  <c r="N59" i="12"/>
  <c r="R59" i="12"/>
  <c r="N62" i="12"/>
  <c r="R62" i="12"/>
  <c r="Q62" i="12"/>
  <c r="O62" i="12"/>
  <c r="P62" i="12"/>
  <c r="R81" i="12"/>
  <c r="P81" i="12"/>
  <c r="Q81" i="12"/>
  <c r="N81" i="12"/>
  <c r="O81" i="12"/>
  <c r="Q90" i="12"/>
  <c r="P90" i="12"/>
  <c r="O90" i="12"/>
  <c r="N90" i="12"/>
  <c r="R90" i="12"/>
  <c r="P26" i="12"/>
  <c r="R26" i="12"/>
  <c r="Q26" i="12"/>
  <c r="O26" i="12"/>
  <c r="N26" i="12"/>
  <c r="Q32" i="12"/>
  <c r="O32" i="12"/>
  <c r="R32" i="12"/>
  <c r="P32" i="12"/>
  <c r="N32" i="12"/>
  <c r="Q57" i="12"/>
  <c r="R57" i="12"/>
  <c r="P57" i="12"/>
  <c r="N57" i="12"/>
  <c r="O57" i="12"/>
  <c r="R44" i="12"/>
  <c r="O44" i="12"/>
  <c r="P44" i="12"/>
  <c r="Q44" i="12"/>
  <c r="N44" i="12"/>
  <c r="R89" i="12"/>
  <c r="Q89" i="12"/>
  <c r="O89" i="12"/>
  <c r="N89" i="12"/>
  <c r="P89" i="12"/>
  <c r="R73" i="12"/>
  <c r="Q73" i="12"/>
  <c r="O73" i="12"/>
  <c r="N73" i="12"/>
  <c r="P73" i="12"/>
  <c r="N49" i="12"/>
  <c r="O49" i="12"/>
  <c r="Q49" i="12"/>
  <c r="R49" i="12"/>
  <c r="P49" i="12"/>
  <c r="R33" i="12"/>
  <c r="O33" i="12"/>
  <c r="N33" i="12"/>
  <c r="P33" i="12"/>
  <c r="Q33" i="12"/>
  <c r="Q34" i="12"/>
  <c r="P34" i="12"/>
  <c r="O34" i="12"/>
  <c r="N34" i="12"/>
  <c r="R34" i="12"/>
  <c r="O18" i="12"/>
  <c r="P18" i="12"/>
  <c r="R18" i="12"/>
  <c r="Q18" i="12"/>
  <c r="N18" i="12"/>
  <c r="R78" i="12"/>
  <c r="N78" i="12"/>
  <c r="Q78" i="12"/>
  <c r="O78" i="12"/>
  <c r="P78" i="12"/>
  <c r="Q103" i="12"/>
  <c r="O103" i="12"/>
  <c r="R103" i="12"/>
  <c r="P103" i="12"/>
  <c r="N103" i="12"/>
  <c r="P87" i="12"/>
  <c r="N87" i="12"/>
  <c r="O87" i="12"/>
  <c r="Q87" i="12"/>
  <c r="R87" i="12"/>
  <c r="R71" i="12"/>
  <c r="O71" i="12"/>
  <c r="N71" i="12"/>
  <c r="P71" i="12"/>
  <c r="Q71" i="12"/>
  <c r="P106" i="12"/>
  <c r="N106" i="12"/>
  <c r="Q106" i="12"/>
  <c r="R106" i="12"/>
  <c r="O106" i="12"/>
  <c r="Q74" i="12"/>
  <c r="P74" i="12"/>
  <c r="R74" i="12"/>
  <c r="N74" i="12"/>
  <c r="O74" i="12"/>
  <c r="P93" i="12"/>
  <c r="N93" i="12"/>
  <c r="Q93" i="12"/>
  <c r="O93" i="12"/>
  <c r="R93" i="12"/>
  <c r="R77" i="12"/>
  <c r="Q77" i="12"/>
  <c r="P77" i="12"/>
  <c r="N77" i="12"/>
  <c r="O77" i="12"/>
  <c r="R48" i="12"/>
  <c r="Q48" i="12"/>
  <c r="O48" i="12"/>
  <c r="P48" i="12"/>
  <c r="N48" i="12"/>
  <c r="Q92" i="12"/>
  <c r="R92" i="12"/>
  <c r="N92" i="12"/>
  <c r="O92" i="12"/>
  <c r="P92" i="12"/>
  <c r="R76" i="12"/>
  <c r="N76" i="12"/>
  <c r="P76" i="12"/>
  <c r="O76" i="12"/>
  <c r="Q76" i="12"/>
  <c r="R19" i="12"/>
  <c r="N19" i="12"/>
  <c r="P19" i="12"/>
  <c r="O19" i="12"/>
  <c r="Q19" i="12"/>
  <c r="P102" i="12"/>
  <c r="N102" i="12"/>
  <c r="Q102" i="12"/>
  <c r="R102" i="12"/>
  <c r="O102" i="12"/>
  <c r="O17" i="12"/>
  <c r="P17" i="12"/>
  <c r="R17" i="12"/>
  <c r="N17" i="12"/>
  <c r="Q17" i="12"/>
  <c r="R100" i="12"/>
  <c r="O100" i="12"/>
  <c r="N100" i="12"/>
  <c r="P100" i="12"/>
  <c r="Q100" i="12"/>
  <c r="R36" i="12"/>
  <c r="O36" i="12"/>
  <c r="N36" i="12"/>
  <c r="P36" i="12"/>
  <c r="Q36" i="12"/>
  <c r="Q37" i="12"/>
  <c r="R37" i="12"/>
  <c r="N37" i="12"/>
  <c r="O37" i="12"/>
  <c r="P37" i="12"/>
  <c r="Q104" i="12"/>
  <c r="P104" i="12"/>
  <c r="N104" i="12"/>
  <c r="R104" i="12"/>
  <c r="O104" i="12"/>
  <c r="Q72" i="12"/>
  <c r="P72" i="12"/>
  <c r="R72" i="12"/>
  <c r="N72" i="12"/>
  <c r="O72" i="12"/>
  <c r="Q40" i="12"/>
  <c r="R40" i="12"/>
  <c r="N40" i="12"/>
  <c r="P40" i="12"/>
  <c r="O40" i="12"/>
  <c r="O63" i="12"/>
  <c r="N63" i="12"/>
  <c r="R63" i="12"/>
  <c r="P63" i="12"/>
  <c r="Q63" i="12"/>
  <c r="P66" i="12"/>
  <c r="O66" i="12"/>
  <c r="Q66" i="12"/>
  <c r="R66" i="12"/>
  <c r="N66" i="12"/>
  <c r="R50" i="12"/>
  <c r="Q50" i="12"/>
  <c r="O50" i="12"/>
  <c r="P50" i="12"/>
  <c r="N50" i="12"/>
  <c r="P91" i="12"/>
  <c r="R91" i="12"/>
  <c r="Q91" i="12"/>
  <c r="N91" i="12"/>
  <c r="O91" i="12"/>
  <c r="N75" i="12"/>
  <c r="P75" i="12"/>
  <c r="Q75" i="12"/>
  <c r="O75" i="12"/>
  <c r="R75" i="12"/>
  <c r="P43" i="12"/>
  <c r="N43" i="12"/>
  <c r="R43" i="12"/>
  <c r="O43" i="12"/>
  <c r="Q43" i="12"/>
  <c r="N11" i="12"/>
  <c r="Q11" i="12"/>
  <c r="R11" i="12"/>
  <c r="P11" i="12"/>
  <c r="O11" i="12"/>
  <c r="O46" i="12"/>
  <c r="Q46" i="12"/>
  <c r="R46" i="12"/>
  <c r="P46" i="12"/>
  <c r="N46" i="12"/>
  <c r="N14" i="12"/>
  <c r="P14" i="12"/>
  <c r="O14" i="12"/>
  <c r="Q14" i="12"/>
  <c r="R14" i="12"/>
  <c r="O42" i="12"/>
  <c r="N42" i="12"/>
  <c r="P42" i="12"/>
  <c r="R42" i="12"/>
  <c r="Q42" i="12"/>
  <c r="N10" i="12"/>
  <c r="R10" i="12"/>
  <c r="O10" i="12"/>
  <c r="P10" i="12"/>
  <c r="Q10" i="12"/>
  <c r="P45" i="12"/>
  <c r="R45" i="12"/>
  <c r="Q45" i="12"/>
  <c r="O45" i="12"/>
  <c r="N45" i="12"/>
  <c r="N13" i="12"/>
  <c r="O13" i="12"/>
  <c r="R13" i="12"/>
  <c r="P13" i="12"/>
  <c r="Q13" i="12"/>
  <c r="R16" i="12"/>
  <c r="O16" i="12"/>
  <c r="Q16" i="12"/>
  <c r="P16" i="12"/>
  <c r="N16" i="12"/>
  <c r="O41" i="12"/>
  <c r="P41" i="12"/>
  <c r="Q41" i="12"/>
  <c r="N41" i="12"/>
  <c r="R41" i="12"/>
  <c r="P25" i="12"/>
  <c r="O25" i="12"/>
  <c r="N25" i="12"/>
  <c r="R25" i="12"/>
  <c r="Q25" i="12"/>
  <c r="N9" i="12"/>
  <c r="A9" i="12"/>
  <c r="Q9" i="12"/>
  <c r="P9" i="12"/>
  <c r="R9" i="12"/>
  <c r="J9" i="12"/>
  <c r="O9" i="12"/>
  <c r="A30" i="12"/>
  <c r="A41" i="12"/>
  <c r="A69" i="12"/>
  <c r="A73" i="12"/>
  <c r="A75" i="12"/>
  <c r="A94" i="12"/>
  <c r="A35" i="12"/>
  <c r="A42" i="12"/>
  <c r="A70" i="12"/>
  <c r="A74" i="12"/>
  <c r="A79" i="12"/>
  <c r="A98" i="12"/>
  <c r="A36" i="12"/>
  <c r="A43" i="12"/>
  <c r="A44" i="12"/>
  <c r="A78" i="12"/>
  <c r="A83" i="12"/>
  <c r="A102" i="12"/>
  <c r="A29" i="12"/>
  <c r="A40" i="12"/>
  <c r="A60" i="12"/>
  <c r="A63" i="12"/>
  <c r="A71" i="12"/>
  <c r="A107" i="12"/>
  <c r="A13" i="12"/>
  <c r="A25" i="12"/>
  <c r="A50" i="12"/>
  <c r="A76" i="12"/>
  <c r="A97" i="12"/>
  <c r="A39" i="12"/>
  <c r="A58" i="12"/>
  <c r="A55" i="12"/>
  <c r="A88" i="12"/>
  <c r="A32" i="12"/>
  <c r="A27" i="12"/>
  <c r="A52" i="12"/>
  <c r="A67" i="12"/>
  <c r="A105" i="12"/>
  <c r="A37" i="12"/>
  <c r="A61" i="12"/>
  <c r="A82" i="12"/>
  <c r="A96" i="12"/>
  <c r="A15" i="12"/>
  <c r="A34" i="12"/>
  <c r="A57" i="12"/>
  <c r="A54" i="12"/>
  <c r="A84" i="12"/>
  <c r="A16" i="12"/>
  <c r="A65" i="12"/>
  <c r="A86" i="12"/>
  <c r="A104" i="12"/>
  <c r="A23" i="12"/>
  <c r="A62" i="12"/>
  <c r="A59" i="12"/>
  <c r="A92" i="12"/>
  <c r="A18" i="12"/>
  <c r="A45" i="12"/>
  <c r="A90" i="12"/>
  <c r="A91" i="12"/>
  <c r="A12" i="12"/>
  <c r="A19" i="12"/>
  <c r="A46" i="12"/>
  <c r="A77" i="12"/>
  <c r="A95" i="12"/>
  <c r="A31" i="12"/>
  <c r="A26" i="12"/>
  <c r="A51" i="12"/>
  <c r="A80" i="12"/>
  <c r="A101" i="12"/>
  <c r="A28" i="12"/>
  <c r="A21" i="12"/>
  <c r="A48" i="12"/>
  <c r="A68" i="12"/>
  <c r="A103" i="12"/>
  <c r="A33" i="12"/>
  <c r="A56" i="12"/>
  <c r="A53" i="12"/>
  <c r="A93" i="12"/>
  <c r="A11" i="12"/>
  <c r="A10" i="12"/>
  <c r="A14" i="12"/>
  <c r="A38" i="12"/>
  <c r="A64" i="12"/>
  <c r="A85" i="12"/>
  <c r="A100" i="12"/>
  <c r="A22" i="12"/>
  <c r="A20" i="12"/>
  <c r="A47" i="12"/>
  <c r="A81" i="12"/>
  <c r="A99" i="12"/>
  <c r="A17" i="12"/>
  <c r="A66" i="12"/>
  <c r="A89" i="12"/>
  <c r="A87" i="12"/>
  <c r="A24" i="12"/>
  <c r="A49" i="12"/>
  <c r="A72" i="12"/>
  <c r="A106" i="12"/>
  <c r="N12" i="12"/>
  <c r="Q12" i="12"/>
  <c r="R12" i="12"/>
  <c r="P12" i="12"/>
  <c r="O12" i="12"/>
  <c r="Q99" i="12"/>
  <c r="R99" i="12"/>
  <c r="N99" i="12"/>
  <c r="O99" i="12"/>
  <c r="P99" i="12"/>
  <c r="O83" i="12"/>
  <c r="N83" i="12"/>
  <c r="R83" i="12"/>
  <c r="Q83" i="12"/>
  <c r="P83" i="12"/>
  <c r="N51" i="12"/>
  <c r="O51" i="12"/>
  <c r="Q51" i="12"/>
  <c r="R51" i="12"/>
  <c r="P51" i="12"/>
  <c r="R35" i="12"/>
  <c r="O35" i="12"/>
  <c r="P35" i="12"/>
  <c r="Q35" i="12"/>
  <c r="N35" i="12"/>
  <c r="R86" i="12"/>
  <c r="N86" i="12"/>
  <c r="O86" i="12"/>
  <c r="Q86" i="12"/>
  <c r="P86" i="12"/>
  <c r="P69" i="12"/>
  <c r="R69" i="12"/>
  <c r="O69" i="12"/>
  <c r="Q69" i="12"/>
  <c r="N69" i="12"/>
  <c r="P68" i="12"/>
  <c r="Q68" i="12"/>
  <c r="N68" i="12"/>
  <c r="O68" i="12"/>
  <c r="R68" i="12"/>
  <c r="Q56" i="12"/>
  <c r="N56" i="12"/>
  <c r="O56" i="12"/>
  <c r="R56" i="12"/>
  <c r="P56" i="12"/>
  <c r="P24" i="12"/>
  <c r="Q24" i="12"/>
  <c r="N24" i="12"/>
  <c r="R24" i="12"/>
  <c r="O24" i="12"/>
  <c r="O53" i="12"/>
  <c r="Q53" i="12"/>
  <c r="R53" i="12"/>
  <c r="N53" i="12"/>
  <c r="P53" i="12"/>
  <c r="J9" i="18" a="1"/>
  <c r="J9" i="18"/>
  <c r="AB23" i="25"/>
  <c r="L69" i="16"/>
  <c r="L70" i="16"/>
  <c r="L71" i="16"/>
  <c r="H25" i="18"/>
  <c r="O25" i="18"/>
  <c r="H26" i="18"/>
  <c r="O26" i="18"/>
  <c r="H27" i="18"/>
  <c r="O27" i="18"/>
  <c r="H28" i="18"/>
  <c r="H29" i="18"/>
  <c r="O29" i="18"/>
  <c r="I9" i="18"/>
  <c r="H9" i="18"/>
  <c r="L67" i="16"/>
  <c r="L68" i="16"/>
  <c r="L53" i="16"/>
  <c r="L26" i="16"/>
  <c r="L30" i="16"/>
  <c r="L38" i="16"/>
  <c r="L50" i="16"/>
  <c r="L58" i="16"/>
  <c r="L66" i="16"/>
  <c r="L51" i="16"/>
  <c r="L59" i="16"/>
  <c r="L63" i="16"/>
  <c r="L42" i="16"/>
  <c r="L27" i="16"/>
  <c r="L31" i="16"/>
  <c r="L35" i="16"/>
  <c r="L39" i="16"/>
  <c r="L43" i="16"/>
  <c r="L47" i="16"/>
  <c r="L55" i="16"/>
  <c r="L28" i="16"/>
  <c r="L32" i="16"/>
  <c r="L36" i="16"/>
  <c r="L40" i="16"/>
  <c r="L44" i="16"/>
  <c r="L48" i="16"/>
  <c r="L52" i="16"/>
  <c r="L56" i="16"/>
  <c r="L60" i="16"/>
  <c r="L64" i="16"/>
  <c r="L25" i="16"/>
  <c r="L29" i="16"/>
  <c r="L33" i="16"/>
  <c r="L37" i="16"/>
  <c r="L41" i="16"/>
  <c r="L45" i="16"/>
  <c r="L49" i="16"/>
  <c r="L57" i="16"/>
  <c r="L61" i="16"/>
  <c r="L65" i="16"/>
  <c r="L34" i="16"/>
  <c r="L46" i="16"/>
  <c r="L54" i="16"/>
  <c r="L62" i="16"/>
  <c r="L24" i="16"/>
  <c r="L22" i="16"/>
  <c r="L23" i="16"/>
  <c r="L21" i="16"/>
  <c r="AB20" i="25"/>
  <c r="L13" i="16"/>
  <c r="L17" i="16"/>
  <c r="L14" i="16"/>
  <c r="L18" i="16"/>
  <c r="L15" i="16"/>
  <c r="L19" i="16"/>
  <c r="L12" i="16"/>
  <c r="L16" i="16"/>
  <c r="L20" i="16"/>
  <c r="J9" i="16"/>
  <c r="I9" i="16"/>
  <c r="H9" i="16"/>
  <c r="L9" i="16"/>
  <c r="L10" i="16"/>
  <c r="L11" i="16"/>
  <c r="AB22" i="25"/>
  <c r="AB21" i="25"/>
  <c r="X23" i="25" a="1"/>
  <c r="X23" i="25"/>
  <c r="X22" i="25" a="1"/>
  <c r="X22" i="25"/>
  <c r="AB25" i="25"/>
  <c r="AB24" i="25"/>
  <c r="AB28" i="25"/>
  <c r="AB29" i="25"/>
  <c r="AB32" i="25"/>
  <c r="AB30" i="25"/>
  <c r="AB33" i="25"/>
  <c r="AB31" i="25"/>
  <c r="X20" i="25" a="1"/>
  <c r="X20" i="25"/>
  <c r="X21" i="25" a="1"/>
  <c r="X21" i="25"/>
  <c r="K9" i="10"/>
  <c r="J10" i="12"/>
  <c r="J11"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O9" i="18"/>
  <c r="P28" i="18"/>
  <c r="O28" i="18"/>
  <c r="H10" i="18"/>
  <c r="O10" i="18"/>
  <c r="M28" i="18"/>
  <c r="N28" i="18"/>
  <c r="K28" i="18"/>
  <c r="L28" i="18"/>
  <c r="L9" i="18"/>
  <c r="P9" i="16"/>
  <c r="N9" i="18"/>
  <c r="P9" i="18"/>
  <c r="M9" i="18"/>
  <c r="N25" i="18"/>
  <c r="P25" i="18"/>
  <c r="K25" i="18"/>
  <c r="M25" i="18"/>
  <c r="K27" i="18"/>
  <c r="L27" i="18"/>
  <c r="N27" i="18"/>
  <c r="P27" i="18"/>
  <c r="M27" i="18"/>
  <c r="M26" i="18"/>
  <c r="P26" i="18"/>
  <c r="N26" i="18"/>
  <c r="L26" i="18"/>
  <c r="K26" i="18"/>
  <c r="K9" i="18"/>
  <c r="H32" i="10"/>
  <c r="H30" i="18"/>
  <c r="O30" i="18"/>
  <c r="M29" i="18"/>
  <c r="K29" i="18"/>
  <c r="P29" i="18"/>
  <c r="L29" i="18"/>
  <c r="N29" i="18"/>
  <c r="M9" i="16"/>
  <c r="O9" i="16"/>
  <c r="I10" i="16"/>
  <c r="P10" i="16"/>
  <c r="N9" i="16"/>
  <c r="Q9" i="16"/>
  <c r="H10" i="10"/>
  <c r="O9" i="10"/>
  <c r="AY4" i="15"/>
  <c r="P9" i="10"/>
  <c r="N9" i="10"/>
  <c r="M9" i="10"/>
  <c r="L9" i="10"/>
  <c r="H11" i="18"/>
  <c r="O11" i="18"/>
  <c r="P10" i="18"/>
  <c r="L10" i="18"/>
  <c r="M10" i="18"/>
  <c r="K10" i="18"/>
  <c r="N10" i="18"/>
  <c r="H31" i="18"/>
  <c r="O31" i="18"/>
  <c r="P30" i="18"/>
  <c r="K30" i="18"/>
  <c r="L30" i="18"/>
  <c r="N30" i="18"/>
  <c r="M30" i="18"/>
  <c r="K32" i="10"/>
  <c r="H33" i="10"/>
  <c r="N32" i="10"/>
  <c r="M32" i="10"/>
  <c r="L32" i="10"/>
  <c r="O32" i="10"/>
  <c r="P32" i="10"/>
  <c r="O10" i="10"/>
  <c r="K10" i="10"/>
  <c r="I11" i="16"/>
  <c r="I12" i="16"/>
  <c r="Q10" i="16"/>
  <c r="N10" i="16"/>
  <c r="M10" i="16"/>
  <c r="O10" i="16"/>
  <c r="H11" i="10"/>
  <c r="N10" i="10"/>
  <c r="L10" i="10"/>
  <c r="P10" i="10"/>
  <c r="M10" i="10"/>
  <c r="H12" i="18"/>
  <c r="O12" i="18"/>
  <c r="M11" i="18"/>
  <c r="K11" i="18"/>
  <c r="N11" i="18"/>
  <c r="P11" i="18"/>
  <c r="L11" i="18"/>
  <c r="K33" i="10"/>
  <c r="H34" i="10"/>
  <c r="P33" i="10"/>
  <c r="L33" i="10"/>
  <c r="O33" i="10"/>
  <c r="M33" i="10"/>
  <c r="N33" i="10"/>
  <c r="H32" i="18"/>
  <c r="O32" i="18"/>
  <c r="M31" i="18"/>
  <c r="K31" i="18"/>
  <c r="P31" i="18"/>
  <c r="L31" i="18"/>
  <c r="N31" i="18"/>
  <c r="O11" i="10"/>
  <c r="K11" i="10"/>
  <c r="Q11" i="16"/>
  <c r="O11" i="16"/>
  <c r="P11" i="16"/>
  <c r="N11" i="16"/>
  <c r="M11" i="16"/>
  <c r="N11" i="10"/>
  <c r="L11" i="10"/>
  <c r="P11" i="10"/>
  <c r="H12" i="10"/>
  <c r="M11" i="10"/>
  <c r="I13" i="16"/>
  <c r="P12" i="16"/>
  <c r="O12" i="16"/>
  <c r="M12" i="16"/>
  <c r="Q12" i="16"/>
  <c r="N12" i="16"/>
  <c r="N12" i="18"/>
  <c r="L12" i="18"/>
  <c r="K12" i="18"/>
  <c r="M12" i="18"/>
  <c r="H13" i="18"/>
  <c r="O13" i="18"/>
  <c r="P12" i="18"/>
  <c r="K34" i="10"/>
  <c r="H35" i="10"/>
  <c r="M34" i="10"/>
  <c r="P34" i="10"/>
  <c r="N34" i="10"/>
  <c r="L34" i="10"/>
  <c r="O34" i="10"/>
  <c r="H33" i="18"/>
  <c r="O33" i="18"/>
  <c r="N32" i="18"/>
  <c r="K32" i="18"/>
  <c r="P32" i="18"/>
  <c r="M32" i="18"/>
  <c r="L32" i="18"/>
  <c r="O12" i="10"/>
  <c r="K12" i="10"/>
  <c r="H13" i="10"/>
  <c r="M12" i="10"/>
  <c r="L12" i="10"/>
  <c r="N12" i="10"/>
  <c r="P12" i="10"/>
  <c r="I14" i="16"/>
  <c r="I15" i="16"/>
  <c r="I16" i="16"/>
  <c r="O13" i="16"/>
  <c r="P13" i="16"/>
  <c r="M13" i="16"/>
  <c r="N13" i="16"/>
  <c r="Q13" i="16"/>
  <c r="M13" i="18"/>
  <c r="N13" i="18"/>
  <c r="L13" i="18"/>
  <c r="H14" i="18"/>
  <c r="H15" i="18"/>
  <c r="P13" i="18"/>
  <c r="K13" i="18"/>
  <c r="K35" i="10"/>
  <c r="H36" i="10"/>
  <c r="P35" i="10"/>
  <c r="N35" i="10"/>
  <c r="L35" i="10"/>
  <c r="M35" i="10"/>
  <c r="O35" i="10"/>
  <c r="H34" i="18"/>
  <c r="O34" i="18"/>
  <c r="N33" i="18"/>
  <c r="L33" i="18"/>
  <c r="M33" i="18"/>
  <c r="K33" i="18"/>
  <c r="P33" i="18"/>
  <c r="H17" i="18"/>
  <c r="O17" i="18"/>
  <c r="O13" i="10"/>
  <c r="K13" i="10"/>
  <c r="I17" i="16"/>
  <c r="N16" i="16"/>
  <c r="M16" i="16"/>
  <c r="O16" i="16"/>
  <c r="P16" i="16"/>
  <c r="Q16" i="16"/>
  <c r="O15" i="16"/>
  <c r="P15" i="16"/>
  <c r="M15" i="16"/>
  <c r="Q15" i="16"/>
  <c r="N15" i="16"/>
  <c r="F108" i="30"/>
  <c r="H14" i="10"/>
  <c r="M13" i="10"/>
  <c r="L13" i="10"/>
  <c r="N13" i="10"/>
  <c r="P13" i="10"/>
  <c r="Q14" i="16"/>
  <c r="O14" i="16"/>
  <c r="P14" i="16"/>
  <c r="N14" i="16"/>
  <c r="M14" i="16"/>
  <c r="K14" i="18"/>
  <c r="M14" i="18"/>
  <c r="P15" i="18"/>
  <c r="M15" i="18"/>
  <c r="O14" i="18"/>
  <c r="N14" i="18"/>
  <c r="P14" i="18"/>
  <c r="L14" i="18"/>
  <c r="K15" i="18"/>
  <c r="L15" i="18"/>
  <c r="N15" i="18"/>
  <c r="H16" i="18"/>
  <c r="O15" i="18"/>
  <c r="K36" i="10"/>
  <c r="L36" i="10"/>
  <c r="O36" i="10"/>
  <c r="M36" i="10"/>
  <c r="N36" i="10"/>
  <c r="P36" i="10"/>
  <c r="H35" i="18"/>
  <c r="O35" i="18"/>
  <c r="N34" i="18"/>
  <c r="L34" i="18"/>
  <c r="M34" i="18"/>
  <c r="P34" i="18"/>
  <c r="K34" i="18"/>
  <c r="K17" i="18"/>
  <c r="N17" i="18"/>
  <c r="P17" i="18"/>
  <c r="L17" i="18"/>
  <c r="M17" i="18"/>
  <c r="H18" i="18"/>
  <c r="O18" i="18"/>
  <c r="H15" i="10"/>
  <c r="L15" i="10"/>
  <c r="K14" i="10"/>
  <c r="I18" i="16"/>
  <c r="P18" i="16"/>
  <c r="M17" i="16"/>
  <c r="O17" i="16"/>
  <c r="P17" i="16"/>
  <c r="Q17" i="16"/>
  <c r="N17" i="16"/>
  <c r="C105" i="30" a="1"/>
  <c r="C105" i="30"/>
  <c r="F156" i="30"/>
  <c r="F60" i="30"/>
  <c r="F12" i="30"/>
  <c r="L14" i="10"/>
  <c r="M14" i="10"/>
  <c r="P14" i="10"/>
  <c r="O14" i="10"/>
  <c r="N14" i="10"/>
  <c r="O16" i="18"/>
  <c r="K16" i="18"/>
  <c r="N16" i="18"/>
  <c r="M16" i="18"/>
  <c r="L16" i="18"/>
  <c r="P16" i="18"/>
  <c r="H36" i="18"/>
  <c r="O36" i="18"/>
  <c r="P35" i="18"/>
  <c r="N35" i="18"/>
  <c r="M35" i="18"/>
  <c r="K35" i="18"/>
  <c r="L35" i="18"/>
  <c r="N18" i="18"/>
  <c r="P18" i="18"/>
  <c r="K18" i="18"/>
  <c r="L18" i="18"/>
  <c r="M18" i="18"/>
  <c r="H19" i="18"/>
  <c r="O19" i="18"/>
  <c r="H16" i="10"/>
  <c r="K15" i="10"/>
  <c r="M15" i="10"/>
  <c r="N15" i="10"/>
  <c r="P15" i="10"/>
  <c r="O15" i="10"/>
  <c r="I19" i="16"/>
  <c r="N18" i="16"/>
  <c r="M18" i="16"/>
  <c r="Q18" i="16"/>
  <c r="O18" i="16"/>
  <c r="I54" i="26"/>
  <c r="I53" i="26"/>
  <c r="C106" i="30" a="1"/>
  <c r="C106" i="30"/>
  <c r="I105" i="30" a="1"/>
  <c r="I105" i="30"/>
  <c r="I106" i="30" a="1"/>
  <c r="I106" i="30"/>
  <c r="C58" i="30" a="1"/>
  <c r="C58" i="30"/>
  <c r="I58" i="30" a="1"/>
  <c r="I58" i="30"/>
  <c r="C57" i="30" a="1"/>
  <c r="C57" i="30"/>
  <c r="I57" i="30" a="1"/>
  <c r="I57" i="30"/>
  <c r="I9" i="30" a="1"/>
  <c r="I9" i="30"/>
  <c r="I10" i="30" a="1"/>
  <c r="I10" i="30"/>
  <c r="C10" i="30" a="1"/>
  <c r="C10" i="30"/>
  <c r="I153" i="30" a="1"/>
  <c r="I153" i="30"/>
  <c r="C153" i="30" a="1"/>
  <c r="C153" i="30"/>
  <c r="I154" i="30" a="1"/>
  <c r="I154" i="30"/>
  <c r="C154" i="30" a="1"/>
  <c r="C154" i="30"/>
  <c r="C9" i="30" a="1"/>
  <c r="C9" i="30"/>
  <c r="B36" i="25"/>
  <c r="K36" i="18"/>
  <c r="P36" i="18"/>
  <c r="M36" i="18"/>
  <c r="N36" i="18"/>
  <c r="L36" i="18"/>
  <c r="N19" i="18"/>
  <c r="L19" i="18"/>
  <c r="P19" i="18"/>
  <c r="K19" i="18"/>
  <c r="M19" i="18"/>
  <c r="H20" i="18"/>
  <c r="O20" i="18"/>
  <c r="H17" i="10"/>
  <c r="H18" i="10"/>
  <c r="H19" i="10"/>
  <c r="K16" i="10"/>
  <c r="O16" i="10"/>
  <c r="L16" i="10"/>
  <c r="M16" i="10"/>
  <c r="N16" i="10"/>
  <c r="P16" i="10"/>
  <c r="M19" i="16"/>
  <c r="P19" i="16"/>
  <c r="N19" i="16"/>
  <c r="O19" i="16"/>
  <c r="I20" i="16"/>
  <c r="I21" i="16"/>
  <c r="Q19" i="16"/>
  <c r="I55" i="26"/>
  <c r="B52" i="26"/>
  <c r="I52" i="26"/>
  <c r="I56" i="26"/>
  <c r="AA53" i="26"/>
  <c r="M20" i="18"/>
  <c r="L20" i="18"/>
  <c r="K20" i="18"/>
  <c r="N20" i="18"/>
  <c r="H21" i="18"/>
  <c r="O21" i="18"/>
  <c r="P20" i="18"/>
  <c r="L19" i="10"/>
  <c r="H20" i="10"/>
  <c r="M19" i="10"/>
  <c r="O19" i="10"/>
  <c r="N19" i="10"/>
  <c r="K19" i="10"/>
  <c r="P19" i="10"/>
  <c r="K18" i="10"/>
  <c r="O18" i="10"/>
  <c r="N18" i="10"/>
  <c r="L18" i="10"/>
  <c r="M18" i="10"/>
  <c r="P18" i="10"/>
  <c r="K17" i="10"/>
  <c r="M17" i="10"/>
  <c r="O17" i="10"/>
  <c r="L17" i="10"/>
  <c r="P17" i="10"/>
  <c r="N17" i="10"/>
  <c r="I22" i="16"/>
  <c r="Q21" i="16"/>
  <c r="N21" i="16"/>
  <c r="O21" i="16"/>
  <c r="M21" i="16"/>
  <c r="P21" i="16"/>
  <c r="P20" i="16"/>
  <c r="M20" i="16"/>
  <c r="N20" i="16"/>
  <c r="O20" i="16"/>
  <c r="Q20" i="16"/>
  <c r="AA52" i="26"/>
  <c r="P21" i="18"/>
  <c r="H22" i="18"/>
  <c r="O22" i="18"/>
  <c r="N21" i="18"/>
  <c r="K21" i="18"/>
  <c r="M21" i="18"/>
  <c r="L21" i="18"/>
  <c r="H21" i="10"/>
  <c r="P20" i="10"/>
  <c r="O20" i="10"/>
  <c r="N20" i="10"/>
  <c r="L20" i="10"/>
  <c r="K20" i="10"/>
  <c r="M20" i="10"/>
  <c r="I23" i="16"/>
  <c r="O22" i="16"/>
  <c r="Q22" i="16"/>
  <c r="M22" i="16"/>
  <c r="N22" i="16"/>
  <c r="P22" i="16"/>
  <c r="L22" i="18"/>
  <c r="H23" i="18"/>
  <c r="M22" i="18"/>
  <c r="K22" i="18"/>
  <c r="P22" i="18"/>
  <c r="N22" i="18"/>
  <c r="H22" i="10"/>
  <c r="P21" i="10"/>
  <c r="N21" i="10"/>
  <c r="M21" i="10"/>
  <c r="L21" i="10"/>
  <c r="K21" i="10"/>
  <c r="O21" i="10"/>
  <c r="I24" i="16"/>
  <c r="M23" i="16"/>
  <c r="Q23" i="16"/>
  <c r="N23" i="16"/>
  <c r="O23" i="16"/>
  <c r="P23" i="16"/>
  <c r="H24" i="18"/>
  <c r="O24" i="18"/>
  <c r="O23" i="18"/>
  <c r="M23" i="18"/>
  <c r="K23" i="18"/>
  <c r="P23" i="18"/>
  <c r="L23" i="18"/>
  <c r="N23" i="18"/>
  <c r="H23" i="10"/>
  <c r="H24" i="10"/>
  <c r="H25" i="10"/>
  <c r="L22" i="10"/>
  <c r="K22" i="10"/>
  <c r="O22" i="10"/>
  <c r="P22" i="10"/>
  <c r="N22" i="10"/>
  <c r="M22" i="10"/>
  <c r="I25" i="16"/>
  <c r="N24" i="16"/>
  <c r="Q24" i="16"/>
  <c r="P24" i="16"/>
  <c r="M24" i="16"/>
  <c r="O24" i="16"/>
  <c r="M24" i="18"/>
  <c r="P24" i="18"/>
  <c r="L24" i="18"/>
  <c r="K24" i="18"/>
  <c r="N24" i="18"/>
  <c r="H26" i="10"/>
  <c r="L25" i="10"/>
  <c r="K25" i="10"/>
  <c r="O25" i="10"/>
  <c r="N25" i="10"/>
  <c r="M25" i="10"/>
  <c r="P25" i="10"/>
  <c r="N24" i="10"/>
  <c r="P24" i="10"/>
  <c r="O24" i="10"/>
  <c r="L24" i="10"/>
  <c r="M24" i="10"/>
  <c r="K24" i="10"/>
  <c r="M23" i="10"/>
  <c r="O23" i="10"/>
  <c r="P23" i="10"/>
  <c r="N23" i="10"/>
  <c r="K23" i="10"/>
  <c r="L23" i="10"/>
  <c r="I26" i="16"/>
  <c r="Q25" i="16"/>
  <c r="N25" i="16"/>
  <c r="O25" i="16"/>
  <c r="P25" i="16"/>
  <c r="H27" i="10"/>
  <c r="K26" i="10"/>
  <c r="O26" i="10"/>
  <c r="P26" i="10"/>
  <c r="N26" i="10"/>
  <c r="M26" i="10"/>
  <c r="L26" i="10"/>
  <c r="I27" i="16"/>
  <c r="N26" i="16"/>
  <c r="M26" i="16"/>
  <c r="O26" i="16"/>
  <c r="Q26" i="16"/>
  <c r="P26" i="16"/>
  <c r="H28" i="10"/>
  <c r="N27" i="10"/>
  <c r="K27" i="10"/>
  <c r="O27" i="10"/>
  <c r="P27" i="10"/>
  <c r="M27" i="10"/>
  <c r="L27" i="10"/>
  <c r="I28" i="16"/>
  <c r="Q27" i="16"/>
  <c r="O27" i="16"/>
  <c r="M27" i="16"/>
  <c r="N27" i="16"/>
  <c r="P27" i="16"/>
  <c r="H29" i="10"/>
  <c r="K28" i="10"/>
  <c r="P28" i="10"/>
  <c r="O28" i="10"/>
  <c r="M28" i="10"/>
  <c r="N28" i="10"/>
  <c r="L28" i="10"/>
  <c r="I29" i="16"/>
  <c r="N28" i="16"/>
  <c r="M28" i="16"/>
  <c r="O28" i="16"/>
  <c r="Q28" i="16"/>
  <c r="P28" i="16"/>
  <c r="H30" i="10"/>
  <c r="O29" i="10"/>
  <c r="K29" i="10"/>
  <c r="P29" i="10"/>
  <c r="M29" i="10"/>
  <c r="L29" i="10"/>
  <c r="N29" i="10"/>
  <c r="I30" i="16"/>
  <c r="O29" i="16"/>
  <c r="Q29" i="16"/>
  <c r="N29" i="16"/>
  <c r="M29" i="16"/>
  <c r="P29" i="16"/>
  <c r="N30" i="10"/>
  <c r="H31" i="10"/>
  <c r="Y16" i="8"/>
  <c r="K30" i="10"/>
  <c r="L30" i="10"/>
  <c r="M30" i="10"/>
  <c r="O30" i="10"/>
  <c r="P30" i="10"/>
  <c r="I31" i="16"/>
  <c r="M30" i="16"/>
  <c r="Q30" i="16"/>
  <c r="O30" i="16"/>
  <c r="N30" i="16"/>
  <c r="P30" i="16"/>
  <c r="N31" i="10"/>
  <c r="P31" i="10"/>
  <c r="M31" i="10"/>
  <c r="K31" i="10"/>
  <c r="L31" i="10"/>
  <c r="O31" i="10"/>
  <c r="I32" i="16"/>
  <c r="O31" i="16"/>
  <c r="M31" i="16"/>
  <c r="Q31" i="16"/>
  <c r="N31" i="16"/>
  <c r="P31" i="16"/>
  <c r="I33" i="16"/>
  <c r="Q32" i="16"/>
  <c r="M32" i="16"/>
  <c r="N32" i="16"/>
  <c r="O32" i="16"/>
  <c r="P32" i="16"/>
  <c r="I34" i="16"/>
  <c r="Q33" i="16"/>
  <c r="O33" i="16"/>
  <c r="M33" i="16"/>
  <c r="N33" i="16"/>
  <c r="P33" i="16"/>
  <c r="I35" i="16"/>
  <c r="O34" i="16"/>
  <c r="N34" i="16"/>
  <c r="M34" i="16"/>
  <c r="Q34" i="16"/>
  <c r="P34" i="16"/>
  <c r="I36" i="16"/>
  <c r="Q35" i="16"/>
  <c r="O35" i="16"/>
  <c r="M35" i="16"/>
  <c r="N35" i="16"/>
  <c r="P35" i="16"/>
  <c r="I37" i="16"/>
  <c r="M36" i="16"/>
  <c r="Q36" i="16"/>
  <c r="N36" i="16"/>
  <c r="O36" i="16"/>
  <c r="P36" i="16"/>
  <c r="I38" i="16"/>
  <c r="Q37" i="16"/>
  <c r="M37" i="16"/>
  <c r="N37" i="16"/>
  <c r="O37" i="16"/>
  <c r="P37" i="16"/>
  <c r="I39" i="16"/>
  <c r="M38" i="16"/>
  <c r="O38" i="16"/>
  <c r="Q38" i="16"/>
  <c r="N38" i="16"/>
  <c r="P38" i="16"/>
  <c r="N39" i="16"/>
  <c r="O39" i="16"/>
  <c r="Q39" i="16"/>
  <c r="M39" i="16"/>
  <c r="P39" i="16"/>
  <c r="I40" i="16"/>
  <c r="I41" i="16"/>
  <c r="M40" i="16"/>
  <c r="N40" i="16"/>
  <c r="Q40" i="16"/>
  <c r="O40" i="16"/>
  <c r="P40" i="16"/>
  <c r="I42" i="16"/>
  <c r="M41" i="16"/>
  <c r="Q41" i="16"/>
  <c r="N41" i="16"/>
  <c r="P41" i="16"/>
  <c r="O41" i="16"/>
  <c r="I43" i="16"/>
  <c r="M42" i="16"/>
  <c r="Q42" i="16"/>
  <c r="O42" i="16"/>
  <c r="N42" i="16"/>
  <c r="P42" i="16"/>
  <c r="M43" i="16"/>
  <c r="N43" i="16"/>
  <c r="O43" i="16"/>
  <c r="Q43" i="16"/>
  <c r="P43" i="16"/>
  <c r="I44" i="16"/>
  <c r="N44" i="16"/>
  <c r="O44" i="16"/>
  <c r="Q44" i="16"/>
  <c r="P44" i="16"/>
  <c r="M44" i="16"/>
  <c r="I45" i="16"/>
  <c r="M45" i="16"/>
  <c r="N45" i="16"/>
  <c r="P45" i="16"/>
  <c r="Q45" i="16"/>
  <c r="O45" i="16"/>
  <c r="I46" i="16"/>
  <c r="I47" i="16"/>
  <c r="O46" i="16"/>
  <c r="M46" i="16"/>
  <c r="P46" i="16"/>
  <c r="N46" i="16"/>
  <c r="Q46" i="16"/>
  <c r="I48" i="16"/>
  <c r="Q47" i="16"/>
  <c r="O47" i="16"/>
  <c r="M47" i="16"/>
  <c r="P47" i="16"/>
  <c r="N47" i="16"/>
  <c r="I49" i="16"/>
  <c r="O48" i="16"/>
  <c r="M48" i="16"/>
  <c r="P48" i="16"/>
  <c r="Q48" i="16"/>
  <c r="N48" i="16"/>
  <c r="P49" i="16"/>
  <c r="N49" i="16"/>
  <c r="I50" i="16"/>
  <c r="O49" i="16"/>
  <c r="Q49" i="16"/>
  <c r="M49" i="16"/>
  <c r="N50" i="16"/>
  <c r="P50" i="16"/>
  <c r="I51" i="16"/>
  <c r="O50" i="16"/>
  <c r="Q50" i="16"/>
  <c r="M50" i="16"/>
  <c r="Q51" i="16"/>
  <c r="N51" i="16"/>
  <c r="I52" i="16"/>
  <c r="M51" i="16"/>
  <c r="P51" i="16"/>
  <c r="O51" i="16"/>
  <c r="I53" i="16"/>
  <c r="M52" i="16"/>
  <c r="Q52" i="16"/>
  <c r="N52" i="16"/>
  <c r="O52" i="16"/>
  <c r="P52" i="16"/>
  <c r="I54" i="16"/>
  <c r="O53" i="16"/>
  <c r="Q53" i="16"/>
  <c r="M53" i="16"/>
  <c r="N53" i="16"/>
  <c r="P53" i="16"/>
  <c r="Q54" i="16"/>
  <c r="N54" i="16"/>
  <c r="M54" i="16"/>
  <c r="O54" i="16"/>
  <c r="I55" i="16"/>
  <c r="P54" i="16"/>
  <c r="N55" i="16"/>
  <c r="P55" i="16"/>
  <c r="O55" i="16"/>
  <c r="I56" i="16"/>
  <c r="Q55" i="16"/>
  <c r="M55" i="16"/>
  <c r="I57" i="16"/>
  <c r="O56" i="16"/>
  <c r="M56" i="16"/>
  <c r="N56" i="16"/>
  <c r="P56" i="16"/>
  <c r="Q56" i="16"/>
  <c r="I58" i="16"/>
  <c r="Q57" i="16"/>
  <c r="P57" i="16"/>
  <c r="M57" i="16"/>
  <c r="N57" i="16"/>
  <c r="O57" i="16"/>
  <c r="P58" i="16"/>
  <c r="I59" i="16"/>
  <c r="Q58" i="16"/>
  <c r="O58" i="16"/>
  <c r="M58" i="16"/>
  <c r="N58" i="16"/>
  <c r="I60" i="16"/>
  <c r="M59" i="16"/>
  <c r="Q59" i="16"/>
  <c r="N59" i="16"/>
  <c r="O59" i="16"/>
  <c r="P59" i="16"/>
  <c r="O60" i="16"/>
  <c r="I61" i="16"/>
  <c r="P60" i="16"/>
  <c r="M60" i="16"/>
  <c r="Q60" i="16"/>
  <c r="N60" i="16"/>
  <c r="P61" i="16"/>
  <c r="O61" i="16"/>
  <c r="I62" i="16"/>
  <c r="N61" i="16"/>
  <c r="M61" i="16"/>
  <c r="Q61" i="16"/>
  <c r="P62" i="16"/>
  <c r="M62" i="16"/>
  <c r="I63" i="16"/>
  <c r="Q62" i="16"/>
  <c r="O62" i="16"/>
  <c r="N62" i="16"/>
  <c r="Q63" i="16"/>
  <c r="O63" i="16"/>
  <c r="I64" i="16"/>
  <c r="P63" i="16"/>
  <c r="M63" i="16"/>
  <c r="N63" i="16"/>
  <c r="Q64" i="16"/>
  <c r="M64" i="16"/>
  <c r="P64" i="16"/>
  <c r="I65" i="16"/>
  <c r="N64" i="16"/>
  <c r="O64" i="16"/>
  <c r="Q65" i="16"/>
  <c r="I66" i="16"/>
  <c r="N65" i="16"/>
  <c r="M65" i="16"/>
  <c r="P65" i="16"/>
  <c r="O65" i="16"/>
  <c r="I67" i="16"/>
  <c r="Q66" i="16"/>
  <c r="M66" i="16"/>
  <c r="N66" i="16"/>
  <c r="P66" i="16"/>
  <c r="O66" i="16"/>
  <c r="C4" i="28"/>
  <c r="N12" i="28" a="1"/>
  <c r="N12" i="28"/>
  <c r="C4" i="32"/>
  <c r="G6" i="26"/>
  <c r="B9" i="31"/>
  <c r="B6" i="27"/>
  <c r="I68" i="16"/>
  <c r="Q67" i="16"/>
  <c r="M67" i="16"/>
  <c r="O67" i="16"/>
  <c r="P67" i="16"/>
  <c r="N67" i="16"/>
  <c r="K5" i="32"/>
  <c r="N12" i="32" a="1"/>
  <c r="N12" i="32"/>
  <c r="C6" i="32" a="1"/>
  <c r="C6" i="32"/>
  <c r="C8" i="32"/>
  <c r="C5" i="32"/>
  <c r="C7" i="32"/>
  <c r="C6" i="28" a="1"/>
  <c r="C6" i="28"/>
  <c r="C5" i="28"/>
  <c r="B1" i="32"/>
  <c r="F29" i="32"/>
  <c r="D17" i="32"/>
  <c r="I12" i="32"/>
  <c r="I69" i="16"/>
  <c r="C8" i="28"/>
  <c r="I12" i="28"/>
  <c r="P9" i="28"/>
  <c r="C7" i="28"/>
  <c r="F29" i="28"/>
  <c r="K5" i="28"/>
  <c r="D17" i="28"/>
  <c r="B1" i="28"/>
  <c r="B1" i="27"/>
  <c r="P13" i="27"/>
  <c r="X1" i="27"/>
  <c r="Q8" i="31"/>
  <c r="B1" i="31"/>
  <c r="F1" i="31"/>
  <c r="B20" i="26"/>
  <c r="W1" i="26"/>
  <c r="Z6" i="26"/>
  <c r="V1" i="26"/>
  <c r="B14" i="26"/>
  <c r="B22" i="26"/>
  <c r="H22" i="26"/>
  <c r="B1" i="26"/>
  <c r="R14" i="26"/>
  <c r="C48" i="26"/>
  <c r="C52" i="26"/>
  <c r="U1" i="26"/>
  <c r="M14" i="26"/>
  <c r="P68" i="16"/>
  <c r="Q68" i="16"/>
  <c r="M68" i="16"/>
  <c r="O68" i="16"/>
  <c r="N68" i="16"/>
  <c r="N29" i="32" a="1"/>
  <c r="N29" i="32"/>
  <c r="D25" i="32"/>
  <c r="D15" i="32" a="1"/>
  <c r="D15" i="32"/>
  <c r="H12" i="32"/>
  <c r="I70" i="16"/>
  <c r="M69" i="16"/>
  <c r="P69" i="16"/>
  <c r="O69" i="16"/>
  <c r="Q69" i="16"/>
  <c r="N69" i="16"/>
  <c r="V14" i="26"/>
  <c r="K38" i="26"/>
  <c r="T38" i="26"/>
  <c r="B38" i="26"/>
  <c r="E1" i="31"/>
  <c r="D1" i="31" a="1"/>
  <c r="D1" i="31"/>
  <c r="C1" i="31" a="1"/>
  <c r="C1" i="31"/>
  <c r="S14" i="31"/>
  <c r="D34" i="28"/>
  <c r="L49" i="28"/>
  <c r="L51" i="28"/>
  <c r="N9" i="28"/>
  <c r="B9" i="26"/>
  <c r="J12" i="26" a="1"/>
  <c r="J12" i="26"/>
  <c r="P18" i="26"/>
  <c r="Q12" i="26"/>
  <c r="O21" i="26"/>
  <c r="I34" i="26"/>
  <c r="W31" i="26"/>
  <c r="B34" i="26"/>
  <c r="B24" i="26"/>
  <c r="B28" i="26"/>
  <c r="B31" i="26"/>
  <c r="I31" i="26"/>
  <c r="W34" i="26"/>
  <c r="B27" i="26"/>
  <c r="V12" i="26" a="1"/>
  <c r="V12" i="26"/>
  <c r="J9" i="26" a="1"/>
  <c r="J9" i="26"/>
  <c r="B12" i="26"/>
  <c r="B25" i="26"/>
  <c r="H12" i="28"/>
  <c r="N29" i="28" a="1"/>
  <c r="N29" i="28"/>
  <c r="D25" i="28"/>
  <c r="D15" i="28" a="1"/>
  <c r="D15" i="28"/>
  <c r="G12" i="32" a="1"/>
  <c r="G12" i="32"/>
  <c r="E12" i="32" a="1"/>
  <c r="E12" i="32"/>
  <c r="I71" i="16"/>
  <c r="O11" i="15"/>
  <c r="N70" i="16"/>
  <c r="M70" i="16"/>
  <c r="Q70" i="16"/>
  <c r="P70" i="16"/>
  <c r="O70" i="16"/>
  <c r="E12" i="28" a="1"/>
  <c r="E12" i="28"/>
  <c r="G12" i="28" a="1"/>
  <c r="G12" i="28"/>
  <c r="I32" i="31" a="1"/>
  <c r="I32" i="31"/>
  <c r="I31" i="31" a="1"/>
  <c r="I31" i="31"/>
  <c r="T31" i="31" a="1"/>
  <c r="T31" i="31"/>
  <c r="K31" i="31" a="1"/>
  <c r="K31" i="31"/>
  <c r="K32" i="31" a="1"/>
  <c r="K32" i="31"/>
  <c r="T32" i="31" a="1"/>
  <c r="T32" i="31"/>
  <c r="Q20" i="32" a="1"/>
  <c r="Q20" i="32"/>
  <c r="P54" i="32" a="1"/>
  <c r="P54" i="32"/>
  <c r="Q18" i="32" a="1"/>
  <c r="Q18" i="32"/>
  <c r="N16" i="32" a="1"/>
  <c r="N16" i="32"/>
  <c r="Q14" i="32" a="1"/>
  <c r="Q14" i="32"/>
  <c r="E14" i="32" a="1"/>
  <c r="E14" i="32"/>
  <c r="O20" i="32" a="1"/>
  <c r="O20" i="32"/>
  <c r="O18" i="32" a="1"/>
  <c r="O18" i="32"/>
  <c r="Q16" i="32" a="1"/>
  <c r="Q16" i="32"/>
  <c r="N14" i="32" a="1"/>
  <c r="N14" i="32"/>
  <c r="E13" i="32" a="1"/>
  <c r="E13" i="32"/>
  <c r="Q8" i="32" a="1"/>
  <c r="Q8" i="32"/>
  <c r="D32" i="32" a="1"/>
  <c r="D32" i="32"/>
  <c r="B1" i="15"/>
  <c r="E1" i="15"/>
  <c r="W37" i="15"/>
  <c r="D1" i="15"/>
  <c r="AU31" i="15"/>
  <c r="C1" i="15"/>
  <c r="O14" i="15"/>
  <c r="O37" i="15"/>
  <c r="N71" i="16"/>
  <c r="M71" i="16"/>
  <c r="P71" i="16"/>
  <c r="O71" i="16"/>
  <c r="Q71" i="16"/>
  <c r="U1" i="16"/>
  <c r="N16" i="28" a="1"/>
  <c r="N16" i="28"/>
  <c r="O18" i="28" a="1"/>
  <c r="O18" i="28"/>
  <c r="D32" i="28" a="1"/>
  <c r="D32" i="28"/>
  <c r="Q8" i="28" a="1"/>
  <c r="Q8" i="28"/>
  <c r="P54" i="28" a="1"/>
  <c r="P54" i="28"/>
  <c r="N14" i="28" a="1"/>
  <c r="N14" i="28"/>
  <c r="Q14" i="28" a="1"/>
  <c r="Q14" i="28"/>
  <c r="E14" i="28" a="1"/>
  <c r="E14" i="28"/>
  <c r="Q20" i="28" a="1"/>
  <c r="Q20" i="28"/>
  <c r="O20" i="28" a="1"/>
  <c r="O20" i="28"/>
  <c r="Q16" i="28" a="1"/>
  <c r="Q16" i="28"/>
  <c r="E13" i="28" a="1"/>
  <c r="E13" i="28"/>
  <c r="Q18" i="28" a="1"/>
  <c r="Q18" i="28"/>
  <c r="BH1" i="15"/>
  <c r="AB40" i="15" a="1"/>
  <c r="AB40" i="15"/>
  <c r="O40" i="15" a="1"/>
  <c r="O40" i="15"/>
  <c r="O22" i="15"/>
  <c r="AT40" i="15"/>
  <c r="AT49" i="15"/>
  <c r="O49" i="15"/>
  <c r="O31" i="15"/>
  <c r="V49" i="15"/>
  <c r="Y14" i="15"/>
  <c r="AT14" i="15"/>
  <c r="C9" i="15"/>
  <c r="W46" i="15"/>
  <c r="N46" i="15"/>
  <c r="C56" i="15"/>
  <c r="N56"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tc={5460ACD1-3D2B-49A5-B530-7E15C93DD92F}</author>
    <author>Kenji Kaneshrio</author>
  </authors>
  <commentList>
    <comment ref="AI1" authorId="0" shapeId="0" xr:uid="{5460ACD1-3D2B-49A5-B530-7E15C93DD92F}">
      <text>
        <t>[Threaded comment]
Your version of Excel allows you to read this threaded comment; however, any edits to it will get removed if the file is opened in a newer version of Excel. Learn more: https://go.microsoft.com/fwlink/?linkid=870924
Comment:
    No se porque hay esto……
Reply:
    Tengo quue ver en 'TB! La fecha que comienza</t>
      </text>
    </comment>
    <comment ref="AD7" authorId="1" shapeId="0" xr:uid="{AF72D432-1B9B-416C-B485-1B494F8226E5}">
      <text>
        <r>
          <rPr>
            <b/>
            <sz val="9"/>
            <color indexed="81"/>
            <rFont val="Tahoma"/>
            <family val="2"/>
          </rPr>
          <t>Kenji Kaneshrio:</t>
        </r>
        <r>
          <rPr>
            <sz val="9"/>
            <color indexed="81"/>
            <rFont val="Tahoma"/>
            <family val="2"/>
          </rPr>
          <t xml:space="preserve">
Zdesde el comienzo del contrato kobetsu</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DBGenzai" description="Conexión a la consulta 'DBGenzai' en el libro." type="5" refreshedVersion="8" background="1" saveData="1">
    <dbPr connection="Provider=Microsoft.Mashup.OleDb.1;Data Source=$Workbook$;Location=DBGenzai;Extended Properties=&quot;&quot;" command="SELECT * FROM [DBGenzai]"/>
  </connection>
  <connection id="2" xr16:uid="{00000000-0015-0000-FFFF-FFFF01000000}" keepAlive="1" name="Consulta - DBGenzai(1)" description="Conexión a la consulta 'DBGenzai' en el libro." type="5" refreshedVersion="0" background="1" saveData="1">
    <dbPr connection="Provider=Microsoft.Mashup.OleDb.1;Data Source=$Workbook$;Location=DBGenzai;Extended Properties=&quot;&quot;" command="SELECT * FROM [DBGenzai]"/>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<sst xmlns="http://schemas.openxmlformats.org/spreadsheetml/2006/main" count="20930" uniqueCount="4600">
  <si>
    <t>（乙）</t>
    <rPh sb="1" eb="2">
      <t>オツ</t>
    </rPh>
    <phoneticPr fontId="1"/>
  </si>
  <si>
    <t>締日</t>
    <rPh sb="0" eb="2">
      <t>シメビ</t>
    </rPh>
    <phoneticPr fontId="1"/>
  </si>
  <si>
    <t>支払日</t>
    <rPh sb="0" eb="3">
      <t>シハライビ</t>
    </rPh>
    <phoneticPr fontId="1"/>
  </si>
  <si>
    <t>支払方法</t>
    <rPh sb="0" eb="2">
      <t>シハライ</t>
    </rPh>
    <rPh sb="2" eb="4">
      <t>ホウホウ</t>
    </rPh>
    <phoneticPr fontId="1"/>
  </si>
  <si>
    <t>銀行振込</t>
    <rPh sb="0" eb="2">
      <t>ギンコウ</t>
    </rPh>
    <rPh sb="2" eb="4">
      <t>フリコミ</t>
    </rPh>
    <phoneticPr fontId="1"/>
  </si>
  <si>
    <t>No</t>
  </si>
  <si>
    <t>氏名</t>
    <rPh sb="0" eb="2">
      <t>シメイ</t>
    </rPh>
    <phoneticPr fontId="3"/>
  </si>
  <si>
    <t>性別</t>
    <rPh sb="0" eb="2">
      <t>セイベツ</t>
    </rPh>
    <phoneticPr fontId="3"/>
  </si>
  <si>
    <t>年齢</t>
    <rPh sb="0" eb="2">
      <t>ネンレイ</t>
    </rPh>
    <phoneticPr fontId="3"/>
  </si>
  <si>
    <t>雇用保険</t>
    <rPh sb="0" eb="2">
      <t>コヨウ</t>
    </rPh>
    <rPh sb="2" eb="4">
      <t>ホケン</t>
    </rPh>
    <phoneticPr fontId="3"/>
  </si>
  <si>
    <t>健康保険</t>
    <rPh sb="0" eb="2">
      <t>ケンコウ</t>
    </rPh>
    <rPh sb="2" eb="4">
      <t>ホケン</t>
    </rPh>
    <phoneticPr fontId="3"/>
  </si>
  <si>
    <t>厚生年金保険</t>
    <rPh sb="0" eb="2">
      <t>コウセイ</t>
    </rPh>
    <rPh sb="2" eb="4">
      <t>ネンキン</t>
    </rPh>
    <rPh sb="4" eb="6">
      <t>ホケン</t>
    </rPh>
    <phoneticPr fontId="3"/>
  </si>
  <si>
    <t>雇用期間</t>
  </si>
  <si>
    <t>愛知県名古屋市北区西味鋺1‐511水野ビル201</t>
    <rPh sb="0" eb="3">
      <t>アイチケン</t>
    </rPh>
    <rPh sb="3" eb="7">
      <t>ナゴヤシ</t>
    </rPh>
    <rPh sb="7" eb="9">
      <t>キタク</t>
    </rPh>
    <rPh sb="9" eb="10">
      <t>ニシ</t>
    </rPh>
    <rPh sb="10" eb="12">
      <t>アジマ</t>
    </rPh>
    <rPh sb="17" eb="19">
      <t>ミズノ</t>
    </rPh>
    <phoneticPr fontId="1"/>
  </si>
  <si>
    <t>ユニバーサル企画株式会社</t>
    <rPh sb="6" eb="8">
      <t>キカク</t>
    </rPh>
    <rPh sb="8" eb="12">
      <t>カブシキカイシャ</t>
    </rPh>
    <phoneticPr fontId="3"/>
  </si>
  <si>
    <t>派遣先通知書</t>
    <rPh sb="0" eb="2">
      <t>ハケン</t>
    </rPh>
    <rPh sb="2" eb="3">
      <t>サキ</t>
    </rPh>
    <rPh sb="3" eb="6">
      <t>ツウチショ</t>
    </rPh>
    <phoneticPr fontId="1"/>
  </si>
  <si>
    <t>令和　　　年　　　月　　　日</t>
    <rPh sb="0" eb="2">
      <t>レイワ</t>
    </rPh>
    <rPh sb="5" eb="6">
      <t>ネン</t>
    </rPh>
    <rPh sb="9" eb="10">
      <t>ガツ</t>
    </rPh>
    <rPh sb="13" eb="14">
      <t>ヒ</t>
    </rPh>
    <phoneticPr fontId="3"/>
  </si>
  <si>
    <t>女</t>
  </si>
  <si>
    <t>男</t>
  </si>
  <si>
    <t>令和　4　年　1　月　1　日付の労働者派遣個別契約に基づき以下の者を派遣します。</t>
    <rPh sb="0" eb="2">
      <t>レイワ</t>
    </rPh>
    <rPh sb="5" eb="6">
      <t>ネン</t>
    </rPh>
    <rPh sb="9" eb="10">
      <t>ツキ</t>
    </rPh>
    <rPh sb="13" eb="14">
      <t>ヒ</t>
    </rPh>
    <rPh sb="14" eb="15">
      <t>ツ</t>
    </rPh>
    <rPh sb="16" eb="19">
      <t>ロウドウシャ</t>
    </rPh>
    <rPh sb="19" eb="21">
      <t>ハケン</t>
    </rPh>
    <rPh sb="21" eb="23">
      <t>コベツ</t>
    </rPh>
    <rPh sb="23" eb="25">
      <t>ケイヤク</t>
    </rPh>
    <rPh sb="26" eb="27">
      <t>モト</t>
    </rPh>
    <rPh sb="29" eb="31">
      <t>イカ</t>
    </rPh>
    <rPh sb="32" eb="33">
      <t>モノ</t>
    </rPh>
    <rPh sb="34" eb="36">
      <t>ハケン</t>
    </rPh>
    <phoneticPr fontId="3"/>
  </si>
  <si>
    <t>現在</t>
  </si>
  <si>
    <t>社員№</t>
  </si>
  <si>
    <t>派遣先ID</t>
  </si>
  <si>
    <t>派遣先</t>
  </si>
  <si>
    <t>配属先</t>
  </si>
  <si>
    <t>氏名</t>
  </si>
  <si>
    <t>カナ</t>
  </si>
  <si>
    <t>性別</t>
  </si>
  <si>
    <t>国籍</t>
  </si>
  <si>
    <t>生年月日</t>
  </si>
  <si>
    <t>年齢</t>
  </si>
  <si>
    <t>時給</t>
  </si>
  <si>
    <t>時給改定</t>
  </si>
  <si>
    <t>請求単価</t>
  </si>
  <si>
    <t>請求改定</t>
  </si>
  <si>
    <t>差額利益</t>
  </si>
  <si>
    <t>ビザ期限</t>
  </si>
  <si>
    <t>ｱﾗｰﾄ(ﾋﾞｻﾞ更新)</t>
  </si>
  <si>
    <t>ビザ種類</t>
  </si>
  <si>
    <t>〒</t>
  </si>
  <si>
    <t>住所</t>
  </si>
  <si>
    <t>ｱﾊﾟｰﾄ</t>
  </si>
  <si>
    <t>入居</t>
  </si>
  <si>
    <t>入社日</t>
  </si>
  <si>
    <t>退社日</t>
  </si>
  <si>
    <t>退去</t>
  </si>
  <si>
    <t>社保加入</t>
  </si>
  <si>
    <t>入社依頼</t>
  </si>
  <si>
    <t>備考</t>
  </si>
  <si>
    <t>在職中</t>
  </si>
  <si>
    <t>ﾍﾞﾄﾅﾑ</t>
  </si>
  <si>
    <t>技術・人文知識・国際業務</t>
  </si>
  <si>
    <t>471-0805</t>
  </si>
  <si>
    <t>個人</t>
  </si>
  <si>
    <t>OK</t>
  </si>
  <si>
    <t/>
  </si>
  <si>
    <t>VU VAN THANG</t>
  </si>
  <si>
    <t>ヴ　ヴァン　タン</t>
  </si>
  <si>
    <t>2021/2/21⇒1300</t>
  </si>
  <si>
    <t>ﾚｼﾞｪﾝﾄﾞK203</t>
  </si>
  <si>
    <t>永住者</t>
  </si>
  <si>
    <t>三幸技研</t>
  </si>
  <si>
    <t>高雄工業 海南第一</t>
  </si>
  <si>
    <t>NGUYEN DINH TOAN</t>
  </si>
  <si>
    <t>グエン　ディン　トアン</t>
  </si>
  <si>
    <t>6/16~　\1210⇒\1260</t>
  </si>
  <si>
    <t>9/16~ 1610円→1760円</t>
  </si>
  <si>
    <t>498-0031</t>
  </si>
  <si>
    <t>愛知県弥富市平島町中新田194-1</t>
  </si>
  <si>
    <t>高雄工業 静岡</t>
  </si>
  <si>
    <t>6/16~ \1200⇒\1250</t>
  </si>
  <si>
    <t>9/16~ 1600円→1750円</t>
  </si>
  <si>
    <t>437-0061</t>
  </si>
  <si>
    <t>静岡県袋井市久能1289-1</t>
  </si>
  <si>
    <t>ｱｳﾛｰﾗⅡ101号</t>
  </si>
  <si>
    <t>高雄工業 本社</t>
  </si>
  <si>
    <t>高雄工業株式会社 本社工場製作課</t>
  </si>
  <si>
    <t>愛知県弥富市平島町中新田196-1</t>
  </si>
  <si>
    <t>PHAM NGOC LAM</t>
  </si>
  <si>
    <t>ファム　ゴック　ラム</t>
  </si>
  <si>
    <t>498-0021</t>
  </si>
  <si>
    <t>愛知県弥富市鯏浦町浦六1-1</t>
  </si>
  <si>
    <t>ｸﾞﾘｰﾝﾊｲﾂA棟201</t>
  </si>
  <si>
    <t>高雄工業 岡山</t>
  </si>
  <si>
    <t>NGUYEN TUAN ANH</t>
  </si>
  <si>
    <t>グエン　トゥアン　アイン</t>
  </si>
  <si>
    <t>709-2133</t>
  </si>
  <si>
    <t>岡山県岡山市北区御津金川373番地1</t>
  </si>
  <si>
    <t>ﾆｭｰｴﾙﾃﾞｨﾑ小西A101</t>
  </si>
  <si>
    <t>PHAM CONG THANH</t>
  </si>
  <si>
    <t>ファム　コン　タイン</t>
  </si>
  <si>
    <t>498-0017</t>
  </si>
  <si>
    <t>愛知県弥富市前ケ須町西勘助207番地</t>
  </si>
  <si>
    <t>HOANG VAN VU</t>
  </si>
  <si>
    <t>ホアン　ヴァン　ヴー</t>
  </si>
  <si>
    <t>高雄工業 海南第二</t>
  </si>
  <si>
    <t>MAI VAN DO</t>
  </si>
  <si>
    <t>マイ　ヴァン　ドー</t>
  </si>
  <si>
    <t>愛知県弥富市平島町中新田128</t>
  </si>
  <si>
    <t>ﾊｲﾂ大富B棟1</t>
  </si>
  <si>
    <t>HA MANH QUAN</t>
  </si>
  <si>
    <t>ハー　マイン　クアン</t>
  </si>
  <si>
    <t>474-0057</t>
  </si>
  <si>
    <t>愛知県大府市共和町2-18-8</t>
  </si>
  <si>
    <t>共和ﾌﾟﾗｻﾞﾋﾞﾙ1号館203</t>
  </si>
  <si>
    <t>BUI VAN DUY</t>
  </si>
  <si>
    <t>ブイ　ヴァン　ズイ</t>
  </si>
  <si>
    <t>ﾌｪﾆﾃｯｸｾﾐｺﾝﾀﾞｸﾀｰ 岡山</t>
  </si>
  <si>
    <t>NGUYEN VAN HUNG</t>
  </si>
  <si>
    <t>岡山工場製造部TF課６インチ担当</t>
  </si>
  <si>
    <t>709-2107</t>
  </si>
  <si>
    <t>岡山県岡山市北区御津矢原311</t>
  </si>
  <si>
    <t>中須賀ｺｰﾎﾟⅢ203</t>
  </si>
  <si>
    <t>岡山県岡山市北区御津矢原370</t>
  </si>
  <si>
    <t>成広ｺｰﾎﾟⅡ102</t>
  </si>
  <si>
    <t>715-0014</t>
  </si>
  <si>
    <t>岡山県井原市七日市町696-2</t>
  </si>
  <si>
    <t>715-0004</t>
  </si>
  <si>
    <t>NGUYEN THI KIM NHUNG</t>
  </si>
  <si>
    <t>グエン　ティ　キム　ニュン</t>
  </si>
  <si>
    <t>9/16~ 1500円→1610円</t>
  </si>
  <si>
    <t>家族滞在</t>
  </si>
  <si>
    <t>岡山県岡山市北区御津矢原312-2</t>
  </si>
  <si>
    <t>岡山県井原市木之子町94番地1</t>
  </si>
  <si>
    <t>ﾚｼﾞｪﾝﾄﾞK301</t>
  </si>
  <si>
    <t>TRAN NGOC HA</t>
  </si>
  <si>
    <t>チャン　ゴック　ハ</t>
  </si>
  <si>
    <t>岡山県岡山市北区御津矢原298-1</t>
  </si>
  <si>
    <t>成広矢原ｺｰﾎﾟⅥ102</t>
  </si>
  <si>
    <t>BUI DUC KHANG</t>
  </si>
  <si>
    <t>ブイ　ヅック　カン</t>
  </si>
  <si>
    <t>岡山県岡山市北区御津矢原294-1</t>
  </si>
  <si>
    <t>CAO QUOC DUNG</t>
  </si>
  <si>
    <t>カオ　コック　ズン</t>
  </si>
  <si>
    <t>岡山県岡山市北区御津矢原297-1</t>
  </si>
  <si>
    <t>成広矢原ｺｰﾎﾟⅤ201</t>
  </si>
  <si>
    <t>中須賀ｺｰﾎﾟⅡ101</t>
  </si>
  <si>
    <t>日本</t>
  </si>
  <si>
    <t xml:space="preserve">TRAN CONG PHUONG </t>
  </si>
  <si>
    <t>チャン　コン　フォン</t>
  </si>
  <si>
    <t>2022/2/15~1350 ⇒ 1400</t>
  </si>
  <si>
    <t>TRAN XUAN HUNG</t>
  </si>
  <si>
    <t>チャン　スアン　フン</t>
  </si>
  <si>
    <t>2021/11/21～1400⇒1500</t>
  </si>
  <si>
    <t>TRAN VAN TUAN</t>
  </si>
  <si>
    <t>Florence1997 201</t>
  </si>
  <si>
    <t>LE VAN NHANH</t>
  </si>
  <si>
    <t>レー　ヴァン　ニャン</t>
  </si>
  <si>
    <t>ﾋﾞﾚｯｼﾞﾊｳｽ木之子1-304</t>
  </si>
  <si>
    <t>BUI THI YEN</t>
  </si>
  <si>
    <t>ブイ　ティ　イエン</t>
  </si>
  <si>
    <t>9/16~ 1510円→1610円</t>
  </si>
  <si>
    <t>中須賀ｺｰﾎﾟⅢ206</t>
  </si>
  <si>
    <t>LE VIET TRUNG</t>
  </si>
  <si>
    <t>DUONG VAN THIEP</t>
  </si>
  <si>
    <t>ズオン　ヴァン　ティェプ</t>
  </si>
  <si>
    <t>LE VIET HUNG</t>
  </si>
  <si>
    <t>レー　ヴィエット　フン</t>
  </si>
  <si>
    <t>愛知県弥富市前ヶ須町西勘助207</t>
  </si>
  <si>
    <t>CASA弥冨A203</t>
  </si>
  <si>
    <t>ｱﾄﾚB棟101</t>
  </si>
  <si>
    <t>小野　忠昭</t>
  </si>
  <si>
    <t>オノ　タダアキ</t>
  </si>
  <si>
    <t>709-0827</t>
  </si>
  <si>
    <t>岡山県赤磐市山陽4-2-30</t>
  </si>
  <si>
    <t>LUU THANH SON</t>
  </si>
  <si>
    <t>リュー　タイン　ソン</t>
  </si>
  <si>
    <t>愛知県弥富市前ヶ須町勘助走34-1</t>
  </si>
  <si>
    <t>六甲電子</t>
  </si>
  <si>
    <t>製造部　製造１課　バッチ</t>
  </si>
  <si>
    <t>HOANG NGOC BINH</t>
  </si>
  <si>
    <t>ホアン　ゴック　ビン</t>
  </si>
  <si>
    <t>LE SY THINH</t>
  </si>
  <si>
    <t>レー　シー　ティン</t>
  </si>
  <si>
    <t>ﾋﾞｰﾌﾘｰ8 203号</t>
  </si>
  <si>
    <t>TRAN HUU HUNG</t>
  </si>
  <si>
    <t>NONG VAN SON</t>
  </si>
  <si>
    <t>ノン　ヴァン　ソン</t>
  </si>
  <si>
    <t>663-8105</t>
  </si>
  <si>
    <t>兵庫県西宮市中島町7-5</t>
  </si>
  <si>
    <t>ｼｬﾙﾑ三田303</t>
  </si>
  <si>
    <t>498-0027</t>
  </si>
  <si>
    <t>498-0032</t>
  </si>
  <si>
    <t>愛知県弥富市平島中4丁目128</t>
  </si>
  <si>
    <t>村上貸家</t>
  </si>
  <si>
    <t>NGUYEN VAN HAO</t>
  </si>
  <si>
    <t>グエン　バン　ハオ</t>
  </si>
  <si>
    <t>成広ｺｰﾎﾟⅠ205</t>
  </si>
  <si>
    <t>NGUYEN VAN TIEP</t>
  </si>
  <si>
    <t>グエン　ヴァン　ティエップ</t>
  </si>
  <si>
    <t>CASA弥冨B203</t>
  </si>
  <si>
    <t>NGUYEN QUOC KHANH</t>
  </si>
  <si>
    <t>グエン　クオック　カイン</t>
  </si>
  <si>
    <t>製造部　製造１課　枚葉</t>
  </si>
  <si>
    <t>NGUYEN KHANH DUY</t>
  </si>
  <si>
    <t>グエン　カン　ユイ</t>
  </si>
  <si>
    <t>NGUYEN VAN CUONG</t>
  </si>
  <si>
    <t>グエン　ヴァン　クオン</t>
  </si>
  <si>
    <t>岡山県岡山市北区御津矢原307</t>
  </si>
  <si>
    <t>成広矢原ｺｰﾎﾟⅠ205</t>
  </si>
  <si>
    <t>ｲﾝﾄﾞﾈｼｱ</t>
  </si>
  <si>
    <t>NGUYEN VAN CANH</t>
  </si>
  <si>
    <t>グエン　バン　カイン</t>
  </si>
  <si>
    <t>498-0028</t>
  </si>
  <si>
    <t>愛知県弥富市鯏浦町中六109-1</t>
  </si>
  <si>
    <t>ｾﾗﾀｳﾝ弥冨C棟201</t>
  </si>
  <si>
    <t>2022/1/17～2022/1/20ｺｰﾘﾂ州の崎所属　2022/1/31～高雄工業海南第一へ異動</t>
  </si>
  <si>
    <t>NGO VAN HIEP</t>
  </si>
  <si>
    <t>ゴー　ヴァン　ヒエップ</t>
  </si>
  <si>
    <t>愛知県弥富市平島町北広畑10-1</t>
  </si>
  <si>
    <t>成広矢原ｺｰﾎﾟⅡ102</t>
  </si>
  <si>
    <t>709-2134</t>
  </si>
  <si>
    <t>新矢原1F</t>
  </si>
  <si>
    <t>DANG DUY VINH</t>
  </si>
  <si>
    <t>ダン　ズイ　ビン</t>
  </si>
  <si>
    <t>岡山県岡山市北区御津矢原312番地１</t>
  </si>
  <si>
    <t>中須賀ｺｰﾎﾟⅡ202</t>
  </si>
  <si>
    <t>498-0025</t>
  </si>
  <si>
    <t>愛知県弥富市平島町喜右味名78-1</t>
  </si>
  <si>
    <t>CASA弥冨A105</t>
  </si>
  <si>
    <t>NGO QUOC THINH</t>
  </si>
  <si>
    <t>ゴ　クオック　テイン</t>
  </si>
  <si>
    <t>NGUYEN VAN LAP</t>
  </si>
  <si>
    <t>グエン　ヴァン　ラップ</t>
  </si>
  <si>
    <t>愛知県弥富市平島町甲新田72-4</t>
  </si>
  <si>
    <t>EAST COURT Y･M202</t>
  </si>
  <si>
    <t>製造部　製造２課</t>
  </si>
  <si>
    <t>HOANG XUAN QUOC</t>
  </si>
  <si>
    <t>ホアン　スアン　クオック</t>
  </si>
  <si>
    <t>HUYNH DUC MINH</t>
  </si>
  <si>
    <t>フィン　ドック　ミン</t>
  </si>
  <si>
    <t>岡山県岡山市北区御津矢原311番地</t>
  </si>
  <si>
    <t>中須賀ｺｰﾎﾟⅢ208</t>
  </si>
  <si>
    <t>HOANG TRUNG HIEU</t>
  </si>
  <si>
    <t>ホアン　ツーン　ヒエウ</t>
  </si>
  <si>
    <t>NGUYEN DINH THANH</t>
  </si>
  <si>
    <t>グエン　ディン　タン</t>
  </si>
  <si>
    <t>LE VAN MINH</t>
  </si>
  <si>
    <t>レー　バン　ミン</t>
  </si>
  <si>
    <t>LE THANH LUAN</t>
  </si>
  <si>
    <t>レ　タイン　ルアン</t>
  </si>
  <si>
    <t>22.04.01</t>
  </si>
  <si>
    <t>3/28再連絡</t>
  </si>
  <si>
    <t>22.06.01</t>
  </si>
  <si>
    <t>成広矢原ｺｰﾎﾟⅥ206</t>
  </si>
  <si>
    <t>IPAL FEBRI NARTA</t>
  </si>
  <si>
    <t>イパール　フェブリ　ナルタ</t>
  </si>
  <si>
    <t>成広矢原ｺｰﾎﾟⅤ202</t>
  </si>
  <si>
    <t>22.07.01</t>
  </si>
  <si>
    <t>5/17原</t>
  </si>
  <si>
    <t>THACH VAN DAI</t>
  </si>
  <si>
    <t>タック　ヴァン　ダイ</t>
  </si>
  <si>
    <t>中須賀ｺｰﾎﾟⅠ102</t>
  </si>
  <si>
    <t>VU DINH SON</t>
  </si>
  <si>
    <t>ヴー　ディン　ソン</t>
  </si>
  <si>
    <t>DANG THIN VIET</t>
  </si>
  <si>
    <t>ダン　ティン　ヴィエット</t>
  </si>
  <si>
    <t>HA VIET THUY</t>
  </si>
  <si>
    <t>ハー　ヴィエット　トウイ</t>
  </si>
  <si>
    <t>5/19林</t>
  </si>
  <si>
    <t>DUONG VAN TOAN</t>
  </si>
  <si>
    <t>ズオン　ヴァン　トアン</t>
  </si>
  <si>
    <t>PHAN VAN THIEN</t>
  </si>
  <si>
    <t>ファン　ヴァン　ティエン</t>
  </si>
  <si>
    <t>709-2132</t>
  </si>
  <si>
    <t>NGUYEN VAN HIEN</t>
  </si>
  <si>
    <t>グエン　ヴァン　ヒエン</t>
  </si>
  <si>
    <t>6/6林</t>
  </si>
  <si>
    <t>LE HUU THUAN</t>
  </si>
  <si>
    <t>レー　フー　トゥアン</t>
  </si>
  <si>
    <t>PHAM THANH LONG</t>
  </si>
  <si>
    <t>ファム　タイン　ロン</t>
  </si>
  <si>
    <t>VU ANH VUONG</t>
  </si>
  <si>
    <t>ヴー　アイン　ヴォン</t>
  </si>
  <si>
    <t>FERRYANTO PASCA MARIS UPPUN</t>
  </si>
  <si>
    <t>フェリヤント　パスチャ　マリス　ウップン</t>
  </si>
  <si>
    <t>岡山県岡山市北区御津矢原299-2</t>
  </si>
  <si>
    <t>成広矢原ｺｰﾎﾟ7 106</t>
  </si>
  <si>
    <t>7/6原</t>
  </si>
  <si>
    <t>請負より異動</t>
  </si>
  <si>
    <t>WIDIARTO IFTIAR</t>
  </si>
  <si>
    <t>ウィディアルト　イフティアル</t>
  </si>
  <si>
    <t>成広ｺｰﾎﾟⅠ202</t>
  </si>
  <si>
    <t>22.08.01</t>
  </si>
  <si>
    <t>6/22林</t>
  </si>
  <si>
    <t>チャン　フウ　フン</t>
  </si>
  <si>
    <t>ﾚﾌﾞﾗﾝｶﾐｰﾘｱB205</t>
  </si>
  <si>
    <t>EKO SUHARYADI</t>
  </si>
  <si>
    <t>エコ　スハリアディ</t>
  </si>
  <si>
    <t>ILHAM</t>
  </si>
  <si>
    <t>イルハム</t>
  </si>
  <si>
    <t>YASSER RIDHA MUSLIM</t>
  </si>
  <si>
    <t>ヤッセル　リダ　ムスリム</t>
  </si>
  <si>
    <t>SUALDIN</t>
  </si>
  <si>
    <t>スアルディン</t>
  </si>
  <si>
    <t>LA LANI</t>
  </si>
  <si>
    <t>ラ　ラニ</t>
  </si>
  <si>
    <t>MOCHAMAD NIZAR AWALUDIN</t>
  </si>
  <si>
    <t>モチャマド　ニザル　アワルディン</t>
  </si>
  <si>
    <t>MUHAMMAD SHAHAR MUSHFI</t>
  </si>
  <si>
    <t>ムハンマド　シャハル　ムシュフィ</t>
  </si>
  <si>
    <t>NGUYEN THANH BINH</t>
  </si>
  <si>
    <t>グエン　タン　ビン</t>
  </si>
  <si>
    <t>成広矢原ｺｰﾎﾟⅤ102</t>
  </si>
  <si>
    <t>№</t>
  </si>
  <si>
    <t>Count</t>
  </si>
  <si>
    <t>高雄工業株式会社 静岡事業所第一工場製作課</t>
  </si>
  <si>
    <t>高雄工業株式会社 岡山事業所HUB工場製作1課</t>
  </si>
  <si>
    <t>高雄工業株式会社 海南第二工場製作課</t>
  </si>
  <si>
    <t>高雄工業株式会社 岡山事業所CVJ工場製作課</t>
  </si>
  <si>
    <t>高雄工業株式会社 静岡事業所第二工場製作課</t>
  </si>
  <si>
    <t>高雄工業株式会社 岡山品質保証部岡山HUB品証課</t>
  </si>
  <si>
    <t>22.09.01</t>
  </si>
  <si>
    <t>8/1林</t>
  </si>
  <si>
    <t>代表取締役　中山　雅和</t>
  </si>
  <si>
    <t>人材派遣個別契約書</t>
  </si>
  <si>
    <t>ハブ加工品の2次施削、手動機械オペレーターNCプログラム修正</t>
  </si>
  <si>
    <t>CVJ部品短軸品の施削加工、NCプログラム修正</t>
  </si>
  <si>
    <t>派遣元</t>
  </si>
  <si>
    <t>派遣内容</t>
  </si>
  <si>
    <t>派遣先事業所</t>
  </si>
  <si>
    <t>就業場所</t>
  </si>
  <si>
    <t>組織単位</t>
  </si>
  <si>
    <t>指揮命令者</t>
  </si>
  <si>
    <t>製造業務専門派遣先責任者</t>
  </si>
  <si>
    <t>苦情処理担当者</t>
  </si>
  <si>
    <t>製造業務専門派遣元責任者</t>
  </si>
  <si>
    <t>派遣労働者の責任の程度</t>
  </si>
  <si>
    <t>業務内容</t>
  </si>
  <si>
    <t>派遣期間</t>
  </si>
  <si>
    <t>派遣料金</t>
  </si>
  <si>
    <t>支払い条件</t>
  </si>
  <si>
    <t>安全・衛生</t>
  </si>
  <si>
    <t>便宜供与</t>
  </si>
  <si>
    <t>苦情処理方法</t>
  </si>
  <si>
    <t>労働者派遣契約の契約の解除に当たって講ずる派遣労働者の雇用の安定を図るための措置</t>
  </si>
  <si>
    <t>派遣先が派遣労働者を雇用する場合の紛争防止措置</t>
  </si>
  <si>
    <t>派遣労働者を無期雇用派遣労働者又は６０歳以上の者の者に限定するか否かの別</t>
  </si>
  <si>
    <t>上記契約の証として本書２通を作成し、甲乙記名押印のうえ、各１通を保有する。</t>
  </si>
  <si>
    <t>　（甲）</t>
  </si>
  <si>
    <t>所在地</t>
  </si>
  <si>
    <t>名称</t>
  </si>
  <si>
    <t>TEL</t>
  </si>
  <si>
    <t>労働時間の計算は</t>
  </si>
  <si>
    <t>分単位で計算する。</t>
  </si>
  <si>
    <t>１ヶ月に２日の範囲内で命ずることができる。</t>
  </si>
  <si>
    <t>派遣先及び派遣元事業主は、労働者派遣法第４４条から第４７条の２までの規定により課された各法令を順守し、自己に課された法令上の責任を負う。なお、派遣就業中の安全及び衛生については、派遣先の安全衛生に関する規定を適用することとし、その他については、派遣元の安全衛生に関する規定を適用する。</t>
  </si>
  <si>
    <t>派遣先は、派遣労働者に対して利用の機会を与える給食施設、休憩室、及び更衣室については、本契約に基づく労働者派遣に係る派遣労働者に対しても、利用の機会を与えるように配慮しなければならないこととする。</t>
  </si>
  <si>
    <t>(1)派遣元事業主における苦情処理担当者が苦情の申し出を受けたときは、ただちに製造業務専門派遣元責任者へ連絡することとし、当該派遣元責任者が中心となって、誠意をもって、遅滞なく、当該苦情の適切迅速な処理を図ることとし、その結果について必ず派遣労働者に通知することとする。　 (2)派遣先における苦情処理担当者が苦情の申し出を受けたときは、ただちに製造業務専門派遣先責任者へ連絡することとし、当該派遣先責任者が中心となって、誠意をもって、遅滞なく、当該苦情の適切かつ迅速な処理を図ることとし、その結果については必ず派遣労働者に通知することとする。　 (3)派遣先及び派遣元事業主は、自らでその解決が容易であり、即時に処理した苦情の他は、相互に遅滞なく通知するとともに、密接に連絡調整を行いつつ、その解決を図ることとする。</t>
  </si>
  <si>
    <t>派遣先が派遣終了後に、当該派遣労働者を雇用する場合、その雇用意思を事前に派遣元へ示すこととする。</t>
  </si>
  <si>
    <t>無期雇用又は６０歳以上に限定しない。</t>
  </si>
  <si>
    <t>8/11林</t>
  </si>
  <si>
    <t>22.10.01</t>
  </si>
  <si>
    <t>7/11請負入社。7/20～派遣異動</t>
  </si>
  <si>
    <t>8/3林</t>
  </si>
  <si>
    <t>8/22林</t>
  </si>
  <si>
    <t>グエン　テー　ダン</t>
  </si>
  <si>
    <t>成広ｺｰﾎﾟⅠ105号室</t>
  </si>
  <si>
    <t>8/23原</t>
  </si>
  <si>
    <t>PHAM DINH SANG</t>
  </si>
  <si>
    <t>ファム　ディン　サン</t>
  </si>
  <si>
    <t xml:space="preserve">Hola amigos </t>
  </si>
  <si>
    <t>Extraje 1 a 8 letras</t>
  </si>
  <si>
    <t>9 y 6 letras</t>
  </si>
  <si>
    <t>HUB旋削加工品の抜き取り検査</t>
  </si>
  <si>
    <t>CVJ長軸旋盤係</t>
  </si>
  <si>
    <t>CVJ切欠きｺｯﾀ係</t>
  </si>
  <si>
    <t>ＣＶＪ切欠きコッタ等速ジョイント旋削加工</t>
  </si>
  <si>
    <t>自動機の旋削機械及び周辺機器等の清掃メンテナンス</t>
  </si>
  <si>
    <t>CVJ短軸旋盤係</t>
  </si>
  <si>
    <t>配属ライン</t>
  </si>
  <si>
    <t>成広ｺｰﾎﾟⅡ101</t>
  </si>
  <si>
    <t>成広ｺｰﾎﾟⅠ103</t>
  </si>
  <si>
    <t>成広矢原ｺｰﾎﾟⅤ205</t>
  </si>
  <si>
    <t>NGUYEN DINH DUC</t>
  </si>
  <si>
    <t>グエン　ディン　ドゥック</t>
  </si>
  <si>
    <t>8/31林</t>
  </si>
  <si>
    <t>NGUYEN THE DANG</t>
  </si>
  <si>
    <t>岡山県岡山市北区御津矢原312-1</t>
  </si>
  <si>
    <t>21.09.01</t>
  </si>
  <si>
    <t>グエン　ヴァン　フン</t>
  </si>
  <si>
    <t>ライン</t>
  </si>
  <si>
    <t>052-938-8840</t>
  </si>
  <si>
    <t>単価</t>
  </si>
  <si>
    <t>部署</t>
  </si>
  <si>
    <t>役職</t>
  </si>
  <si>
    <t>人数</t>
  </si>
  <si>
    <t>　御中</t>
  </si>
  <si>
    <t>鋳造材料の工場内加工ラインへの供給</t>
  </si>
  <si>
    <t>CVJメス型番の施削加工</t>
  </si>
  <si>
    <t>転造</t>
  </si>
  <si>
    <t>ハブ加工　自動ラインの機械オペレーター、NCプログラム修正</t>
  </si>
  <si>
    <t>P</t>
  </si>
  <si>
    <t>産業機械部品の施削加工、NCプログラム修正</t>
  </si>
  <si>
    <t>待遇決定方式</t>
    <rPh sb="0" eb="6">
      <t>タイグウケッテイホウシキ</t>
    </rPh>
    <phoneticPr fontId="1"/>
  </si>
  <si>
    <t>歳</t>
  </si>
  <si>
    <t>基本</t>
  </si>
  <si>
    <t>時給単価</t>
    <rPh sb="0" eb="2">
      <t>ｼﾞｷｭｳ</t>
    </rPh>
    <rPh sb="2" eb="4">
      <t>ﾀﾝｶ</t>
    </rPh>
    <phoneticPr fontId="8" type="noConversion"/>
  </si>
  <si>
    <t>NGUYEN QUANG HUNG</t>
  </si>
  <si>
    <t>グエン　クアン　フン</t>
  </si>
  <si>
    <t>475-0075</t>
  </si>
  <si>
    <t>県営長根住宅5棟303号</t>
  </si>
  <si>
    <t>オーツカ</t>
  </si>
  <si>
    <t>アゲナ　エジソン</t>
  </si>
  <si>
    <t>ﾌﾞﾗｼﾞﾙ</t>
  </si>
  <si>
    <t>2021/7/21　1300⇒1350</t>
  </si>
  <si>
    <t>503-0034</t>
  </si>
  <si>
    <t>岐阜県大垣市荒尾町1510</t>
  </si>
  <si>
    <t>ｼﾃｨｺｰﾌﾟUSA1 402</t>
  </si>
  <si>
    <t>BUI VIET THANH</t>
  </si>
  <si>
    <t>ブイ　ヴィエット　タイン</t>
  </si>
  <si>
    <t>7/14トゥアン</t>
  </si>
  <si>
    <t>9/21　1600円→1650円</t>
  </si>
  <si>
    <t>2022/02/05レジデンス住吉102～スカイレジデンス302に移動</t>
  </si>
  <si>
    <t>川原鉄工所</t>
  </si>
  <si>
    <t>VU NGOC TAN</t>
  </si>
  <si>
    <t>ヴー　ゴック　タン</t>
  </si>
  <si>
    <t>2022/4/1～　1400円⇒1430円</t>
  </si>
  <si>
    <t>PHAM VAN DUNG</t>
  </si>
  <si>
    <t>ファム　ヴァン　ズン</t>
  </si>
  <si>
    <t xml:space="preserve">NGUYEN DUC THANH </t>
  </si>
  <si>
    <t>グエン　ドウック　タイン</t>
  </si>
  <si>
    <t>県営長根住宅7棟406号</t>
  </si>
  <si>
    <t>静岡県袋井市久能1744番地1</t>
  </si>
  <si>
    <t>ｱﾙｺ･ﾊﾞﾚｰﾉ205</t>
  </si>
  <si>
    <t>NGUYEN QUANG QUYEN</t>
  </si>
  <si>
    <t>グエン　カン　クエン</t>
  </si>
  <si>
    <t>437-0065</t>
  </si>
  <si>
    <t>静岡県袋井市堀越3丁目19-2</t>
  </si>
  <si>
    <t>ｴｸｾｰﾗ201号室</t>
  </si>
  <si>
    <t>平野　チョウシロウ</t>
  </si>
  <si>
    <t>ヒラノ　チョウシロウ</t>
  </si>
  <si>
    <t>455-0078</t>
  </si>
  <si>
    <t>愛知県名古屋市港区丸池町1-1-1</t>
  </si>
  <si>
    <t>丸池荘2棟1111号</t>
  </si>
  <si>
    <t>不要</t>
  </si>
  <si>
    <t>PATEC</t>
  </si>
  <si>
    <t>747-0834</t>
  </si>
  <si>
    <t>山口県防府市大字田島531-1</t>
  </si>
  <si>
    <t>ﾛｼﾞｭﾏﾝ千希A202号</t>
  </si>
  <si>
    <t>MA VAN THUY</t>
  </si>
  <si>
    <t>マー　ヴァン　トゥイ</t>
  </si>
  <si>
    <t>ｴｸｾｰﾗ301号室</t>
  </si>
  <si>
    <t>6/16~ \1200⇒\1250 　　9/21~1350円へ</t>
  </si>
  <si>
    <t>グエン　バン　フン</t>
  </si>
  <si>
    <t>静岡県袋井市堀越1丁目15-1</t>
  </si>
  <si>
    <t>ﾃﾞｲﾌﾞﾚｲｸ406</t>
  </si>
  <si>
    <t>瑞陵精機</t>
  </si>
  <si>
    <t>509-7201</t>
  </si>
  <si>
    <t>岐阜県恵那市大井町1120-303</t>
  </si>
  <si>
    <t>各務ﾊｲﾂ6A</t>
  </si>
  <si>
    <t>DO XUAN HIEN</t>
  </si>
  <si>
    <t>ドー　スアン　ヒエン</t>
  </si>
  <si>
    <t>2021/5/21~　1400円⇒1500円</t>
  </si>
  <si>
    <t>NGUYEN KHAC TRUNG</t>
  </si>
  <si>
    <t>グエン　カック　チュン</t>
  </si>
  <si>
    <t>475-0004</t>
  </si>
  <si>
    <t>愛知県半田市上池町5丁目37-1</t>
  </si>
  <si>
    <t>ﾙﾐｴｰﾙ上池203</t>
  </si>
  <si>
    <t>MAI HUNG ANH</t>
  </si>
  <si>
    <t>マイ　フン　アイン</t>
  </si>
  <si>
    <t>静岡県袋井市堀越1丁目21-9</t>
  </si>
  <si>
    <t>ﾌﾟﾁｾｿﾞﾝ103号</t>
  </si>
  <si>
    <t>475-0078</t>
  </si>
  <si>
    <t>ﾌｪﾆﾃｯｸｾﾐｺﾝﾀﾞｸﾀｰ 鹿児島</t>
  </si>
  <si>
    <t>鹿児島工場　製造部　製造課</t>
  </si>
  <si>
    <t>899-6202</t>
  </si>
  <si>
    <t>鹿児島県姶良郡湧水町北方850番地</t>
  </si>
  <si>
    <t>NGUYEN XUAN DUY</t>
  </si>
  <si>
    <t>グエン　スアン　ズイ</t>
  </si>
  <si>
    <t>437-0066</t>
  </si>
  <si>
    <t>セイビテック</t>
  </si>
  <si>
    <t>製造部DCG課検査CHIP</t>
  </si>
  <si>
    <t>TRAN VAN HUY</t>
  </si>
  <si>
    <t>チャン　バン　フィ</t>
  </si>
  <si>
    <t>VU NGOC HAI</t>
  </si>
  <si>
    <t>ヴ　ゴク　ハイ</t>
  </si>
  <si>
    <t>2022/4/21～　1320円→1350円</t>
  </si>
  <si>
    <t>岐阜県恵那市大井町2087-170</t>
  </si>
  <si>
    <t>NGUYEN VAN HOA</t>
  </si>
  <si>
    <t>グエン　バン　ホア</t>
  </si>
  <si>
    <t>VI VAN NHI</t>
  </si>
  <si>
    <t>ヴィ　バン　ニィ</t>
  </si>
  <si>
    <t>2022/3/21～　1250円→1300円</t>
  </si>
  <si>
    <t>各務ﾊｲﾂ2D</t>
  </si>
  <si>
    <t>437-0015</t>
  </si>
  <si>
    <t>静岡県袋井市旭町2-7-5</t>
  </si>
  <si>
    <t>NGUYEN VAN HONG</t>
  </si>
  <si>
    <t>グエン　バン　ホン</t>
  </si>
  <si>
    <t>899-6201</t>
  </si>
  <si>
    <t>鹿児島県姶良郡湧水町木場280-3</t>
  </si>
  <si>
    <t>宮前ﾂｲﾝﾊｲﾂA101</t>
  </si>
  <si>
    <t>各務ﾊｲﾂ4J</t>
  </si>
  <si>
    <t>437-0016</t>
  </si>
  <si>
    <t>静岡県袋井市葵町2丁目5番地1</t>
  </si>
  <si>
    <t>ｼｬﾝﾄﾞﾌﾙｰﾙ103</t>
  </si>
  <si>
    <t>LE DOAN ANH</t>
  </si>
  <si>
    <t>レー　ドアン　アン</t>
  </si>
  <si>
    <t>各務ﾊｲﾂ3D</t>
  </si>
  <si>
    <t>NGUYEN VAN TRUONG</t>
  </si>
  <si>
    <t>各務ﾊｲﾂ7I</t>
  </si>
  <si>
    <t>各務ﾊｲﾂ4H</t>
  </si>
  <si>
    <t>455-0068</t>
  </si>
  <si>
    <t>製造部素材課</t>
  </si>
  <si>
    <t>747-0833</t>
  </si>
  <si>
    <t>山口県防府市大字浜方716-15</t>
  </si>
  <si>
    <t>TRUONG VAN THINH</t>
  </si>
  <si>
    <t>チュオン　ヴァン　テイン</t>
  </si>
  <si>
    <t>静岡県袋井市久能2810番地1</t>
  </si>
  <si>
    <t>ﾌｪﾘｽA103</t>
  </si>
  <si>
    <t>島田　富佐男</t>
  </si>
  <si>
    <t>シマダ　フサオ</t>
  </si>
  <si>
    <t>弓削　幸将</t>
  </si>
  <si>
    <t>ユゲ　ユキマサ</t>
  </si>
  <si>
    <t>709-0712</t>
  </si>
  <si>
    <t>岡山県赤磐市吉原593-1</t>
  </si>
  <si>
    <t>ｱﾙｿｰﾚD201</t>
  </si>
  <si>
    <t>レ　クイ　ハイ</t>
  </si>
  <si>
    <t>ｱﾙｿｰﾚD103</t>
  </si>
  <si>
    <t>ワーク 岡山</t>
  </si>
  <si>
    <t>HOANG THE VINH</t>
  </si>
  <si>
    <t>ホアン　テー　ヴィン</t>
  </si>
  <si>
    <t>6/21～\1500⇒1600</t>
  </si>
  <si>
    <t>ｱﾙｿｰﾚD101</t>
  </si>
  <si>
    <t>PHAM DUC BAO</t>
  </si>
  <si>
    <t>ファム　ドゥック　バオ</t>
  </si>
  <si>
    <t>静岡県袋井市久能1889-2</t>
  </si>
  <si>
    <t>ﾗﾌｨｰﾈ久能402号</t>
  </si>
  <si>
    <t>ワーク 志紀</t>
  </si>
  <si>
    <t>475-0074</t>
  </si>
  <si>
    <t>475-0024</t>
  </si>
  <si>
    <t>ﾋﾞﾚｯｼﾞﾊｳｽ亀崎2号棟301</t>
  </si>
  <si>
    <t>志紀工場　製造部</t>
  </si>
  <si>
    <t>NGUYEN VAN DUC</t>
  </si>
  <si>
    <t>グエン　バン　ドック</t>
  </si>
  <si>
    <t>NGUYEN VAN KHOA</t>
  </si>
  <si>
    <t>グエン　ヴァン　コア</t>
  </si>
  <si>
    <t>NGUYEN TIEN HAI</t>
  </si>
  <si>
    <t>グエン　ティエン　ハイ</t>
  </si>
  <si>
    <t>入社3か月後50円UP</t>
  </si>
  <si>
    <t>定住者</t>
  </si>
  <si>
    <t>LE XUAN QUYNH</t>
  </si>
  <si>
    <t>レー　スァン　クイン</t>
  </si>
  <si>
    <t>475-0006</t>
  </si>
  <si>
    <t>愛知県半田市南大矢知町4丁目205番地2</t>
  </si>
  <si>
    <t>ﾒｿﾞﾝﾄﾞﾗﾊﾟﾝⅡ203</t>
  </si>
  <si>
    <t>BUI DUC THANG</t>
  </si>
  <si>
    <t>ブイ　ドック　タン</t>
  </si>
  <si>
    <t>ワーク 堺</t>
  </si>
  <si>
    <t>堺工場　製造部</t>
  </si>
  <si>
    <t>ヴー　ドゥック　タック</t>
  </si>
  <si>
    <t>455-0046</t>
  </si>
  <si>
    <t>愛知県名古屋市港区大手町2丁目31</t>
  </si>
  <si>
    <t>ﾀﾞｲｺｰﾏﾝｼｮﾝ302</t>
  </si>
  <si>
    <t>HOANG ANH TUAN</t>
  </si>
  <si>
    <t>ホアン　アイン　トゥアン</t>
  </si>
  <si>
    <t>558-0033</t>
  </si>
  <si>
    <t>NGUYEN DUY HONG</t>
  </si>
  <si>
    <t>グエン　ドゥイ　ホン</t>
  </si>
  <si>
    <t>TRAN VAN NHAT</t>
  </si>
  <si>
    <t>チャン　バン　ニャット</t>
  </si>
  <si>
    <t>470-2385</t>
  </si>
  <si>
    <t>愛知県知多郡武豊町北中根4-1</t>
  </si>
  <si>
    <t>ﾋﾞﾚｯｼﾞﾊｳｽ1-204</t>
  </si>
  <si>
    <t>BUI VAN DOAN</t>
  </si>
  <si>
    <t>ブイ　ヴァン　ドアン</t>
  </si>
  <si>
    <t>ｼｬﾙﾏﾝ苗代102号</t>
  </si>
  <si>
    <t>VU VAN TOAN</t>
  </si>
  <si>
    <t>ヴー　ヴァン　トアン</t>
  </si>
  <si>
    <t>ﾌﾟﾁｾｿﾞﾝ203号</t>
  </si>
  <si>
    <t>NGUYEN KHAC THIEN</t>
  </si>
  <si>
    <t>グエン　カック　ティエン</t>
  </si>
  <si>
    <t>入社3か月後50円UP(6/21~1400</t>
  </si>
  <si>
    <t>DANG DUC CHIEN</t>
  </si>
  <si>
    <t>ダン　ドゥック　チェン</t>
  </si>
  <si>
    <t>ﾍﾞﾙﾄﾋﾟｱ住吉307号室</t>
  </si>
  <si>
    <t>静岡県袋井市山科3388-1</t>
  </si>
  <si>
    <t>鶴松203</t>
  </si>
  <si>
    <t>444-1332</t>
  </si>
  <si>
    <t>愛知県高浜市湯山町4丁目9番地6</t>
  </si>
  <si>
    <t>VU DUC THINH</t>
  </si>
  <si>
    <t>ヴー　ドゥック　ティン</t>
  </si>
  <si>
    <t>2022/6/27友達のアパートへ引っ越ししました</t>
  </si>
  <si>
    <t>TRAN NGOC SON</t>
  </si>
  <si>
    <t>チャン　ゴック　ソン</t>
  </si>
  <si>
    <t>559-0013</t>
  </si>
  <si>
    <t>437-0062</t>
  </si>
  <si>
    <t>静岡県袋井市泉町1丁目7-3</t>
  </si>
  <si>
    <t>BeehiveresidenceⅦ102</t>
  </si>
  <si>
    <t>NGUYEN THANH PHUONG</t>
  </si>
  <si>
    <t>グエン　タン　フォン</t>
  </si>
  <si>
    <t>NGUYEN VAN NINH</t>
  </si>
  <si>
    <t>グエン　ヴァン　ニン</t>
  </si>
  <si>
    <t>ﾌｨﾌﾃｨｰⅡ102</t>
  </si>
  <si>
    <t>ﾚｼﾞｪﾝﾄﾞK204</t>
  </si>
  <si>
    <t>ﾚﾌﾞﾗﾝｶﾐｰﾘｱA201</t>
  </si>
  <si>
    <t>NGUYEN XUAN THANG</t>
  </si>
  <si>
    <t>グエン　スワン　タン</t>
  </si>
  <si>
    <t>PHAN VAN CUONG</t>
  </si>
  <si>
    <t>ハン　バン　クオン</t>
  </si>
  <si>
    <t>静岡県袋井市堀越1丁目14-6</t>
  </si>
  <si>
    <t>ﾊｰﾓﾆｰ201</t>
  </si>
  <si>
    <t>グエン　ヴィエット　クオン</t>
  </si>
  <si>
    <t>NGO DUC HIEP</t>
  </si>
  <si>
    <t>ゴー　ドゥック　ヒエップ</t>
  </si>
  <si>
    <t>TRAN VAN HIEU</t>
  </si>
  <si>
    <t>チャン　ヴァン　ヒエウ</t>
  </si>
  <si>
    <t>581-0875</t>
  </si>
  <si>
    <t>大阪府八尾市高安町南1-69-6</t>
  </si>
  <si>
    <t>高安一番館403</t>
  </si>
  <si>
    <t>フン　マイン　トゥアン</t>
  </si>
  <si>
    <t>NGUYEN VIET CUONG</t>
  </si>
  <si>
    <t>グエン　ディン　タイン</t>
  </si>
  <si>
    <t>グエン　チー　トゥアン</t>
  </si>
  <si>
    <t>PHUNG MANH TUAN</t>
  </si>
  <si>
    <t>NGUYEN CHI TUAN</t>
  </si>
  <si>
    <t>DANG THANH SON</t>
  </si>
  <si>
    <t>ダン　タン　ソン</t>
  </si>
  <si>
    <t>NGUYEN XUAN HIEU</t>
  </si>
  <si>
    <t>グエン　スアン　ヒエウ</t>
  </si>
  <si>
    <t>437-0063</t>
  </si>
  <si>
    <t>静岡県袋井市田町2丁目6-10</t>
  </si>
  <si>
    <t>SuperiorⅠ201</t>
  </si>
  <si>
    <t>7/14林</t>
  </si>
  <si>
    <t>NGUYEN MINH DUC</t>
  </si>
  <si>
    <t>グエン　ミン　ドゥック</t>
  </si>
  <si>
    <t>NGUYEN NGOC DAI</t>
  </si>
  <si>
    <t>グエン　ゴック　ダイ</t>
  </si>
  <si>
    <t>BUI THI HONG LOAN</t>
  </si>
  <si>
    <t>ブイ　ティ　ホン　ロアン</t>
  </si>
  <si>
    <t>グエン　ファン　バン</t>
  </si>
  <si>
    <t>6/15~請負入社異動</t>
  </si>
  <si>
    <t>愛知県弥富市鯏浦町東気開51番地1</t>
  </si>
  <si>
    <t>ﾌｨﾚﾝﾂｪ弥冨2-406</t>
  </si>
  <si>
    <t>NGUYEN VAN SANG</t>
  </si>
  <si>
    <t>グエン　ヴァン　サン</t>
  </si>
  <si>
    <t>8/8原</t>
  </si>
  <si>
    <t>VU DUC QUOC DAT</t>
  </si>
  <si>
    <t>ヴー　ドウック　クオック　ダット</t>
  </si>
  <si>
    <t>8/1原</t>
  </si>
  <si>
    <t>請負(22/7/20まで)より異動。7/22～各務ハイツ４Hから６Aへ転入</t>
  </si>
  <si>
    <t>グエン　ヴァン　ホア</t>
  </si>
  <si>
    <t>9/7林</t>
  </si>
  <si>
    <t>ユアサ工機 本社</t>
  </si>
  <si>
    <t>NGUYEN DUY THANG</t>
  </si>
  <si>
    <t>グエン　ズイ　タン</t>
  </si>
  <si>
    <t>8/24林</t>
  </si>
  <si>
    <t>NGUYEN THI HANH</t>
  </si>
  <si>
    <t>グエン　ティ　ハイン</t>
  </si>
  <si>
    <t>470-0331</t>
  </si>
  <si>
    <t>9/12林</t>
  </si>
  <si>
    <t>グエン　フー　ホイ</t>
  </si>
  <si>
    <t>486-0912</t>
  </si>
  <si>
    <t>愛知県春日井市高山町2丁目32番地4</t>
  </si>
  <si>
    <t>ﾊﾟｰｸｻｲﾄﾞｽｽﾞｷ101</t>
  </si>
  <si>
    <t>2022/8/25　請負から派遣に切替　請負で1年以上経験有る為、1400円ｽﾀｰﾄ</t>
  </si>
  <si>
    <t>THIEU QUANG TINH</t>
  </si>
  <si>
    <t>ティエウ　クアン　ティン</t>
  </si>
  <si>
    <t>静岡県袋井市堀越3丁目19番地2</t>
  </si>
  <si>
    <t>愛知県春日井市高山町4丁目13-13</t>
  </si>
  <si>
    <t>ﾒｿﾞﾝ辻山105</t>
  </si>
  <si>
    <t>ﾒｿﾞﾝ辻山201</t>
  </si>
  <si>
    <t>ｴｸｾｰﾗ305号室</t>
  </si>
  <si>
    <t>9/15林</t>
  </si>
  <si>
    <t>NGUYEN VAN TAI</t>
  </si>
  <si>
    <t>グエン　ヴァン　タイ</t>
  </si>
  <si>
    <t>NGUYEN HUU THANG</t>
  </si>
  <si>
    <t>グエン　フゥ　タン</t>
  </si>
  <si>
    <t>ホシナ　クラウジオ</t>
  </si>
  <si>
    <t>496-0026</t>
  </si>
  <si>
    <t>愛知県津島市唐臼町西島69-2</t>
  </si>
  <si>
    <t>THAI HUY DUC</t>
  </si>
  <si>
    <t>タイ　フィ　ドゥック</t>
  </si>
  <si>
    <t>ｱﾙｿｰﾚD102</t>
  </si>
  <si>
    <t>9/21林</t>
  </si>
  <si>
    <t>CHU DUC THANG</t>
  </si>
  <si>
    <t>チュ　ドゥック　タン</t>
  </si>
  <si>
    <t>NGUYEN CUONG</t>
  </si>
  <si>
    <t>グエン　クオン</t>
  </si>
  <si>
    <t>9/22林</t>
  </si>
  <si>
    <t>LE HOANG QUOC</t>
  </si>
  <si>
    <t>レー　ホアン　クオック</t>
  </si>
  <si>
    <t>LE HOANG HUY</t>
  </si>
  <si>
    <t>レー　ホアン　フイ</t>
  </si>
  <si>
    <t>HO DINH DUONG</t>
  </si>
  <si>
    <t>ホー　ディン　ズオン</t>
  </si>
  <si>
    <t>レー　ヴァン　ルオン</t>
  </si>
  <si>
    <t>プレテック</t>
  </si>
  <si>
    <t>ユアサ工機 新城</t>
  </si>
  <si>
    <t>NGUYEN HOANG PHIEN</t>
  </si>
  <si>
    <t>グエン　ホアン　フィエン</t>
  </si>
  <si>
    <t>抵触日</t>
    <rPh sb="0" eb="3">
      <t>ﾃｲｼｮｸﾋﾞ</t>
    </rPh>
    <phoneticPr fontId="8" type="noConversion"/>
  </si>
  <si>
    <t xml:space="preserve">派  遣  先  管  理  台  帳 </t>
    <phoneticPr fontId="1"/>
  </si>
  <si>
    <t>派遣労働者の氏名</t>
    <phoneticPr fontId="1"/>
  </si>
  <si>
    <t xml:space="preserve"> 社会保険・雇用保険の被</t>
    <phoneticPr fontId="1"/>
  </si>
  <si>
    <t xml:space="preserve"> 雇用保険：</t>
    <phoneticPr fontId="1"/>
  </si>
  <si>
    <t>無の理由：</t>
    <phoneticPr fontId="1"/>
  </si>
  <si>
    <t>提出予定：</t>
    <phoneticPr fontId="1"/>
  </si>
  <si>
    <t xml:space="preserve"> 保険者資格取得届の提出</t>
    <phoneticPr fontId="1"/>
  </si>
  <si>
    <t xml:space="preserve"> 健康保険：</t>
    <phoneticPr fontId="1"/>
  </si>
  <si>
    <t>☑ 有</t>
    <phoneticPr fontId="1"/>
  </si>
  <si>
    <t xml:space="preserve"> の有無</t>
    <phoneticPr fontId="1"/>
  </si>
  <si>
    <t xml:space="preserve"> 厚生年金保険：</t>
    <phoneticPr fontId="1"/>
  </si>
  <si>
    <t>派遣先の事業所名称</t>
    <phoneticPr fontId="1"/>
  </si>
  <si>
    <t>事業所の所在地</t>
    <phoneticPr fontId="1"/>
  </si>
  <si>
    <t xml:space="preserve"> 組織単位</t>
    <rPh sb="1" eb="5">
      <t>ソシキタンイ</t>
    </rPh>
    <phoneticPr fontId="1"/>
  </si>
  <si>
    <t>所　属　部　署</t>
    <phoneticPr fontId="1"/>
  </si>
  <si>
    <t>業　務　内　容</t>
    <phoneticPr fontId="1"/>
  </si>
  <si>
    <t>雇用期間の有無</t>
    <phoneticPr fontId="1"/>
  </si>
  <si>
    <t>業務に伴う責任の程度</t>
    <phoneticPr fontId="1"/>
  </si>
  <si>
    <t>派　遣　期　間</t>
    <phoneticPr fontId="1"/>
  </si>
  <si>
    <t>□無期雇用派遣労働者に限定／☑無期雇用派遣労働者に限定なし</t>
    <phoneticPr fontId="1"/>
  </si>
  <si>
    <t>□60歳以上に限定／☑60歳以上に限定なし</t>
    <phoneticPr fontId="1"/>
  </si>
  <si>
    <t>☑協定対象労働者に限定／□協定対象労働者に限定なし</t>
    <phoneticPr fontId="1"/>
  </si>
  <si>
    <t>製造業務専門
派遣先責任者</t>
    <phoneticPr fontId="1"/>
  </si>
  <si>
    <t>派遣元の事業所名称</t>
    <phoneticPr fontId="1"/>
  </si>
  <si>
    <t>派遣元の所在地</t>
    <phoneticPr fontId="1"/>
  </si>
  <si>
    <t>製造業務専門
派遣元責任者</t>
    <phoneticPr fontId="1"/>
  </si>
  <si>
    <t>就   業   日</t>
    <phoneticPr fontId="1"/>
  </si>
  <si>
    <t>派遣先の年間カレンダーによる</t>
    <phoneticPr fontId="1"/>
  </si>
  <si>
    <t>就業状況</t>
    <phoneticPr fontId="1"/>
  </si>
  <si>
    <t xml:space="preserve"> 別紙タイムシートによる</t>
    <phoneticPr fontId="1"/>
  </si>
  <si>
    <t xml:space="preserve"> 教育訓練を行った日時と内容</t>
    <phoneticPr fontId="1"/>
  </si>
  <si>
    <t>苦情対応の状況</t>
    <phoneticPr fontId="1"/>
  </si>
  <si>
    <t>　　申出を受けた日</t>
    <phoneticPr fontId="1"/>
  </si>
  <si>
    <t>苦情内容、処理状況、備考</t>
    <phoneticPr fontId="1"/>
  </si>
  <si>
    <t>申出①　 　申出②　 　申出③</t>
    <phoneticPr fontId="1"/>
  </si>
  <si>
    <t xml:space="preserve"> 応対者１</t>
    <phoneticPr fontId="1"/>
  </si>
  <si>
    <t xml:space="preserve"> 応対者２</t>
  </si>
  <si>
    <t xml:space="preserve"> 応対者３</t>
  </si>
  <si>
    <t>【労働者派遣終了後３年間保存】</t>
    <phoneticPr fontId="1"/>
  </si>
  <si>
    <t>44652本社工場製造3課6工区</t>
  </si>
  <si>
    <t>性  別
60才以上か否かの別</t>
    <phoneticPr fontId="1"/>
  </si>
  <si>
    <t>～</t>
    <phoneticPr fontId="1"/>
  </si>
  <si>
    <t>に締結した労働者派遣契約に基づき、下記のものを派遣致します。就業条件は個別契約書の条件と相違ありません。</t>
    <phoneticPr fontId="1"/>
  </si>
  <si>
    <t xml:space="preserve">  ユニバーサル企画株式会社　　　　　　　　　　　許可番号　派23-303669</t>
    <phoneticPr fontId="1"/>
  </si>
  <si>
    <t>Fライン</t>
  </si>
  <si>
    <t>ナット</t>
  </si>
  <si>
    <t>Aライン</t>
  </si>
  <si>
    <t>Gライン</t>
  </si>
  <si>
    <t>自動旋削</t>
  </si>
  <si>
    <t>製造1課</t>
  </si>
  <si>
    <t>手動旋削</t>
  </si>
  <si>
    <t>段取</t>
  </si>
  <si>
    <t>内輪</t>
  </si>
  <si>
    <t>444-1334</t>
  </si>
  <si>
    <t>愛知県高浜市春日町1丁目２番地１</t>
  </si>
  <si>
    <t>県営赤松住宅4棟202号</t>
  </si>
  <si>
    <t>愛知県弥富市平島町甲新田82番地１</t>
  </si>
  <si>
    <t>トラニオン</t>
  </si>
  <si>
    <t>州の崎第2工場製造3課5工区7班</t>
  </si>
  <si>
    <t>成広矢原ｺｰﾎﾟⅦ206</t>
  </si>
  <si>
    <t>NGUYEN PHAN BANG</t>
  </si>
  <si>
    <t>リフト作業</t>
  </si>
  <si>
    <t>成広矢原ｺｰﾎﾟⅢ208号</t>
  </si>
  <si>
    <t>成広矢原ｺｰﾎﾟⅠ203</t>
  </si>
  <si>
    <t>成広矢原ｺｰﾎﾟⅠ103</t>
  </si>
  <si>
    <t>9/26林</t>
  </si>
  <si>
    <t>岡山県岡山市北区御津矢原294－1</t>
  </si>
  <si>
    <t>成広矢原ｺｰﾎﾟⅢ107号</t>
  </si>
  <si>
    <t>9/29林</t>
  </si>
  <si>
    <t>441-1231</t>
  </si>
  <si>
    <t>愛知県豊川市一宮町旭251番地</t>
  </si>
  <si>
    <t>ｸﾞﾚｲｽ旭A202号</t>
  </si>
  <si>
    <t>22.11.01</t>
  </si>
  <si>
    <t>10/17林</t>
  </si>
  <si>
    <t>VO MINH PHUONG</t>
  </si>
  <si>
    <t>ヴォ　ミン　フォン</t>
  </si>
  <si>
    <t>NGUYEN TAT DIEP</t>
  </si>
  <si>
    <t>グエン　タット　デイエップ</t>
  </si>
  <si>
    <t>10/31林</t>
  </si>
  <si>
    <t>DUONG VIET HOANG</t>
  </si>
  <si>
    <t>ズオン　ビエット　ホアン</t>
  </si>
  <si>
    <t>660-0084</t>
  </si>
  <si>
    <t>兵庫県尼崎市武庫川町3丁目</t>
  </si>
  <si>
    <t>ｼﾞｮｲﾌﾙﾊｲﾂ204</t>
  </si>
  <si>
    <t>TRAN DINH MINH</t>
  </si>
  <si>
    <t>チャン　ディン　ミン</t>
  </si>
  <si>
    <t>HUYNH TRUNG TUYEN</t>
  </si>
  <si>
    <t>フイン　チュン　トウエン</t>
  </si>
  <si>
    <t>10/26林</t>
  </si>
  <si>
    <t>Tiempo</t>
    <phoneticPr fontId="8" type="noConversion"/>
  </si>
  <si>
    <t>Desde</t>
    <phoneticPr fontId="8" type="noConversion"/>
  </si>
  <si>
    <t>COMENTO IMPORTANTE  SIEMPRE VER EL FILTRO DE TRASFORMACION</t>
    <phoneticPr fontId="8" type="noConversion"/>
  </si>
  <si>
    <t>コーピ数</t>
    <rPh sb="3" eb="4">
      <t>ｽｳ</t>
    </rPh>
    <phoneticPr fontId="8" type="noConversion"/>
  </si>
  <si>
    <t>ﾊﾟｰｸﾀｳﾝ平島D201</t>
  </si>
  <si>
    <t>愛知県春日井市高山町4-13-13</t>
  </si>
  <si>
    <t>11/14林</t>
  </si>
  <si>
    <t>22.12.1</t>
  </si>
  <si>
    <t>NGUYEN QUOC DAT</t>
  </si>
  <si>
    <t>グエン　クオック　ダット</t>
  </si>
  <si>
    <t>MAI THI QUYEN</t>
  </si>
  <si>
    <t>マイ　ティ　クェン</t>
  </si>
  <si>
    <r>
      <rPr>
        <sz val="9"/>
        <color theme="1"/>
        <rFont val="Segoe UI Symbol"/>
        <family val="2"/>
      </rPr>
      <t>☑</t>
    </r>
    <r>
      <rPr>
        <sz val="9"/>
        <color theme="1"/>
        <rFont val="BIZ UD明朝 Medium"/>
        <family val="1"/>
        <charset val="128"/>
      </rPr>
      <t xml:space="preserve"> 付与される権限なし／</t>
    </r>
    <r>
      <rPr>
        <sz val="9"/>
        <color theme="1"/>
        <rFont val="Segoe UI Symbol"/>
        <family val="1"/>
      </rPr>
      <t>□</t>
    </r>
    <r>
      <rPr>
        <sz val="9"/>
        <color theme="1"/>
        <rFont val="BIZ UD明朝 Medium"/>
        <family val="1"/>
        <charset val="128"/>
      </rPr>
      <t xml:space="preserve"> 付与される権限あり（詳細：　　　　　　　　　　　　　　　　）</t>
    </r>
    <phoneticPr fontId="1"/>
  </si>
  <si>
    <t>H_2次旋</t>
  </si>
  <si>
    <t>NGO VAN SANG</t>
  </si>
  <si>
    <t>ゴー　ヴァン　サン</t>
  </si>
  <si>
    <t>VO DUC SON</t>
  </si>
  <si>
    <t>ヴォ　ドゥック　ソン</t>
  </si>
  <si>
    <t>CAD</t>
  </si>
  <si>
    <t>W研磨</t>
  </si>
  <si>
    <t>486-0918</t>
  </si>
  <si>
    <t>愛知県春日井市如意申町6-11-17</t>
  </si>
  <si>
    <t>11/21林</t>
  </si>
  <si>
    <t>～</t>
    <phoneticPr fontId="8" type="noConversion"/>
  </si>
  <si>
    <t>Back to main</t>
    <phoneticPr fontId="1"/>
  </si>
  <si>
    <t>Go to Back</t>
    <phoneticPr fontId="1"/>
  </si>
  <si>
    <t>DAICHO</t>
    <phoneticPr fontId="8" type="noConversion"/>
  </si>
  <si>
    <t>DAICHO</t>
    <phoneticPr fontId="1"/>
  </si>
  <si>
    <t>標準報酬</t>
  </si>
  <si>
    <t>健康保険</t>
  </si>
  <si>
    <t>介護保険</t>
  </si>
  <si>
    <t>厚生年金</t>
  </si>
  <si>
    <t>ピーエムアイ</t>
  </si>
  <si>
    <t>0</t>
  </si>
  <si>
    <t>コーリツ 州の崎</t>
  </si>
  <si>
    <t>愛知県豊田市美里2-6-9</t>
  </si>
  <si>
    <t>498-0026</t>
  </si>
  <si>
    <t>コーリツ 乙川</t>
  </si>
  <si>
    <t>乙川工場製造3課6工区9班</t>
  </si>
  <si>
    <t>愛知県名古屋市港区土古町2丁目23番地</t>
  </si>
  <si>
    <t>新土古荘1棟202号</t>
  </si>
  <si>
    <t>コーリツ 本社</t>
  </si>
  <si>
    <t>コーリツ 亀崎</t>
  </si>
  <si>
    <t>亀崎工場製造5課7工区9班</t>
  </si>
  <si>
    <t>州の崎工場製造3課5工区6班</t>
  </si>
  <si>
    <t>中須賀ｺｰﾎﾟⅡ102</t>
  </si>
  <si>
    <t>2023/3/25までﾌｪﾆﾃｯｸ⇒2023/3/27よりプレテックへ異動</t>
  </si>
  <si>
    <t>州の崎工場製造1課1工区2班</t>
  </si>
  <si>
    <t>HIRATA AISAWA ALEXANDRE HIROSHI</t>
  </si>
  <si>
    <t>ヒラタ　アイザワ　アレキサンドレ　ヒロシ</t>
  </si>
  <si>
    <t>本社工場製造1課2工区2班</t>
  </si>
  <si>
    <t>LE QUI HAI</t>
  </si>
  <si>
    <t>州の崎工場製造1課1工区1班</t>
  </si>
  <si>
    <t>乙川工場製造3課5工区7班</t>
  </si>
  <si>
    <t>乙川工場製造3課6工区8班</t>
  </si>
  <si>
    <t>VU DUC THACH</t>
  </si>
  <si>
    <t>大阪府大阪市住吉区清水丘2-9-16</t>
  </si>
  <si>
    <t>亀崎工場製造5課6工区8班</t>
  </si>
  <si>
    <t>ﾆｭｰｴﾙﾃﾞｨﾑ小西A202</t>
  </si>
  <si>
    <t>大阪府大阪市住之江区御崎3-3-20</t>
  </si>
  <si>
    <t>ﾋﾞﾚｯｼﾞﾊｳｽ恵那1号棟104</t>
  </si>
  <si>
    <t>サトウ　マルセロ　ヒトシ</t>
  </si>
  <si>
    <t>山口県防府市大字田島1510－5</t>
  </si>
  <si>
    <t>ｱﾒﾆﾃｨﾊｲﾂ田島203</t>
  </si>
  <si>
    <t>本社製造部製造1課</t>
  </si>
  <si>
    <t>加藤木材工業 本社</t>
  </si>
  <si>
    <t>2022/8/25　請負から派遣に切替　請負で1年以上経験有る為、1400円ｽﾀｰﾄ　10/16～N3合格により10円アップ</t>
  </si>
  <si>
    <t>ｴｸｾｰﾗ103号室</t>
  </si>
  <si>
    <t>2022/11/30～アルソーレＤ101へ移動</t>
  </si>
  <si>
    <t>2023/1/21~1300UP</t>
  </si>
  <si>
    <t>本社製造部製造3課</t>
  </si>
  <si>
    <t>485-0023</t>
  </si>
  <si>
    <t>愛知県小牧市大字北外山2643番地1</t>
  </si>
  <si>
    <t>ｻﾝﾊﾟﾃｨｰｸⅡ3C</t>
  </si>
  <si>
    <t>23.1.1</t>
  </si>
  <si>
    <t>12/19林</t>
  </si>
  <si>
    <t>LE VIET DUNG</t>
  </si>
  <si>
    <t>レー　ヴィエット　ズン</t>
  </si>
  <si>
    <t>DANG THE DONG</t>
  </si>
  <si>
    <t>ダン　テー　ドン</t>
  </si>
  <si>
    <t>474-0022</t>
  </si>
  <si>
    <t>愛知県大府市若草町2丁目160番地</t>
  </si>
  <si>
    <t>ｺｰﾎﾟ下村203号</t>
  </si>
  <si>
    <t>12/14林</t>
  </si>
  <si>
    <t>LE NHU ANH</t>
  </si>
  <si>
    <t>レー　ヌー　アイン</t>
  </si>
  <si>
    <t>PHAM TRUNG DUNG</t>
  </si>
  <si>
    <t>ファム　チュン　ズン</t>
  </si>
  <si>
    <t>TRAN DUC KIEN</t>
  </si>
  <si>
    <t>チャン　ドゥック　キエン</t>
  </si>
  <si>
    <t>加藤木材工業 春日井</t>
  </si>
  <si>
    <t>TA DUC TUAN</t>
  </si>
  <si>
    <t>ター　ドゥック　トゥアン</t>
  </si>
  <si>
    <t>12/15林</t>
  </si>
  <si>
    <t>TRAN DUC TRUONG</t>
  </si>
  <si>
    <t>チャン　ドゥック　チュオン</t>
  </si>
  <si>
    <t>NGUYEN MANH KHAI</t>
  </si>
  <si>
    <t>グエン　マン　カイ</t>
  </si>
  <si>
    <t>社宅　一軒家</t>
  </si>
  <si>
    <t>TRAN KHUONG DUY</t>
  </si>
  <si>
    <t>チャン　クオン　ズイ</t>
  </si>
  <si>
    <t>DINH PHU HUNG</t>
  </si>
  <si>
    <t>ディン　フー　フン</t>
  </si>
  <si>
    <t>KIEU DUC TUAN</t>
  </si>
  <si>
    <t>キエウ　ドゥック　トゥアン</t>
  </si>
  <si>
    <t>NGUYEN THI LOC</t>
  </si>
  <si>
    <t>グエン　ティ　ロック</t>
  </si>
  <si>
    <t>ｻﾝﾊﾟﾃｨｰｸⅡ1E</t>
  </si>
  <si>
    <t>22.12.19</t>
  </si>
  <si>
    <t>1/9原</t>
  </si>
  <si>
    <t>NGUYEN THI QUYEN</t>
  </si>
  <si>
    <t>グエン　ティ　クエン</t>
  </si>
  <si>
    <t>485-0041</t>
  </si>
  <si>
    <t>愛知県小牧市小牧大字3522番地</t>
  </si>
  <si>
    <t>ﾋﾞﾚｯｼﾞﾊｳｽ山北4号棟</t>
  </si>
  <si>
    <t>23.1.6</t>
  </si>
  <si>
    <t>1/18林</t>
  </si>
  <si>
    <t>ZARATE SAKUDA SERGIO EDUARDO</t>
  </si>
  <si>
    <t>サラテ　サクダ　セルヒオ　エドゥアルド</t>
  </si>
  <si>
    <t>ﾍﾟﾙｰ</t>
  </si>
  <si>
    <t>486-0904</t>
  </si>
  <si>
    <t>愛知県春日井市宮町2-3-16</t>
  </si>
  <si>
    <t>ﾘﾝﾋﾟｱ長斉203</t>
  </si>
  <si>
    <t>23.2.1</t>
  </si>
  <si>
    <t>1/16林</t>
  </si>
  <si>
    <t>PHAN QUANG HOP</t>
  </si>
  <si>
    <t>ファン　クアン　ホップ</t>
  </si>
  <si>
    <t>23.1.9</t>
  </si>
  <si>
    <t>LE THI HIEN</t>
  </si>
  <si>
    <t>レー　ティ　ヒエン</t>
  </si>
  <si>
    <t>PHAM VAN THANH</t>
  </si>
  <si>
    <t>ファム　バン　タイン</t>
  </si>
  <si>
    <t>2/15林</t>
  </si>
  <si>
    <t>1/25林</t>
  </si>
  <si>
    <t>VU HOANG AN</t>
  </si>
  <si>
    <t>ヴー　ホアン　アン</t>
  </si>
  <si>
    <t>DAO TIEN KHANH</t>
  </si>
  <si>
    <t>ダオ　ティエン　カイン</t>
  </si>
  <si>
    <t>NGUYEN THI HIEN</t>
  </si>
  <si>
    <t>グエン　ティ　ヒエン</t>
  </si>
  <si>
    <t>2/27林</t>
  </si>
  <si>
    <t>グエン　ヴァン　チュオン</t>
  </si>
  <si>
    <t>ﾋﾞﾚｯｼﾞﾊｳｽ高取3号棟102号</t>
  </si>
  <si>
    <t>23.3.1</t>
  </si>
  <si>
    <t>23.2.2</t>
  </si>
  <si>
    <t>2/8林</t>
  </si>
  <si>
    <t>NGUYEN QUANG TRUONG</t>
  </si>
  <si>
    <t>グエン　クアン　チュオン</t>
  </si>
  <si>
    <t>NGUYEN TRUONG GIANG</t>
  </si>
  <si>
    <t>グエン　トゥオン　ジャン</t>
  </si>
  <si>
    <t>23.2.13</t>
  </si>
  <si>
    <t>PHAM HONG CUONG</t>
  </si>
  <si>
    <t>ファン　ホン　クオン</t>
  </si>
  <si>
    <t>3/24原</t>
  </si>
  <si>
    <t>3/30林</t>
  </si>
  <si>
    <t>ｱﾙｿｰﾚD203</t>
  </si>
  <si>
    <t>LE  VAN THAO</t>
  </si>
  <si>
    <t>レ　ヴァン　タオ</t>
  </si>
  <si>
    <t>23.2.22</t>
  </si>
  <si>
    <t>TRAN NGOC DINH</t>
  </si>
  <si>
    <t>チャン　ノック　ディン</t>
  </si>
  <si>
    <t>3/16林</t>
  </si>
  <si>
    <t>LE NGOC HOI</t>
  </si>
  <si>
    <t>レ　ゴック　ホイ</t>
  </si>
  <si>
    <t>LUU VAN TUNG</t>
  </si>
  <si>
    <t>リュ　ヴァン　トゥン</t>
  </si>
  <si>
    <t>成広矢原ｺｰﾎﾟⅤ103</t>
  </si>
  <si>
    <t>NGUYEN DINH QUYEN</t>
  </si>
  <si>
    <t>グエン　ディン　クエン</t>
  </si>
  <si>
    <t>VU DINH QUANG</t>
  </si>
  <si>
    <t>ヴー　ディン　クアン</t>
  </si>
  <si>
    <t>BUI THE DU</t>
  </si>
  <si>
    <t>ブイ　テー　ズ</t>
  </si>
  <si>
    <t>成広矢原ｺｰﾎﾟⅢ105</t>
  </si>
  <si>
    <t>NGUYEN XUAN CUONG</t>
  </si>
  <si>
    <t>グエン　スアン　クオン</t>
  </si>
  <si>
    <t>23.2.27</t>
  </si>
  <si>
    <t>州の崎工場製造2課2工区３班</t>
  </si>
  <si>
    <t>NGUYEN DANH TIEP</t>
  </si>
  <si>
    <t>グエン　ダン　テイエプ</t>
  </si>
  <si>
    <t>県営長根住宅5棟306号</t>
  </si>
  <si>
    <t>SIDO SERGIO HIROJI</t>
  </si>
  <si>
    <t>シドウ　セルジオ　ヒロジ</t>
  </si>
  <si>
    <t>478-0054</t>
  </si>
  <si>
    <t>愛知県知多市つづじヶ丘1丁目14番地</t>
  </si>
  <si>
    <t>2号棟306号</t>
  </si>
  <si>
    <t>3/1林</t>
  </si>
  <si>
    <t>23.4.1</t>
  </si>
  <si>
    <t>DOAN MINH HAI</t>
  </si>
  <si>
    <t>ドアン　ミン　ハイ</t>
  </si>
  <si>
    <t>3/20林</t>
  </si>
  <si>
    <t>PHAM TUAN ANH</t>
  </si>
  <si>
    <t>ファム　トゥアン　アン</t>
  </si>
  <si>
    <t>BUI HUU KHOA</t>
  </si>
  <si>
    <t>ブイ　フウ　コア</t>
  </si>
  <si>
    <t>NGUYEN NGOC SON</t>
  </si>
  <si>
    <t>グエン　ゴック　ソン</t>
  </si>
  <si>
    <t>DANG MINH QUANG</t>
  </si>
  <si>
    <t>ダン　ミイン　クアン</t>
  </si>
  <si>
    <t>VU HONG KHANH</t>
  </si>
  <si>
    <t>ヴー　ホン　カイン</t>
  </si>
  <si>
    <t>475-0061</t>
  </si>
  <si>
    <t>愛知県半田市一ノ草町201-11</t>
  </si>
  <si>
    <t>ﾒｿﾞﾝﾊﾟｰｸｱﾍﾞﾆｭｰ101</t>
  </si>
  <si>
    <t>BUI XUAN QUYET</t>
  </si>
  <si>
    <t>ブイ　スアン　クエット</t>
  </si>
  <si>
    <t>4/3林</t>
  </si>
  <si>
    <t>LE DINH BINH</t>
  </si>
  <si>
    <t>レー　ディン　ビン</t>
  </si>
  <si>
    <t>ﾒｿﾞﾝﾊﾟｰｸｱﾍﾞﾆｭｰ103</t>
  </si>
  <si>
    <t>NGUYEN CANH HOANG</t>
  </si>
  <si>
    <t>グエン　カン　ホアン</t>
  </si>
  <si>
    <t>静岡県袋井市葵町3丁目3番地3</t>
  </si>
  <si>
    <t>BeehiveresidenceⅣ101</t>
  </si>
  <si>
    <t>VU NGOC HOAN</t>
  </si>
  <si>
    <t>ヴー　ゴック　ホアン</t>
  </si>
  <si>
    <t>TA NGUYEN DUC</t>
  </si>
  <si>
    <t>ター　グエン　ドゥック</t>
  </si>
  <si>
    <t>TRAN THANH HUNG</t>
  </si>
  <si>
    <t>チャン　タイン　フン</t>
  </si>
  <si>
    <t>VO THANH PHONG</t>
  </si>
  <si>
    <t>ヴォー　タイン　フォン</t>
  </si>
  <si>
    <t>NGUYEN NGOC QUANG</t>
  </si>
  <si>
    <t>グエン　ゴック　クアン</t>
  </si>
  <si>
    <t>NGUYEN VAN DUNG</t>
  </si>
  <si>
    <t>グエン　ヴァン　ズン</t>
  </si>
  <si>
    <t>各務ﾊｲﾂ4E</t>
  </si>
  <si>
    <t>派遣先</t>
    <phoneticPr fontId="8" type="noConversion"/>
  </si>
  <si>
    <t>工場名</t>
    <rPh sb="0" eb="2">
      <t>コウジョウ</t>
    </rPh>
    <rPh sb="2" eb="3">
      <t>メイ</t>
    </rPh>
    <phoneticPr fontId="1"/>
  </si>
  <si>
    <t>配属先</t>
    <rPh sb="0" eb="3">
      <t>ハイゾクサキ</t>
    </rPh>
    <phoneticPr fontId="1"/>
  </si>
  <si>
    <t>仕事内容</t>
    <rPh sb="0" eb="4">
      <t>シゴトナイヨウ</t>
    </rPh>
    <phoneticPr fontId="1"/>
  </si>
  <si>
    <t>工場住所</t>
    <rPh sb="0" eb="2">
      <t>コウジョウ</t>
    </rPh>
    <rPh sb="2" eb="4">
      <t>ジュウショ</t>
    </rPh>
    <phoneticPr fontId="1"/>
  </si>
  <si>
    <t>派遣先責任者名</t>
    <rPh sb="0" eb="3">
      <t>ハケンサキ</t>
    </rPh>
    <rPh sb="3" eb="6">
      <t>セキニンシャ</t>
    </rPh>
    <rPh sb="6" eb="7">
      <t>メイ</t>
    </rPh>
    <phoneticPr fontId="1"/>
  </si>
  <si>
    <t>指示命令者名</t>
    <rPh sb="0" eb="5">
      <t>シジメイレイシャ</t>
    </rPh>
    <rPh sb="5" eb="6">
      <t>メイ</t>
    </rPh>
    <phoneticPr fontId="1"/>
  </si>
  <si>
    <t>指示命令者部署</t>
    <rPh sb="0" eb="5">
      <t>シジメイレイシャ</t>
    </rPh>
    <rPh sb="5" eb="7">
      <t>ブショ</t>
    </rPh>
    <phoneticPr fontId="1"/>
  </si>
  <si>
    <t>派遣先責任者部署</t>
    <rPh sb="6" eb="8">
      <t>ブショ</t>
    </rPh>
    <phoneticPr fontId="1"/>
  </si>
  <si>
    <t>派遣先：苦情処理：部署</t>
    <rPh sb="0" eb="3">
      <t>ハケンサキ</t>
    </rPh>
    <rPh sb="4" eb="6">
      <t>クジョウ</t>
    </rPh>
    <rPh sb="6" eb="8">
      <t>ショリ</t>
    </rPh>
    <rPh sb="9" eb="11">
      <t>ブショ</t>
    </rPh>
    <phoneticPr fontId="1"/>
  </si>
  <si>
    <t>派遣先：苦情処理：名</t>
    <rPh sb="0" eb="3">
      <t>ハケンサキ</t>
    </rPh>
    <rPh sb="4" eb="6">
      <t>クジョウ</t>
    </rPh>
    <rPh sb="6" eb="8">
      <t>ショリ</t>
    </rPh>
    <rPh sb="9" eb="10">
      <t>メイ</t>
    </rPh>
    <phoneticPr fontId="1"/>
  </si>
  <si>
    <t>派遣先：苦情処理：電話</t>
    <rPh sb="9" eb="11">
      <t>デンワ</t>
    </rPh>
    <phoneticPr fontId="1"/>
  </si>
  <si>
    <t>派遣先電話</t>
    <rPh sb="3" eb="5">
      <t>デンワ</t>
    </rPh>
    <phoneticPr fontId="1"/>
  </si>
  <si>
    <t>派遣先責任者電話</t>
    <rPh sb="0" eb="3">
      <t>ハケンサキ</t>
    </rPh>
    <rPh sb="3" eb="6">
      <t>セキニンシャ</t>
    </rPh>
    <rPh sb="6" eb="8">
      <t>デンワ</t>
    </rPh>
    <phoneticPr fontId="1"/>
  </si>
  <si>
    <t>指示命令者電話</t>
    <rPh sb="0" eb="5">
      <t>シジメイレイシャ</t>
    </rPh>
    <rPh sb="5" eb="7">
      <t>デンワ</t>
    </rPh>
    <phoneticPr fontId="1"/>
  </si>
  <si>
    <t>派遣元責任者部署</t>
    <rPh sb="2" eb="3">
      <t>モト</t>
    </rPh>
    <rPh sb="6" eb="8">
      <t>ブショ</t>
    </rPh>
    <phoneticPr fontId="1"/>
  </si>
  <si>
    <t>派遣元責任者名</t>
    <rPh sb="0" eb="3">
      <t>ハケンモト</t>
    </rPh>
    <rPh sb="3" eb="6">
      <t>セキニンシャ</t>
    </rPh>
    <rPh sb="6" eb="7">
      <t>メイ</t>
    </rPh>
    <phoneticPr fontId="1"/>
  </si>
  <si>
    <t>派遣元責任者電話</t>
    <rPh sb="0" eb="3">
      <t>ハケンモト</t>
    </rPh>
    <rPh sb="3" eb="6">
      <t>セキニンシャ</t>
    </rPh>
    <rPh sb="6" eb="8">
      <t>デンワ</t>
    </rPh>
    <phoneticPr fontId="1"/>
  </si>
  <si>
    <t>派遣元：苦情処理：部署</t>
    <rPh sb="0" eb="3">
      <t>ハケンモト</t>
    </rPh>
    <rPh sb="4" eb="6">
      <t>クジョウ</t>
    </rPh>
    <rPh sb="6" eb="8">
      <t>ショリ</t>
    </rPh>
    <rPh sb="9" eb="11">
      <t>ブショ</t>
    </rPh>
    <phoneticPr fontId="1"/>
  </si>
  <si>
    <t>派遣元：苦情処理：名</t>
    <rPh sb="0" eb="3">
      <t>ハケンモト</t>
    </rPh>
    <rPh sb="4" eb="6">
      <t>クジョウ</t>
    </rPh>
    <rPh sb="6" eb="8">
      <t>ショリ</t>
    </rPh>
    <rPh sb="9" eb="10">
      <t>メイ</t>
    </rPh>
    <phoneticPr fontId="1"/>
  </si>
  <si>
    <t>派遣元：苦情処理：電話</t>
    <rPh sb="2" eb="3">
      <t>モト</t>
    </rPh>
    <rPh sb="9" eb="11">
      <t>デンワ</t>
    </rPh>
    <phoneticPr fontId="1"/>
  </si>
  <si>
    <t>工場名</t>
    <phoneticPr fontId="8" type="noConversion"/>
  </si>
  <si>
    <t>配属先</t>
    <phoneticPr fontId="8" type="noConversion"/>
  </si>
  <si>
    <t>ライン</t>
    <phoneticPr fontId="1"/>
  </si>
  <si>
    <t>ライン</t>
    <phoneticPr fontId="8" type="noConversion"/>
  </si>
  <si>
    <t>時給単価</t>
    <rPh sb="0" eb="2">
      <t>ジキュウ</t>
    </rPh>
    <rPh sb="2" eb="4">
      <t>タンカ</t>
    </rPh>
    <phoneticPr fontId="1"/>
  </si>
  <si>
    <t>抵触日</t>
    <phoneticPr fontId="1"/>
  </si>
  <si>
    <t>就業時間</t>
    <phoneticPr fontId="8" type="noConversion"/>
  </si>
  <si>
    <t>就業時間</t>
    <rPh sb="0" eb="2">
      <t>シュウギョウ</t>
    </rPh>
    <rPh sb="2" eb="4">
      <t>ジカン</t>
    </rPh>
    <phoneticPr fontId="1"/>
  </si>
  <si>
    <t>休憩時間</t>
    <phoneticPr fontId="8" type="noConversion"/>
  </si>
  <si>
    <t>休憩時間</t>
    <phoneticPr fontId="1"/>
  </si>
  <si>
    <t>締日</t>
    <phoneticPr fontId="1"/>
  </si>
  <si>
    <t>支払日</t>
    <phoneticPr fontId="1"/>
  </si>
  <si>
    <t>振込先</t>
    <phoneticPr fontId="1"/>
  </si>
  <si>
    <t>就業日</t>
    <phoneticPr fontId="8" type="noConversion"/>
  </si>
  <si>
    <t>就業日</t>
    <phoneticPr fontId="1"/>
  </si>
  <si>
    <t>派遣先住所</t>
    <rPh sb="3" eb="5">
      <t>ジュウショ</t>
    </rPh>
    <phoneticPr fontId="1"/>
  </si>
  <si>
    <t xml:space="preserve">	瑞陵精機株式会社</t>
    <phoneticPr fontId="1"/>
  </si>
  <si>
    <t>岐阜県恵那市武並町新竹折８９番地</t>
    <phoneticPr fontId="1"/>
  </si>
  <si>
    <t>(0573)28-3153</t>
    <phoneticPr fontId="1"/>
  </si>
  <si>
    <t>等速ジョイント</t>
    <phoneticPr fontId="1"/>
  </si>
  <si>
    <t>営業部</t>
    <phoneticPr fontId="1"/>
  </si>
  <si>
    <t>取締役部長 中山　欣英</t>
    <phoneticPr fontId="1"/>
  </si>
  <si>
    <t>052-938-8840</t>
    <phoneticPr fontId="1"/>
  </si>
  <si>
    <t>昼勤：7時00分～15時30分　夜勤：19時00分～3時30分</t>
    <phoneticPr fontId="1"/>
  </si>
  <si>
    <t>昼勤：11時00分～11時45分 まで    夜勤：23時00分～23時45分　まで　（45分）</t>
    <phoneticPr fontId="1"/>
  </si>
  <si>
    <t>20日</t>
    <rPh sb="2" eb="3">
      <t>ニチ</t>
    </rPh>
    <phoneticPr fontId="1"/>
  </si>
  <si>
    <t>当月末日</t>
    <rPh sb="0" eb="2">
      <t>トウゲツ</t>
    </rPh>
    <rPh sb="2" eb="3">
      <t>マツ</t>
    </rPh>
    <rPh sb="3" eb="4">
      <t>ヒ</t>
    </rPh>
    <phoneticPr fontId="1"/>
  </si>
  <si>
    <t>取締役 ブウ　ティ　サウ</t>
    <phoneticPr fontId="1"/>
  </si>
  <si>
    <t>ＮＣ旋盤、マシニングセンター等の工作機械を使いオペレーターとして製造ラインで製品を加工</t>
    <phoneticPr fontId="1"/>
  </si>
  <si>
    <t>製造部</t>
    <rPh sb="0" eb="3">
      <t>セイゾウブ</t>
    </rPh>
    <phoneticPr fontId="1"/>
  </si>
  <si>
    <t>株式会社川原鉄工所</t>
    <phoneticPr fontId="1"/>
  </si>
  <si>
    <t>愛知県名古屋市港区善進本町413</t>
  </si>
  <si>
    <t>愛知県名古屋市港区善進本町413</t>
    <phoneticPr fontId="1"/>
  </si>
  <si>
    <t>052-389-4088</t>
  </si>
  <si>
    <t>052-389-4088</t>
    <phoneticPr fontId="1"/>
  </si>
  <si>
    <t>本社工場</t>
    <rPh sb="2" eb="4">
      <t>コウジョウ</t>
    </rPh>
    <phoneticPr fontId="1"/>
  </si>
  <si>
    <t>製造部</t>
  </si>
  <si>
    <t>製造部</t>
    <phoneticPr fontId="1"/>
  </si>
  <si>
    <t>旋盤ライン</t>
    <rPh sb="0" eb="2">
      <t>センバン</t>
    </rPh>
    <phoneticPr fontId="1"/>
  </si>
  <si>
    <t>ATミッション部品をはじめとする、各種自動車部品の製造</t>
  </si>
  <si>
    <t>ATミッション部品をはじめとする、各種自動車部品の製造</t>
    <phoneticPr fontId="1"/>
  </si>
  <si>
    <t>営業部</t>
  </si>
  <si>
    <t>取締役 ブウ　ティ　サウ</t>
  </si>
  <si>
    <t>取締役部長 中山　欣英</t>
  </si>
  <si>
    <t>昼勤：8時00分～17時00分　夜勤：20時00分～5時00分</t>
  </si>
  <si>
    <t>昼勤：8時00分～17時00分　夜勤：20時00分～5時00分</t>
    <phoneticPr fontId="1"/>
  </si>
  <si>
    <t>昼勤：10時00分～10時10分・12時00分～13時00分・15時00分～15時10分    夜勤：22時00分～22時10分・00時00分～01時00分・03時00分～03時10分</t>
    <phoneticPr fontId="1"/>
  </si>
  <si>
    <t>代表取締役 川原　清貴</t>
  </si>
  <si>
    <t>代表取締役 川原　清貴</t>
    <phoneticPr fontId="1"/>
  </si>
  <si>
    <t>課長 安井　友紀</t>
    <phoneticPr fontId="1"/>
  </si>
  <si>
    <t>工場電話</t>
    <rPh sb="0" eb="2">
      <t>コウジョウ</t>
    </rPh>
    <rPh sb="2" eb="4">
      <t>デンワ</t>
    </rPh>
    <phoneticPr fontId="1"/>
  </si>
  <si>
    <t>(0573)28-3153</t>
  </si>
  <si>
    <t>翌月20日</t>
    <rPh sb="0" eb="2">
      <t>ヨクゲツ</t>
    </rPh>
    <rPh sb="4" eb="5">
      <t>ニチ</t>
    </rPh>
    <phoneticPr fontId="1"/>
  </si>
  <si>
    <t>碧海信用金庫　刈谷支店　普通　6072767　名義人　ユニバーサル企画(株)</t>
    <rPh sb="0" eb="6">
      <t>ヘキカイシンヨウキンコ</t>
    </rPh>
    <rPh sb="7" eb="11">
      <t>カリヤシテン</t>
    </rPh>
    <rPh sb="12" eb="14">
      <t>フツウ</t>
    </rPh>
    <rPh sb="23" eb="26">
      <t>メイギジン</t>
    </rPh>
    <rPh sb="33" eb="35">
      <t>キカク</t>
    </rPh>
    <rPh sb="35" eb="38">
      <t>カブシキガイシャ</t>
    </rPh>
    <phoneticPr fontId="1"/>
  </si>
  <si>
    <t>旋盤ライン</t>
  </si>
  <si>
    <t>仕事内容</t>
  </si>
  <si>
    <t>ＣＶＪ短軸等速ジョイント旋削加工・ＮＣプログラム修正</t>
  </si>
  <si>
    <t>444-1303</t>
  </si>
  <si>
    <t>愛知県高浜市小池町4丁目6番地6</t>
  </si>
  <si>
    <t>ｺｰﾎﾟﾗｽSK102</t>
  </si>
  <si>
    <t>ＣＶＪ研磨等速ジョイント旋削加工</t>
  </si>
  <si>
    <t>加工機や冶具・装置の設定を変更する作業</t>
  </si>
  <si>
    <t>産業機械部品の研磨加工、MCプログラム修正</t>
  </si>
  <si>
    <t>CVJ部品長軸品の施削加工、NCプログラム修正</t>
  </si>
  <si>
    <t>産業機械部品の研磨加工、NCプログラム修正</t>
  </si>
  <si>
    <t>485-0832</t>
  </si>
  <si>
    <t>愛知県小牧市応時1丁目66番地</t>
  </si>
  <si>
    <t>ﾌﾚｽｶｲﾄｳ301</t>
  </si>
  <si>
    <t>ﾘﾝﾋﾟｱ長斉302</t>
  </si>
  <si>
    <t>2022/5/9～2022/4/8まで高雄本社所属　2023/4/10~加藤木材に移動</t>
  </si>
  <si>
    <t>2022/5/9～2022/3/30まで高雄本社所属　2023/4/10~加藤木材に移動</t>
  </si>
  <si>
    <t>ﾚｼﾞｪﾝﾄﾞK305</t>
  </si>
  <si>
    <t>愛知県豊田市東山町2丁目1555－1</t>
  </si>
  <si>
    <t>市営東山住宅E棟602号</t>
  </si>
  <si>
    <t>CVJ転造係</t>
  </si>
  <si>
    <t>岐阜県恵那市大井町1454-1</t>
  </si>
  <si>
    <t>成広矢原ｺｰﾎﾟⅠ205号</t>
  </si>
  <si>
    <t>愛知県高浜市湯山町4丁目９番地6</t>
  </si>
  <si>
    <t>ﾋﾞﾚｯｼﾞﾊｳｽ高取2号棟103号室</t>
  </si>
  <si>
    <t>4/12林</t>
  </si>
  <si>
    <t>岡山県岡山市北区御津矢原288-1</t>
  </si>
  <si>
    <t>23.5.1</t>
  </si>
  <si>
    <t>4/13林</t>
  </si>
  <si>
    <t>PHAM DUY QUANG</t>
  </si>
  <si>
    <t>ファム　ズイ　クアン</t>
  </si>
  <si>
    <t>愛知県春日井市如意申町3丁目3－4</t>
  </si>
  <si>
    <t>Residence Enfinity M1 201</t>
  </si>
  <si>
    <t>レー　ヴィエット　チュン</t>
  </si>
  <si>
    <t>NGUYEN NGOC HUNG</t>
  </si>
  <si>
    <t>グエン　ゴック　フン</t>
  </si>
  <si>
    <t>4/24林</t>
  </si>
  <si>
    <t>5/15林</t>
  </si>
  <si>
    <t>455-0831</t>
  </si>
  <si>
    <t>愛知県名古屋市港区十一屋3丁目24-1</t>
  </si>
  <si>
    <t>ｸﾞﾛｰﾘｨ十一屋304号</t>
  </si>
  <si>
    <t>愛知県豊川市一宮町宮前125</t>
  </si>
  <si>
    <t>ﾌｫﾝﾃｲﾝ宮前203</t>
  </si>
  <si>
    <t>23.6.1</t>
  </si>
  <si>
    <t>5/29林</t>
  </si>
  <si>
    <t>PHUNG QUANG DUONG</t>
  </si>
  <si>
    <t>フン　クアン　ズオン</t>
  </si>
  <si>
    <t>5/17林</t>
  </si>
  <si>
    <t>CHU DUC NGHI</t>
  </si>
  <si>
    <t>チュ　ドゥック　ギー</t>
  </si>
  <si>
    <t>静岡県袋井市旭町1-1-17</t>
  </si>
  <si>
    <t>ｱｻﾋﾒｲﾄ202</t>
  </si>
  <si>
    <t>LE DUC THINH</t>
  </si>
  <si>
    <t>レー　ドゥック　ティン</t>
  </si>
  <si>
    <t>NGUYEN VAN TY</t>
  </si>
  <si>
    <t>グエン　ヴァン　ティ</t>
  </si>
  <si>
    <t>DAU DUC NGUYEN</t>
  </si>
  <si>
    <t>ダウ　ドゥック　グエン</t>
  </si>
  <si>
    <t>NGUYEN XUAN QUYET</t>
  </si>
  <si>
    <t>グエン　スアン　クエット</t>
  </si>
  <si>
    <t>LE VAN NAM</t>
  </si>
  <si>
    <t>レー　ヴァン　ナム</t>
  </si>
  <si>
    <t>ファム　ヴァン　カン</t>
  </si>
  <si>
    <t>BUI XUAN DUONG</t>
  </si>
  <si>
    <t>ブイ　スアン　ズオン</t>
  </si>
  <si>
    <t>FILTER(TablaTransfor[社員№],TablaTransfor[ライン]=ライン,"")</t>
  </si>
  <si>
    <t>Anos</t>
    <phoneticPr fontId="8" type="noConversion"/>
  </si>
  <si>
    <t>Dias</t>
    <phoneticPr fontId="8" type="noConversion"/>
  </si>
  <si>
    <t>契約期限</t>
    <rPh sb="0" eb="2">
      <t>ｹｲﾔｸ</t>
    </rPh>
    <rPh sb="2" eb="4">
      <t>ｷｹﾞﾝ</t>
    </rPh>
    <phoneticPr fontId="8" type="noConversion"/>
  </si>
  <si>
    <t>個別契約書X!A1</t>
  </si>
  <si>
    <t>通知書(別々)'!AD8</t>
  </si>
  <si>
    <t>フェニテックセミコンダクター(株)</t>
    <rPh sb="14" eb="17">
      <t>カブシキガイシャ</t>
    </rPh>
    <phoneticPr fontId="1"/>
  </si>
  <si>
    <t>岡山県井原市木之子町6833番地</t>
    <rPh sb="0" eb="3">
      <t>オカヤマケン</t>
    </rPh>
    <rPh sb="3" eb="5">
      <t>イハラ</t>
    </rPh>
    <rPh sb="5" eb="6">
      <t>シ</t>
    </rPh>
    <rPh sb="6" eb="9">
      <t>キノコ</t>
    </rPh>
    <rPh sb="9" eb="10">
      <t>チョウ</t>
    </rPh>
    <rPh sb="14" eb="16">
      <t>バンチ</t>
    </rPh>
    <phoneticPr fontId="1"/>
  </si>
  <si>
    <t>0866-62-4121</t>
    <phoneticPr fontId="1"/>
  </si>
  <si>
    <t>0995-74-3611</t>
  </si>
  <si>
    <t>0995-74-3611</t>
    <phoneticPr fontId="1"/>
  </si>
  <si>
    <t>鹿児島工場</t>
    <rPh sb="0" eb="3">
      <t>カゴシマ</t>
    </rPh>
    <rPh sb="3" eb="5">
      <t>コウジョウ</t>
    </rPh>
    <phoneticPr fontId="1"/>
  </si>
  <si>
    <t>鹿児島県姶良郡湧水町北方1770番地1</t>
    <rPh sb="0" eb="4">
      <t>カゴシマケン</t>
    </rPh>
    <rPh sb="4" eb="7">
      <t>アイラグン</t>
    </rPh>
    <rPh sb="9" eb="10">
      <t>チョウ</t>
    </rPh>
    <rPh sb="10" eb="12">
      <t>キタカタ</t>
    </rPh>
    <rPh sb="16" eb="18">
      <t>バンチ</t>
    </rPh>
    <phoneticPr fontId="1"/>
  </si>
  <si>
    <t>製造ライン</t>
    <rPh sb="0" eb="2">
      <t>セイゾウ</t>
    </rPh>
    <phoneticPr fontId="1"/>
  </si>
  <si>
    <t>次長　小林　勝也</t>
    <rPh sb="0" eb="2">
      <t>ジチョウ</t>
    </rPh>
    <rPh sb="3" eb="5">
      <t>コバヤシ</t>
    </rPh>
    <rPh sb="6" eb="8">
      <t>カツヤ</t>
    </rPh>
    <phoneticPr fontId="1"/>
  </si>
  <si>
    <t>ウエハ製造に伴う装置オペレーション及び検査業務</t>
    <rPh sb="3" eb="5">
      <t>セイゾウ</t>
    </rPh>
    <rPh sb="9" eb="10">
      <t>オ</t>
    </rPh>
    <rPh sb="17" eb="18">
      <t>オヨ</t>
    </rPh>
    <rPh sb="19" eb="21">
      <t>ケンサ</t>
    </rPh>
    <rPh sb="21" eb="23">
      <t>ギョウム</t>
    </rPh>
    <phoneticPr fontId="1"/>
  </si>
  <si>
    <t>管理部</t>
    <rPh sb="0" eb="3">
      <t>カンリブ</t>
    </rPh>
    <phoneticPr fontId="1"/>
  </si>
  <si>
    <t>次長　東　真一郎</t>
    <rPh sb="3" eb="4">
      <t>ヒガシ</t>
    </rPh>
    <rPh sb="5" eb="6">
      <t>シン</t>
    </rPh>
    <rPh sb="6" eb="8">
      <t>イチロウ</t>
    </rPh>
    <phoneticPr fontId="1"/>
  </si>
  <si>
    <t>取締役 部長　中山　欣英</t>
    <rPh sb="4" eb="6">
      <t>ブチョウ</t>
    </rPh>
    <rPh sb="7" eb="9">
      <t>ナカヤマ</t>
    </rPh>
    <rPh sb="10" eb="12">
      <t>ヨシヒデ</t>
    </rPh>
    <phoneticPr fontId="1"/>
  </si>
  <si>
    <t>086-259-4117</t>
  </si>
  <si>
    <t>086-259-4117</t>
    <phoneticPr fontId="1"/>
  </si>
  <si>
    <t>昼勤：12時05分～13時00分・15時00分～15時10分    夜勤：00時05分～01時00分・03時00分～03時10分</t>
    <phoneticPr fontId="1"/>
  </si>
  <si>
    <t>翌月25日</t>
    <rPh sb="0" eb="2">
      <t>ヨクゲツ</t>
    </rPh>
    <rPh sb="4" eb="5">
      <t>ニチ</t>
    </rPh>
    <phoneticPr fontId="1"/>
  </si>
  <si>
    <t>セイビテック株式会社</t>
    <rPh sb="6" eb="10">
      <t>カブシキガイシャ</t>
    </rPh>
    <phoneticPr fontId="1"/>
  </si>
  <si>
    <t>岡山県井原市高屋町266-1</t>
    <rPh sb="0" eb="3">
      <t>オカヤマケン</t>
    </rPh>
    <rPh sb="3" eb="5">
      <t>イハラ</t>
    </rPh>
    <rPh sb="5" eb="6">
      <t>シ</t>
    </rPh>
    <rPh sb="6" eb="9">
      <t>タカヤマチ</t>
    </rPh>
    <phoneticPr fontId="1"/>
  </si>
  <si>
    <t>0866-67-3130</t>
    <phoneticPr fontId="1"/>
  </si>
  <si>
    <t>次長　河上　慶充　</t>
    <rPh sb="3" eb="5">
      <t>カワカミ</t>
    </rPh>
    <rPh sb="6" eb="7">
      <t>ケイ</t>
    </rPh>
    <rPh sb="7" eb="8">
      <t>ミツル</t>
    </rPh>
    <phoneticPr fontId="1"/>
  </si>
  <si>
    <t>ユアサ工機株式会社</t>
    <rPh sb="3" eb="5">
      <t>コウキ</t>
    </rPh>
    <rPh sb="5" eb="9">
      <t>カブシキガイシャ</t>
    </rPh>
    <phoneticPr fontId="1"/>
  </si>
  <si>
    <t>岡山県岡山市北区久米６番地</t>
    <rPh sb="0" eb="6">
      <t>オカヤマケンオカヤマシ</t>
    </rPh>
    <rPh sb="6" eb="8">
      <t>キタク</t>
    </rPh>
    <rPh sb="8" eb="10">
      <t>クメ</t>
    </rPh>
    <rPh sb="11" eb="13">
      <t>バンチ</t>
    </rPh>
    <phoneticPr fontId="1"/>
  </si>
  <si>
    <t>086-241-2592</t>
  </si>
  <si>
    <t>086-241-2592</t>
    <phoneticPr fontId="1"/>
  </si>
  <si>
    <t>代表取締役　湯浅　博文</t>
    <rPh sb="6" eb="8">
      <t>ユアサ</t>
    </rPh>
    <rPh sb="9" eb="11">
      <t>ヒロフミ</t>
    </rPh>
    <phoneticPr fontId="1"/>
  </si>
  <si>
    <t>本社工場</t>
    <rPh sb="0" eb="4">
      <t>ホンシャコウジョウ</t>
    </rPh>
    <phoneticPr fontId="1"/>
  </si>
  <si>
    <t>製造1課</t>
    <rPh sb="0" eb="2">
      <t>セイゾウ</t>
    </rPh>
    <rPh sb="3" eb="4">
      <t>カ</t>
    </rPh>
    <phoneticPr fontId="1"/>
  </si>
  <si>
    <t>副主任　今井　祐介</t>
    <rPh sb="0" eb="3">
      <t>フクシュニン</t>
    </rPh>
    <rPh sb="4" eb="6">
      <t>イマイ</t>
    </rPh>
    <rPh sb="7" eb="9">
      <t>ユウスケ</t>
    </rPh>
    <phoneticPr fontId="1"/>
  </si>
  <si>
    <t>クランクシャフトの旋盤、マシニング、研磨、仕上げ加工など</t>
  </si>
  <si>
    <t>クランクシャフトの旋盤、マシニング、研磨、仕上げ加工など</t>
    <rPh sb="9" eb="11">
      <t>センバン</t>
    </rPh>
    <rPh sb="18" eb="20">
      <t>ケンマ</t>
    </rPh>
    <rPh sb="21" eb="23">
      <t>シア</t>
    </rPh>
    <rPh sb="24" eb="26">
      <t>カコウ</t>
    </rPh>
    <phoneticPr fontId="1"/>
  </si>
  <si>
    <t>総務経理課</t>
    <rPh sb="0" eb="2">
      <t>ソウム</t>
    </rPh>
    <rPh sb="2" eb="5">
      <t>ケイリカ</t>
    </rPh>
    <phoneticPr fontId="1"/>
  </si>
  <si>
    <t>為西　清作</t>
    <rPh sb="0" eb="2">
      <t>タメニシ</t>
    </rPh>
    <rPh sb="3" eb="5">
      <t>セイサク</t>
    </rPh>
    <phoneticPr fontId="1"/>
  </si>
  <si>
    <t>昼勤：8時00分～17時00分　夜勤：19時00分～4時00分</t>
  </si>
  <si>
    <t>昼勤：8時00分～17時00分　夜勤：19時00分～4時00分</t>
    <phoneticPr fontId="1"/>
  </si>
  <si>
    <t>昼勤：12時00分～12時45分・15時00分～15時15分    夜勤：23時00分～23時45分・02時00分～02時15分</t>
  </si>
  <si>
    <t>昼勤：12時00分～12時45分・15時00分～15時15分    夜勤：23時00分～23時45分・02時00分～02時15分</t>
    <phoneticPr fontId="1"/>
  </si>
  <si>
    <t>月末日</t>
    <rPh sb="0" eb="3">
      <t>ゲツマツヒ</t>
    </rPh>
    <phoneticPr fontId="1"/>
  </si>
  <si>
    <t>月末日</t>
    <rPh sb="0" eb="2">
      <t>ゲツマツ</t>
    </rPh>
    <rPh sb="2" eb="3">
      <t>ヒ</t>
    </rPh>
    <phoneticPr fontId="1"/>
  </si>
  <si>
    <t>翌月末日</t>
    <rPh sb="0" eb="4">
      <t>ヨクゲツマツビ</t>
    </rPh>
    <phoneticPr fontId="1"/>
  </si>
  <si>
    <t>ユアサ工機株式会社　</t>
    <rPh sb="3" eb="5">
      <t>コウキ</t>
    </rPh>
    <rPh sb="5" eb="9">
      <t>カブシキガイシャ</t>
    </rPh>
    <phoneticPr fontId="1"/>
  </si>
  <si>
    <t>振込先　</t>
    <phoneticPr fontId="8" type="noConversion"/>
  </si>
  <si>
    <t>444-1314</t>
  </si>
  <si>
    <t>愛知県高浜市論地町3-2-27</t>
  </si>
  <si>
    <t>NGUYEN HUU HOI</t>
  </si>
  <si>
    <t>各務ﾊｲﾂ4I</t>
  </si>
  <si>
    <t>各務ﾊｲﾂ3F</t>
  </si>
  <si>
    <t>ﾒｿﾞﾝﾊﾟｰｸｱﾍﾞﾆｭｰ201</t>
  </si>
  <si>
    <t>6/2原</t>
  </si>
  <si>
    <t>Meses</t>
    <phoneticPr fontId="8" type="noConversion"/>
  </si>
  <si>
    <t>Negativodias</t>
    <phoneticPr fontId="8" type="noConversion"/>
  </si>
  <si>
    <t>カレンダー</t>
    <phoneticPr fontId="1"/>
  </si>
  <si>
    <t>月～金　（祝日、年末年始、夏季休業を除く。）　4勤2休シフト　　別紙ｶﾚﾝﾀﾞｰの通り</t>
    <phoneticPr fontId="1"/>
  </si>
  <si>
    <t>派遣先勤務カレンダーによる</t>
    <rPh sb="0" eb="3">
      <t>ハケンサキ</t>
    </rPh>
    <rPh sb="3" eb="5">
      <t>キンム</t>
    </rPh>
    <phoneticPr fontId="1"/>
  </si>
  <si>
    <t>就業日外労働</t>
    <phoneticPr fontId="8" type="noConversion"/>
  </si>
  <si>
    <t>就業日外労働</t>
    <phoneticPr fontId="1"/>
  </si>
  <si>
    <t>１ヶ月に２日の範囲内で命ずることができる。</t>
    <phoneticPr fontId="1"/>
  </si>
  <si>
    <t>3時間/日、42時間/月、320時間/年迄とする。但し、特別条項の申請により、80時間/月、720時間/年迄延長できる。申請は6回/年迄とする。</t>
    <phoneticPr fontId="1"/>
  </si>
  <si>
    <t>時間外労働</t>
    <phoneticPr fontId="8" type="noConversion"/>
  </si>
  <si>
    <t>時間外労働</t>
    <phoneticPr fontId="1"/>
  </si>
  <si>
    <t>5時間/日、45時間/月、360時間/年迄とする。但し、特別条項の申請により、6時間/日、80時間/月、720時間/年迄延長できる。申請は6回/年迄とする。</t>
    <rPh sb="40" eb="42">
      <t>ジカン</t>
    </rPh>
    <rPh sb="43" eb="44">
      <t>ヒ</t>
    </rPh>
    <phoneticPr fontId="1"/>
  </si>
  <si>
    <t>unicosC</t>
    <phoneticPr fontId="8" type="noConversion"/>
  </si>
  <si>
    <t>unicosF</t>
    <phoneticPr fontId="8" type="noConversion"/>
  </si>
  <si>
    <t>岡山事業所</t>
    <rPh sb="0" eb="5">
      <t>オカヤマジギョウショ</t>
    </rPh>
    <phoneticPr fontId="1"/>
  </si>
  <si>
    <t>新城工場</t>
    <rPh sb="0" eb="2">
      <t>シンシロ</t>
    </rPh>
    <rPh sb="2" eb="4">
      <t>コウジョウ</t>
    </rPh>
    <phoneticPr fontId="1"/>
  </si>
  <si>
    <t>愛知県新城市八名井字赤松1-8</t>
    <rPh sb="7" eb="10">
      <t>アイチケン</t>
    </rPh>
    <rPh sb="10" eb="13">
      <t>シンシロシ</t>
    </rPh>
    <rPh sb="13" eb="14">
      <t>ハチミョウイジアカマツ</t>
    </rPh>
    <phoneticPr fontId="1"/>
  </si>
  <si>
    <t>0536-24-8018</t>
    <phoneticPr fontId="1"/>
  </si>
  <si>
    <t>製造3課</t>
    <rPh sb="0" eb="2">
      <t>セイゾウ</t>
    </rPh>
    <rPh sb="3" eb="4">
      <t>カ</t>
    </rPh>
    <phoneticPr fontId="1"/>
  </si>
  <si>
    <t>工場　森　正俊</t>
    <rPh sb="0" eb="2">
      <t>コウジョウ</t>
    </rPh>
    <rPh sb="3" eb="4">
      <t>モリ</t>
    </rPh>
    <rPh sb="5" eb="7">
      <t>マサトシ</t>
    </rPh>
    <phoneticPr fontId="1"/>
  </si>
  <si>
    <t>加藤木材工業株式会社</t>
    <rPh sb="0" eb="4">
      <t>カトウモクザイ</t>
    </rPh>
    <rPh sb="4" eb="6">
      <t>コウギョウ</t>
    </rPh>
    <rPh sb="6" eb="10">
      <t>カブシキガイシャ</t>
    </rPh>
    <phoneticPr fontId="1"/>
  </si>
  <si>
    <t>愛知県春日井市新開町字平渕6</t>
  </si>
  <si>
    <t>0568-36-2931</t>
  </si>
  <si>
    <t>生産統括部</t>
    <rPh sb="0" eb="5">
      <t>セイサントウカツブ</t>
    </rPh>
    <phoneticPr fontId="1"/>
  </si>
  <si>
    <t>部長　渡邉　茂芳</t>
    <rPh sb="0" eb="2">
      <t>ブチョウ</t>
    </rPh>
    <rPh sb="3" eb="5">
      <t>ワタナベ</t>
    </rPh>
    <rPh sb="6" eb="8">
      <t>シゲヨシ</t>
    </rPh>
    <phoneticPr fontId="1"/>
  </si>
  <si>
    <t>昼勤：8時00分～17時00分 ・ 夜勤：20時00分～5時00分</t>
  </si>
  <si>
    <t>月～金　（祝日、年末年始、夏季休業を除く。）　4勤2休シフト　　別紙ｶﾚﾝﾀﾞｰの通り</t>
  </si>
  <si>
    <t>3時間/日、42時間/月、320時間/年迄とする。但し、特別条項の申請により、80時間/月、720時間/年迄延長できる。申請は6回/年迄とする。</t>
  </si>
  <si>
    <t>部長 木村　宏史</t>
    <rPh sb="0" eb="2">
      <t>ブチョウ</t>
    </rPh>
    <rPh sb="3" eb="5">
      <t>キムラ</t>
    </rPh>
    <rPh sb="6" eb="7">
      <t>ヒロシ</t>
    </rPh>
    <rPh sb="7" eb="8">
      <t>シ</t>
    </rPh>
    <phoneticPr fontId="1"/>
  </si>
  <si>
    <t>生産2部</t>
  </si>
  <si>
    <t>生産2部</t>
    <rPh sb="0" eb="2">
      <t>セイサン</t>
    </rPh>
    <phoneticPr fontId="1"/>
  </si>
  <si>
    <t>生産1部</t>
  </si>
  <si>
    <t>生産1部</t>
    <rPh sb="0" eb="2">
      <t>セイサン</t>
    </rPh>
    <phoneticPr fontId="1"/>
  </si>
  <si>
    <t>部長　林　克行</t>
    <rPh sb="0" eb="2">
      <t>ブチョウ</t>
    </rPh>
    <rPh sb="3" eb="4">
      <t>ハヤシ</t>
    </rPh>
    <rPh sb="5" eb="6">
      <t>カツ</t>
    </rPh>
    <rPh sb="6" eb="7">
      <t>イ</t>
    </rPh>
    <phoneticPr fontId="1"/>
  </si>
  <si>
    <t>生産課</t>
  </si>
  <si>
    <t>生産課</t>
    <rPh sb="0" eb="2">
      <t>セイサン</t>
    </rPh>
    <rPh sb="2" eb="3">
      <t>カ</t>
    </rPh>
    <phoneticPr fontId="1"/>
  </si>
  <si>
    <t>J加工2課</t>
    <rPh sb="1" eb="3">
      <t>カコウ</t>
    </rPh>
    <rPh sb="4" eb="5">
      <t>カ</t>
    </rPh>
    <phoneticPr fontId="1"/>
  </si>
  <si>
    <t>J加工1課</t>
  </si>
  <si>
    <t>J加工1課</t>
    <rPh sb="1" eb="3">
      <t>カコウ</t>
    </rPh>
    <rPh sb="4" eb="5">
      <t>カ</t>
    </rPh>
    <phoneticPr fontId="1"/>
  </si>
  <si>
    <t>メラミン課</t>
    <rPh sb="4" eb="5">
      <t>カ</t>
    </rPh>
    <phoneticPr fontId="1"/>
  </si>
  <si>
    <t>春日井工場</t>
    <rPh sb="0" eb="5">
      <t>カスガイコウジョウ</t>
    </rPh>
    <phoneticPr fontId="1"/>
  </si>
  <si>
    <t>愛知県春日井市上田楽町川原先2466-1</t>
    <phoneticPr fontId="1"/>
  </si>
  <si>
    <t>0568-82-0005</t>
    <phoneticPr fontId="1"/>
  </si>
  <si>
    <t>春日井工場生産部</t>
    <rPh sb="0" eb="5">
      <t>カスガイコウジョウ</t>
    </rPh>
    <rPh sb="5" eb="7">
      <t>セイサン</t>
    </rPh>
    <rPh sb="7" eb="8">
      <t>ブ</t>
    </rPh>
    <phoneticPr fontId="1"/>
  </si>
  <si>
    <t>加工課</t>
  </si>
  <si>
    <t>加工課</t>
    <rPh sb="0" eb="2">
      <t>カコウ</t>
    </rPh>
    <rPh sb="2" eb="3">
      <t>カ</t>
    </rPh>
    <phoneticPr fontId="1"/>
  </si>
  <si>
    <t>生産部</t>
  </si>
  <si>
    <t>グエン　バン　トゥエン</t>
  </si>
  <si>
    <t>ピーエムアイ有限会社</t>
    <rPh sb="6" eb="10">
      <t>ユウゲンガイシャ</t>
    </rPh>
    <phoneticPr fontId="1"/>
  </si>
  <si>
    <t>愛知県豊田市神池町2丁目1236番地643</t>
  </si>
  <si>
    <t>愛知県豊田市神池町2丁目1236番地643</t>
    <phoneticPr fontId="1"/>
  </si>
  <si>
    <t>0565-80-0037</t>
  </si>
  <si>
    <t>0565-80-0037</t>
    <phoneticPr fontId="1"/>
  </si>
  <si>
    <t>代表取締役　谷口　江二</t>
    <rPh sb="6" eb="8">
      <t>タニグチ</t>
    </rPh>
    <rPh sb="9" eb="11">
      <t>エイジ</t>
    </rPh>
    <phoneticPr fontId="1"/>
  </si>
  <si>
    <t>製造課</t>
    <rPh sb="0" eb="3">
      <t>セイゾウカ</t>
    </rPh>
    <phoneticPr fontId="1"/>
  </si>
  <si>
    <t>製造1</t>
    <rPh sb="0" eb="2">
      <t>セイゾウ</t>
    </rPh>
    <phoneticPr fontId="1"/>
  </si>
  <si>
    <t>プラスチック製品の製造におけるすべての行為</t>
    <rPh sb="6" eb="8">
      <t>セイヒン</t>
    </rPh>
    <rPh sb="9" eb="11">
      <t>セイゾウ</t>
    </rPh>
    <rPh sb="19" eb="20">
      <t>イ</t>
    </rPh>
    <rPh sb="20" eb="21">
      <t>タメ</t>
    </rPh>
    <phoneticPr fontId="1"/>
  </si>
  <si>
    <t>成型ライン</t>
    <rPh sb="0" eb="1">
      <t>セイ</t>
    </rPh>
    <rPh sb="1" eb="2">
      <t>ガタ</t>
    </rPh>
    <phoneticPr fontId="1"/>
  </si>
  <si>
    <t>昼勤：9時00分～18時15分　夜勤1：17時00分～1時00分　夜勤2：01時00分～09時00分</t>
    <phoneticPr fontId="1"/>
  </si>
  <si>
    <t>昼勤：12時00分～13時00分・15時00分～15時15分    夜勤1：21時00～22時00　 夜勤2：04時00～05時00</t>
    <phoneticPr fontId="1"/>
  </si>
  <si>
    <t>末日</t>
    <rPh sb="0" eb="2">
      <t>マツヒ</t>
    </rPh>
    <phoneticPr fontId="1"/>
  </si>
  <si>
    <t>恵那工場</t>
  </si>
  <si>
    <t>恵那工場</t>
    <phoneticPr fontId="1"/>
  </si>
  <si>
    <t>プラスチック製品の製造におけるすべての行為</t>
  </si>
  <si>
    <t>ＮＣ旋盤、マシニングセンター等の工作機械を使いオペレーターとして製造ラインで製品を加工</t>
  </si>
  <si>
    <t>製造1</t>
  </si>
  <si>
    <t>成型ライン</t>
  </si>
  <si>
    <t>製造課</t>
  </si>
  <si>
    <t>等速ジョイント</t>
  </si>
  <si>
    <t>ｺｰﾎﾟｲｰｽﾄC205</t>
  </si>
  <si>
    <t>資材課</t>
  </si>
  <si>
    <t>23.5.22</t>
  </si>
  <si>
    <t>6/12林</t>
  </si>
  <si>
    <t>NGUYEN VAN DU</t>
  </si>
  <si>
    <t>グエン　ヴァン　ズ</t>
  </si>
  <si>
    <t>NGUYEN VAN TUYEN</t>
  </si>
  <si>
    <t>DAO VAN LONG</t>
  </si>
  <si>
    <t>ダオ　ヴァン　ロン</t>
  </si>
  <si>
    <t>LE CHI VI</t>
  </si>
  <si>
    <t>レー　チー　ヴィ</t>
  </si>
  <si>
    <t>LE DUY KHAI</t>
  </si>
  <si>
    <t>レー　ズイ　カイ</t>
  </si>
  <si>
    <t>HOANG TRUNG DUC</t>
  </si>
  <si>
    <t>ホアン　チュン　ドゥック</t>
  </si>
  <si>
    <t>NGUYEN GIA THO</t>
  </si>
  <si>
    <t>グエン　ジャ　トー</t>
  </si>
  <si>
    <t>NGUYEN QUOC HUNG</t>
  </si>
  <si>
    <t>グエン　コック　フン</t>
  </si>
  <si>
    <t>NGUYEN QUOC THAI</t>
  </si>
  <si>
    <t>グエン　コック　タイ</t>
  </si>
  <si>
    <t>製作課</t>
    <rPh sb="0" eb="3">
      <t>セイサクカ</t>
    </rPh>
    <phoneticPr fontId="1"/>
  </si>
  <si>
    <t>主任　山口　アデルソン</t>
    <rPh sb="0" eb="2">
      <t>シュニン</t>
    </rPh>
    <rPh sb="3" eb="5">
      <t>ヤマグチ</t>
    </rPh>
    <phoneticPr fontId="1"/>
  </si>
  <si>
    <t>恵那工場</t>
    <rPh sb="0" eb="4">
      <t>エナコウジョウ</t>
    </rPh>
    <phoneticPr fontId="1"/>
  </si>
  <si>
    <t>製造課</t>
    <rPh sb="0" eb="2">
      <t>セイゾウ</t>
    </rPh>
    <rPh sb="2" eb="3">
      <t>カ</t>
    </rPh>
    <phoneticPr fontId="1"/>
  </si>
  <si>
    <t>工場長　山田　浩二</t>
    <rPh sb="0" eb="3">
      <t>コウジョウチョウ</t>
    </rPh>
    <rPh sb="4" eb="6">
      <t>ヤマダ</t>
    </rPh>
    <rPh sb="7" eb="9">
      <t>コウジ</t>
    </rPh>
    <phoneticPr fontId="1"/>
  </si>
  <si>
    <t xml:space="preserve">	瑞陵精機株式会社</t>
  </si>
  <si>
    <t>岐阜県恵那市武並町新竹折８９番地</t>
  </si>
  <si>
    <t>昼勤：7時00分～15時30分　夜勤：19時00分～3時30分</t>
  </si>
  <si>
    <t>昼勤：11時00分～11時45分 まで    夜勤：23時00分～23時45分　まで　（45分）</t>
  </si>
  <si>
    <t>まで</t>
    <phoneticPr fontId="1"/>
  </si>
  <si>
    <t>DATE(YEAR('通知書(別々)'!D4),MONTH('通知書(別々)'!D4)+個別契約書X!AF7,DAY('通知書(別々)'!D4))</t>
    <phoneticPr fontId="8" type="noConversion"/>
  </si>
  <si>
    <t>株式会社オーツカ</t>
    <rPh sb="0" eb="4">
      <t>ｶﾌﾞｼｷｶｲｼｬ</t>
    </rPh>
    <phoneticPr fontId="8" type="noConversion"/>
  </si>
  <si>
    <t>岐阜県羽島郡笠松町門間1815-1</t>
    <rPh sb="0" eb="3">
      <t>ｷﾞﾌｹﾝ</t>
    </rPh>
    <rPh sb="3" eb="6">
      <t>ﾊｼﾏｸﾞﾝ</t>
    </rPh>
    <rPh sb="6" eb="9">
      <t>ｶｻﾏﾂﾁｮｳ</t>
    </rPh>
    <rPh sb="9" eb="10">
      <t>ﾓﾝ</t>
    </rPh>
    <rPh sb="10" eb="11">
      <t>ﾏ</t>
    </rPh>
    <phoneticPr fontId="8" type="noConversion"/>
  </si>
  <si>
    <t>関ケ原工場</t>
    <rPh sb="0" eb="3">
      <t>セキガハラ</t>
    </rPh>
    <rPh sb="3" eb="5">
      <t>コウジョウ</t>
    </rPh>
    <phoneticPr fontId="1"/>
  </si>
  <si>
    <t>第3製造課</t>
    <phoneticPr fontId="1"/>
  </si>
  <si>
    <t>058-388-3121</t>
    <phoneticPr fontId="1"/>
  </si>
  <si>
    <t>課長　兼城　賢士</t>
    <rPh sb="0" eb="2">
      <t>カチョウ</t>
    </rPh>
    <rPh sb="3" eb="5">
      <t>カネシロ</t>
    </rPh>
    <rPh sb="6" eb="8">
      <t>ケンジ</t>
    </rPh>
    <phoneticPr fontId="1"/>
  </si>
  <si>
    <t>昼勤：12時00分～13時00分   夜勤：00時00分～01時00分</t>
    <phoneticPr fontId="1"/>
  </si>
  <si>
    <t>翌月15日</t>
    <rPh sb="0" eb="2">
      <t>ヨクゲツ</t>
    </rPh>
    <rPh sb="4" eb="5">
      <t>ニチ</t>
    </rPh>
    <phoneticPr fontId="1"/>
  </si>
  <si>
    <t>本社工場製造1課1工区1班</t>
  </si>
  <si>
    <t>709-2105</t>
  </si>
  <si>
    <t>産後23年5月3日~6月27日 育休：6/28～2024年5月5日</t>
  </si>
  <si>
    <t>中須賀ｺｰﾎﾟⅡ201</t>
  </si>
  <si>
    <t>成広ｺｰﾎﾟⅡ207</t>
  </si>
  <si>
    <t>成広ｺｰﾎﾟⅡ203</t>
  </si>
  <si>
    <t>CASA弥富A105</t>
  </si>
  <si>
    <t>23.6.5</t>
  </si>
  <si>
    <t>6/14林</t>
  </si>
  <si>
    <t>448-0855</t>
  </si>
  <si>
    <t>愛知県刈谷市大正町7丁目401-1</t>
  </si>
  <si>
    <t>ﾆｭｰﾊﾋﾟﾈｽ201</t>
  </si>
  <si>
    <t>23.6.12</t>
  </si>
  <si>
    <t>6/21原</t>
  </si>
  <si>
    <t>岡山県岡山市北区御津矢原307番地</t>
  </si>
  <si>
    <t>23.6.16</t>
  </si>
  <si>
    <t>7/3林</t>
  </si>
  <si>
    <t>ﾚｼﾞｪﾝﾄﾞK304</t>
  </si>
  <si>
    <t>TRAN DINH THANH</t>
  </si>
  <si>
    <t>チャン　ディン　タイン</t>
  </si>
  <si>
    <t>請負より異動(入社22/9/8）</t>
  </si>
  <si>
    <t>HOANG ANH DUNG</t>
  </si>
  <si>
    <t>ホアン　アイン　ズン</t>
  </si>
  <si>
    <t>NGUYEN DINH TANG</t>
  </si>
  <si>
    <t>グエン　デイン　タン</t>
  </si>
  <si>
    <t>NGUYEN VAN ANH</t>
  </si>
  <si>
    <t>グエン　バン　アン</t>
  </si>
  <si>
    <t>DO VAN HIEP</t>
  </si>
  <si>
    <t>ド　ヴァン　ヒエップ</t>
  </si>
  <si>
    <t>製造部関ヶ原第三製造課</t>
  </si>
  <si>
    <t>HO THI NHUNG</t>
  </si>
  <si>
    <t>ホー　ティ　ニュン</t>
  </si>
  <si>
    <t>0584-43-5121</t>
    <phoneticPr fontId="1"/>
  </si>
  <si>
    <t>製造及び検索、それに付随する業務。</t>
    <phoneticPr fontId="1"/>
  </si>
  <si>
    <t>岐阜県不破郡関ケ原町今須3200</t>
    <rPh sb="0" eb="3">
      <t>ｷﾞﾌｹﾝ</t>
    </rPh>
    <rPh sb="3" eb="6">
      <t>ﾌﾜｸﾞﾝ</t>
    </rPh>
    <rPh sb="6" eb="10">
      <t>ｾｷｶﾞﾊﾗﾁｮｳ</t>
    </rPh>
    <rPh sb="10" eb="11">
      <t>ｺﾝ</t>
    </rPh>
    <rPh sb="11" eb="12">
      <t>ｽ</t>
    </rPh>
    <phoneticPr fontId="8" type="noConversion"/>
  </si>
  <si>
    <t>Hasta</t>
    <phoneticPr fontId="8" type="noConversion"/>
  </si>
  <si>
    <t>工場長　住田　貴雄</t>
    <rPh sb="0" eb="3">
      <t>コウジョウチョウ</t>
    </rPh>
    <rPh sb="4" eb="6">
      <t>スミタ</t>
    </rPh>
    <rPh sb="7" eb="9">
      <t>タカオ</t>
    </rPh>
    <phoneticPr fontId="1"/>
  </si>
  <si>
    <t>058-388-3121</t>
  </si>
  <si>
    <t>0584-43-5121</t>
  </si>
  <si>
    <t>製造及び検索、それに付随する業務。</t>
  </si>
  <si>
    <t>昼勤：12時00分～13時00分   夜勤：00時00分～01時00分</t>
  </si>
  <si>
    <t>第7工場</t>
    <rPh sb="0" eb="1">
      <t>ダイ</t>
    </rPh>
    <rPh sb="2" eb="4">
      <t>コウジョウ</t>
    </rPh>
    <phoneticPr fontId="1"/>
  </si>
  <si>
    <t>ﾗｲﾌｺｱ119　306号</t>
  </si>
  <si>
    <t>20221/3/1～2023/7/28まで三幸技研　2023/8/1～コーリツ州の崎へ異動</t>
  </si>
  <si>
    <t>岡山県岡山市北区御津伊田44-2</t>
  </si>
  <si>
    <t>663-8114</t>
  </si>
  <si>
    <t>兵庫県西宮市上甲子園2丁目13-18</t>
  </si>
  <si>
    <t>ﾙ･ｼｴｰﾙ上甲子園203</t>
  </si>
  <si>
    <t>532-0024</t>
  </si>
  <si>
    <t>448-0832</t>
  </si>
  <si>
    <t>愛知県刈谷市八幡町7丁目16-1</t>
  </si>
  <si>
    <t>花水木C</t>
  </si>
  <si>
    <t>新日本ホイール 2023/4/21退社　加藤木材工業本社に移動　2023/7/31～コーリツ本社へ異動</t>
  </si>
  <si>
    <t>663-8112</t>
  </si>
  <si>
    <t>岡山県岡山市北区御津下田77番地3</t>
  </si>
  <si>
    <t>ﾋﾞﾚｯｼﾞﾊｳｽ1-307</t>
  </si>
  <si>
    <t>486-0902</t>
  </si>
  <si>
    <t>愛知県春日井市新開町字新開61－19</t>
  </si>
  <si>
    <t>ｺｰﾎﾟ光201</t>
  </si>
  <si>
    <t>2022/3/8~2022/9/30まで高雄工業海南第一　2022/10/3～ﾋﾟｰｴﾑｱｲへ異動、2023/7/8～305へ移動</t>
  </si>
  <si>
    <t>静岡県袋井市堀越四丁目１番地の1</t>
  </si>
  <si>
    <t>県営堀越団地5棟 205号室</t>
  </si>
  <si>
    <t>県営長根住宅10棟402号</t>
  </si>
  <si>
    <t>山口県防府市大字田島545-2</t>
  </si>
  <si>
    <t>ﾋﾞﾚｯｼﾞﾊｳｽ田島2棟404号</t>
  </si>
  <si>
    <t>2023/7/8～205へ移動</t>
  </si>
  <si>
    <t>7/18原</t>
  </si>
  <si>
    <t>愛知県半田市長根町３丁目１番</t>
  </si>
  <si>
    <t>県営長根住宅1棟302号</t>
  </si>
  <si>
    <t>23.7.3</t>
  </si>
  <si>
    <t>7/13林</t>
  </si>
  <si>
    <t>23.7.5</t>
  </si>
  <si>
    <t>愛知県豊田市美里1-14-18</t>
  </si>
  <si>
    <t>ﾊｲﾂ長嶋201</t>
  </si>
  <si>
    <t>高雄工業株式会社第一営業部岡山営業課</t>
  </si>
  <si>
    <t>社保なし</t>
  </si>
  <si>
    <t>8/9林</t>
  </si>
  <si>
    <t>NGUYEN VAN NAM</t>
  </si>
  <si>
    <t>グエン　ヴァン　ナム</t>
  </si>
  <si>
    <t>各務ﾊｲﾂ3E</t>
  </si>
  <si>
    <t>23.8.1</t>
  </si>
  <si>
    <t>THAI VAN HUNG</t>
  </si>
  <si>
    <t>タイ　ヴァン　フン</t>
  </si>
  <si>
    <t>NGUYEN THANH LONG</t>
  </si>
  <si>
    <t>グエン　タイン　ロン</t>
  </si>
  <si>
    <t>NGUYEN TIEN DAT</t>
  </si>
  <si>
    <t>グエン　ティエン　ダット</t>
  </si>
  <si>
    <t>444-1305</t>
  </si>
  <si>
    <t>愛知県高浜市神明町1丁目2-1</t>
  </si>
  <si>
    <t>古橋ﾏﾝｼｮﾝ101</t>
  </si>
  <si>
    <t>8/10林</t>
  </si>
  <si>
    <t>LE NHI</t>
  </si>
  <si>
    <t>レー　ニー</t>
  </si>
  <si>
    <t>岡山県岡山市北区御津金川640</t>
  </si>
  <si>
    <t>TRAN VAN HUAN</t>
  </si>
  <si>
    <t>チャン　ヴァン　ファン</t>
  </si>
  <si>
    <t>8/23林</t>
  </si>
  <si>
    <t>NGUYEN VAN HOI</t>
  </si>
  <si>
    <t>グエン　ヴァン　ホイ</t>
  </si>
  <si>
    <t>DU DUC CANH</t>
  </si>
  <si>
    <t>ズ　ドゥック　カイン</t>
  </si>
  <si>
    <t>VAN DUC NHIEN</t>
  </si>
  <si>
    <t>ヴァン　ドゥック　ニエン</t>
  </si>
  <si>
    <t>BeehiveresidenceⅢ201</t>
  </si>
  <si>
    <t>NGUYEN CONG THANH</t>
  </si>
  <si>
    <t>グエン　コン　タイン</t>
  </si>
  <si>
    <t>DANG TRONG BA</t>
  </si>
  <si>
    <t>ダン　チョン　バ</t>
  </si>
  <si>
    <t>NGUYEN VAN QUY</t>
  </si>
  <si>
    <t>グエン　ヴァン　クイ</t>
  </si>
  <si>
    <t>愛知県弥富市鯏浦町西前新田119-1</t>
  </si>
  <si>
    <t>ﾗｲﾌｺｱ119　301号</t>
  </si>
  <si>
    <t>NGUYEN NGOC THANH</t>
  </si>
  <si>
    <t>グエン　ゴック　タイン</t>
  </si>
  <si>
    <t>ﾗｲﾌｺｱ119　307号</t>
  </si>
  <si>
    <t>NGUYEN DUY LAN</t>
  </si>
  <si>
    <t>グエン　ズイ　ラン</t>
  </si>
  <si>
    <t>NGUYEN VAN NGOC</t>
  </si>
  <si>
    <t>グエン　ヴァン　ゴック</t>
  </si>
  <si>
    <t>23.8.2</t>
  </si>
  <si>
    <t>VO HOANG CHUONG</t>
  </si>
  <si>
    <t>ヴォ　ホアン　チュオン</t>
  </si>
  <si>
    <t>NGUYEN VAN MINH</t>
  </si>
  <si>
    <t>グエン　ヴァン　ミン</t>
  </si>
  <si>
    <t>23.8.7</t>
  </si>
  <si>
    <t>TRAN VAN THAI</t>
  </si>
  <si>
    <t>チャン　ヴァン　タイ</t>
  </si>
  <si>
    <t>23.8.21</t>
  </si>
  <si>
    <t>GOTO TAMIO MARIO</t>
  </si>
  <si>
    <t>ゴトウ　タミオ　マリオ</t>
  </si>
  <si>
    <t>497-0040</t>
  </si>
  <si>
    <t>愛知県海部郡蟹江町城2丁目131</t>
  </si>
  <si>
    <t>丸庄ﾋﾞﾙ401</t>
  </si>
  <si>
    <t>静岡県袋井市久能2286-1</t>
  </si>
  <si>
    <t>ｳﾞｪﾙﾃﾞ202</t>
  </si>
  <si>
    <t>23.9.1</t>
  </si>
  <si>
    <t>9/8林</t>
  </si>
  <si>
    <t>PHAN VAN THUC</t>
  </si>
  <si>
    <t>ファン　ヴァン　トゥック</t>
  </si>
  <si>
    <t>NGUYEN TIEN THUONG</t>
  </si>
  <si>
    <t>グエン　ティエン　トゥオン</t>
  </si>
  <si>
    <t>23.9.11</t>
  </si>
  <si>
    <t>9/20林</t>
  </si>
  <si>
    <t>448-0813</t>
  </si>
  <si>
    <t>愛知県刈谷市小垣江町石ノ戸86-3</t>
  </si>
  <si>
    <t>ｳﾞｨﾗｺｰﾄ田園403</t>
  </si>
  <si>
    <t>NGUYEN DUC CHUNG</t>
  </si>
  <si>
    <t>グエン　ドゥック　チュン</t>
  </si>
  <si>
    <t>Tライン</t>
  </si>
  <si>
    <t>CVJ部品長軸品と短軸品の転造加工。</t>
  </si>
  <si>
    <t>LE VAN HAI</t>
  </si>
  <si>
    <t>レー　バン　ハイ</t>
  </si>
  <si>
    <t>23.9.18</t>
  </si>
  <si>
    <t>DANG VAN TAN</t>
  </si>
  <si>
    <t>ダン　バン　タン</t>
  </si>
  <si>
    <t>静岡県袋井市堀越1548</t>
  </si>
  <si>
    <t>ﾍﾞﾙｺｰﾎﾟ202</t>
  </si>
  <si>
    <t>23.9.19</t>
  </si>
  <si>
    <t>TRAN THANH VAN</t>
  </si>
  <si>
    <t>チャン　タン　バン</t>
  </si>
  <si>
    <t>NGUYEN DUC MANH</t>
  </si>
  <si>
    <t>グエン　ドゥック　マン</t>
  </si>
  <si>
    <t>437-0123</t>
  </si>
  <si>
    <t>静岡県袋井市下山梨1603-2</t>
  </si>
  <si>
    <t>ﾎｰﾌﾟｼﾃｨHIRO202</t>
  </si>
  <si>
    <t>NGUYEN SY PHUC</t>
  </si>
  <si>
    <t>グエン　シ　フック</t>
  </si>
  <si>
    <t>TRAN DUC CUONG</t>
  </si>
  <si>
    <t>チャン　ドゥック　クオン</t>
  </si>
  <si>
    <t>TRAN VAN THINH</t>
  </si>
  <si>
    <t>チャン　バン　ティン</t>
  </si>
  <si>
    <t>静岡県袋井市山科2844-1</t>
  </si>
  <si>
    <t>ｳﾞｨﾚﾁﾞﾌｫｰB101</t>
  </si>
  <si>
    <t>23.9.21</t>
  </si>
  <si>
    <t>10/13林</t>
  </si>
  <si>
    <t>NGUYEN TRUONG AN</t>
  </si>
  <si>
    <t>グエン　チュオン　アン</t>
  </si>
  <si>
    <t>HOANG TRONG NGHIA</t>
  </si>
  <si>
    <t>ホアン　チョン　ギア</t>
  </si>
  <si>
    <t>23.9.25</t>
  </si>
  <si>
    <t>BUI MINH DUC</t>
  </si>
  <si>
    <t>ブイ　ミン　ドゥック</t>
  </si>
  <si>
    <t>成広矢原ｺｰﾎﾟⅠ201</t>
  </si>
  <si>
    <t>23.9.28</t>
  </si>
  <si>
    <t>NGO MANH TUAN</t>
  </si>
  <si>
    <t>ゴー　マイン　トゥアン</t>
  </si>
  <si>
    <t>NGUYEN XUAN LAM</t>
  </si>
  <si>
    <t>グエン　スアン　ラム</t>
  </si>
  <si>
    <t>HA NGOC QUAN</t>
  </si>
  <si>
    <t>ハー　ゴック　クアン</t>
  </si>
  <si>
    <t>23.10.1</t>
  </si>
  <si>
    <t>VO MINH KHANG</t>
  </si>
  <si>
    <t>ヴォ　ミン　カン</t>
  </si>
  <si>
    <t>DINH TRONG DUONG</t>
  </si>
  <si>
    <t>デイン　チオン　ヅオン</t>
  </si>
  <si>
    <t>NGUYEN THANH SANG</t>
  </si>
  <si>
    <t>グエン　タイン　サン</t>
  </si>
  <si>
    <t>DUONG THI THANH NGUYET</t>
  </si>
  <si>
    <t>ズオン　ティ　タイン　グエット</t>
  </si>
  <si>
    <t>TRAN VAN QUANG</t>
  </si>
  <si>
    <t>チャン　ヴァン　クアン</t>
  </si>
  <si>
    <t>生産課</t>
    <phoneticPr fontId="1"/>
  </si>
  <si>
    <t>機械オペレーター及び機械メンテナンス他付随する業務</t>
  </si>
  <si>
    <t>機械オペレーター及び機械メンテナンス他付随する業務</t>
    <phoneticPr fontId="1"/>
  </si>
  <si>
    <t>昼勤：10時00～10時15分・12時00分～12時50分・15時00分～15時15分    夜勤：22時00～22時15・00時00分～00時50分・03時00分～03時15分</t>
    <rPh sb="5" eb="6">
      <t>ジ</t>
    </rPh>
    <rPh sb="11" eb="12">
      <t>ジ</t>
    </rPh>
    <rPh sb="14" eb="15">
      <t>フン</t>
    </rPh>
    <rPh sb="52" eb="53">
      <t>ジ</t>
    </rPh>
    <rPh sb="58" eb="59">
      <t>ジ</t>
    </rPh>
    <phoneticPr fontId="1"/>
  </si>
  <si>
    <t>時間単位</t>
    <rPh sb="0" eb="2">
      <t>ジカン</t>
    </rPh>
    <rPh sb="2" eb="4">
      <t>タンイ</t>
    </rPh>
    <phoneticPr fontId="1"/>
  </si>
  <si>
    <t>愛知県春日井市上田楽町川原先2466-1</t>
  </si>
  <si>
    <t>0568-82-0005</t>
  </si>
  <si>
    <t>春日井工場金物事業部</t>
    <rPh sb="0" eb="5">
      <t>カスガイコウジョウ</t>
    </rPh>
    <rPh sb="5" eb="7">
      <t>カナモノ</t>
    </rPh>
    <rPh sb="7" eb="9">
      <t>ジギョウ</t>
    </rPh>
    <rPh sb="9" eb="10">
      <t>ブ</t>
    </rPh>
    <phoneticPr fontId="1"/>
  </si>
  <si>
    <t>部長 宮島　徹</t>
    <rPh sb="0" eb="2">
      <t>ブチョウ</t>
    </rPh>
    <rPh sb="3" eb="5">
      <t>ミヤジマ</t>
    </rPh>
    <rPh sb="6" eb="7">
      <t>トオル</t>
    </rPh>
    <phoneticPr fontId="1"/>
  </si>
  <si>
    <t>資材課</t>
    <rPh sb="0" eb="3">
      <t>シザイカカ</t>
    </rPh>
    <phoneticPr fontId="1"/>
  </si>
  <si>
    <t>昼勤：8時00分～17時00分 ・ 夜勤：20時00分～5時00分 (実働　7時間40分）</t>
    <rPh sb="35" eb="37">
      <t>ジツドウ</t>
    </rPh>
    <rPh sb="39" eb="41">
      <t>ジカン</t>
    </rPh>
    <rPh sb="43" eb="44">
      <t>フン</t>
    </rPh>
    <phoneticPr fontId="1"/>
  </si>
  <si>
    <t>資材供給部</t>
    <rPh sb="0" eb="4">
      <t>シザイキョウキュウ</t>
    </rPh>
    <rPh sb="4" eb="5">
      <t>ブ</t>
    </rPh>
    <phoneticPr fontId="1"/>
  </si>
  <si>
    <t>基材課</t>
    <rPh sb="0" eb="2">
      <t>キザイ</t>
    </rPh>
    <rPh sb="2" eb="3">
      <t>カ</t>
    </rPh>
    <phoneticPr fontId="1"/>
  </si>
  <si>
    <t>課長 満田　崇</t>
    <rPh sb="3" eb="5">
      <t>ミツダ</t>
    </rPh>
    <rPh sb="6" eb="7">
      <t>タカシ</t>
    </rPh>
    <phoneticPr fontId="1"/>
  </si>
  <si>
    <t>課長 徳山　善通</t>
    <rPh sb="3" eb="5">
      <t>トクヤマ</t>
    </rPh>
    <rPh sb="6" eb="7">
      <t>ゼン</t>
    </rPh>
    <rPh sb="7" eb="8">
      <t>トオル</t>
    </rPh>
    <phoneticPr fontId="1"/>
  </si>
  <si>
    <t>課長　小森　久</t>
    <rPh sb="0" eb="2">
      <t>カチョウ</t>
    </rPh>
    <rPh sb="3" eb="5">
      <t>コモリ</t>
    </rPh>
    <rPh sb="6" eb="7">
      <t>ヒサシ</t>
    </rPh>
    <phoneticPr fontId="1"/>
  </si>
  <si>
    <t>課長　高山　大樹</t>
    <rPh sb="0" eb="2">
      <t>カチョウ</t>
    </rPh>
    <rPh sb="3" eb="5">
      <t>タカヤマ</t>
    </rPh>
    <rPh sb="6" eb="8">
      <t>ダイキ</t>
    </rPh>
    <phoneticPr fontId="1"/>
  </si>
  <si>
    <t>課長　河津　敦</t>
    <rPh sb="0" eb="2">
      <t>カチョウ</t>
    </rPh>
    <rPh sb="3" eb="5">
      <t>カワツ</t>
    </rPh>
    <phoneticPr fontId="1"/>
  </si>
  <si>
    <t>第7工場</t>
  </si>
  <si>
    <t>州の埼工場製造2課2工区3班</t>
  </si>
  <si>
    <t>州の崎工場製造2課2工区3班</t>
  </si>
  <si>
    <t>2021/8/31高雄工業本社退社⇒2021/9/2～2023/11/10三幸技研⇒2023/11/13～コーリツに異動</t>
  </si>
  <si>
    <t>県営長根住宅12棟304号</t>
  </si>
  <si>
    <t>金物事業部</t>
  </si>
  <si>
    <t>岡山県岡山市北区御津矢原297－1</t>
  </si>
  <si>
    <t>岡山県岡山市北区御津矢原307－1</t>
  </si>
  <si>
    <t>23.10.2</t>
  </si>
  <si>
    <t>10/30林</t>
  </si>
  <si>
    <t>23.10.16</t>
  </si>
  <si>
    <t>23.10.17</t>
  </si>
  <si>
    <t>23.10.18</t>
  </si>
  <si>
    <t>23.10.24</t>
  </si>
  <si>
    <t>11/7林</t>
  </si>
  <si>
    <t>475-0048</t>
  </si>
  <si>
    <t>NOVA PLUS 301</t>
  </si>
  <si>
    <t>11/9林</t>
  </si>
  <si>
    <t>トラン　バン　トゥアン</t>
  </si>
  <si>
    <t>706-0014</t>
  </si>
  <si>
    <t>岡山県玉野市玉原2-11-3</t>
  </si>
  <si>
    <t>ﾋﾞﾚｯｼﾞﾊｳｽ玉原208</t>
  </si>
  <si>
    <t>23.10.31</t>
  </si>
  <si>
    <t>PHAM DINH TUNG</t>
  </si>
  <si>
    <t>ファム　ディン　トゥン</t>
  </si>
  <si>
    <t>DUONG THANH TUNG</t>
  </si>
  <si>
    <t>ズオン　タイン　トゥン</t>
  </si>
  <si>
    <t>LOC TRUNG THIEN</t>
  </si>
  <si>
    <t>ロック　チュン　ティエン</t>
  </si>
  <si>
    <t>BUI XUAN DAT</t>
  </si>
  <si>
    <t>ブイ　スアン　ダット</t>
  </si>
  <si>
    <t>LUU THANH HAI</t>
  </si>
  <si>
    <t>リュ　タイン　ハイ</t>
  </si>
  <si>
    <t>NGUYEN VAN LONG</t>
  </si>
  <si>
    <t>グエン　ヴァン　ロン</t>
  </si>
  <si>
    <t>HIRATA AIZAWA RODRIGO HIROSHI</t>
  </si>
  <si>
    <t>ヒラタ　ロドリゴ　ヒロシ</t>
  </si>
  <si>
    <t>NGUYEN CONG DAT</t>
  </si>
  <si>
    <t>グエン　コン　ダット</t>
  </si>
  <si>
    <t>NGUYEN VAN HOAI NAM</t>
  </si>
  <si>
    <t>グエン　ヴァン　ホアイ　ナム</t>
  </si>
  <si>
    <t>NGUYEN THI NGOC ANH</t>
  </si>
  <si>
    <t>グエン　ティ　ゴック　アイン</t>
  </si>
  <si>
    <t>NGUYEN VAN TRINH</t>
  </si>
  <si>
    <t>グエン　ヴァン　チン</t>
  </si>
  <si>
    <t>BUI NGOC SY</t>
  </si>
  <si>
    <t>ブイ　ゴック　シー</t>
  </si>
  <si>
    <t xml:space="preserve"> </t>
    <phoneticPr fontId="8" type="noConversion"/>
  </si>
  <si>
    <t>課長 リュウ　テンキ</t>
    <phoneticPr fontId="1"/>
  </si>
  <si>
    <t>1課</t>
    <rPh sb="1" eb="2">
      <t>カ</t>
    </rPh>
    <phoneticPr fontId="1"/>
  </si>
  <si>
    <t>2課</t>
    <rPh sb="1" eb="2">
      <t>カ</t>
    </rPh>
    <phoneticPr fontId="1"/>
  </si>
  <si>
    <t>3課</t>
    <rPh sb="1" eb="2">
      <t>カ</t>
    </rPh>
    <phoneticPr fontId="1"/>
  </si>
  <si>
    <t>2課</t>
  </si>
  <si>
    <t>3課</t>
  </si>
  <si>
    <t>生産企画部</t>
  </si>
  <si>
    <t>生産企画部</t>
    <rPh sb="0" eb="2">
      <t>セイサン</t>
    </rPh>
    <rPh sb="2" eb="4">
      <t>キカク</t>
    </rPh>
    <rPh sb="4" eb="5">
      <t>ブ</t>
    </rPh>
    <phoneticPr fontId="1"/>
  </si>
  <si>
    <t>PTJ</t>
  </si>
  <si>
    <t>ﾋﾞﾚｯｼﾞﾊｳｽ恵那2号棟309</t>
  </si>
  <si>
    <t>23.11.1</t>
  </si>
  <si>
    <t>11/20林</t>
  </si>
  <si>
    <t>498-0034</t>
  </si>
  <si>
    <t>愛知県弥富市平島東2-18</t>
  </si>
  <si>
    <t>ｸﾞﾗﾝﾂｺｰﾄ402</t>
  </si>
  <si>
    <t>23.11.2</t>
  </si>
  <si>
    <t>ﾌｨﾌﾃｨⅠ101</t>
  </si>
  <si>
    <t>静岡県袋井市泉町1-7-3</t>
  </si>
  <si>
    <t>471-0804</t>
  </si>
  <si>
    <t>愛知県豊田市神池町２丁目1236-98</t>
  </si>
  <si>
    <t>ﾌｫｰﾌﾞﾙ神池102</t>
  </si>
  <si>
    <t>23.11.13</t>
  </si>
  <si>
    <t>11/30林</t>
  </si>
  <si>
    <t>12/5林</t>
  </si>
  <si>
    <t>23.11.20</t>
  </si>
  <si>
    <t>NGUYEN CONG LUONG</t>
  </si>
  <si>
    <t>グエン　コン　ルオン</t>
  </si>
  <si>
    <t>NGUYEN VAN THANH</t>
  </si>
  <si>
    <t>グエン　バン　タイン</t>
  </si>
  <si>
    <t>NGUYEN QUANG DIEU</t>
  </si>
  <si>
    <t>グエン　クアン　ジエウ</t>
  </si>
  <si>
    <t>BUI ANH TUAN</t>
  </si>
  <si>
    <t>ブイ　アイン　トゥアン</t>
  </si>
  <si>
    <t>ユアサ工機 御津</t>
  </si>
  <si>
    <t>HUYNH TRUONG HUONG</t>
  </si>
  <si>
    <t>フィン　チュオン　フオン</t>
  </si>
  <si>
    <t>NGUYEN VAN CONG</t>
  </si>
  <si>
    <t>グエン　ヴァン　コン</t>
  </si>
  <si>
    <t>グエン　ヴァン　アイン</t>
  </si>
  <si>
    <t>HUYNH THANH LIEM</t>
  </si>
  <si>
    <t>フィン　タン　リエム</t>
  </si>
  <si>
    <t>TRAN VAN TRUONG DUY</t>
  </si>
  <si>
    <t>チャン　ヴァン　チュオン　ズイ</t>
  </si>
  <si>
    <t>PHAM VAN PHUONG</t>
  </si>
  <si>
    <t>ファム　ヴァン　フォン</t>
  </si>
  <si>
    <t>HO VAN PHUONG</t>
  </si>
  <si>
    <t>ホ　ヴァン　フォン</t>
  </si>
  <si>
    <t>DANG MAU THIEN</t>
  </si>
  <si>
    <t>ダン　マウ　ティエン</t>
  </si>
  <si>
    <t>NGUYEN DUY TAN</t>
  </si>
  <si>
    <t>NGUYEN VIET TIEP</t>
  </si>
  <si>
    <t>グエン　ベト　テイエップ</t>
  </si>
  <si>
    <t>HOANG TRUNG VIET</t>
  </si>
  <si>
    <t>ホアン　チュン　ベト</t>
  </si>
  <si>
    <t>PHAM KHANH LINH</t>
  </si>
  <si>
    <t>ファム　カイン　リン</t>
  </si>
  <si>
    <t>LE VAN TAI</t>
  </si>
  <si>
    <t>レ　バン　タイ</t>
  </si>
  <si>
    <t>PHAM MINH LUC</t>
  </si>
  <si>
    <t>ファム　ミン　ルック</t>
  </si>
  <si>
    <t>DUONG THI PHUONG</t>
  </si>
  <si>
    <t>ズオン　ティ　フォン</t>
  </si>
  <si>
    <t>AveCes tengo que ver las celdas si tienen formulas</t>
    <phoneticPr fontId="8" type="noConversion"/>
  </si>
  <si>
    <t>氏　名</t>
    <rPh sb="0" eb="1">
      <t>シ</t>
    </rPh>
    <rPh sb="2" eb="3">
      <t>メイ</t>
    </rPh>
    <phoneticPr fontId="1"/>
  </si>
  <si>
    <t>（所在地）</t>
    <rPh sb="1" eb="4">
      <t>ショザイチ</t>
    </rPh>
    <phoneticPr fontId="1"/>
  </si>
  <si>
    <t>（名称）</t>
    <rPh sb="1" eb="3">
      <t>メイショウ</t>
    </rPh>
    <phoneticPr fontId="1"/>
  </si>
  <si>
    <t>ユニバーサル企画株式会社</t>
    <rPh sb="6" eb="12">
      <t>キカクカブシキガイシャ</t>
    </rPh>
    <phoneticPr fontId="1"/>
  </si>
  <si>
    <t>御中</t>
    <phoneticPr fontId="1"/>
  </si>
  <si>
    <t>就業状況報告書</t>
    <phoneticPr fontId="1"/>
  </si>
  <si>
    <t>の就業状況を以下の通りご報告します。尚、就業日・始業・就業の時刻については、</t>
    <phoneticPr fontId="1"/>
  </si>
  <si>
    <t>下記別紙タイムシートの通りです。休憩時間については、全作業者80分となっております。</t>
    <phoneticPr fontId="1"/>
  </si>
  <si>
    <t>【派遣就業した場所】</t>
    <phoneticPr fontId="1"/>
  </si>
  <si>
    <t>従事した業務内容</t>
    <phoneticPr fontId="1"/>
  </si>
  <si>
    <t>組織単位</t>
    <phoneticPr fontId="1"/>
  </si>
  <si>
    <t>部署名</t>
    <phoneticPr fontId="1"/>
  </si>
  <si>
    <t>派遣労働者が従事する業務に伴う責任の程度</t>
    <phoneticPr fontId="1"/>
  </si>
  <si>
    <t>派 遣 元 管 理 台 帳</t>
    <phoneticPr fontId="3"/>
  </si>
  <si>
    <t xml:space="preserve"> 派遣労働者の氏名</t>
    <rPh sb="1" eb="3">
      <t>ハケン</t>
    </rPh>
    <rPh sb="3" eb="5">
      <t>ロウドウ</t>
    </rPh>
    <rPh sb="5" eb="6">
      <t>モノ</t>
    </rPh>
    <rPh sb="7" eb="9">
      <t>シメイ</t>
    </rPh>
    <phoneticPr fontId="3"/>
  </si>
  <si>
    <t xml:space="preserve"> 性　別</t>
    <rPh sb="1" eb="2">
      <t>セイ</t>
    </rPh>
    <rPh sb="3" eb="4">
      <t>ベツ</t>
    </rPh>
    <phoneticPr fontId="3"/>
  </si>
  <si>
    <t xml:space="preserve"> 派遣先の名称</t>
    <rPh sb="1" eb="3">
      <t>ハケン</t>
    </rPh>
    <rPh sb="3" eb="4">
      <t>サキ</t>
    </rPh>
    <rPh sb="5" eb="7">
      <t>メイショウ</t>
    </rPh>
    <phoneticPr fontId="3"/>
  </si>
  <si>
    <t xml:space="preserve"> 派遣先の事業所の所在地その他派遣就業の場所（就業の場所）</t>
    <rPh sb="1" eb="3">
      <t>ハケン</t>
    </rPh>
    <rPh sb="3" eb="4">
      <t>サキ</t>
    </rPh>
    <rPh sb="5" eb="7">
      <t>ジギョウ</t>
    </rPh>
    <rPh sb="7" eb="8">
      <t>ショ</t>
    </rPh>
    <rPh sb="9" eb="11">
      <t>ショザイ</t>
    </rPh>
    <rPh sb="11" eb="12">
      <t>チ</t>
    </rPh>
    <rPh sb="14" eb="15">
      <t>タ</t>
    </rPh>
    <rPh sb="15" eb="17">
      <t>ハケン</t>
    </rPh>
    <rPh sb="17" eb="19">
      <t>シュウギョウ</t>
    </rPh>
    <rPh sb="20" eb="22">
      <t>バショ</t>
    </rPh>
    <rPh sb="23" eb="25">
      <t>シュウギョウ</t>
    </rPh>
    <rPh sb="26" eb="28">
      <t>バショ</t>
    </rPh>
    <phoneticPr fontId="3"/>
  </si>
  <si>
    <t>(所在地)</t>
    <rPh sb="1" eb="4">
      <t>ショザイチ</t>
    </rPh>
    <phoneticPr fontId="3"/>
  </si>
  <si>
    <t>（部署）</t>
    <rPh sb="1" eb="3">
      <t>ブショ</t>
    </rPh>
    <phoneticPr fontId="3"/>
  </si>
  <si>
    <t>(電話)</t>
    <rPh sb="1" eb="3">
      <t>デンワ</t>
    </rPh>
    <phoneticPr fontId="3"/>
  </si>
  <si>
    <t xml:space="preserve"> 派遣労働者の雇用期間</t>
    <rPh sb="1" eb="3">
      <t>ハケン</t>
    </rPh>
    <rPh sb="3" eb="6">
      <t>ロウドウシャ</t>
    </rPh>
    <rPh sb="7" eb="9">
      <t>コヨウ</t>
    </rPh>
    <rPh sb="9" eb="11">
      <t>キカン</t>
    </rPh>
    <phoneticPr fontId="3"/>
  </si>
  <si>
    <t xml:space="preserve"> 60歳以上か否かの別</t>
    <rPh sb="3" eb="6">
      <t>サイイジョウ</t>
    </rPh>
    <rPh sb="7" eb="8">
      <t>イナ</t>
    </rPh>
    <rPh sb="10" eb="11">
      <t>ベツ</t>
    </rPh>
    <phoneticPr fontId="3"/>
  </si>
  <si>
    <t>～</t>
    <phoneticPr fontId="3"/>
  </si>
  <si>
    <t xml:space="preserve"> 業務内容</t>
    <rPh sb="1" eb="3">
      <t>ギョウム</t>
    </rPh>
    <rPh sb="3" eb="5">
      <t>ナイヨウ</t>
    </rPh>
    <phoneticPr fontId="3"/>
  </si>
  <si>
    <t xml:space="preserve"> 派遣期間</t>
    <rPh sb="1" eb="3">
      <t>ハケン</t>
    </rPh>
    <rPh sb="3" eb="5">
      <t>キカン</t>
    </rPh>
    <phoneticPr fontId="3"/>
  </si>
  <si>
    <t>就業日</t>
    <rPh sb="0" eb="2">
      <t>シュウギョウ</t>
    </rPh>
    <rPh sb="2" eb="3">
      <t>ヒ</t>
    </rPh>
    <phoneticPr fontId="3"/>
  </si>
  <si>
    <t xml:space="preserve"> 就業時間及び休憩時間</t>
    <rPh sb="1" eb="3">
      <t>シュウギョウ</t>
    </rPh>
    <rPh sb="3" eb="5">
      <t>ジカン</t>
    </rPh>
    <rPh sb="5" eb="6">
      <t>オヨ</t>
    </rPh>
    <rPh sb="7" eb="9">
      <t>キュウケイ</t>
    </rPh>
    <rPh sb="9" eb="11">
      <t>ジカン</t>
    </rPh>
    <phoneticPr fontId="3"/>
  </si>
  <si>
    <t xml:space="preserve"> 就業日外労働及び就業時間外労働</t>
    <rPh sb="1" eb="4">
      <t>シュウギョウビ</t>
    </rPh>
    <rPh sb="4" eb="5">
      <t>ガイ</t>
    </rPh>
    <rPh sb="5" eb="7">
      <t>ロウドウ</t>
    </rPh>
    <rPh sb="7" eb="8">
      <t>オヨ</t>
    </rPh>
    <rPh sb="9" eb="11">
      <t>シュウギョウ</t>
    </rPh>
    <rPh sb="11" eb="13">
      <t>ジカン</t>
    </rPh>
    <rPh sb="13" eb="14">
      <t>ガイ</t>
    </rPh>
    <rPh sb="14" eb="16">
      <t>ロウドウ</t>
    </rPh>
    <phoneticPr fontId="3"/>
  </si>
  <si>
    <t xml:space="preserve"> 製造業務専門派遣先責任者</t>
    <rPh sb="1" eb="3">
      <t>セイゾウ</t>
    </rPh>
    <rPh sb="3" eb="5">
      <t>ギョウム</t>
    </rPh>
    <rPh sb="5" eb="7">
      <t>センモン</t>
    </rPh>
    <rPh sb="7" eb="10">
      <t>ハケンサキ</t>
    </rPh>
    <rPh sb="10" eb="13">
      <t>セキニンシャ</t>
    </rPh>
    <phoneticPr fontId="3"/>
  </si>
  <si>
    <t>(部署)</t>
    <rPh sb="1" eb="3">
      <t>ブショ</t>
    </rPh>
    <phoneticPr fontId="3"/>
  </si>
  <si>
    <t xml:space="preserve"> 製造業務専門派遣元責任者</t>
    <rPh sb="7" eb="9">
      <t>ハケン</t>
    </rPh>
    <rPh sb="9" eb="10">
      <t>モト</t>
    </rPh>
    <rPh sb="10" eb="12">
      <t>セキニン</t>
    </rPh>
    <rPh sb="12" eb="13">
      <t>モノ</t>
    </rPh>
    <phoneticPr fontId="3"/>
  </si>
  <si>
    <t xml:space="preserve"> 就業状況</t>
    <rPh sb="1" eb="3">
      <t>シュウギョウ</t>
    </rPh>
    <rPh sb="3" eb="5">
      <t>ジョウキョウ</t>
    </rPh>
    <phoneticPr fontId="3"/>
  </si>
  <si>
    <t>別添タイムシートのとおり</t>
  </si>
  <si>
    <t xml:space="preserve"> 社会保険・雇用保険の被保険者資格取得届の提出の有無</t>
    <rPh sb="1" eb="3">
      <t>シャカイ</t>
    </rPh>
    <rPh sb="3" eb="5">
      <t>ホケン</t>
    </rPh>
    <rPh sb="6" eb="8">
      <t>コヨウ</t>
    </rPh>
    <rPh sb="8" eb="10">
      <t>ホケン</t>
    </rPh>
    <rPh sb="11" eb="15">
      <t>ヒホケンシャ</t>
    </rPh>
    <rPh sb="15" eb="17">
      <t>シカク</t>
    </rPh>
    <rPh sb="17" eb="19">
      <t>シュトク</t>
    </rPh>
    <rPh sb="19" eb="20">
      <t>トドケ</t>
    </rPh>
    <rPh sb="21" eb="23">
      <t>テイシュツ</t>
    </rPh>
    <rPh sb="24" eb="26">
      <t>ウム</t>
    </rPh>
    <phoneticPr fontId="3"/>
  </si>
  <si>
    <t xml:space="preserve"> 派遣労働者からの苦情処理状況</t>
    <rPh sb="1" eb="3">
      <t>ハケン</t>
    </rPh>
    <rPh sb="3" eb="5">
      <t>ロウドウ</t>
    </rPh>
    <rPh sb="5" eb="6">
      <t>モノ</t>
    </rPh>
    <rPh sb="9" eb="11">
      <t>クジョウ</t>
    </rPh>
    <rPh sb="11" eb="13">
      <t>ショリ</t>
    </rPh>
    <rPh sb="13" eb="15">
      <t>ジョウキョウ</t>
    </rPh>
    <phoneticPr fontId="3"/>
  </si>
  <si>
    <t>(申出を受けた日）　</t>
    <rPh sb="1" eb="3">
      <t>モウシデ</t>
    </rPh>
    <rPh sb="4" eb="5">
      <t>ウ</t>
    </rPh>
    <rPh sb="7" eb="8">
      <t>ヒ</t>
    </rPh>
    <phoneticPr fontId="3"/>
  </si>
  <si>
    <t>（苦情内容、処理状況）</t>
    <rPh sb="1" eb="3">
      <t>クジョウ</t>
    </rPh>
    <rPh sb="3" eb="5">
      <t>ナイヨウ</t>
    </rPh>
    <rPh sb="6" eb="8">
      <t>ショリ</t>
    </rPh>
    <rPh sb="8" eb="10">
      <t>ジョウキョウ</t>
    </rPh>
    <phoneticPr fontId="3"/>
  </si>
  <si>
    <t xml:space="preserve"> 段階的かつ体系的な教育訓練を行った日時及び内容</t>
    <rPh sb="1" eb="3">
      <t>ダンカイ</t>
    </rPh>
    <rPh sb="3" eb="4">
      <t>テキ</t>
    </rPh>
    <rPh sb="6" eb="9">
      <t>タイケイテキ</t>
    </rPh>
    <rPh sb="10" eb="12">
      <t>キョウイク</t>
    </rPh>
    <rPh sb="12" eb="14">
      <t>クンレン</t>
    </rPh>
    <rPh sb="15" eb="16">
      <t>オコナ</t>
    </rPh>
    <rPh sb="18" eb="20">
      <t>ニチジ</t>
    </rPh>
    <rPh sb="20" eb="21">
      <t>オヨ</t>
    </rPh>
    <rPh sb="22" eb="24">
      <t>ナイヨウ</t>
    </rPh>
    <phoneticPr fontId="3"/>
  </si>
  <si>
    <t>(教育訓練実施日)</t>
    <phoneticPr fontId="3"/>
  </si>
  <si>
    <t>(教育訓練内容)</t>
    <phoneticPr fontId="3"/>
  </si>
  <si>
    <t xml:space="preserve"> キャリア・コンサルティングを行った日時及び内容</t>
    <rPh sb="15" eb="16">
      <t>オコナ</t>
    </rPh>
    <rPh sb="18" eb="20">
      <t>ニチジ</t>
    </rPh>
    <rPh sb="20" eb="21">
      <t>オヨ</t>
    </rPh>
    <rPh sb="22" eb="24">
      <t>ナイヨウ</t>
    </rPh>
    <phoneticPr fontId="3"/>
  </si>
  <si>
    <t>(実施日)</t>
    <rPh sb="1" eb="3">
      <t>ジッシ</t>
    </rPh>
    <rPh sb="3" eb="4">
      <t>ヒ</t>
    </rPh>
    <phoneticPr fontId="3"/>
  </si>
  <si>
    <t>(実施内容)</t>
    <rPh sb="1" eb="3">
      <t>ジッシ</t>
    </rPh>
    <rPh sb="3" eb="5">
      <t>ナイヨウ</t>
    </rPh>
    <phoneticPr fontId="3"/>
  </si>
  <si>
    <t xml:space="preserve"> 雇用安定措置の内容</t>
    <rPh sb="1" eb="3">
      <t>コヨウ</t>
    </rPh>
    <rPh sb="3" eb="5">
      <t>アンテイ</t>
    </rPh>
    <rPh sb="5" eb="7">
      <t>ソチ</t>
    </rPh>
    <rPh sb="8" eb="10">
      <t>ナイヨウ</t>
    </rPh>
    <phoneticPr fontId="3"/>
  </si>
  <si>
    <t>　１　派遣先への直接雇用の依頼</t>
    <rPh sb="3" eb="5">
      <t>ハケン</t>
    </rPh>
    <rPh sb="5" eb="6">
      <t>サキ</t>
    </rPh>
    <rPh sb="8" eb="10">
      <t>チョクセツ</t>
    </rPh>
    <rPh sb="10" eb="12">
      <t>コヨウ</t>
    </rPh>
    <rPh sb="13" eb="15">
      <t>イライ</t>
    </rPh>
    <phoneticPr fontId="3"/>
  </si>
  <si>
    <t>　　依頼日時、方法</t>
    <rPh sb="2" eb="4">
      <t>イライ</t>
    </rPh>
    <rPh sb="4" eb="6">
      <t>ニチジ</t>
    </rPh>
    <rPh sb="7" eb="9">
      <t>ホウホウ</t>
    </rPh>
    <phoneticPr fontId="3"/>
  </si>
  <si>
    <t>　　派遣先の回答日時、内容</t>
    <rPh sb="2" eb="4">
      <t>ハケン</t>
    </rPh>
    <rPh sb="4" eb="5">
      <t>サキ</t>
    </rPh>
    <rPh sb="6" eb="8">
      <t>カイトウ</t>
    </rPh>
    <rPh sb="8" eb="10">
      <t>ニチジ</t>
    </rPh>
    <rPh sb="11" eb="13">
      <t>ナイヨウ</t>
    </rPh>
    <phoneticPr fontId="3"/>
  </si>
  <si>
    <t>　２　他の派遣先の紹介</t>
    <rPh sb="3" eb="4">
      <t>ホカ</t>
    </rPh>
    <rPh sb="5" eb="7">
      <t>ハケン</t>
    </rPh>
    <rPh sb="7" eb="8">
      <t>サキ</t>
    </rPh>
    <rPh sb="9" eb="11">
      <t>ショウカイ</t>
    </rPh>
    <phoneticPr fontId="3"/>
  </si>
  <si>
    <t>　３　期間を定めない雇用の機会の確保</t>
    <rPh sb="3" eb="5">
      <t>キカン</t>
    </rPh>
    <rPh sb="6" eb="7">
      <t>サダ</t>
    </rPh>
    <rPh sb="10" eb="12">
      <t>コヨウ</t>
    </rPh>
    <rPh sb="13" eb="15">
      <t>キカイ</t>
    </rPh>
    <rPh sb="16" eb="18">
      <t>カクホ</t>
    </rPh>
    <phoneticPr fontId="3"/>
  </si>
  <si>
    <t>　４　その他</t>
    <rPh sb="5" eb="6">
      <t>タ</t>
    </rPh>
    <phoneticPr fontId="3"/>
  </si>
  <si>
    <t xml:space="preserve"> 備考</t>
    <phoneticPr fontId="3"/>
  </si>
  <si>
    <t>【労働者派遣終了後３年間保存】</t>
    <rPh sb="1" eb="3">
      <t>ロウドウ</t>
    </rPh>
    <rPh sb="3" eb="4">
      <t>モノ</t>
    </rPh>
    <rPh sb="4" eb="6">
      <t>ハケン</t>
    </rPh>
    <rPh sb="6" eb="9">
      <t>シュウリョウゴ</t>
    </rPh>
    <rPh sb="10" eb="12">
      <t>ネンカン</t>
    </rPh>
    <rPh sb="12" eb="14">
      <t>ホゾン</t>
    </rPh>
    <phoneticPr fontId="3"/>
  </si>
  <si>
    <t xml:space="preserve"> 派遣先 事業所の名称</t>
    <rPh sb="1" eb="3">
      <t>ハケン</t>
    </rPh>
    <rPh sb="3" eb="4">
      <t>サキ</t>
    </rPh>
    <rPh sb="5" eb="7">
      <t>ジギョウ</t>
    </rPh>
    <rPh sb="7" eb="8">
      <t>ショ</t>
    </rPh>
    <rPh sb="9" eb="11">
      <t>メイショウ</t>
    </rPh>
    <phoneticPr fontId="3"/>
  </si>
  <si>
    <t>(労働契約期間</t>
    <rPh sb="1" eb="3">
      <t>ロウドウ</t>
    </rPh>
    <rPh sb="3" eb="5">
      <t>ケイヤク</t>
    </rPh>
    <rPh sb="5" eb="7">
      <t>キカン</t>
    </rPh>
    <phoneticPr fontId="3"/>
  </si>
  <si>
    <t>から</t>
    <phoneticPr fontId="1"/>
  </si>
  <si>
    <t>(役職) (氏名)</t>
    <rPh sb="1" eb="3">
      <t>ヤクショク</t>
    </rPh>
    <phoneticPr fontId="3"/>
  </si>
  <si>
    <t xml:space="preserve"> 無の理由：</t>
    <rPh sb="1" eb="2">
      <t>ナシ</t>
    </rPh>
    <rPh sb="3" eb="5">
      <t>リユウ</t>
    </rPh>
    <phoneticPr fontId="3"/>
  </si>
  <si>
    <t>安全衛生教育</t>
    <phoneticPr fontId="1"/>
  </si>
  <si>
    <t>(計)</t>
    <rPh sb="1" eb="2">
      <t>ケイ</t>
    </rPh>
    <phoneticPr fontId="1"/>
  </si>
  <si>
    <t>現入社</t>
  </si>
  <si>
    <t>キャリアアップ5年目</t>
  </si>
  <si>
    <t>CVJ研磨係.</t>
  </si>
  <si>
    <t>中須賀ｺｰﾎﾟⅢ202</t>
  </si>
  <si>
    <t>岡山県岡山市北区御津金川929-2</t>
  </si>
  <si>
    <t>静岡県袋井市山科3539-6</t>
  </si>
  <si>
    <t>ﾌﾟﾛﾑﾅｰﾄﾞⅡA102号</t>
  </si>
  <si>
    <t>23.11.21</t>
  </si>
  <si>
    <t>ﾌﾟﾛﾑﾅｰﾄﾞⅡA103号</t>
  </si>
  <si>
    <t>ﾀﾞｲｺｰﾏﾝｼｮﾝ103</t>
  </si>
  <si>
    <t>23.11.24</t>
  </si>
  <si>
    <t>ﾋﾞﾚｯｼﾞﾊｳｽ宇甘川2　308号</t>
  </si>
  <si>
    <t>23.12.1</t>
  </si>
  <si>
    <t>455-0053</t>
  </si>
  <si>
    <t>ｼﾙﾊﾞｰﾊｲﾑ名四201号</t>
  </si>
  <si>
    <t>ﾌﾚｸﾞﾗﾝｽ桂A棟201号</t>
  </si>
  <si>
    <t>静岡県袋井市堀越3-7-1</t>
  </si>
  <si>
    <t>ｸﾚｰﾙ103</t>
  </si>
  <si>
    <t>23.12.4</t>
  </si>
  <si>
    <t>12/18林</t>
  </si>
  <si>
    <t>VU NGOC LONG</t>
  </si>
  <si>
    <t>ブ　ゴック　ロン</t>
  </si>
  <si>
    <t>静岡県袋井市堀越1-21-9</t>
  </si>
  <si>
    <t>23.12.12</t>
  </si>
  <si>
    <t xml:space="preserve">12/25原 </t>
  </si>
  <si>
    <t>NGUYEN DUY HIEU</t>
  </si>
  <si>
    <t>グエン　ズイ　ヒエウ</t>
  </si>
  <si>
    <t>12/27林</t>
  </si>
  <si>
    <t>NGUYEN VAN CHIEU</t>
  </si>
  <si>
    <t>グエン　ヴァン　チエウ</t>
  </si>
  <si>
    <t>23.12.15</t>
  </si>
  <si>
    <t>LE DINH TUU</t>
  </si>
  <si>
    <t>レ　ディン トゥー</t>
  </si>
  <si>
    <t>成広矢原ｺｰﾎﾟⅤ101</t>
  </si>
  <si>
    <t>23.12.18</t>
  </si>
  <si>
    <t>PHAN VAN HOAT</t>
  </si>
  <si>
    <t>ファン　ヴァン　ホアット</t>
  </si>
  <si>
    <t>707-0434</t>
  </si>
  <si>
    <t>岡山県美作市壬生148-3</t>
  </si>
  <si>
    <t>ﾊｲﾂ165壬生B202</t>
  </si>
  <si>
    <t>NGUYEN HOANG DUC</t>
  </si>
  <si>
    <t>グエン　ホアン　ドック</t>
  </si>
  <si>
    <t>現入社</t>
    <rPh sb="0" eb="1">
      <t>ｹﾞﾝ</t>
    </rPh>
    <rPh sb="1" eb="3">
      <t>ﾆｭｳｼｬ</t>
    </rPh>
    <phoneticPr fontId="8" type="noConversion"/>
  </si>
  <si>
    <t>三幸技研株式会社</t>
    <phoneticPr fontId="1"/>
  </si>
  <si>
    <t xml:space="preserve">	愛知県大府市一屋二丁目１９４</t>
    <phoneticPr fontId="1"/>
  </si>
  <si>
    <t>0562-47-5533</t>
  </si>
  <si>
    <t>0562-47-5533</t>
    <phoneticPr fontId="1"/>
  </si>
  <si>
    <t>代表取締役　鈴木　達仁</t>
    <rPh sb="0" eb="5">
      <t>ダイヒョウトリシマリヤク</t>
    </rPh>
    <rPh sb="6" eb="8">
      <t>スズキ</t>
    </rPh>
    <rPh sb="9" eb="11">
      <t>タツヒト</t>
    </rPh>
    <phoneticPr fontId="1"/>
  </si>
  <si>
    <t>昼勤：8時00分～17時00分  (実働　8時間00分）</t>
    <rPh sb="18" eb="20">
      <t>ジツドウ</t>
    </rPh>
    <rPh sb="22" eb="24">
      <t>ジカン</t>
    </rPh>
    <rPh sb="26" eb="27">
      <t>フン</t>
    </rPh>
    <phoneticPr fontId="1"/>
  </si>
  <si>
    <t>愛知県名古屋市港区名四町75番地４</t>
  </si>
  <si>
    <t>レ　ヴィエト　フン</t>
  </si>
  <si>
    <t>475-0817</t>
  </si>
  <si>
    <t>愛知県半田市東洋町2-46</t>
  </si>
  <si>
    <t>県営住宅8-307</t>
  </si>
  <si>
    <t>仕事内容</t>
    <rPh sb="0" eb="4">
      <t>ｼｺﾞﾄﾅｲﾖｳ</t>
    </rPh>
    <phoneticPr fontId="8" type="noConversion"/>
  </si>
  <si>
    <t>SIFECHA(現入社,HOY(),"y")</t>
    <phoneticPr fontId="1"/>
  </si>
  <si>
    <r>
      <t>SI(B49="","",SI(Y(AD48&gt;2,AD48&lt;2),"",DIA.LAB.INTL(FECHA(A</t>
    </r>
    <r>
      <rPr>
        <sz val="11"/>
        <rFont val="Calibri"/>
        <family val="1"/>
      </rPr>
      <t>ÑO(HakenkikanS),MES(HakenkikanS),DIA(HakenkikanS)),45,1)))</t>
    </r>
    <phoneticPr fontId="1"/>
  </si>
  <si>
    <t>SI(AD48&gt;0,"2年目","")</t>
    <phoneticPr fontId="1"/>
  </si>
  <si>
    <t>*(TablaTransfor[単価]=時給単価)</t>
    <phoneticPr fontId="1"/>
  </si>
  <si>
    <t>派遣時の待遇情報明示書</t>
    <rPh sb="2" eb="3">
      <t>ジ</t>
    </rPh>
    <rPh sb="4" eb="6">
      <t>タイグウ</t>
    </rPh>
    <rPh sb="6" eb="8">
      <t>ジョウホウ</t>
    </rPh>
    <phoneticPr fontId="3"/>
  </si>
  <si>
    <t>(事業所名)</t>
    <rPh sb="1" eb="3">
      <t>ジギョウ</t>
    </rPh>
    <rPh sb="3" eb="4">
      <t>ショ</t>
    </rPh>
    <rPh sb="4" eb="5">
      <t>ナ</t>
    </rPh>
    <phoneticPr fontId="3"/>
  </si>
  <si>
    <t>(許可番号)</t>
    <rPh sb="1" eb="3">
      <t>キョカ</t>
    </rPh>
    <rPh sb="3" eb="5">
      <t>バンゴウ</t>
    </rPh>
    <phoneticPr fontId="3"/>
  </si>
  <si>
    <t>派23-303669</t>
    <rPh sb="0" eb="1">
      <t>ハ</t>
    </rPh>
    <phoneticPr fontId="3"/>
  </si>
  <si>
    <t>次の条件で労働者派遣を行います(法第31条の2第3項の明示）</t>
    <rPh sb="0" eb="1">
      <t>ツギ</t>
    </rPh>
    <rPh sb="2" eb="4">
      <t>ジョウケン</t>
    </rPh>
    <rPh sb="5" eb="7">
      <t>ロウドウ</t>
    </rPh>
    <rPh sb="7" eb="8">
      <t>モノ</t>
    </rPh>
    <rPh sb="8" eb="10">
      <t>ハケン</t>
    </rPh>
    <rPh sb="11" eb="12">
      <t>オコナ</t>
    </rPh>
    <rPh sb="16" eb="17">
      <t>ホウ</t>
    </rPh>
    <rPh sb="17" eb="18">
      <t>ダイ</t>
    </rPh>
    <rPh sb="20" eb="21">
      <t>ジョウ</t>
    </rPh>
    <rPh sb="23" eb="24">
      <t>ダイ</t>
    </rPh>
    <rPh sb="25" eb="26">
      <t>コウ</t>
    </rPh>
    <rPh sb="27" eb="29">
      <t>メイジ</t>
    </rPh>
    <phoneticPr fontId="3"/>
  </si>
  <si>
    <t xml:space="preserve"> 協定対象派遣労働者であるか否か</t>
    <rPh sb="1" eb="3">
      <t>キョウテイ</t>
    </rPh>
    <rPh sb="3" eb="5">
      <t>タイショウ</t>
    </rPh>
    <rPh sb="5" eb="7">
      <t>ハケン</t>
    </rPh>
    <rPh sb="7" eb="10">
      <t>ロウドウシャ</t>
    </rPh>
    <rPh sb="14" eb="15">
      <t>イナ</t>
    </rPh>
    <phoneticPr fontId="3"/>
  </si>
  <si>
    <t>☑</t>
    <phoneticPr fontId="3"/>
  </si>
  <si>
    <t>協定対象派遣労働者ではない</t>
    <rPh sb="4" eb="6">
      <t>ハケン</t>
    </rPh>
    <phoneticPr fontId="3"/>
  </si>
  <si>
    <t xml:space="preserve"> 賃金（退職手当及び臨時に支払われる賃金を除く。）の決定、計算及び支払いの方法、賃金の締切り及び支払いの時期に関する事項</t>
    <rPh sb="29" eb="31">
      <t>ケイサン</t>
    </rPh>
    <rPh sb="31" eb="32">
      <t>オヨ</t>
    </rPh>
    <rPh sb="33" eb="35">
      <t>シハラ</t>
    </rPh>
    <rPh sb="37" eb="39">
      <t>ホウホウ</t>
    </rPh>
    <rPh sb="40" eb="42">
      <t>チンギン</t>
    </rPh>
    <rPh sb="43" eb="45">
      <t>シメキ</t>
    </rPh>
    <rPh sb="46" eb="47">
      <t>オヨ</t>
    </rPh>
    <rPh sb="48" eb="50">
      <t>シハラ</t>
    </rPh>
    <rPh sb="52" eb="54">
      <t>ジキ</t>
    </rPh>
    <phoneticPr fontId="3"/>
  </si>
  <si>
    <t xml:space="preserve"> 昇給・賞与・退職手当の有無</t>
    <phoneticPr fontId="3"/>
  </si>
  <si>
    <t xml:space="preserve"> 休暇に関する事項</t>
    <rPh sb="1" eb="3">
      <t>キュウカ</t>
    </rPh>
    <rPh sb="4" eb="5">
      <t>カン</t>
    </rPh>
    <rPh sb="7" eb="9">
      <t>ジコウ</t>
    </rPh>
    <phoneticPr fontId="3"/>
  </si>
  <si>
    <t>協定対象派遣労働者である　</t>
    <rPh sb="0" eb="2">
      <t>キョウテイ</t>
    </rPh>
    <rPh sb="2" eb="4">
      <t>タイショウ</t>
    </rPh>
    <rPh sb="4" eb="6">
      <t>ハケン</t>
    </rPh>
    <rPh sb="6" eb="9">
      <t>ロウドウシャ</t>
    </rPh>
    <phoneticPr fontId="3"/>
  </si>
  <si>
    <t>（　当該協定の有効期間の終了日：</t>
    <phoneticPr fontId="1"/>
  </si>
  <si>
    <t>）</t>
    <phoneticPr fontId="1"/>
  </si>
  <si>
    <t>様</t>
    <rPh sb="0" eb="1">
      <t>サマ</t>
    </rPh>
    <phoneticPr fontId="1"/>
  </si>
  <si>
    <t>労　働　契　約　書　兼　就　業　条　件　明　示　書     No.2</t>
    <rPh sb="0" eb="1">
      <t>ロウ</t>
    </rPh>
    <rPh sb="2" eb="3">
      <t>ハタラキ</t>
    </rPh>
    <rPh sb="4" eb="5">
      <t>チギリ</t>
    </rPh>
    <rPh sb="6" eb="7">
      <t>ヤク</t>
    </rPh>
    <rPh sb="8" eb="9">
      <t>ショ</t>
    </rPh>
    <rPh sb="10" eb="11">
      <t>ケン</t>
    </rPh>
    <rPh sb="12" eb="13">
      <t>シュウ</t>
    </rPh>
    <rPh sb="14" eb="15">
      <t>ギョウ</t>
    </rPh>
    <rPh sb="16" eb="17">
      <t>ジョウ</t>
    </rPh>
    <rPh sb="18" eb="19">
      <t>ケン</t>
    </rPh>
    <rPh sb="20" eb="21">
      <t>メイ</t>
    </rPh>
    <rPh sb="22" eb="23">
      <t>シメス</t>
    </rPh>
    <rPh sb="24" eb="25">
      <t>ショ</t>
    </rPh>
    <phoneticPr fontId="0"/>
  </si>
  <si>
    <t>フ  リ  ガ  ナ</t>
    <phoneticPr fontId="0"/>
  </si>
  <si>
    <t>氏　　　   名</t>
    <rPh sb="0" eb="1">
      <t>シ</t>
    </rPh>
    <rPh sb="7" eb="8">
      <t>メイ</t>
    </rPh>
    <phoneticPr fontId="0"/>
  </si>
  <si>
    <t>殿</t>
  </si>
  <si>
    <t>現 　住 　所</t>
    <rPh sb="0" eb="1">
      <t>ウツツ</t>
    </rPh>
    <rPh sb="3" eb="4">
      <t>ジュウ</t>
    </rPh>
    <rPh sb="6" eb="7">
      <t>ショ</t>
    </rPh>
    <phoneticPr fontId="0"/>
  </si>
  <si>
    <t>生 年 月 日</t>
    <rPh sb="0" eb="1">
      <t>ショウ</t>
    </rPh>
    <rPh sb="2" eb="3">
      <t>トシ</t>
    </rPh>
    <rPh sb="4" eb="5">
      <t>ツキ</t>
    </rPh>
    <rPh sb="6" eb="7">
      <t>ヒ</t>
    </rPh>
    <phoneticPr fontId="0"/>
  </si>
  <si>
    <t>　派遣期間　</t>
    <phoneticPr fontId="1"/>
  </si>
  <si>
    <t>性   　　　別</t>
    <rPh sb="0" eb="1">
      <t>セイ</t>
    </rPh>
    <rPh sb="7" eb="8">
      <t>ベツ</t>
    </rPh>
    <phoneticPr fontId="0"/>
  </si>
  <si>
    <t xml:space="preserve">雇用期間      </t>
    <rPh sb="0" eb="2">
      <t>コヨウ</t>
    </rPh>
    <rPh sb="2" eb="4">
      <t>キカン</t>
    </rPh>
    <phoneticPr fontId="0"/>
  </si>
  <si>
    <t>派遣元責任者</t>
  </si>
  <si>
    <t>就業場所     　　　　</t>
  </si>
  <si>
    <t>事業所：</t>
    <rPh sb="0" eb="3">
      <t>ジギョウショ</t>
    </rPh>
    <phoneticPr fontId="1"/>
  </si>
  <si>
    <t>派遣先責任者</t>
  </si>
  <si>
    <t>所在地：</t>
    <rPh sb="0" eb="3">
      <t>ショザイチ</t>
    </rPh>
    <phoneticPr fontId="1"/>
  </si>
  <si>
    <t>電話番号：</t>
    <rPh sb="0" eb="2">
      <t>デンワ</t>
    </rPh>
    <rPh sb="2" eb="4">
      <t>バンゴウ</t>
    </rPh>
    <phoneticPr fontId="1"/>
  </si>
  <si>
    <t>苦情の処理及び申出先、苦情処理方法、連携体制等</t>
    <phoneticPr fontId="1"/>
  </si>
  <si>
    <t xml:space="preserve">就業時間           　　　　　　　　　        休憩時間    </t>
  </si>
  <si>
    <t>昼　勤</t>
    <rPh sb="0" eb="1">
      <t>ヒル</t>
    </rPh>
    <rPh sb="2" eb="3">
      <t>ツトム</t>
    </rPh>
    <phoneticPr fontId="1"/>
  </si>
  <si>
    <t>①派遣元における上記の者が苦情の申し出を受けたときは、ただちに派遣元責任者のヴゥ　ティ　サウへ連絡することとし、当該派遣元責任者が中心となって、誠意をもって、遅滞なく、当該苦情の適切かつ迅速な処理を図ることとし、その結果について必ず派遣労働者に通知することとする。派遣先における上記の者が苦情をうけたときは、ただちに派遣先責任者の鈴木　達仁へ連絡することとし、当該派遣先責任者が中心となって、誠意をもって、遅滞なく、当該苦情の適切かつ迅速な処理を図ることとし、その結果について必ず派遣労働者に通知することとする。　
②派遣元及び派遣先事業主は、自らでその解決が容易であり、即時に処理した苦情の他は、相互に遅滞なく通知するとともに、密接に連絡調整を行いつつ、その解決を図ることとする。</t>
    <phoneticPr fontId="1"/>
  </si>
  <si>
    <t>休　憩</t>
    <phoneticPr fontId="1"/>
  </si>
  <si>
    <t>業務の都合により、就業時間の変更並びに短縮をすることがある。</t>
    <phoneticPr fontId="0"/>
  </si>
  <si>
    <t>業務の都合により、休日を他の日に振り替えることがある。</t>
    <phoneticPr fontId="0"/>
  </si>
  <si>
    <t>時間外労働                及び                     休日労働</t>
  </si>
  <si>
    <t>休暇</t>
    <rPh sb="0" eb="2">
      <t>キュウカ</t>
    </rPh>
    <phoneticPr fontId="0"/>
  </si>
  <si>
    <t>年次有給休暇　労働基準法通り</t>
    <rPh sb="0" eb="2">
      <t>ネンジ</t>
    </rPh>
    <rPh sb="2" eb="4">
      <t>ユウキュウ</t>
    </rPh>
    <rPh sb="4" eb="6">
      <t>キュウカ</t>
    </rPh>
    <rPh sb="7" eb="9">
      <t>ロウドウ</t>
    </rPh>
    <rPh sb="9" eb="12">
      <t>キジュンホウ</t>
    </rPh>
    <rPh sb="12" eb="13">
      <t>トオ</t>
    </rPh>
    <phoneticPr fontId="0"/>
  </si>
  <si>
    <t>賃金</t>
    <rPh sb="0" eb="2">
      <t>チンギン</t>
    </rPh>
    <phoneticPr fontId="0"/>
  </si>
  <si>
    <t>１．基本給</t>
    <phoneticPr fontId="1"/>
  </si>
  <si>
    <t xml:space="preserve">時給 </t>
    <phoneticPr fontId="1"/>
  </si>
  <si>
    <t>／Ｈ</t>
    <phoneticPr fontId="1"/>
  </si>
  <si>
    <t>２．時間外手当及び休日出勤 ・・・・労働基準法の規定による手当</t>
    <phoneticPr fontId="1"/>
  </si>
  <si>
    <t>派遣契約解除の　　　　　　　　　　　場合の措置</t>
    <rPh sb="0" eb="2">
      <t>ハケン</t>
    </rPh>
    <rPh sb="2" eb="4">
      <t>ケイヤク</t>
    </rPh>
    <rPh sb="4" eb="6">
      <t>カイジョ</t>
    </rPh>
    <rPh sb="18" eb="20">
      <t>バアイ</t>
    </rPh>
    <rPh sb="21" eb="23">
      <t>ソチ</t>
    </rPh>
    <phoneticPr fontId="0"/>
  </si>
  <si>
    <t>労働者の責に帰すべき事由によらない労働者派遣契約の解除が行われた場合には、派遣先と連携して他の派遣先をあっせんする等により新たな就業機会の確保を図ることとする。また、当該派遣元事業主は、当該労働者派遣契約の解除に当たって、新たな就業機会の確保ができない場合は、まずは休業を行い、当該派遣労働者の雇用の維持を図るようにするとともに、休業手当の支払い等の労働基準法等に基づく責任を果たすこととする。また、労働者派遣契約の解除に伴い派遣労働者を解雇しようとする場合には少なくとも30日前に予告することとし、30日前に予告しないときには、労働基準法第20条第1項に基づく予告解雇手当を支払うこと等、休業させる場合には,雇用主に係る労働基準法等の責任を負うこととする。</t>
    <phoneticPr fontId="0"/>
  </si>
  <si>
    <t>３．深夜手当 ・・・・労働基準法の規定による手当　（22：00～5：00の実働に対し25％増し）</t>
    <phoneticPr fontId="1"/>
  </si>
  <si>
    <t>５．賃金支払時の控除 ・・・・法定控除及び労使協定の締結による控除費目</t>
    <phoneticPr fontId="1"/>
  </si>
  <si>
    <t>退職に関する事項</t>
    <rPh sb="0" eb="2">
      <t>タイショク</t>
    </rPh>
    <rPh sb="3" eb="4">
      <t>カン</t>
    </rPh>
    <rPh sb="6" eb="8">
      <t>ジコウ</t>
    </rPh>
    <phoneticPr fontId="0"/>
  </si>
  <si>
    <t>・解雇の事由及び手続　就業規則第32条、第34条に記載</t>
    <phoneticPr fontId="1"/>
  </si>
  <si>
    <t>・会社の名誉と信用を失墜するような行為をしたとき。</t>
    <phoneticPr fontId="1"/>
  </si>
  <si>
    <t>・身勝手な行為や素行不良等により職場の秩序、風紀を乱したとき。</t>
    <phoneticPr fontId="1"/>
  </si>
  <si>
    <t>安全・衛生</t>
    <rPh sb="0" eb="2">
      <t>アンゼン</t>
    </rPh>
    <rPh sb="3" eb="5">
      <t>エイセイ</t>
    </rPh>
    <phoneticPr fontId="0"/>
  </si>
  <si>
    <t>派遣先は労働者派遣法第４４条から第４７条までの規定により自己に課せられた責任を負う。
 (但し業務上の事由による災害の場合は派遣元にて手続きを行う。）</t>
    <rPh sb="45" eb="46">
      <t>タダ</t>
    </rPh>
    <rPh sb="47" eb="50">
      <t>ギョウムジョウ</t>
    </rPh>
    <rPh sb="51" eb="53">
      <t>ジユウ</t>
    </rPh>
    <rPh sb="56" eb="58">
      <t>サイガイ</t>
    </rPh>
    <rPh sb="59" eb="61">
      <t>バアイ</t>
    </rPh>
    <rPh sb="62" eb="65">
      <t>ハケンモト</t>
    </rPh>
    <rPh sb="67" eb="69">
      <t>テツヅ</t>
    </rPh>
    <rPh sb="71" eb="72">
      <t>オコナ</t>
    </rPh>
    <phoneticPr fontId="0"/>
  </si>
  <si>
    <t>・退職を希望する時は、必ず30日前に申し出ること。</t>
    <phoneticPr fontId="1"/>
  </si>
  <si>
    <t>その他</t>
    <rPh sb="2" eb="3">
      <t>タ</t>
    </rPh>
    <phoneticPr fontId="0"/>
  </si>
  <si>
    <t>福利厚生施設等　</t>
    <phoneticPr fontId="0"/>
  </si>
  <si>
    <t>・その他（守秘義務　派遣業務遂行中に、知り得た技術上または営業上の機密を派遣中はもちろん派遣終了後も開示、漏洩もしくは使用してはならない。違反した場合は、損害賠償請求をすることがある）</t>
    <phoneticPr fontId="0"/>
  </si>
  <si>
    <t>派遣先が派遣労働者を雇用する場合の紛争防止措置</t>
    <rPh sb="0" eb="2">
      <t>ハケン</t>
    </rPh>
    <rPh sb="2" eb="3">
      <t>サキ</t>
    </rPh>
    <rPh sb="4" eb="6">
      <t>ハケン</t>
    </rPh>
    <rPh sb="6" eb="9">
      <t>ロウドウシャ</t>
    </rPh>
    <rPh sb="10" eb="12">
      <t>コヨウ</t>
    </rPh>
    <rPh sb="14" eb="16">
      <t>バアイ</t>
    </rPh>
    <rPh sb="17" eb="19">
      <t>フンソウ</t>
    </rPh>
    <rPh sb="19" eb="21">
      <t>ボウシ</t>
    </rPh>
    <rPh sb="21" eb="23">
      <t>ソチ</t>
    </rPh>
    <phoneticPr fontId="74"/>
  </si>
  <si>
    <t>労働者派遣の役務の提供終了後、当該派遣労働者を派遣先が雇用する場合には、手数料として派遣先は、派遣元事業主に支払うものとする。金額については甲乙協議の上決定することとする。</t>
    <rPh sb="0" eb="3">
      <t>ロウドウシャ</t>
    </rPh>
    <rPh sb="3" eb="5">
      <t>ハケン</t>
    </rPh>
    <rPh sb="6" eb="8">
      <t>エキム</t>
    </rPh>
    <rPh sb="9" eb="11">
      <t>テイキョウ</t>
    </rPh>
    <rPh sb="11" eb="14">
      <t>シュウリョウゴ</t>
    </rPh>
    <rPh sb="15" eb="17">
      <t>トウガイ</t>
    </rPh>
    <rPh sb="17" eb="19">
      <t>ハケン</t>
    </rPh>
    <rPh sb="19" eb="22">
      <t>ロウドウシャ</t>
    </rPh>
    <rPh sb="23" eb="25">
      <t>ハケン</t>
    </rPh>
    <rPh sb="25" eb="26">
      <t>サキ</t>
    </rPh>
    <rPh sb="27" eb="29">
      <t>コヨウ</t>
    </rPh>
    <rPh sb="31" eb="33">
      <t>バアイ</t>
    </rPh>
    <rPh sb="36" eb="39">
      <t>テスウリョウ</t>
    </rPh>
    <rPh sb="42" eb="44">
      <t>ハケン</t>
    </rPh>
    <rPh sb="44" eb="45">
      <t>サキ</t>
    </rPh>
    <rPh sb="47" eb="50">
      <t>ハケンモト</t>
    </rPh>
    <rPh sb="50" eb="53">
      <t>ジギョウヌシ</t>
    </rPh>
    <rPh sb="54" eb="56">
      <t>シハラ</t>
    </rPh>
    <rPh sb="63" eb="65">
      <t>キンガク</t>
    </rPh>
    <rPh sb="70" eb="72">
      <t>コウオツ</t>
    </rPh>
    <rPh sb="72" eb="74">
      <t>キョウギ</t>
    </rPh>
    <rPh sb="75" eb="76">
      <t>ウエ</t>
    </rPh>
    <rPh sb="76" eb="78">
      <t>ケッテイ</t>
    </rPh>
    <phoneticPr fontId="74"/>
  </si>
  <si>
    <t>・本書記載事項以外の労働条件は、当社就業規則による。</t>
    <phoneticPr fontId="1"/>
  </si>
  <si>
    <t>備考</t>
    <rPh sb="0" eb="2">
      <t>ビコウ</t>
    </rPh>
    <phoneticPr fontId="74"/>
  </si>
  <si>
    <t>更新の有無</t>
  </si>
  <si>
    <t>１．更新の有無</t>
    <rPh sb="2" eb="4">
      <t>コウシン</t>
    </rPh>
    <rPh sb="5" eb="7">
      <t>ウム</t>
    </rPh>
    <phoneticPr fontId="0"/>
  </si>
  <si>
    <t>２．契約の更新は、次のいずれかにより判断する。</t>
    <rPh sb="2" eb="4">
      <t>ケイヤク</t>
    </rPh>
    <rPh sb="5" eb="7">
      <t>コウシン</t>
    </rPh>
    <rPh sb="9" eb="10">
      <t>ツギ</t>
    </rPh>
    <rPh sb="18" eb="20">
      <t>ハンダン</t>
    </rPh>
    <phoneticPr fontId="0"/>
  </si>
  <si>
    <t>　・契約期間満了時の業務量</t>
    <rPh sb="2" eb="4">
      <t>ケイヤク</t>
    </rPh>
    <rPh sb="4" eb="6">
      <t>キカン</t>
    </rPh>
    <rPh sb="6" eb="8">
      <t>マンリョウ</t>
    </rPh>
    <rPh sb="8" eb="9">
      <t>ジ</t>
    </rPh>
    <rPh sb="10" eb="12">
      <t>ギョウム</t>
    </rPh>
    <rPh sb="12" eb="13">
      <t>リョウ</t>
    </rPh>
    <phoneticPr fontId="0"/>
  </si>
  <si>
    <t>使用者</t>
    <rPh sb="0" eb="3">
      <t>シヨウシャ</t>
    </rPh>
    <phoneticPr fontId="74"/>
  </si>
  <si>
    <t>労働者</t>
    <rPh sb="0" eb="3">
      <t>ロウドウシャ</t>
    </rPh>
    <phoneticPr fontId="74"/>
  </si>
  <si>
    <t>　・勤務成績、態度</t>
    <rPh sb="2" eb="4">
      <t>キンム</t>
    </rPh>
    <rPh sb="4" eb="6">
      <t>セイセキ</t>
    </rPh>
    <rPh sb="7" eb="9">
      <t>タイド</t>
    </rPh>
    <phoneticPr fontId="0"/>
  </si>
  <si>
    <t>サイン（受領）</t>
    <rPh sb="4" eb="6">
      <t>ジュリョウ</t>
    </rPh>
    <phoneticPr fontId="74"/>
  </si>
  <si>
    <t>　・会社の経営状況</t>
    <rPh sb="2" eb="4">
      <t>カイシャ</t>
    </rPh>
    <rPh sb="5" eb="7">
      <t>ケイエイ</t>
    </rPh>
    <rPh sb="7" eb="9">
      <t>ジョウキョウ</t>
    </rPh>
    <phoneticPr fontId="0"/>
  </si>
  <si>
    <t>　・能力</t>
    <rPh sb="2" eb="4">
      <t>ノウリョク</t>
    </rPh>
    <phoneticPr fontId="0"/>
  </si>
  <si>
    <t>ユニバーサル企画株式会社</t>
    <rPh sb="6" eb="12">
      <t>キカクカブシキガイシャ</t>
    </rPh>
    <phoneticPr fontId="74"/>
  </si>
  <si>
    <t>　・従事している業務の進捗状況</t>
    <rPh sb="2" eb="4">
      <t>ジュウジ</t>
    </rPh>
    <rPh sb="8" eb="10">
      <t>ギョウム</t>
    </rPh>
    <rPh sb="11" eb="13">
      <t>シンチョク</t>
    </rPh>
    <rPh sb="13" eb="15">
      <t>ジョウキョウ</t>
    </rPh>
    <phoneticPr fontId="0"/>
  </si>
  <si>
    <t>　・その他（　　　　　　　　　　　　　　　　　　　　　　　　　　　　　　　　　　）</t>
    <rPh sb="4" eb="5">
      <t>タ</t>
    </rPh>
    <phoneticPr fontId="0"/>
  </si>
  <si>
    <r>
      <t>・社会保険の加入（　</t>
    </r>
    <r>
      <rPr>
        <sz val="10"/>
        <color rgb="FF000000"/>
        <rFont val="Segoe UI Symbol"/>
        <family val="1"/>
      </rPr>
      <t>☑</t>
    </r>
    <r>
      <rPr>
        <sz val="10"/>
        <color indexed="8"/>
        <rFont val="HGP明朝E"/>
        <family val="1"/>
        <charset val="128"/>
      </rPr>
      <t>有　・□無　)</t>
    </r>
    <rPh sb="1" eb="3">
      <t>シャカイ</t>
    </rPh>
    <rPh sb="3" eb="5">
      <t>ホケン</t>
    </rPh>
    <rPh sb="6" eb="8">
      <t>カニュウ</t>
    </rPh>
    <phoneticPr fontId="0"/>
  </si>
  <si>
    <r>
      <t>・雇用保険の加入（　</t>
    </r>
    <r>
      <rPr>
        <sz val="10"/>
        <rFont val="Segoe UI Symbol"/>
        <family val="1"/>
      </rPr>
      <t>☑</t>
    </r>
    <r>
      <rPr>
        <sz val="10"/>
        <rFont val="HGP明朝E"/>
        <family val="1"/>
        <charset val="128"/>
      </rPr>
      <t>有　・□無　）</t>
    </r>
    <rPh sb="1" eb="3">
      <t>コヨウ</t>
    </rPh>
    <rPh sb="3" eb="5">
      <t>ホケン</t>
    </rPh>
    <rPh sb="6" eb="8">
      <t>カニュウ</t>
    </rPh>
    <phoneticPr fontId="0"/>
  </si>
  <si>
    <t>派遣元</t>
    <rPh sb="0" eb="3">
      <t>ハケンモト</t>
    </rPh>
    <phoneticPr fontId="1"/>
  </si>
  <si>
    <t>派遣先　　</t>
    <rPh sb="0" eb="2">
      <t>ハケン</t>
    </rPh>
    <rPh sb="2" eb="3">
      <t>サキ</t>
    </rPh>
    <phoneticPr fontId="1"/>
  </si>
  <si>
    <t>次の条件で労働派遣行います。</t>
    <rPh sb="0" eb="1">
      <t>ツギ</t>
    </rPh>
    <rPh sb="2" eb="4">
      <t>ジョウケン</t>
    </rPh>
    <rPh sb="5" eb="9">
      <t>ロウドウハケン</t>
    </rPh>
    <rPh sb="9" eb="10">
      <t>オコナ</t>
    </rPh>
    <phoneticPr fontId="1"/>
  </si>
  <si>
    <t>役職なし（付与される権限なし）</t>
    <phoneticPr fontId="1"/>
  </si>
  <si>
    <t>従事すべき業務内容    　　　</t>
    <phoneticPr fontId="1"/>
  </si>
  <si>
    <t>組織単位</t>
    <rPh sb="0" eb="4">
      <t>ソシキタンイ</t>
    </rPh>
    <phoneticPr fontId="1"/>
  </si>
  <si>
    <t>派遣労働者を協定対象労働者に限定するか否か</t>
    <phoneticPr fontId="8" type="noConversion"/>
  </si>
  <si>
    <t>派遣労働者を協定対象労働者に限定するか否かの別</t>
    <phoneticPr fontId="1"/>
  </si>
  <si>
    <t>代表取締役　　中山雅和</t>
    <phoneticPr fontId="1"/>
  </si>
  <si>
    <t>当該労働者に係る労働者派遣に関する料金の額：1,600円/時　（事業所平均）</t>
    <phoneticPr fontId="1"/>
  </si>
  <si>
    <t>愛知県大府市一屋二丁目１９４</t>
    <phoneticPr fontId="1"/>
  </si>
  <si>
    <t>労　働　契　約　書　兼　就　業　条　件　明　示　書     No.1</t>
    <phoneticPr fontId="1"/>
  </si>
  <si>
    <t>タイムシート（就業状況報告書）</t>
    <rPh sb="7" eb="9">
      <t>シュウギョウ</t>
    </rPh>
    <rPh sb="9" eb="11">
      <t>ジョウキョウ</t>
    </rPh>
    <rPh sb="11" eb="14">
      <t>ホウコクショ</t>
    </rPh>
    <phoneticPr fontId="3"/>
  </si>
  <si>
    <t>ユニバーサル企画株式会社　御中</t>
    <rPh sb="6" eb="12">
      <t>キカクカブシキカイシャ</t>
    </rPh>
    <rPh sb="13" eb="15">
      <t>オンチュウ</t>
    </rPh>
    <phoneticPr fontId="3"/>
  </si>
  <si>
    <t>【派遣労働者氏名】</t>
    <rPh sb="1" eb="3">
      <t>ハケン</t>
    </rPh>
    <rPh sb="3" eb="6">
      <t>ロウドウシャ</t>
    </rPh>
    <rPh sb="6" eb="8">
      <t>シメイ</t>
    </rPh>
    <phoneticPr fontId="3"/>
  </si>
  <si>
    <t>【派遣就業した場所】</t>
    <phoneticPr fontId="3"/>
  </si>
  <si>
    <t>（名 　称）</t>
    <rPh sb="1" eb="2">
      <t>ナ</t>
    </rPh>
    <rPh sb="4" eb="5">
      <t>ショウ</t>
    </rPh>
    <phoneticPr fontId="3"/>
  </si>
  <si>
    <t>（所在地）</t>
    <rPh sb="1" eb="4">
      <t>ショザイチ</t>
    </rPh>
    <phoneticPr fontId="3"/>
  </si>
  <si>
    <t>【派遣労働者が従事する業務に伴う責任の程度】</t>
    <rPh sb="1" eb="3">
      <t>ハケン</t>
    </rPh>
    <rPh sb="3" eb="6">
      <t>ロウドウシャ</t>
    </rPh>
    <rPh sb="7" eb="9">
      <t>ジュウジ</t>
    </rPh>
    <rPh sb="11" eb="13">
      <t>ギョウム</t>
    </rPh>
    <rPh sb="14" eb="15">
      <t>トモナ</t>
    </rPh>
    <rPh sb="16" eb="18">
      <t>セキニン</t>
    </rPh>
    <rPh sb="19" eb="21">
      <t>テイド</t>
    </rPh>
    <phoneticPr fontId="3"/>
  </si>
  <si>
    <t>【従事した業務の種類（内容）】</t>
    <rPh sb="1" eb="3">
      <t>ジュウジ</t>
    </rPh>
    <rPh sb="5" eb="7">
      <t>ギョウム</t>
    </rPh>
    <rPh sb="8" eb="10">
      <t>シュルイ</t>
    </rPh>
    <rPh sb="11" eb="13">
      <t>ナイヨウ</t>
    </rPh>
    <phoneticPr fontId="3"/>
  </si>
  <si>
    <t>日付</t>
    <rPh sb="0" eb="1">
      <t>ヒ</t>
    </rPh>
    <rPh sb="1" eb="2">
      <t>ヅケ</t>
    </rPh>
    <phoneticPr fontId="3"/>
  </si>
  <si>
    <t>曜日</t>
    <rPh sb="0" eb="2">
      <t>ヨウビ</t>
    </rPh>
    <phoneticPr fontId="3"/>
  </si>
  <si>
    <t>※実際の時間を記入してください。</t>
    <rPh sb="1" eb="3">
      <t>ジッサイ</t>
    </rPh>
    <rPh sb="4" eb="6">
      <t>ジカン</t>
    </rPh>
    <rPh sb="7" eb="9">
      <t>キニュウ</t>
    </rPh>
    <phoneticPr fontId="3"/>
  </si>
  <si>
    <t xml:space="preserve"> 変更した就業場所、業務内容、業務に伴う責任</t>
    <rPh sb="1" eb="3">
      <t>ヘンコウ</t>
    </rPh>
    <rPh sb="5" eb="7">
      <t>シュウギョウ</t>
    </rPh>
    <rPh sb="7" eb="9">
      <t>バショ</t>
    </rPh>
    <rPh sb="10" eb="12">
      <t>ギョウム</t>
    </rPh>
    <rPh sb="12" eb="14">
      <t>ナイヨウ</t>
    </rPh>
    <rPh sb="15" eb="17">
      <t>ギョウム</t>
    </rPh>
    <rPh sb="18" eb="19">
      <t>トモナ</t>
    </rPh>
    <rPh sb="20" eb="22">
      <t>セキニン</t>
    </rPh>
    <phoneticPr fontId="3"/>
  </si>
  <si>
    <t>開始時間</t>
    <rPh sb="0" eb="2">
      <t>カイシ</t>
    </rPh>
    <rPh sb="2" eb="4">
      <t>ジカン</t>
    </rPh>
    <phoneticPr fontId="3"/>
  </si>
  <si>
    <t>終了時間</t>
    <rPh sb="0" eb="2">
      <t>シュウリョウ</t>
    </rPh>
    <rPh sb="2" eb="4">
      <t>ジカン</t>
    </rPh>
    <phoneticPr fontId="3"/>
  </si>
  <si>
    <t>休憩時間</t>
    <rPh sb="0" eb="2">
      <t>キュウケイ</t>
    </rPh>
    <rPh sb="2" eb="4">
      <t>ジカン</t>
    </rPh>
    <phoneticPr fontId="3"/>
  </si>
  <si>
    <t>　※変更があれば正しく記入してください。</t>
    <phoneticPr fontId="3"/>
  </si>
  <si>
    <t>　付与される権限なし　　　役職なし、部下なし</t>
    <rPh sb="1" eb="3">
      <t>フヨ</t>
    </rPh>
    <rPh sb="6" eb="8">
      <t>ケンゲン</t>
    </rPh>
    <rPh sb="13" eb="15">
      <t>ヤクショク</t>
    </rPh>
    <rPh sb="18" eb="20">
      <t>ブカ</t>
    </rPh>
    <phoneticPr fontId="3"/>
  </si>
  <si>
    <t>令和5年12月分</t>
    <rPh sb="0" eb="1">
      <t>レイ</t>
    </rPh>
    <rPh sb="1" eb="2">
      <t>ワ</t>
    </rPh>
    <rPh sb="3" eb="4">
      <t>ネン</t>
    </rPh>
    <rPh sb="6" eb="8">
      <t>ガツブン</t>
    </rPh>
    <phoneticPr fontId="3"/>
  </si>
  <si>
    <t>成広矢原ｺｰﾎﾟⅥ103</t>
  </si>
  <si>
    <t>成広矢原ｺｰﾎﾟⅢ103</t>
  </si>
  <si>
    <t>自動車部品の研磨業務、オペレーターとして製造ラインで製品を加工</t>
  </si>
  <si>
    <t>NGUYEN THE HUY</t>
  </si>
  <si>
    <t>グエン　テ　フィ</t>
  </si>
  <si>
    <t>静岡県袋井市葵町3丁目3-3</t>
  </si>
  <si>
    <t>TRAN QUOC KIET</t>
  </si>
  <si>
    <t>チャン　コック　キエト</t>
  </si>
  <si>
    <t>TRAN VAN TOAN</t>
  </si>
  <si>
    <t>チャン　バン　トアン</t>
  </si>
  <si>
    <t>LUU MINH HIEU</t>
  </si>
  <si>
    <t>リュ　ミン　ヒエウ</t>
  </si>
  <si>
    <t>第1係</t>
    <phoneticPr fontId="1"/>
  </si>
  <si>
    <t>内研</t>
    <rPh sb="0" eb="1">
      <t>ウチ</t>
    </rPh>
    <rPh sb="1" eb="2">
      <t>ケン</t>
    </rPh>
    <phoneticPr fontId="1"/>
  </si>
  <si>
    <t>係長　石田　健</t>
    <rPh sb="0" eb="2">
      <t>カカリチョウ</t>
    </rPh>
    <rPh sb="3" eb="5">
      <t>イシダ</t>
    </rPh>
    <rPh sb="6" eb="7">
      <t>ケン</t>
    </rPh>
    <phoneticPr fontId="1"/>
  </si>
  <si>
    <t>外研</t>
  </si>
  <si>
    <t>外研</t>
    <rPh sb="0" eb="1">
      <t>ガイ</t>
    </rPh>
    <rPh sb="1" eb="2">
      <t>ケン</t>
    </rPh>
    <phoneticPr fontId="1"/>
  </si>
  <si>
    <t>係長　山田　ジェファーソン</t>
    <rPh sb="0" eb="2">
      <t>カカリチョウ</t>
    </rPh>
    <rPh sb="3" eb="5">
      <t>ヤマダ</t>
    </rPh>
    <phoneticPr fontId="1"/>
  </si>
  <si>
    <t>自動車部品の研磨業務、オペレーターとして製造ラインで製品を加工</t>
    <phoneticPr fontId="1"/>
  </si>
  <si>
    <t>□協定対象派遣労働者ではない</t>
    <phoneticPr fontId="1"/>
  </si>
  <si>
    <r>
      <t>休日労働〔①□無 ・ ②</t>
    </r>
    <r>
      <rPr>
        <sz val="10"/>
        <color rgb="FF000000"/>
        <rFont val="Segoe UI Symbol"/>
        <family val="1"/>
      </rPr>
      <t>☑</t>
    </r>
    <r>
      <rPr>
        <sz val="10"/>
        <color indexed="8"/>
        <rFont val="HGP明朝E"/>
        <family val="1"/>
        <charset val="128"/>
      </rPr>
      <t>有 ※但し1か月2回の範囲で命ずることができることとする〕</t>
    </r>
    <phoneticPr fontId="1"/>
  </si>
  <si>
    <r>
      <t>　　「</t>
    </r>
    <r>
      <rPr>
        <sz val="10"/>
        <color rgb="FF000000"/>
        <rFont val="Segoe UI Symbol"/>
        <family val="1"/>
      </rPr>
      <t>☑</t>
    </r>
    <r>
      <rPr>
        <sz val="10"/>
        <color indexed="8"/>
        <rFont val="HGP明朝E"/>
        <family val="1"/>
        <charset val="128"/>
      </rPr>
      <t>更新する場合があり得る　・　□契約の更新はしない」</t>
    </r>
    <rPh sb="4" eb="6">
      <t>コウシン</t>
    </rPh>
    <rPh sb="8" eb="10">
      <t>バアイ</t>
    </rPh>
    <rPh sb="13" eb="14">
      <t>エ</t>
    </rPh>
    <rPh sb="19" eb="21">
      <t>ケイヤク</t>
    </rPh>
    <rPh sb="22" eb="24">
      <t>コウシン</t>
    </rPh>
    <phoneticPr fontId="0"/>
  </si>
  <si>
    <r>
      <t>３．</t>
    </r>
    <r>
      <rPr>
        <sz val="10"/>
        <color rgb="FF000000"/>
        <rFont val="Segoe UI Symbol"/>
        <family val="1"/>
      </rPr>
      <t>☑</t>
    </r>
    <r>
      <rPr>
        <sz val="10"/>
        <color indexed="8"/>
        <rFont val="HGP明朝E"/>
        <family val="1"/>
        <charset val="128"/>
      </rPr>
      <t>期間の定めあり、□期間の定めなし</t>
    </r>
    <phoneticPr fontId="1"/>
  </si>
  <si>
    <t>19:01</t>
    <phoneticPr fontId="1"/>
  </si>
  <si>
    <t>7:54</t>
    <phoneticPr fontId="1"/>
  </si>
  <si>
    <t>19:00</t>
    <phoneticPr fontId="1"/>
  </si>
  <si>
    <t>7:53</t>
    <phoneticPr fontId="1"/>
  </si>
  <si>
    <t>7:52</t>
    <phoneticPr fontId="1"/>
  </si>
  <si>
    <t>7:56</t>
    <phoneticPr fontId="1"/>
  </si>
  <si>
    <t>20:01</t>
    <phoneticPr fontId="1"/>
  </si>
  <si>
    <t>7:50</t>
    <phoneticPr fontId="1"/>
  </si>
  <si>
    <t>7:49</t>
    <phoneticPr fontId="1"/>
  </si>
  <si>
    <t>17:01</t>
    <phoneticPr fontId="1"/>
  </si>
  <si>
    <t>EXTRAE(BUSCARX(ライン,TBKaishaInfo[ライン],TBKaishaInfo[派遣先責任者名],"",0,1),7,10)</t>
    <phoneticPr fontId="1"/>
  </si>
  <si>
    <t>電話番号</t>
    <rPh sb="0" eb="2">
      <t>デンワ</t>
    </rPh>
    <rPh sb="2" eb="4">
      <t>バンゴウ</t>
    </rPh>
    <phoneticPr fontId="1"/>
  </si>
  <si>
    <t>組織単位</t>
    <phoneticPr fontId="3"/>
  </si>
  <si>
    <t>作業者締め日</t>
    <rPh sb="0" eb="3">
      <t>サギョウシャ</t>
    </rPh>
    <rPh sb="3" eb="4">
      <t>シ</t>
    </rPh>
    <rPh sb="5" eb="6">
      <t>ビ</t>
    </rPh>
    <phoneticPr fontId="1"/>
  </si>
  <si>
    <t>作業者支払日</t>
    <rPh sb="0" eb="3">
      <t>サギョウシャ</t>
    </rPh>
    <rPh sb="3" eb="6">
      <t>シハライビ</t>
    </rPh>
    <phoneticPr fontId="1"/>
  </si>
  <si>
    <t>20日</t>
    <rPh sb="2" eb="3">
      <t>ヒ</t>
    </rPh>
    <phoneticPr fontId="1"/>
  </si>
  <si>
    <t>15日</t>
    <rPh sb="2" eb="3">
      <t>ニチ</t>
    </rPh>
    <phoneticPr fontId="1"/>
  </si>
  <si>
    <t>作業者カレンダー</t>
    <rPh sb="0" eb="3">
      <t>サギョウシャ</t>
    </rPh>
    <phoneticPr fontId="1"/>
  </si>
  <si>
    <t>２　諸手当の額又は計算方法</t>
    <phoneticPr fontId="1"/>
  </si>
  <si>
    <t>イ（　　手当　　　　円　／計算方法：　　　　　　　　　　）</t>
    <phoneticPr fontId="1"/>
  </si>
  <si>
    <t>ロ（　　手当　　　　円　／計算方法：　　　　　　　　　　）</t>
    <phoneticPr fontId="1"/>
  </si>
  <si>
    <t>ハ（　　手当　　　　円　／計算方法：　　　　　　　　　　）</t>
    <phoneticPr fontId="1"/>
  </si>
  <si>
    <t>ニ（　　手当　　　　円　／計算方法：　　　　　　　　　　）</t>
    <phoneticPr fontId="1"/>
  </si>
  <si>
    <t>３　所定時間外、休日又は深夜労働に対して支払われる割増賃金率</t>
    <phoneticPr fontId="1"/>
  </si>
  <si>
    <t>（部　　　署）</t>
    <phoneticPr fontId="1"/>
  </si>
  <si>
    <t>(組織単位)</t>
    <phoneticPr fontId="1"/>
  </si>
  <si>
    <t>7:43</t>
  </si>
  <si>
    <t>19:01</t>
  </si>
  <si>
    <t>7:54</t>
  </si>
  <si>
    <t>19:00</t>
  </si>
  <si>
    <t>7:53</t>
  </si>
  <si>
    <t>7:41</t>
  </si>
  <si>
    <t>20:03</t>
  </si>
  <si>
    <t>20:02</t>
  </si>
  <si>
    <t>7:52</t>
  </si>
  <si>
    <t>20:01</t>
  </si>
  <si>
    <t>7:39</t>
  </si>
  <si>
    <t>7:56</t>
  </si>
  <si>
    <t>19:10</t>
  </si>
  <si>
    <t>7:50</t>
  </si>
  <si>
    <t>19:03</t>
  </si>
  <si>
    <t>7:57</t>
  </si>
  <si>
    <t>7:49</t>
  </si>
  <si>
    <t>17:01</t>
  </si>
  <si>
    <t>7:55</t>
    <phoneticPr fontId="1"/>
  </si>
  <si>
    <t>7:51</t>
    <phoneticPr fontId="1"/>
  </si>
  <si>
    <t>7:42</t>
    <phoneticPr fontId="1"/>
  </si>
  <si>
    <t>7:46</t>
    <phoneticPr fontId="1"/>
  </si>
  <si>
    <t>17:00</t>
    <phoneticPr fontId="1"/>
  </si>
  <si>
    <t>18:00</t>
    <phoneticPr fontId="1"/>
  </si>
  <si>
    <t>7:40</t>
    <phoneticPr fontId="1"/>
  </si>
  <si>
    <t>7:41</t>
    <phoneticPr fontId="1"/>
  </si>
  <si>
    <t>7:43</t>
    <phoneticPr fontId="1"/>
  </si>
  <si>
    <t>7:44</t>
    <phoneticPr fontId="1"/>
  </si>
  <si>
    <t>18:01</t>
    <phoneticPr fontId="1"/>
  </si>
  <si>
    <t>欠勤</t>
    <rPh sb="0" eb="2">
      <t>ケッキン</t>
    </rPh>
    <phoneticPr fontId="1"/>
  </si>
  <si>
    <t>7:57</t>
    <phoneticPr fontId="1"/>
  </si>
  <si>
    <t>7:58</t>
    <phoneticPr fontId="1"/>
  </si>
  <si>
    <t>18:31</t>
    <phoneticPr fontId="1"/>
  </si>
  <si>
    <t>17:02</t>
    <phoneticPr fontId="1"/>
  </si>
  <si>
    <t>残業時間</t>
    <rPh sb="0" eb="4">
      <t>ザンギョウジカン</t>
    </rPh>
    <phoneticPr fontId="1"/>
  </si>
  <si>
    <t>DIA.LAB.INTL(FECHA(AÑO(HakenkikanS)+1,MES(HakenkikanS),DIA(HakenkikanS)),25,1)</t>
    <phoneticPr fontId="1"/>
  </si>
  <si>
    <t>１　基本賃金</t>
    <phoneticPr fontId="1"/>
  </si>
  <si>
    <t>ヘ　就業規則に規定されている賃金等級等           ６　賃金の支払方法（　銀行振込　）</t>
    <phoneticPr fontId="1"/>
  </si>
  <si>
    <t>ホ　その他    (　　　　　      円)</t>
    <phoneticPr fontId="1"/>
  </si>
  <si>
    <t>雇入れ時の待遇情報明示書</t>
    <phoneticPr fontId="1"/>
  </si>
  <si>
    <t>(法31条の2第2項)</t>
    <phoneticPr fontId="1"/>
  </si>
  <si>
    <t>殿</t>
    <rPh sb="0" eb="1">
      <t>ドノ</t>
    </rPh>
    <phoneticPr fontId="1"/>
  </si>
  <si>
    <t>（事業所名）</t>
    <phoneticPr fontId="1"/>
  </si>
  <si>
    <t>（許可番号）</t>
    <phoneticPr fontId="1"/>
  </si>
  <si>
    <t xml:space="preserve">
協定対象派遣
労働者であるか否か</t>
    <phoneticPr fontId="1"/>
  </si>
  <si>
    <t>昇給・賞与・退職手当の有無</t>
    <phoneticPr fontId="1"/>
  </si>
  <si>
    <t>派遣労働者から申出を受けた苦情の処理に関する事項</t>
    <phoneticPr fontId="1"/>
  </si>
  <si>
    <t>(1)苦情の申し出先・処理方法・連携体制</t>
    <phoneticPr fontId="1"/>
  </si>
  <si>
    <t>(2)苦情処理方法</t>
    <phoneticPr fontId="1"/>
  </si>
  <si>
    <t>①派遣先における(1)記載の者が苦情の申し出を受けた時は、直ちに派遣先責任者へ連絡し当該派遣先責任者が中心となり誠意を持って遅滞なく当該苦情処理の適切かつ迅速な処理を図り、その結果について必ず派遣労働者に通知します。
②派遣元における(1)の記載の者が苦情の申し出を受けた時は、直ちに派遣元責任者へ連絡し当該派遣元責任者が中心となり誠意をもって遅滞なく当該苦情の適切かつ迅速な処理を図り、その結果について必ず派遣労働者に通知します。
③派遣先及び派遣元は、自らでその解決が容易であり即日に処理した苦情の他は、相互に遅滞なく通知するとともに、密接に連絡調整を行いつつ、その解決をはかることとする。</t>
    <phoneticPr fontId="1"/>
  </si>
  <si>
    <t>派遣先（部署）</t>
    <phoneticPr fontId="1"/>
  </si>
  <si>
    <t>派遣元（部署）</t>
    <phoneticPr fontId="1"/>
  </si>
  <si>
    <t>ユニバーサル企画株式会社</t>
    <phoneticPr fontId="8" type="noConversion"/>
  </si>
  <si>
    <t>ユニバーサル企画株式会社</t>
    <phoneticPr fontId="1"/>
  </si>
  <si>
    <t>許可番号　派　23-303669</t>
    <phoneticPr fontId="8" type="noConversion"/>
  </si>
  <si>
    <t>派　23-303669</t>
    <phoneticPr fontId="1"/>
  </si>
  <si>
    <r>
      <rPr>
        <sz val="10"/>
        <color theme="1"/>
        <rFont val="Segoe UI Symbol"/>
        <family val="1"/>
      </rPr>
      <t>☑</t>
    </r>
    <r>
      <rPr>
        <sz val="10"/>
        <color theme="1"/>
        <rFont val="HGP明朝B"/>
        <family val="1"/>
        <charset val="128"/>
      </rPr>
      <t>協定対象派遣労働者である　（当該協定の有効期間の終了日：　</t>
    </r>
    <phoneticPr fontId="1"/>
  </si>
  <si>
    <t>苦情処理担当者</t>
    <phoneticPr fontId="8" type="noConversion"/>
  </si>
  <si>
    <t>TEL</t>
    <phoneticPr fontId="1"/>
  </si>
  <si>
    <t>、製造設備継続研修　2時間、製造設備PC研修　2時間</t>
    <phoneticPr fontId="1"/>
  </si>
  <si>
    <r>
      <rPr>
        <sz val="10"/>
        <color rgb="FF000000"/>
        <rFont val="Segoe UI Symbol"/>
        <family val="1"/>
      </rPr>
      <t>☑</t>
    </r>
    <r>
      <rPr>
        <sz val="10"/>
        <color indexed="8"/>
        <rFont val="HGP明朝E"/>
        <family val="1"/>
        <charset val="128"/>
      </rPr>
      <t>食堂、</t>
    </r>
    <r>
      <rPr>
        <sz val="10"/>
        <color rgb="FF000000"/>
        <rFont val="Segoe UI Symbol"/>
        <family val="1"/>
      </rPr>
      <t>☑</t>
    </r>
    <r>
      <rPr>
        <sz val="10"/>
        <color indexed="8"/>
        <rFont val="HGP明朝E"/>
        <family val="1"/>
        <charset val="128"/>
      </rPr>
      <t>駐車場、</t>
    </r>
    <r>
      <rPr>
        <sz val="10"/>
        <color rgb="FF000000"/>
        <rFont val="Segoe UI Symbol"/>
        <family val="1"/>
      </rPr>
      <t>☑</t>
    </r>
    <r>
      <rPr>
        <sz val="10"/>
        <color indexed="8"/>
        <rFont val="HGP明朝E"/>
        <family val="1"/>
        <charset val="128"/>
      </rPr>
      <t>更衣室、</t>
    </r>
    <r>
      <rPr>
        <sz val="10"/>
        <color rgb="FF000000"/>
        <rFont val="Segoe UI Symbol"/>
        <family val="1"/>
      </rPr>
      <t>□</t>
    </r>
    <r>
      <rPr>
        <sz val="10"/>
        <color indexed="8"/>
        <rFont val="HGP明朝E"/>
        <family val="1"/>
        <charset val="128"/>
      </rPr>
      <t>シャワー室、制服（</t>
    </r>
    <r>
      <rPr>
        <sz val="10"/>
        <color rgb="FF000000"/>
        <rFont val="Segoe UI Symbol"/>
        <family val="1"/>
      </rPr>
      <t>□</t>
    </r>
    <r>
      <rPr>
        <sz val="10"/>
        <color indexed="8"/>
        <rFont val="HGP明朝E"/>
        <family val="1"/>
        <charset val="128"/>
      </rPr>
      <t>有償・</t>
    </r>
    <r>
      <rPr>
        <sz val="10"/>
        <color rgb="FF000000"/>
        <rFont val="Segoe UI Symbol"/>
        <family val="1"/>
      </rPr>
      <t>☑</t>
    </r>
    <r>
      <rPr>
        <sz val="10"/>
        <color indexed="8"/>
        <rFont val="HGP明朝E"/>
        <family val="1"/>
        <charset val="128"/>
      </rPr>
      <t>無償）〔その他　　　　　　　〕</t>
    </r>
    <phoneticPr fontId="0"/>
  </si>
  <si>
    <t>アサヒフォージ株式会社</t>
    <phoneticPr fontId="1"/>
  </si>
  <si>
    <t>真庭工場</t>
    <phoneticPr fontId="1"/>
  </si>
  <si>
    <t>0867-42-8786</t>
  </si>
  <si>
    <t>0867-42-8786</t>
    <phoneticPr fontId="1"/>
  </si>
  <si>
    <t>岡山県真庭市上河内3828-9</t>
    <phoneticPr fontId="1"/>
  </si>
  <si>
    <t>工場長　朝日　克次</t>
    <rPh sb="0" eb="3">
      <t>コウジョウチョウ</t>
    </rPh>
    <rPh sb="4" eb="6">
      <t>アサヒ</t>
    </rPh>
    <rPh sb="7" eb="9">
      <t>カツジ</t>
    </rPh>
    <phoneticPr fontId="1"/>
  </si>
  <si>
    <t>プレス</t>
    <phoneticPr fontId="1"/>
  </si>
  <si>
    <t>課長　古南　秀一</t>
    <rPh sb="0" eb="2">
      <t>カチョウ</t>
    </rPh>
    <rPh sb="3" eb="4">
      <t>フル</t>
    </rPh>
    <rPh sb="4" eb="5">
      <t>ミナミ</t>
    </rPh>
    <rPh sb="6" eb="8">
      <t>シュウイチ</t>
    </rPh>
    <phoneticPr fontId="1"/>
  </si>
  <si>
    <t>副工場長　久岡　正和</t>
    <rPh sb="0" eb="4">
      <t>フクコウジョウチョウ</t>
    </rPh>
    <rPh sb="5" eb="6">
      <t>ク</t>
    </rPh>
    <rPh sb="6" eb="7">
      <t>オカ</t>
    </rPh>
    <rPh sb="8" eb="10">
      <t>マサカズ</t>
    </rPh>
    <phoneticPr fontId="1"/>
  </si>
  <si>
    <t>①11：00～12：00（１H）　②20：00～21：00（１H）　③21：00～22：00（１H）　④22：00～23：00（１H）　　⑤23：00～00：00（１H）　⑥12：00～13：00（１H）</t>
    <phoneticPr fontId="1"/>
  </si>
  <si>
    <t>2024/1/22コーリツ州の崎工場⇒本社工場へ異動</t>
  </si>
  <si>
    <t>ﾃｨｰｹｰｴﾝｼﾞﾆｱﾘﾝｸﾞ</t>
  </si>
  <si>
    <t>PHAM BA BACH</t>
  </si>
  <si>
    <t>ファン　バ　バック</t>
  </si>
  <si>
    <t>県営長根住宅11棟308</t>
  </si>
  <si>
    <t>2022/7/1~ 1900円⇒2000円　2024/1/1～ 2000円⇒2100円</t>
  </si>
  <si>
    <t>愛知県弥富市鯏浦町南前新田83-1</t>
  </si>
  <si>
    <t>成広矢原ｺｰﾎﾟⅦ102号</t>
  </si>
  <si>
    <t>24.1.15</t>
  </si>
  <si>
    <t>1/31林</t>
  </si>
  <si>
    <t>静岡県袋井市旭町1丁目8番地の18</t>
  </si>
  <si>
    <t>ﾋﾞﾚｯｼﾞﾊｳｽ田島2棟305号</t>
  </si>
  <si>
    <t>ﾗﾌｨｰﾈ久能303号</t>
  </si>
  <si>
    <t>成広矢原ｺｰﾎﾟⅦ205</t>
  </si>
  <si>
    <t>長軸バリ取り</t>
  </si>
  <si>
    <t>長軸バリ取り、検査作業。</t>
  </si>
  <si>
    <t>成広ｺｰﾎﾟⅠ103号室</t>
  </si>
  <si>
    <t>ADHITYA LUNDIKA</t>
  </si>
  <si>
    <t>アディティア　ルンディカ</t>
  </si>
  <si>
    <t>1/29原</t>
  </si>
  <si>
    <t>請負より異動あり。</t>
  </si>
  <si>
    <t>24.1.10</t>
  </si>
  <si>
    <t>1/29林</t>
  </si>
  <si>
    <t>24.1.18</t>
  </si>
  <si>
    <t>THAI CONG BANG</t>
  </si>
  <si>
    <t>タイ　コン　バン</t>
  </si>
  <si>
    <t>LAI MINH TU</t>
  </si>
  <si>
    <t>ライ　ミン　トウ</t>
  </si>
  <si>
    <t>静岡県袋井市泉町1-5-3</t>
  </si>
  <si>
    <t>BeehiveresidenceⅨ202</t>
  </si>
  <si>
    <t>LE NHAT ANH</t>
  </si>
  <si>
    <t>レ　ニャット　アイン</t>
  </si>
  <si>
    <t>ﾌﾟﾁｾｿﾞﾝ101号</t>
  </si>
  <si>
    <t>TRAN TRUNG KIEN</t>
  </si>
  <si>
    <t>チャン　チュン　キエン</t>
  </si>
  <si>
    <t>NGUYEN PHUONG NAM</t>
  </si>
  <si>
    <t>グエン　フォン　ナム</t>
  </si>
  <si>
    <t>BUI VAN TRANG</t>
  </si>
  <si>
    <t>ブイ　ヴァン　チャン</t>
  </si>
  <si>
    <t>DO XUAN LOI</t>
  </si>
  <si>
    <t>ド　スアン　ロイ</t>
  </si>
  <si>
    <t>アサヒフォージ</t>
  </si>
  <si>
    <t>VU THI DUYEN</t>
  </si>
  <si>
    <t>ヴ　ティ　ズエン</t>
  </si>
  <si>
    <t>仕事内容2</t>
    <rPh sb="0" eb="5">
      <t>シゴトナイヨウ2</t>
    </rPh>
    <phoneticPr fontId="1"/>
  </si>
  <si>
    <t>鍛造品のプレス成型及び付帯業務</t>
    <rPh sb="0" eb="2">
      <t>タンゾウ</t>
    </rPh>
    <rPh sb="2" eb="3">
      <t>ヒン</t>
    </rPh>
    <rPh sb="7" eb="9">
      <t>セイガタ</t>
    </rPh>
    <rPh sb="9" eb="10">
      <t>オヨ</t>
    </rPh>
    <rPh sb="11" eb="12">
      <t>ツ</t>
    </rPh>
    <rPh sb="12" eb="13">
      <t>タイ</t>
    </rPh>
    <rPh sb="13" eb="15">
      <t>ギョウム</t>
    </rPh>
    <phoneticPr fontId="1"/>
  </si>
  <si>
    <t>鍛造品のプレス成型及び付帯業務</t>
    <rPh sb="0" eb="2">
      <t>タンゾウ</t>
    </rPh>
    <rPh sb="2" eb="3">
      <t>ヒン</t>
    </rPh>
    <rPh sb="7" eb="9">
      <t>セイケイ</t>
    </rPh>
    <rPh sb="9" eb="10">
      <t>オヨ</t>
    </rPh>
    <rPh sb="11" eb="13">
      <t>フタイ</t>
    </rPh>
    <rPh sb="13" eb="15">
      <t>ギョウム</t>
    </rPh>
    <phoneticPr fontId="1"/>
  </si>
  <si>
    <t>①6：00～15：00（定時）②15：00～00：00（定時）③16：00～2：00（残業１H）④17：00～4：00（残業2H）  　⑤18：00～6：00（残業3H）　⑥8：00～17：00（定時）</t>
    <rPh sb="12" eb="14">
      <t>テイジ</t>
    </rPh>
    <rPh sb="28" eb="30">
      <t>テイジ</t>
    </rPh>
    <rPh sb="43" eb="45">
      <t>ザンギョウ</t>
    </rPh>
    <rPh sb="60" eb="62">
      <t>ザンギョウ</t>
    </rPh>
    <rPh sb="80" eb="82">
      <t>ザンギョウ</t>
    </rPh>
    <rPh sb="98" eb="100">
      <t>テイジ</t>
    </rPh>
    <phoneticPr fontId="1"/>
  </si>
  <si>
    <t>鍛造課</t>
    <phoneticPr fontId="1"/>
  </si>
  <si>
    <t>真庭工場</t>
    <rPh sb="0" eb="2">
      <t>マニワ</t>
    </rPh>
    <rPh sb="2" eb="4">
      <t>コウジョウ</t>
    </rPh>
    <phoneticPr fontId="1"/>
  </si>
  <si>
    <t>5時間/日、42時間/月、320時間/年迄とする。但し、特別条項の申請により、80時間/月、720時間/年迄延長できる。申請は6回/年迄とする。</t>
    <phoneticPr fontId="1"/>
  </si>
  <si>
    <t>"ハ　時間給"&amp;"　　(　　"&amp;XLOOKUP(B6,TablaTransfor[カナ],TablaTransfor[時給],"",0,1)&amp;"     円)"</t>
    <phoneticPr fontId="1"/>
  </si>
  <si>
    <t>"イ　月給（　　　　円）、ロ　日給（　　　　円）              ４　賃金締切日（　　）当月"&amp;XLOOKUP(B1,TBKaishaInfo[ライン],TBKaishaInfo[作業者締め日],"",0,1)&amp;"締切"</t>
    <phoneticPr fontId="1"/>
  </si>
  <si>
    <t>イ　月給（　　　　円）、ロ　日給（　　　　円）              ４　賃金締切日（　　）当月</t>
    <phoneticPr fontId="1"/>
  </si>
  <si>
    <t>"ニ　出来高給（基本単価　　 円、保障給 　　円）      ５　賃金支払日（　　）翌月"&amp;XLOOKUP(B1,TBKaishaInfo[ライン],TBKaishaInfo[作業者支払日],"",0,1)&amp;"支払日"</t>
    <phoneticPr fontId="1"/>
  </si>
  <si>
    <t>ニ　出来高給（基本単価　　 円、保障給 　　円）      ５　賃金支払日（　　）翌月</t>
    <phoneticPr fontId="1"/>
  </si>
  <si>
    <t>派遣先の抵触日</t>
    <rPh sb="0" eb="3">
      <t>ハケンサキ</t>
    </rPh>
    <phoneticPr fontId="1"/>
  </si>
  <si>
    <t>組織（個人）抵触日</t>
    <rPh sb="0" eb="2">
      <t>ソシキ</t>
    </rPh>
    <rPh sb="3" eb="5">
      <t>コジン</t>
    </rPh>
    <rPh sb="6" eb="8">
      <t>テイショク</t>
    </rPh>
    <rPh sb="8" eb="9">
      <t>ビ</t>
    </rPh>
    <phoneticPr fontId="1"/>
  </si>
  <si>
    <t>なお、派遣先の事業所における派遣可能期間の延長について、当該手続を適正に行っていない場合や派遣労働者個人単位の期間制限の抵触日を超えて労働者派遣の役務の提供を受けた場合は、派遣先は労働契約申込みみなし制度の対象となる。</t>
    <phoneticPr fontId="1"/>
  </si>
  <si>
    <t>当該協定期間</t>
    <rPh sb="0" eb="1">
      <t>トウ</t>
    </rPh>
    <rPh sb="2" eb="4">
      <t>キョウテイ</t>
    </rPh>
    <rPh sb="4" eb="6">
      <t>キカン</t>
    </rPh>
    <phoneticPr fontId="1"/>
  </si>
  <si>
    <r>
      <t xml:space="preserve">
・昇　　給　（　</t>
    </r>
    <r>
      <rPr>
        <sz val="11"/>
        <color theme="1"/>
        <rFont val="Segoe UI Symbol"/>
        <family val="1"/>
      </rPr>
      <t>☑</t>
    </r>
    <r>
      <rPr>
        <sz val="11"/>
        <color theme="1"/>
        <rFont val="HGP明朝B"/>
        <family val="1"/>
        <charset val="128"/>
      </rPr>
      <t>有　（時期、金額等　　　　　　　　　　）　，　□無　）
・賞　　与　（　□有　（時期、金額等　　　　　　　　　　）　，　</t>
    </r>
    <r>
      <rPr>
        <sz val="11"/>
        <color theme="1"/>
        <rFont val="Segoe UI Symbol"/>
        <family val="1"/>
      </rPr>
      <t>☑</t>
    </r>
    <r>
      <rPr>
        <sz val="11"/>
        <color theme="1"/>
        <rFont val="HGP明朝B"/>
        <family val="1"/>
        <charset val="128"/>
      </rPr>
      <t>無  ）
・退職手当（　□有　（時期、金額等　　　　　　　　　　）　，　</t>
    </r>
    <r>
      <rPr>
        <sz val="11"/>
        <color theme="1"/>
        <rFont val="Segoe UI Symbol"/>
        <family val="1"/>
      </rPr>
      <t>☑</t>
    </r>
    <r>
      <rPr>
        <sz val="11"/>
        <color theme="1"/>
        <rFont val="HGP明朝B"/>
        <family val="1"/>
        <charset val="128"/>
      </rPr>
      <t xml:space="preserve">無　）
</t>
    </r>
    <phoneticPr fontId="1"/>
  </si>
  <si>
    <t>昼勤：10時00～10時10分・12時10分～12時50分・14時50分～15時00分 (休憩時間　60分）</t>
    <rPh sb="5" eb="6">
      <t>ジ</t>
    </rPh>
    <rPh sb="11" eb="12">
      <t>ジ</t>
    </rPh>
    <rPh sb="14" eb="15">
      <t>フン</t>
    </rPh>
    <rPh sb="45" eb="49">
      <t>キュウケイジカン</t>
    </rPh>
    <rPh sb="52" eb="53">
      <t>フン</t>
    </rPh>
    <phoneticPr fontId="1"/>
  </si>
  <si>
    <t xml:space="preserve">昼勤：10時00～10時10分・12時10分～12時50分・14時50分～15時00分 (休憩時間　60分） </t>
    <rPh sb="5" eb="6">
      <t>ジ</t>
    </rPh>
    <rPh sb="11" eb="12">
      <t>ジ</t>
    </rPh>
    <rPh sb="14" eb="15">
      <t>フン</t>
    </rPh>
    <phoneticPr fontId="1"/>
  </si>
  <si>
    <t>IF(B49="","",IF(AD47&lt;WORKDAY.INTL(DATE(YEAR(HakenkikanS)+1,MONTH(HakenkikanS),DAY(HakenkikanS)),65,1),"",IF(AND(AD48&gt;1,AD48&lt;10),"",WORKDAY.INTL(DATE(YEAR(HakenkikanS)+1,MONTH(HakenkikanS),DAY(HakenkikanS)),65,1))))</t>
    <phoneticPr fontId="1"/>
  </si>
  <si>
    <t>IF(B50="","",IF(AD47&lt;WORKDAY.INTL(DATE(YEAR(HakenkikanS)+2,MONTH(HakenkikanS),DAY(HakenkikanS)),65,1),"",IF(B50="","",IF(AND(AD48&gt;2,AD48&lt;10),"",WORKDAY.INTL(DATE(YEAR(HakenkikanS)+2,MONTH(HakenkikanS),DAY(HakenkikanS)),65,1)))))</t>
    <phoneticPr fontId="1"/>
  </si>
  <si>
    <t xml:space="preserve">    イ  所定時間外、法定超　月６０時間以内（    ）％</t>
    <phoneticPr fontId="1"/>
  </si>
  <si>
    <t xml:space="preserve">    ロ  休日　法定休日（     ）％、法定外休日（     ）％</t>
    <phoneticPr fontId="1"/>
  </si>
  <si>
    <r>
      <t>・　昇　　給 　 （</t>
    </r>
    <r>
      <rPr>
        <sz val="10"/>
        <rFont val="Segoe UI Symbol"/>
        <family val="1"/>
      </rPr>
      <t>□</t>
    </r>
    <r>
      <rPr>
        <sz val="10"/>
        <rFont val="HGP明朝B"/>
        <family val="1"/>
        <charset val="128"/>
      </rPr>
      <t>有　（時期、金額等　　　　 　　　　　　　　　　）　，□無　）</t>
    </r>
    <phoneticPr fontId="3"/>
  </si>
  <si>
    <r>
      <t>・　賞　　与 　 （□有　（時期、金額等　　　　 　　　　　　　　　　）　，</t>
    </r>
    <r>
      <rPr>
        <sz val="10"/>
        <rFont val="Segoe UI Symbol"/>
        <family val="2"/>
      </rPr>
      <t>□</t>
    </r>
    <r>
      <rPr>
        <sz val="10"/>
        <rFont val="HGP明朝B"/>
        <family val="1"/>
        <charset val="128"/>
      </rPr>
      <t>無　）</t>
    </r>
    <phoneticPr fontId="3"/>
  </si>
  <si>
    <r>
      <t>・　退職手当  （□有　（時期、金額等　　　　　　 　　　　　　　　）　，</t>
    </r>
    <r>
      <rPr>
        <sz val="10"/>
        <rFont val="Segoe UI Symbol"/>
        <family val="1"/>
      </rPr>
      <t>□</t>
    </r>
    <r>
      <rPr>
        <sz val="10"/>
        <rFont val="HGP明朝B"/>
        <family val="1"/>
        <charset val="128"/>
      </rPr>
      <t>無　）</t>
    </r>
    <phoneticPr fontId="3"/>
  </si>
  <si>
    <t xml:space="preserve">  ハ 深夜（    ）％</t>
    <phoneticPr fontId="1"/>
  </si>
  <si>
    <r>
      <rPr>
        <b/>
        <sz val="9"/>
        <rFont val="HGP明朝B"/>
        <family val="1"/>
        <charset val="128"/>
      </rPr>
      <t>１</t>
    </r>
    <r>
      <rPr>
        <sz val="9"/>
        <rFont val="HGP明朝B"/>
        <family val="1"/>
        <charset val="128"/>
      </rPr>
      <t>　年次有給休暇　６か月継続勤務した場合→10日   継続勤務６か月以内の年次有給休暇　（□有・</t>
    </r>
    <r>
      <rPr>
        <sz val="9"/>
        <rFont val="HGP明朝B"/>
        <family val="2"/>
        <charset val="128"/>
      </rPr>
      <t>□</t>
    </r>
    <r>
      <rPr>
        <sz val="9"/>
        <rFont val="HGP明朝B"/>
        <family val="1"/>
        <charset val="128"/>
      </rPr>
      <t xml:space="preserve">無）→　ヶ月経過で　日
　　               時間単位年休（□有・□無）
</t>
    </r>
    <r>
      <rPr>
        <b/>
        <sz val="9"/>
        <rFont val="HGP明朝B"/>
        <family val="1"/>
        <charset val="128"/>
      </rPr>
      <t>２</t>
    </r>
    <r>
      <rPr>
        <sz val="9"/>
        <rFont val="HGP明朝B"/>
        <family val="1"/>
        <charset val="128"/>
      </rPr>
      <t>　代替休暇（□有・</t>
    </r>
    <r>
      <rPr>
        <sz val="9"/>
        <rFont val="Segoe UI Symbol"/>
        <family val="1"/>
      </rPr>
      <t>□</t>
    </r>
    <r>
      <rPr>
        <sz val="9"/>
        <rFont val="HGP明朝B"/>
        <family val="1"/>
        <charset val="128"/>
      </rPr>
      <t xml:space="preserve">無）
</t>
    </r>
    <r>
      <rPr>
        <b/>
        <sz val="9"/>
        <rFont val="HGP明朝B"/>
        <family val="1"/>
        <charset val="128"/>
      </rPr>
      <t>３</t>
    </r>
    <r>
      <rPr>
        <sz val="9"/>
        <rFont val="HGP明朝B"/>
        <family val="1"/>
        <charset val="128"/>
      </rPr>
      <t>　その他の休暇　 有給（　　　　　　　　　　）
　　　　　　　     　 　無給（　　　　　　　　　　）
○詳細は、就業規則第３章　第２節　休暇　第４３条～第４５条</t>
    </r>
    <rPh sb="175" eb="176">
      <t>フミ</t>
    </rPh>
    <rPh sb="177" eb="178">
      <t>ダイ</t>
    </rPh>
    <rPh sb="179" eb="180">
      <t>セツ</t>
    </rPh>
    <rPh sb="181" eb="183">
      <t>キュウカ</t>
    </rPh>
    <rPh sb="184" eb="185">
      <t>ダイ</t>
    </rPh>
    <phoneticPr fontId="3"/>
  </si>
  <si>
    <t>所長　浜本　和法</t>
    <rPh sb="0" eb="2">
      <t>ショチョウ</t>
    </rPh>
    <rPh sb="3" eb="5">
      <t>ハマモト</t>
    </rPh>
    <rPh sb="6" eb="7">
      <t>ワ</t>
    </rPh>
    <rPh sb="7" eb="8">
      <t>ホウ</t>
    </rPh>
    <phoneticPr fontId="1"/>
  </si>
  <si>
    <t>□</t>
    <phoneticPr fontId="1"/>
  </si>
  <si>
    <t xml:space="preserve"> 協定対象派遣労働者であるか否か</t>
    <phoneticPr fontId="1"/>
  </si>
  <si>
    <r>
      <t xml:space="preserve"> </t>
    </r>
    <r>
      <rPr>
        <sz val="10"/>
        <rFont val="Segoe UI Symbol"/>
        <family val="1"/>
      </rPr>
      <t>☑</t>
    </r>
    <r>
      <rPr>
        <sz val="10"/>
        <rFont val="HGS明朝B"/>
        <family val="1"/>
        <charset val="128"/>
      </rPr>
      <t>協定対象派遣労働者である　( 当該協定の有効期間の終了日：　</t>
    </r>
    <phoneticPr fontId="1"/>
  </si>
  <si>
    <t xml:space="preserve">                □協定対象派遣労働者ではない</t>
    <phoneticPr fontId="1"/>
  </si>
  <si>
    <t xml:space="preserve"> 業務に伴う責任の程度 :</t>
    <phoneticPr fontId="1"/>
  </si>
  <si>
    <t>SI(B52="","",SI(AD50&lt;DIA.LAB.INTL(FECHA(AÑO(HakenkikanS)+1,MES(HakenkikanS),DIA(HakenkikanS)),65,1),"",DIA.LAB.INTL(FECHA(AÑO(HakenkikanS)+1,MES(HakenkikanS),DIA(HakenkikanS)),65,1)))</t>
    <phoneticPr fontId="1"/>
  </si>
  <si>
    <r>
      <t>SI(AD50&lt;DIA.LAB.INTL(FECHA(A</t>
    </r>
    <r>
      <rPr>
        <sz val="11"/>
        <rFont val="Calibri"/>
        <family val="1"/>
      </rPr>
      <t>ÑO(HakenkikanS)+1,MES(HakenkikanS),DIA(HakenkikanS)),65,1),"",SI(AD51&gt;=1,"2</t>
    </r>
    <r>
      <rPr>
        <sz val="11"/>
        <rFont val="HGS明朝B"/>
        <family val="1"/>
        <charset val="128"/>
      </rPr>
      <t>年目",""))</t>
    </r>
    <phoneticPr fontId="1"/>
  </si>
  <si>
    <r>
      <t xml:space="preserve"> (雇用保険： </t>
    </r>
    <r>
      <rPr>
        <sz val="10"/>
        <rFont val="Segoe UI Symbol"/>
        <family val="1"/>
      </rPr>
      <t>☑</t>
    </r>
    <r>
      <rPr>
        <sz val="10"/>
        <rFont val="Calibri"/>
        <family val="1"/>
      </rPr>
      <t xml:space="preserve"> </t>
    </r>
    <r>
      <rPr>
        <sz val="10"/>
        <rFont val="HGS明朝B"/>
        <family val="1"/>
        <charset val="128"/>
      </rPr>
      <t>有)  (健康保険：</t>
    </r>
    <r>
      <rPr>
        <sz val="10"/>
        <rFont val="Segoe UI Symbol"/>
        <family val="1"/>
      </rPr>
      <t>☑</t>
    </r>
    <r>
      <rPr>
        <sz val="10"/>
        <rFont val="Calibri"/>
        <family val="1"/>
      </rPr>
      <t xml:space="preserve"> </t>
    </r>
    <r>
      <rPr>
        <sz val="10"/>
        <rFont val="HGS明朝B"/>
        <family val="1"/>
        <charset val="128"/>
      </rPr>
      <t>有 ) (厚生年金保険：</t>
    </r>
    <r>
      <rPr>
        <sz val="10"/>
        <rFont val="Segoe UI Symbol"/>
        <family val="1"/>
      </rPr>
      <t>☑</t>
    </r>
    <r>
      <rPr>
        <sz val="10"/>
        <rFont val="Calibri"/>
        <family val="1"/>
      </rPr>
      <t xml:space="preserve"> </t>
    </r>
    <r>
      <rPr>
        <sz val="10"/>
        <rFont val="HGS明朝B"/>
        <family val="1"/>
        <charset val="128"/>
      </rPr>
      <t>有)</t>
    </r>
    <phoneticPr fontId="1"/>
  </si>
  <si>
    <t xml:space="preserve"> 社会保険・雇用保険の被保険者資格取得届の提出 の有無 :</t>
    <phoneticPr fontId="1"/>
  </si>
  <si>
    <t>※但し,特別条項により1ヶ月80時間迄、1年720時間迄延長できる。申請は年6回迄とする。</t>
    <phoneticPr fontId="1"/>
  </si>
  <si>
    <t>月～金　(シフトに準ずる）休日は、土曜日・日曜日・年末年始（12月28日～1月5日)・GW(4月29日～5月6日)・夏季休暇（8月9日～8月17日)</t>
    <rPh sb="9" eb="10">
      <t>ジュン</t>
    </rPh>
    <rPh sb="13" eb="15">
      <t>キュウジツ</t>
    </rPh>
    <phoneticPr fontId="1"/>
  </si>
  <si>
    <t>月～金　(シフトに準ずる）休日は、土曜日・日曜日・年末年始（12月28日～1月5日)・GW(4月29日～5月6日)・夏季休暇（8月9日～8月17日)</t>
    <phoneticPr fontId="1"/>
  </si>
  <si>
    <r>
      <t>時間外労働〔①□無 ・ ②</t>
    </r>
    <r>
      <rPr>
        <sz val="10"/>
        <color rgb="FF000000"/>
        <rFont val="Segoe UI Symbol"/>
        <family val="1"/>
      </rPr>
      <t>☑</t>
    </r>
    <r>
      <rPr>
        <sz val="10"/>
        <color indexed="8"/>
        <rFont val="HGP明朝E"/>
        <family val="1"/>
        <charset val="128"/>
      </rPr>
      <t xml:space="preserve">有（　１日5時間，1ヶ月42時間，1年320時間　）
</t>
    </r>
    <phoneticPr fontId="1"/>
  </si>
  <si>
    <t>説明者</t>
    <rPh sb="0" eb="3">
      <t>セツメイシャ</t>
    </rPh>
    <phoneticPr fontId="1"/>
  </si>
  <si>
    <t>愛知県弥富市楠三丁目13番地2</t>
  </si>
  <si>
    <t>0567-68-8110</t>
  </si>
  <si>
    <t>愛知事業所</t>
  </si>
  <si>
    <t>部長　安藤　忍　</t>
    <rPh sb="0" eb="2">
      <t>ブチョウ</t>
    </rPh>
    <phoneticPr fontId="1"/>
  </si>
  <si>
    <t>本社工場</t>
  </si>
  <si>
    <t>人事広報管理部</t>
  </si>
  <si>
    <t>部長　山田　茂</t>
    <rPh sb="0" eb="2">
      <t>ブチョウ</t>
    </rPh>
    <phoneticPr fontId="1"/>
  </si>
  <si>
    <t>１５日</t>
    <rPh sb="2" eb="3">
      <t>ニチ</t>
    </rPh>
    <phoneticPr fontId="1"/>
  </si>
  <si>
    <t>製作課</t>
  </si>
  <si>
    <t>短軸加工品、長軸加工品のスプライン加工、NCプログラム修正</t>
  </si>
  <si>
    <t>バリ取り</t>
  </si>
  <si>
    <t>施削加工品のバリ取り加工</t>
  </si>
  <si>
    <t>切紛回収</t>
  </si>
  <si>
    <t>NC施盤から排出される金属くずの回収</t>
  </si>
  <si>
    <t>六面加工</t>
  </si>
  <si>
    <t>CVJ部品の穴あけ加工</t>
  </si>
  <si>
    <t>0567-56-6681</t>
  </si>
  <si>
    <t>海南第一工場</t>
    <rPh sb="0" eb="6">
      <t>カイナンダイイチコウジョウ</t>
    </rPh>
    <phoneticPr fontId="1"/>
  </si>
  <si>
    <t>愛知県弥富市五斗山三丁目22番地</t>
  </si>
  <si>
    <t>営業課</t>
  </si>
  <si>
    <t>工場長　関山　太朗</t>
    <rPh sb="0" eb="3">
      <t>コウジョウチョウ</t>
    </rPh>
    <phoneticPr fontId="1"/>
  </si>
  <si>
    <t>E</t>
  </si>
  <si>
    <t>主任　照屋　寛国</t>
    <rPh sb="0" eb="2">
      <t>シュニン</t>
    </rPh>
    <phoneticPr fontId="1"/>
  </si>
  <si>
    <t>中間軸ブラケットの穴あけ加工、NCプログラム修正</t>
  </si>
  <si>
    <t>ブローチ</t>
  </si>
  <si>
    <t>MCU部品の施削加工</t>
  </si>
  <si>
    <t>スタブ</t>
  </si>
  <si>
    <t>スタブシャフト部品の施削加工、NCプログラム修正</t>
  </si>
  <si>
    <t>清掃</t>
    <rPh sb="0" eb="2">
      <t>セイソウ</t>
    </rPh>
    <phoneticPr fontId="0"/>
  </si>
  <si>
    <t>工場内の清掃作業</t>
  </si>
  <si>
    <t>切紛・材料</t>
    <rPh sb="0" eb="1">
      <t>セツ</t>
    </rPh>
    <rPh sb="1" eb="2">
      <t>フン</t>
    </rPh>
    <rPh sb="3" eb="5">
      <t>ザイリョウ</t>
    </rPh>
    <phoneticPr fontId="0"/>
  </si>
  <si>
    <t>金属くずの回収、自動ラインへの材料投入</t>
  </si>
  <si>
    <t>製作2課</t>
  </si>
  <si>
    <t>熱処理</t>
    <rPh sb="0" eb="3">
      <t>ネツショリ</t>
    </rPh>
    <phoneticPr fontId="0"/>
  </si>
  <si>
    <t>海南第一品証課</t>
  </si>
  <si>
    <t>検査</t>
    <rPh sb="0" eb="2">
      <t>ケンサ</t>
    </rPh>
    <phoneticPr fontId="0"/>
  </si>
  <si>
    <t>主任　松崎　信尚</t>
    <rPh sb="0" eb="2">
      <t>シュニン</t>
    </rPh>
    <phoneticPr fontId="1"/>
  </si>
  <si>
    <t>施削加工品の抜き取り検査</t>
  </si>
  <si>
    <t>TKE事業部</t>
    <rPh sb="3" eb="6">
      <t>ｼﾞｷﾞｮｳﾌﾞ</t>
    </rPh>
    <phoneticPr fontId="8" type="noConversion"/>
  </si>
  <si>
    <t>TKE第一営</t>
    <rPh sb="3" eb="5">
      <t>ﾀﾞｲｲﾁ</t>
    </rPh>
    <rPh sb="5" eb="6">
      <t>ｴｲ</t>
    </rPh>
    <phoneticPr fontId="8" type="noConversion"/>
  </si>
  <si>
    <t>課長　杉浦 勉</t>
    <rPh sb="0" eb="2">
      <t>ｶﾁｮｳ</t>
    </rPh>
    <rPh sb="3" eb="5">
      <t>ｽｷﾞｳﾗ</t>
    </rPh>
    <rPh sb="6" eb="7">
      <t>ﾂﾄﾑ</t>
    </rPh>
    <phoneticPr fontId="8" type="noConversion"/>
  </si>
  <si>
    <t>書類作成やデータ入力、電話・来客応対など</t>
  </si>
  <si>
    <t>海南第二工場</t>
  </si>
  <si>
    <t>産業機械部品の施削加工機オペレーター</t>
  </si>
  <si>
    <t>組立</t>
  </si>
  <si>
    <t>産業機械部品の組立、梱包</t>
  </si>
  <si>
    <t>海南第二品証課</t>
  </si>
  <si>
    <t>TKE事業部</t>
    <rPh sb="3" eb="5">
      <t>ｼﾞｷﾞｮｳ</t>
    </rPh>
    <rPh sb="5" eb="6">
      <t>ﾌﾞ</t>
    </rPh>
    <phoneticPr fontId="8" type="noConversion"/>
  </si>
  <si>
    <t>静岡事業所</t>
  </si>
  <si>
    <t>第一工場</t>
  </si>
  <si>
    <t>機械のクーラント液を補給する。NC施盤から排出される金属くずの回収</t>
  </si>
  <si>
    <t>材料投入</t>
  </si>
  <si>
    <t>機械加工する材料投入</t>
  </si>
  <si>
    <t>第二工場</t>
  </si>
  <si>
    <t>部長 金沢　信親</t>
    <phoneticPr fontId="8" type="noConversion"/>
  </si>
  <si>
    <t>副部長 服部　晃昌</t>
    <phoneticPr fontId="8" type="noConversion"/>
  </si>
  <si>
    <t>副部長 伊藤英昭</t>
    <phoneticPr fontId="8" type="noConversion"/>
  </si>
  <si>
    <t>0567-56-6711</t>
    <phoneticPr fontId="8" type="noConversion"/>
  </si>
  <si>
    <t>0538-48-5080</t>
    <phoneticPr fontId="8" type="noConversion"/>
  </si>
  <si>
    <t>海南第二工場</t>
    <phoneticPr fontId="8" type="noConversion"/>
  </si>
  <si>
    <t>第一工場</t>
    <phoneticPr fontId="8" type="noConversion"/>
  </si>
  <si>
    <t>愛知県弥富市六條町大崎11番地1</t>
    <phoneticPr fontId="8" type="noConversion"/>
  </si>
  <si>
    <t>静岡県袋井市山科2315番地1</t>
    <phoneticPr fontId="8" type="noConversion"/>
  </si>
  <si>
    <t>製作課</t>
    <phoneticPr fontId="8" type="noConversion"/>
  </si>
  <si>
    <t>ト精密</t>
    <phoneticPr fontId="8" type="noConversion"/>
  </si>
  <si>
    <t>W研磨</t>
    <phoneticPr fontId="8" type="noConversion"/>
  </si>
  <si>
    <t>検査</t>
    <phoneticPr fontId="8" type="noConversion"/>
  </si>
  <si>
    <t>CAD</t>
    <phoneticPr fontId="8" type="noConversion"/>
  </si>
  <si>
    <t>清掃作業・切子回収</t>
    <phoneticPr fontId="8" type="noConversion"/>
  </si>
  <si>
    <t>自動旋削</t>
    <phoneticPr fontId="8" type="noConversion"/>
  </si>
  <si>
    <t>手動旋削</t>
    <phoneticPr fontId="8" type="noConversion"/>
  </si>
  <si>
    <t>チャンファー</t>
    <phoneticPr fontId="8" type="noConversion"/>
  </si>
  <si>
    <t>転造</t>
    <phoneticPr fontId="8" type="noConversion"/>
  </si>
  <si>
    <t>PTJ</t>
    <phoneticPr fontId="8" type="noConversion"/>
  </si>
  <si>
    <t>ナット</t>
    <phoneticPr fontId="8" type="noConversion"/>
  </si>
  <si>
    <t>内輪</t>
    <phoneticPr fontId="8" type="noConversion"/>
  </si>
  <si>
    <t>トラニオン</t>
    <phoneticPr fontId="8" type="noConversion"/>
  </si>
  <si>
    <t>長軸バリ取り</t>
    <phoneticPr fontId="8" type="noConversion"/>
  </si>
  <si>
    <t>課長 村上　寛明</t>
  </si>
  <si>
    <t>主任 恒川　卓也</t>
    <rPh sb="0" eb="2">
      <t>ｼｭﾆﾝ</t>
    </rPh>
    <phoneticPr fontId="8" type="noConversion"/>
  </si>
  <si>
    <t>係長 伊藤　孝</t>
    <rPh sb="0" eb="2">
      <t>ｶｶﾘﾁｮｳ</t>
    </rPh>
    <phoneticPr fontId="8" type="noConversion"/>
  </si>
  <si>
    <t>リーダー 服部　晃昌</t>
  </si>
  <si>
    <t>愛知県半田市東洋町2丁目46番地</t>
  </si>
  <si>
    <t>県営半田住宅3棟301号</t>
  </si>
  <si>
    <t>ｼﾃｨﾊｲﾑﾌｶﾂA103号室</t>
  </si>
  <si>
    <t>本社工場製造2課3工区6班</t>
  </si>
  <si>
    <t>ｸﾞﾗﾝﾃﾞｰｻﾞ208</t>
  </si>
  <si>
    <t>444-1323</t>
  </si>
  <si>
    <t>愛知県高浜市田戸町二丁目6-40</t>
  </si>
  <si>
    <t>県営横浜住宅１棟301</t>
  </si>
  <si>
    <t>ﾋﾞﾚｯｼﾞﾊｳｽ恵那１棟403</t>
  </si>
  <si>
    <t>2024/1/22海南2から本社に異動</t>
  </si>
  <si>
    <t>24.1.22</t>
  </si>
  <si>
    <t>2/14林</t>
  </si>
  <si>
    <t>24.1.23</t>
  </si>
  <si>
    <t>24.1.25</t>
  </si>
  <si>
    <t>24.1.30</t>
  </si>
  <si>
    <t>2/28林</t>
  </si>
  <si>
    <t>ｱﾄﾚB棟205</t>
  </si>
  <si>
    <t>24.2.5</t>
  </si>
  <si>
    <t>24.2.19</t>
  </si>
  <si>
    <t>NGUYEN VU QUY</t>
  </si>
  <si>
    <t>グエン　ヴー　クイ</t>
  </si>
  <si>
    <t>471-0005</t>
  </si>
  <si>
    <t>愛知県豊田市京ヶ峰1-24-2</t>
  </si>
  <si>
    <t>ﾋﾞﾚｯｼﾞﾊｳｽ京ヶ峰ﾀﾜｰ1</t>
  </si>
  <si>
    <t>アダニヤ　ロベルト</t>
  </si>
  <si>
    <t>九番団地7棟1305号</t>
  </si>
  <si>
    <t>LE DINH LOI</t>
  </si>
  <si>
    <t>レ　ディン　ロイ</t>
  </si>
  <si>
    <t>PHAN VAN QUAN</t>
  </si>
  <si>
    <t>ファン　ヴァン　クウアン</t>
  </si>
  <si>
    <t>455-0806</t>
  </si>
  <si>
    <t>愛知県名古屋市港区明正2丁目176</t>
  </si>
  <si>
    <t>飯田第二ｺｰﾎﾟ103</t>
  </si>
  <si>
    <t>NGUYEN XUAN NAM</t>
  </si>
  <si>
    <t>グエン　スアン　ナム</t>
  </si>
  <si>
    <t>CAO VAN QUANG</t>
  </si>
  <si>
    <t>カオ　ヴァン　クアン</t>
  </si>
  <si>
    <t>グエン　ミン　トアイ</t>
  </si>
  <si>
    <t>LE BA PHU</t>
  </si>
  <si>
    <t>レ　バ　フー</t>
  </si>
  <si>
    <t>NGUYEN KHOA TIEN DAT</t>
  </si>
  <si>
    <t>グエン　コア　ティエン　ダット</t>
  </si>
  <si>
    <t>TRAN VAN CHINH</t>
  </si>
  <si>
    <t>チャン　ヴァン　チン</t>
  </si>
  <si>
    <t>NGUYEN DUY HUNG</t>
  </si>
  <si>
    <t>グエン　ズイ　フン</t>
  </si>
  <si>
    <t>VU VAN NGHIA</t>
  </si>
  <si>
    <t>ヴー　ヴァン　ギエ</t>
  </si>
  <si>
    <t>NGUYEN THANH LUAN</t>
  </si>
  <si>
    <t>グエン　タイン　ルアン</t>
  </si>
  <si>
    <t>NGUYEN MINH HIEU</t>
  </si>
  <si>
    <t>グエン　ミン　ヒエウ</t>
  </si>
  <si>
    <t>NGUYEN HONG HIEU</t>
  </si>
  <si>
    <t>グエン　ホン　ヒエウ</t>
  </si>
  <si>
    <t>NGUYEN HOANG HIEP</t>
  </si>
  <si>
    <t>グエン　ホアン　ヒエップ</t>
  </si>
  <si>
    <t>PHAM HUNG LUONG</t>
  </si>
  <si>
    <t>ファム　フン　ルオン</t>
  </si>
  <si>
    <t>TRAN NGUYEN MINH KHOA</t>
  </si>
  <si>
    <t>チャン　グエン　ミン　コア</t>
  </si>
  <si>
    <t>LE ANH TU</t>
  </si>
  <si>
    <t>レ　アイン　トゥ</t>
  </si>
  <si>
    <t>NGUYEN ANH TUAN</t>
  </si>
  <si>
    <t>グエン　アイン　トゥアン</t>
  </si>
  <si>
    <t>PHAN VAN HAI</t>
  </si>
  <si>
    <t>ファン　ヴァン　ハイ</t>
  </si>
  <si>
    <t>TRAN VAN TIEN</t>
  </si>
  <si>
    <t>チャン　バン　ティエン</t>
  </si>
  <si>
    <t>DO THI ANH</t>
  </si>
  <si>
    <t>ド　ティ　アイン</t>
  </si>
  <si>
    <t>5時間/日、42時間/月、320時間/年迄とする。但し、特別条項の申請により、80時間/月、720時間/年迄延長できる。申請は6回/年迄とする。</t>
  </si>
  <si>
    <t>岡山事業所</t>
    <rPh sb="2" eb="5">
      <t>ジギョウショ</t>
    </rPh>
    <phoneticPr fontId="1"/>
  </si>
  <si>
    <t>086-724-5330</t>
  </si>
  <si>
    <t>CVJ工場</t>
  </si>
  <si>
    <t>岡山県岡山市北区御津伊田1028-19</t>
  </si>
  <si>
    <t>CVJ 清掃</t>
  </si>
  <si>
    <t>課長　井上 雅支</t>
  </si>
  <si>
    <t>課長　大治 国利</t>
  </si>
  <si>
    <t>岡山事業部</t>
    <rPh sb="0" eb="2">
      <t>ｵｶﾔﾏ</t>
    </rPh>
    <phoneticPr fontId="8" type="noConversion"/>
  </si>
  <si>
    <t>部長　景森　敦士</t>
  </si>
  <si>
    <t>リーダー　高橋 幸宏</t>
  </si>
  <si>
    <t>ＣＶＪ短軸等速ジョイント旋削加工、ＮＣプログラム修正</t>
  </si>
  <si>
    <t>リーダー　三村 延芳</t>
  </si>
  <si>
    <t>ＣＶＪ長軸等速ジョイント旋削加工、ＮＣプログラム修正</t>
  </si>
  <si>
    <t>サブリーダー　山下　 裕督</t>
  </si>
  <si>
    <t>CVJ研磨係</t>
  </si>
  <si>
    <t>ＣＶＪ研磨等速ジョイント旋削加工、ＮＣプログラム修正</t>
  </si>
  <si>
    <t>ＣＶＪ転造等速ジョイント旋削加工、ＮＣプログラム修正</t>
  </si>
  <si>
    <t>HUB工場</t>
  </si>
  <si>
    <t>製作1課</t>
  </si>
  <si>
    <t>1次旋係.</t>
  </si>
  <si>
    <t>課長 竹原 陽祐</t>
  </si>
  <si>
    <t>ハブ加工 自動機の操作</t>
  </si>
  <si>
    <t>1次旋係</t>
  </si>
  <si>
    <t>ハブ加工 自動機の操作、ＮＣプログラム修正</t>
  </si>
  <si>
    <t>HUB 検査課係.</t>
  </si>
  <si>
    <t>副部長 中田 匡昭</t>
  </si>
  <si>
    <t>昼勤：8時30分～17時00分</t>
  </si>
  <si>
    <t>昼勤：12時00分～12時45分 まで（45分）</t>
  </si>
  <si>
    <t>昼勤：8時30分～16時15分</t>
  </si>
  <si>
    <t>岡山営業課</t>
  </si>
  <si>
    <t>材料管理係</t>
  </si>
  <si>
    <t>副部長 東郷 裕一</t>
  </si>
  <si>
    <t>材料入出庫の数量管理作業</t>
  </si>
  <si>
    <t>CVJﾊﾞﾘ取りﾁｬﾝﾌｧ係</t>
  </si>
  <si>
    <t>リーダー 有吉 秀人</t>
  </si>
  <si>
    <t>CVJバリ取りチャンファ等速ジョイント旋削加工</t>
  </si>
  <si>
    <t>444-1311</t>
  </si>
  <si>
    <t>愛知県高浜市本郷町１丁目３番地１</t>
  </si>
  <si>
    <t>岡山県岡山市北区御津矢原29-9-2</t>
  </si>
  <si>
    <t>成広矢原ｺｰﾎﾟⅦ　205</t>
  </si>
  <si>
    <t>請負より異動　2024/4/30までユアサ本社配属　2024/5/7よりユアサ御津に異動</t>
  </si>
  <si>
    <t>高雄工業株式会社第一営業部本社営業課</t>
  </si>
  <si>
    <t>TRAN THI TRANG</t>
  </si>
  <si>
    <t>チャン　ティ　チャン</t>
  </si>
  <si>
    <t>24.3.21</t>
  </si>
  <si>
    <t>3/22林</t>
  </si>
  <si>
    <t>愛知県高浜市湯山町八丁目13番地21</t>
  </si>
  <si>
    <t>ﾋﾞﾚｯｼﾞﾊｳｽ湯山1号棟104号室</t>
  </si>
  <si>
    <t>VU CONG MINH</t>
  </si>
  <si>
    <t>ヴ　コン　ミン</t>
  </si>
  <si>
    <t>成広矢原ｺｰﾎﾟⅢ101号</t>
  </si>
  <si>
    <t>2024.4.16</t>
  </si>
  <si>
    <t>4/25林</t>
  </si>
  <si>
    <t>2024.5.6</t>
  </si>
  <si>
    <t>5/20林</t>
  </si>
  <si>
    <t>PHAN TRUNG NAM</t>
  </si>
  <si>
    <t>ファン　チュン　ナム</t>
  </si>
  <si>
    <t>2024.5.13</t>
  </si>
  <si>
    <t>5/23林</t>
  </si>
  <si>
    <t>愛知県弥富市鯏浦町西前新田159-1</t>
  </si>
  <si>
    <t>2024/6/11高雄本社終了　202/6/17から川原鉄工所開始</t>
  </si>
  <si>
    <t>24/8/21~1250　24/2/21～1300</t>
  </si>
  <si>
    <t>455-0001</t>
  </si>
  <si>
    <t>愛知県名古屋市港区七番町2-11</t>
  </si>
  <si>
    <t>24.2.26</t>
  </si>
  <si>
    <t>3/27林</t>
  </si>
  <si>
    <t>24.3.4</t>
  </si>
  <si>
    <t>24.3.5</t>
  </si>
  <si>
    <t>3/28林</t>
  </si>
  <si>
    <t>24.3.6</t>
  </si>
  <si>
    <t>岡山県岡山市北区御津矢原307-1</t>
  </si>
  <si>
    <t>成広矢原ｺｰﾎﾟⅡ102号</t>
  </si>
  <si>
    <t>NGUYEN MINH THOAI</t>
  </si>
  <si>
    <t>愛知県弥富市鯏浦町中六109</t>
  </si>
  <si>
    <t>ｾﾗﾀｳﾝ弥冨B棟101</t>
  </si>
  <si>
    <t>24.3.8</t>
  </si>
  <si>
    <t>475-0043</t>
  </si>
  <si>
    <t>愛知県半田市乙川浜側町2-39</t>
  </si>
  <si>
    <t>ｺｰﾎﾟ浜側105</t>
  </si>
  <si>
    <t>24.3.11</t>
  </si>
  <si>
    <t>455-0014</t>
  </si>
  <si>
    <t>港楽荘4棟102号</t>
  </si>
  <si>
    <t>静岡県袋井市久能2807-1</t>
  </si>
  <si>
    <t>ﾛｼﾞｭﾏﾝ久能A棟203号</t>
  </si>
  <si>
    <t>24.3.12</t>
  </si>
  <si>
    <t>愛知県半田市乙川稗田町116　</t>
  </si>
  <si>
    <t>成広矢原ｺｰﾎﾟⅢ103号</t>
  </si>
  <si>
    <t>24.3.13</t>
  </si>
  <si>
    <t>愛知県弥富市平島中4-125</t>
  </si>
  <si>
    <t>平島中四丁目賃家</t>
  </si>
  <si>
    <t>24.3.14</t>
  </si>
  <si>
    <t>24.3.15</t>
  </si>
  <si>
    <t>愛知県弥富市平島町甲新田72-6</t>
  </si>
  <si>
    <t>ﾊｯﾋﾟｰｳｲﾝ長尾201</t>
  </si>
  <si>
    <t>岡山県井原氏七日市町696-2</t>
  </si>
  <si>
    <t>Florence1997 201号</t>
  </si>
  <si>
    <t>24.3.18</t>
  </si>
  <si>
    <t>WATANABE MAYORGA ARMANDO JOSE</t>
  </si>
  <si>
    <t>ワタナベ　アルマンド</t>
  </si>
  <si>
    <t>503-2124</t>
  </si>
  <si>
    <t>岐阜県不破郡垂井町宮代536番地の1</t>
  </si>
  <si>
    <t>ｱﾙﾃｰﾙ宮代A号</t>
  </si>
  <si>
    <t>ﾋﾞﾚｯｼﾞﾊｳｽ1-304</t>
  </si>
  <si>
    <t>4/15林</t>
  </si>
  <si>
    <t>TRAN VAN VIET</t>
  </si>
  <si>
    <t>チャン　ヴァン　ヴィエット</t>
  </si>
  <si>
    <t>559-0007</t>
  </si>
  <si>
    <t>大阪府大阪市住之江区粉浜西3丁目1番2</t>
  </si>
  <si>
    <t>904号</t>
  </si>
  <si>
    <t>24.3.25</t>
  </si>
  <si>
    <t>PHAM HOANG MINH</t>
  </si>
  <si>
    <t>ファム　ホアン　ミン</t>
  </si>
  <si>
    <t>2024.4.2</t>
  </si>
  <si>
    <t>TRAN VAN THAN</t>
  </si>
  <si>
    <t>チャン　ヴァン　タン</t>
  </si>
  <si>
    <t>ｺｯﾄﾝﾊｲﾂ105</t>
  </si>
  <si>
    <t>2024.4.4</t>
  </si>
  <si>
    <t>4/18林</t>
  </si>
  <si>
    <t>2024.4.11</t>
  </si>
  <si>
    <t>5/13原</t>
  </si>
  <si>
    <t>TRINH VAN TU</t>
  </si>
  <si>
    <t>チン　ヴァン　トウ</t>
  </si>
  <si>
    <t>4/26林</t>
  </si>
  <si>
    <t>本社工場工務課</t>
  </si>
  <si>
    <t>HO VAN THICH</t>
  </si>
  <si>
    <t>ホー　ヴァン　ティック</t>
  </si>
  <si>
    <t>2024.4.17</t>
  </si>
  <si>
    <t>TRAN THE HOANG</t>
  </si>
  <si>
    <t>チャン　テー　ホアン</t>
  </si>
  <si>
    <t>448-0013</t>
  </si>
  <si>
    <t>NGUYEN QUANG HOA</t>
  </si>
  <si>
    <t>グエン　クアン　ホア</t>
  </si>
  <si>
    <t>448-0803</t>
  </si>
  <si>
    <t>愛知県刈谷市野田町一本木27-1</t>
  </si>
  <si>
    <t>ﾋﾞﾚｯｼﾞﾊｳｽ野田5-405</t>
  </si>
  <si>
    <t>NGUYEN TRONG HIEU</t>
  </si>
  <si>
    <t>グエン　チゥン　ヒエウ</t>
  </si>
  <si>
    <t>474-0011</t>
  </si>
  <si>
    <t>愛知県大府市横根町午池80-2</t>
  </si>
  <si>
    <t>県営横根住宅403号</t>
  </si>
  <si>
    <t>チャン　バン　チン</t>
  </si>
  <si>
    <t>474-0026</t>
  </si>
  <si>
    <t>NGUYEN HONG SON</t>
  </si>
  <si>
    <t>グエン　ホン　ソン</t>
  </si>
  <si>
    <t>愛知県高浜市田戸町3-1-28</t>
  </si>
  <si>
    <t>ﾚｵﾊﾟﾚｽ田戸113</t>
  </si>
  <si>
    <t>2024.4.22</t>
  </si>
  <si>
    <t>DONG LE XUAN HIEP</t>
  </si>
  <si>
    <t>ドン　レ　スアン　ヒエップ</t>
  </si>
  <si>
    <t>PHAN HUU THI</t>
  </si>
  <si>
    <t>ファン　フュ　ティ</t>
  </si>
  <si>
    <t>TRAN TRONG KHOE</t>
  </si>
  <si>
    <t>チャン　チョン　クォエ</t>
  </si>
  <si>
    <t>愛知県半田市南大矢知町3-103-4</t>
  </si>
  <si>
    <t>ｺﾞｰﾙﾄﾞﾊｲﾂC101</t>
  </si>
  <si>
    <t>5/22林</t>
  </si>
  <si>
    <t>NGUYEN HOANG TRUNG</t>
  </si>
  <si>
    <t>グエン　ホアン　チュン</t>
  </si>
  <si>
    <t>愛知県弥富市前ケ須町勘助走29-1</t>
  </si>
  <si>
    <t>ﾌﾟﾚｼﾞｵC202</t>
  </si>
  <si>
    <t>VU VAN SON</t>
  </si>
  <si>
    <t>ヴ　ヴァン　ソン</t>
  </si>
  <si>
    <t>TRAN DUC TOAN</t>
  </si>
  <si>
    <t>チャン　ドゥック　トアン</t>
  </si>
  <si>
    <t>愛知県弥富市前ヶ須町勘助走29-1</t>
  </si>
  <si>
    <t>PHAM VAN DONG</t>
  </si>
  <si>
    <t>ファム　バン　ドン</t>
  </si>
  <si>
    <t>DO DUC TUAN</t>
  </si>
  <si>
    <t>ド　ドゥック　トゥアン</t>
  </si>
  <si>
    <t>NGUYEN VAN TU</t>
  </si>
  <si>
    <t>グエン　バン　トゥ</t>
  </si>
  <si>
    <t>NGUYEN QUANG DAI</t>
  </si>
  <si>
    <t>グエン　クアン　ダイ</t>
  </si>
  <si>
    <t>TRAN THI LE</t>
  </si>
  <si>
    <t>チャン　ティ　レ</t>
  </si>
  <si>
    <t>TRUONG DINH HUNG</t>
  </si>
  <si>
    <t>トゥン　ディン　フン</t>
  </si>
  <si>
    <t>第2工場</t>
    <rPh sb="0" eb="1">
      <t>ダイ</t>
    </rPh>
    <rPh sb="2" eb="4">
      <t>コウジョウ</t>
    </rPh>
    <phoneticPr fontId="1"/>
  </si>
  <si>
    <t>第2製造課</t>
    <phoneticPr fontId="1"/>
  </si>
  <si>
    <t>係長 舘　雅人</t>
    <rPh sb="0" eb="2">
      <t>ｶｶﾘﾁｮｳ</t>
    </rPh>
    <phoneticPr fontId="8" type="noConversion"/>
  </si>
  <si>
    <t>課長　山本　大介</t>
    <rPh sb="0" eb="2">
      <t>カチョウ</t>
    </rPh>
    <phoneticPr fontId="1"/>
  </si>
  <si>
    <t>係長　山本　絋平</t>
    <rPh sb="0" eb="2">
      <t>カカリチョウ</t>
    </rPh>
    <phoneticPr fontId="1"/>
  </si>
  <si>
    <t>BUSCARX($B$1,TBKaishaInfo[ライン],TBKaishaInfo[指示命令者部署])&amp;" (係長)"</t>
    <phoneticPr fontId="1"/>
  </si>
  <si>
    <t>愛知銀行　当知支店　普通2075479　名義人　ユニバーサル企画（株）</t>
  </si>
  <si>
    <t>愛知銀行　当知支店　普通2075479　名義人　ユニバーサル企画（株）</t>
    <rPh sb="5" eb="7">
      <t>トウチ</t>
    </rPh>
    <phoneticPr fontId="1"/>
  </si>
  <si>
    <t>愛知銀行　当知支店　普通2075479　名義人　ユニバーサル企画（株）</t>
    <rPh sb="0" eb="2">
      <t>アイチ</t>
    </rPh>
    <rPh sb="2" eb="3">
      <t>ギン</t>
    </rPh>
    <rPh sb="10" eb="12">
      <t>フツウ</t>
    </rPh>
    <rPh sb="20" eb="23">
      <t>メイギジン</t>
    </rPh>
    <rPh sb="30" eb="32">
      <t>キカク</t>
    </rPh>
    <rPh sb="32" eb="35">
      <t>カブ</t>
    </rPh>
    <phoneticPr fontId="1"/>
  </si>
  <si>
    <t>土曜日・日曜日・年末年始（12月30日～1月7日)・GW(4月28日～5月5日)・夏季休暇（8月11日～8月18日)</t>
  </si>
  <si>
    <t>土曜日・日曜日・年末年始（12月30日～1月7日)・GW(4月28日～5月5日)・夏季休暇（8月11日～8月18日)</t>
    <phoneticPr fontId="1"/>
  </si>
  <si>
    <t>もらって</t>
    <phoneticPr fontId="8" type="noConversion"/>
  </si>
  <si>
    <t>熱処理</t>
  </si>
  <si>
    <t>ハブ加工品への熱処理加工作業。</t>
    <phoneticPr fontId="1"/>
  </si>
  <si>
    <t>施削加工品の抜き取り検査</t>
    <phoneticPr fontId="1"/>
  </si>
  <si>
    <t>免許種類</t>
  </si>
  <si>
    <t>免許期限</t>
  </si>
  <si>
    <t>原付</t>
  </si>
  <si>
    <t>PHAM VAN CANH</t>
  </si>
  <si>
    <t>2024.5.27</t>
  </si>
  <si>
    <t>6/24林</t>
  </si>
  <si>
    <t>愛知県名古屋市港区港楽1-1-10</t>
  </si>
  <si>
    <t>2024.6.3</t>
  </si>
  <si>
    <t>本社工場製造1課2工区3班</t>
  </si>
  <si>
    <t>2024.6.10</t>
  </si>
  <si>
    <t>719-3227</t>
  </si>
  <si>
    <t>岡山県真庭市台金屋624-10</t>
  </si>
  <si>
    <t>A-style台金屋1-105号室</t>
  </si>
  <si>
    <t>2024.6.17</t>
  </si>
  <si>
    <t>7/2林</t>
  </si>
  <si>
    <t>2024.6.18</t>
  </si>
  <si>
    <t>DAO THE DIEU</t>
  </si>
  <si>
    <t>ダオ　テー　ジエウ</t>
  </si>
  <si>
    <t>NGUYEN VAN PHUONG</t>
  </si>
  <si>
    <t>グエン　ヴァン　フォン</t>
  </si>
  <si>
    <t>愛知県半田市長根町3丁目1</t>
  </si>
  <si>
    <t>県営長根住宅6棟405号</t>
  </si>
  <si>
    <t>CHU VAN LOC</t>
  </si>
  <si>
    <t>チュ　ヴァン　ロック</t>
  </si>
  <si>
    <t>NGUYEN VAN THACH</t>
  </si>
  <si>
    <t>グエン　ヴァン　タック</t>
  </si>
  <si>
    <t>CHU VAN TIEN</t>
  </si>
  <si>
    <t>ツ　ヴァン　テイエン</t>
  </si>
  <si>
    <t>NGUYEN THI THO</t>
  </si>
  <si>
    <t>課長　堂口　達也</t>
    <rPh sb="0" eb="2">
      <t>カチョウ</t>
    </rPh>
    <phoneticPr fontId="1"/>
  </si>
  <si>
    <t>岡山品質保証部</t>
    <rPh sb="0" eb="2">
      <t>オカヤマ</t>
    </rPh>
    <rPh sb="2" eb="4">
      <t>ヒンシツ</t>
    </rPh>
    <rPh sb="4" eb="6">
      <t>ホショウ</t>
    </rPh>
    <rPh sb="6" eb="7">
      <t>ブ</t>
    </rPh>
    <phoneticPr fontId="1"/>
  </si>
  <si>
    <t>ハブ加工品の2次施削、手動機械オペレーターNCプログラム修正,梱包作業</t>
    <rPh sb="31" eb="35">
      <t>コンポウサギョウ</t>
    </rPh>
    <phoneticPr fontId="1"/>
  </si>
  <si>
    <t>段取</t>
    <rPh sb="0" eb="2">
      <t>ダンド</t>
    </rPh>
    <phoneticPr fontId="1"/>
  </si>
  <si>
    <t>加工機や治具・装置の設定を変更する作業</t>
    <rPh sb="0" eb="3">
      <t>カコウキ</t>
    </rPh>
    <rPh sb="4" eb="6">
      <t>ジグ</t>
    </rPh>
    <rPh sb="7" eb="9">
      <t>ソウチ</t>
    </rPh>
    <rPh sb="10" eb="12">
      <t>セッテイ</t>
    </rPh>
    <rPh sb="13" eb="15">
      <t>ヘンコウ</t>
    </rPh>
    <rPh sb="17" eb="19">
      <t>サギョウ</t>
    </rPh>
    <phoneticPr fontId="1"/>
  </si>
  <si>
    <t>課長　吉田　健太郎</t>
    <rPh sb="0" eb="2">
      <t>カチョウ</t>
    </rPh>
    <rPh sb="3" eb="5">
      <t>ヨシダ</t>
    </rPh>
    <rPh sb="6" eb="9">
      <t>ケンタロウ</t>
    </rPh>
    <phoneticPr fontId="1"/>
  </si>
  <si>
    <t>係長 井手　直人</t>
    <rPh sb="0" eb="2">
      <t>ｶｶﾘﾁｮｳ</t>
    </rPh>
    <phoneticPr fontId="8" type="noConversion"/>
  </si>
  <si>
    <t>リーダー 砂山　博昭</t>
    <phoneticPr fontId="8" type="noConversion"/>
  </si>
  <si>
    <t>リーダー 山本　航也</t>
    <phoneticPr fontId="1"/>
  </si>
  <si>
    <t>リーダー 亀岡　崇司</t>
    <phoneticPr fontId="8" type="noConversion"/>
  </si>
  <si>
    <t>サブリーダー　中村　光弘</t>
    <rPh sb="7" eb="9">
      <t>ﾅｶﾑﾗ</t>
    </rPh>
    <rPh sb="10" eb="12">
      <t>ﾐﾂﾋﾛ</t>
    </rPh>
    <phoneticPr fontId="8" type="noConversion"/>
  </si>
  <si>
    <t>寺田　拓人</t>
    <phoneticPr fontId="1"/>
  </si>
  <si>
    <t>副工場長　住田　貴雄</t>
    <rPh sb="0" eb="1">
      <t>ﾌｸ</t>
    </rPh>
    <rPh sb="5" eb="7">
      <t>ｽﾐﾀ</t>
    </rPh>
    <phoneticPr fontId="8" type="noConversion"/>
  </si>
  <si>
    <t>通勤方法</t>
  </si>
  <si>
    <t>任意保険期限</t>
  </si>
  <si>
    <t>HUB</t>
  </si>
  <si>
    <t>自転車</t>
  </si>
  <si>
    <t>小型二輪</t>
  </si>
  <si>
    <t>車</t>
  </si>
  <si>
    <t>高雄工業株式会社 第二営業部海南HUB営業課</t>
  </si>
  <si>
    <t>普通免許</t>
  </si>
  <si>
    <t>663-8183</t>
  </si>
  <si>
    <t>京田住宅2号棟244</t>
  </si>
  <si>
    <t>TRAN QUANG DUC</t>
  </si>
  <si>
    <t>チャン　クアン　ドゥック</t>
  </si>
  <si>
    <t>NGUYEN MANH CUONG</t>
  </si>
  <si>
    <t>グエン　マイン　クオン</t>
  </si>
  <si>
    <t>NGUYEN VAN DAT</t>
  </si>
  <si>
    <t>グエン　ヴァン　ダット</t>
  </si>
  <si>
    <t>NGUYEN CONG NAM</t>
  </si>
  <si>
    <t>グエン　コン　ナム</t>
  </si>
  <si>
    <t>HUB。</t>
    <phoneticPr fontId="1"/>
  </si>
  <si>
    <t>第二営業部</t>
    <rPh sb="0" eb="2">
      <t>ダイニ</t>
    </rPh>
    <rPh sb="2" eb="4">
      <t>エイギョウ</t>
    </rPh>
    <rPh sb="4" eb="5">
      <t>ブ</t>
    </rPh>
    <phoneticPr fontId="1"/>
  </si>
  <si>
    <t>HUB 検査課係</t>
    <phoneticPr fontId="1"/>
  </si>
  <si>
    <t>岡山HUB品証課</t>
    <phoneticPr fontId="1"/>
  </si>
  <si>
    <t>管理部 管理課</t>
    <rPh sb="0" eb="2">
      <t>カンリ</t>
    </rPh>
    <rPh sb="2" eb="3">
      <t>ブ</t>
    </rPh>
    <rPh sb="4" eb="7">
      <t>カンリカ</t>
    </rPh>
    <phoneticPr fontId="1"/>
  </si>
  <si>
    <t>月～金　(シフトに準ずる）休日は、土曜日・日曜日・年末年始（12月30日～1月7日)・GW(4月28日～5月5日)・夏季休暇（8月11日～8月18日)</t>
    <phoneticPr fontId="1"/>
  </si>
  <si>
    <t xml:space="preserve"> </t>
    <phoneticPr fontId="1"/>
  </si>
  <si>
    <t>HUB 検査課係.</t>
    <phoneticPr fontId="1"/>
  </si>
  <si>
    <t>原付免許</t>
  </si>
  <si>
    <t>ｱﾄﾚA棟106</t>
  </si>
  <si>
    <t>愛知県高浜市神明町2-2-36</t>
  </si>
  <si>
    <t>ﾄﾞﾐｰﾙ神明B-103</t>
  </si>
  <si>
    <t>2024/6/28まで洲の崎　7/1～本社</t>
  </si>
  <si>
    <t>岐阜県恵那市長島町中野480-6</t>
  </si>
  <si>
    <t>2024.6.21</t>
  </si>
  <si>
    <t>7/19林</t>
  </si>
  <si>
    <t>2024.6.24</t>
  </si>
  <si>
    <t>2024.6.25</t>
  </si>
  <si>
    <t>2024.6.27</t>
  </si>
  <si>
    <t>NGUYEN MINH TIEN</t>
  </si>
  <si>
    <t>グエン　ミン　ティエン</t>
  </si>
  <si>
    <t>3/21～　\1500⇒￥1600</t>
  </si>
  <si>
    <t>ｱﾙｿｰﾚD202</t>
  </si>
  <si>
    <t>2024.7.1</t>
  </si>
  <si>
    <t>509-7205</t>
  </si>
  <si>
    <t>ﾄﾞﾐｰﾙ神明B-101</t>
  </si>
  <si>
    <t>2024.7.8</t>
  </si>
  <si>
    <t>2024.7.9</t>
  </si>
  <si>
    <t>岡山県岡山市北区御津矢原299－2</t>
  </si>
  <si>
    <t>2024.7.10</t>
  </si>
  <si>
    <t>PHAM HUYNH DUC</t>
  </si>
  <si>
    <t>ファム　フィン　ドゥック</t>
  </si>
  <si>
    <t>ｱﾙｿｰﾚC201</t>
  </si>
  <si>
    <t>2024.7.12</t>
  </si>
  <si>
    <t>2024/7/10まで請負。7/12～PATEC</t>
  </si>
  <si>
    <t>NGUYEN TRONG DAI</t>
  </si>
  <si>
    <t>グエン　チョン　ダイ</t>
  </si>
  <si>
    <t>NGUYEN VAN HAN</t>
  </si>
  <si>
    <t>グエン　ヴァン　ハン</t>
  </si>
  <si>
    <t>2024.7.15</t>
  </si>
  <si>
    <t>NGUYEN VAN LINH</t>
  </si>
  <si>
    <t>グエン　ヴァン　リン</t>
  </si>
  <si>
    <t>VUONG CONG MINH</t>
  </si>
  <si>
    <t>ヴォン　コン　ミン</t>
  </si>
  <si>
    <t>グエン　ティ　ト</t>
  </si>
  <si>
    <t>第5工場</t>
    <rPh sb="0" eb="1">
      <t>ダイ</t>
    </rPh>
    <rPh sb="2" eb="4">
      <t>コウジョウ</t>
    </rPh>
    <phoneticPr fontId="1"/>
  </si>
  <si>
    <t>第2工場</t>
  </si>
  <si>
    <r>
      <rPr>
        <sz val="9"/>
        <color theme="1"/>
        <rFont val="Segoe UI Symbol"/>
        <family val="1"/>
      </rPr>
      <t>☑</t>
    </r>
    <r>
      <rPr>
        <sz val="9"/>
        <color theme="1"/>
        <rFont val="HGP明朝E"/>
        <family val="1"/>
        <charset val="128"/>
      </rPr>
      <t>協定対象派遣労働者である　　</t>
    </r>
    <r>
      <rPr>
        <sz val="9"/>
        <color theme="0"/>
        <rFont val="HGP明朝E"/>
        <family val="1"/>
        <charset val="128"/>
      </rPr>
      <t>当該協定の有期期間の終了日</t>
    </r>
    <phoneticPr fontId="1"/>
  </si>
  <si>
    <t>←Coloque en blanco las fechas que se hizo el contrato con kyotei</t>
    <phoneticPr fontId="1"/>
  </si>
  <si>
    <t>XLOOKUP($C$4,TablaTransfor[カナ],TablaTransfor[unicosF],"Check",0,1)</t>
    <phoneticPr fontId="1"/>
  </si>
  <si>
    <t>Lo de arriba es el cierre de contratpo el comienzo es de C y el final es F</t>
    <phoneticPr fontId="1"/>
  </si>
  <si>
    <t>関ケ原工場　総務部</t>
    <rPh sb="0" eb="5">
      <t>セキガハラコウジョウ</t>
    </rPh>
    <rPh sb="6" eb="8">
      <t>ソウム</t>
    </rPh>
    <rPh sb="8" eb="9">
      <t>ブ</t>
    </rPh>
    <phoneticPr fontId="1"/>
  </si>
  <si>
    <t>休日</t>
    <rPh sb="0" eb="1">
      <t>キュウ</t>
    </rPh>
    <rPh sb="1" eb="2">
      <t>ヒ</t>
    </rPh>
    <phoneticPr fontId="0"/>
  </si>
  <si>
    <t>HUB</t>
    <phoneticPr fontId="1"/>
  </si>
  <si>
    <t>23-24</t>
    <phoneticPr fontId="1"/>
  </si>
  <si>
    <t>22-23</t>
    <phoneticPr fontId="1"/>
  </si>
  <si>
    <t>土曜日・日曜日・年末年始（12月31日～1月8日)・GW(4月29日～5月7日)・夏季休暇（8月12日～8月20日)</t>
    <phoneticPr fontId="1"/>
  </si>
  <si>
    <t>土曜日・日曜日・夏季休暇（8月13日～8月20日)・年末年始(12月30日～1月7日)・GW（4月28日～5月5日)</t>
    <phoneticPr fontId="1"/>
  </si>
  <si>
    <t>土曜日・日曜日・夏季休暇（8月11日～8月18日)・年末年始(12月29日～1月5日)・GW（4月30日～5月6日)</t>
    <phoneticPr fontId="1"/>
  </si>
  <si>
    <t>月～金　(シフトに準ずる）休日は、土曜日・日曜日・年末年始（12月31日～1月8日)・GW(4月29日～5月7日)・夏季休暇（8月12日～8月20日)</t>
    <phoneticPr fontId="1"/>
  </si>
  <si>
    <t>3時間/日、42時間/月、320時間/年迄とする。但し、特別条項の申請により、80時間/月、720時間/年迄延長できる。申請は5回/年迄とする。</t>
  </si>
  <si>
    <t>退社</t>
  </si>
  <si>
    <t>VI THI HUE</t>
  </si>
  <si>
    <t>ヴィ　ティ　フェ</t>
  </si>
  <si>
    <t>2020/11/21 1200⇒1250　2021/2/21　1250⇒1300</t>
  </si>
  <si>
    <t>愛知県豊田市美里2‐6‐9</t>
  </si>
  <si>
    <t>NGUYEN QUANG THANG</t>
  </si>
  <si>
    <t>グエン　クアン　タン</t>
  </si>
  <si>
    <t>2021/2/21~　1750⇒1800</t>
  </si>
  <si>
    <t>NGUYEN HUY HOANG</t>
  </si>
  <si>
    <t>グエン　フイ　ホアン</t>
  </si>
  <si>
    <t>州の埼工場　製造２課２工区３班</t>
  </si>
  <si>
    <t>2020/11/21 1200⇒1250　2021/2/22PMI⇒ｺｰﾘﾂ移動</t>
  </si>
  <si>
    <t>愛知県半田市長根町3丁目1番　</t>
  </si>
  <si>
    <t>2/27ｼｬﾙﾏﾝ苗代102号から自分のアパートに移動</t>
  </si>
  <si>
    <t>DANG ANH DUNG</t>
  </si>
  <si>
    <t>ダン　アン　ズン</t>
  </si>
  <si>
    <t>HOANG ANH DAC</t>
  </si>
  <si>
    <t>ホアン　アン　ダック</t>
  </si>
  <si>
    <t>2021/2/21~　1800⇒1850</t>
  </si>
  <si>
    <t>愛知県豊田市松平志賀町柿谷下28番地</t>
  </si>
  <si>
    <t>市営Ｂ102号</t>
  </si>
  <si>
    <t>TRINH VAN HIEP</t>
  </si>
  <si>
    <t>チン　ヴァン　ヒエップ</t>
  </si>
  <si>
    <t>2020/12/21 1200⇒1250　2021/3/21　1250→1300</t>
  </si>
  <si>
    <t>2021/2/21　1250⇒1300　2022/6/21　1300円⇒1350円</t>
  </si>
  <si>
    <t>474-0052</t>
  </si>
  <si>
    <t>ﾋﾞﾚｯｼﾞﾊｳｽ長草5号棟104</t>
  </si>
  <si>
    <t>2022/7/2~個人のアパートに移動</t>
  </si>
  <si>
    <t>ヌクイ　アキラ</t>
  </si>
  <si>
    <t>503-0936</t>
  </si>
  <si>
    <t>岐阜県大垣市内原1-468</t>
  </si>
  <si>
    <t>4F-2</t>
  </si>
  <si>
    <t>安慶名　エジソン</t>
  </si>
  <si>
    <t>加藤　佑樹</t>
  </si>
  <si>
    <t>カトウ　ユウキ</t>
  </si>
  <si>
    <t>　</t>
  </si>
  <si>
    <t>三重県桑名郡木曽岬町見入流作5</t>
  </si>
  <si>
    <t>1/1予定</t>
  </si>
  <si>
    <t>エガミ　アンドレ</t>
  </si>
  <si>
    <t>愛知県弥富市平島町中新田194-１</t>
  </si>
  <si>
    <t>ｺﾝﾂｪﾙﾊｳｽⅡC棟203</t>
  </si>
  <si>
    <t>LUONG KHAC SINH</t>
  </si>
  <si>
    <t>ルウン　カック　シン</t>
  </si>
  <si>
    <t>愛知県海部郡蟹江町城1-198</t>
  </si>
  <si>
    <t>ﾒｿﾞﾝｶｰｽﾙ101</t>
  </si>
  <si>
    <t>NGUYEN VAN SON</t>
  </si>
  <si>
    <t>グエン　ヴァン　ソン</t>
  </si>
  <si>
    <t>注意</t>
  </si>
  <si>
    <t>BUI VAN LUAN</t>
  </si>
  <si>
    <t>ブイ　ヴァン　ルアン</t>
  </si>
  <si>
    <t>455-0832</t>
  </si>
  <si>
    <t>愛知県名古屋市港区宝神2-1107</t>
  </si>
  <si>
    <t>第18和興ﾏﾝｼｮﾝ北館202</t>
  </si>
  <si>
    <t>近藤　満博</t>
  </si>
  <si>
    <t>コンドウ　ミツヒロ</t>
  </si>
  <si>
    <t>入社3か月後50円UP(予定)</t>
  </si>
  <si>
    <t>愛知県名古屋市港区油屋3-28-3</t>
  </si>
  <si>
    <t>ｴｽﾎﾟｱｸｲﾝｽﾞｺｰﾄ20Ｃ</t>
  </si>
  <si>
    <t>アレックス　フェルナンド</t>
  </si>
  <si>
    <t>503-0993</t>
  </si>
  <si>
    <t>岐阜県大垣市荒川町303番地1</t>
  </si>
  <si>
    <t>ﾒｿﾞﾝT&amp;T202</t>
  </si>
  <si>
    <t>2026/020</t>
  </si>
  <si>
    <t>NGUYEN PHI THAO</t>
  </si>
  <si>
    <t>グエン　フィ　タオ</t>
  </si>
  <si>
    <t>HOANG VAN TUC</t>
  </si>
  <si>
    <t>鈴木 マルシオ</t>
  </si>
  <si>
    <t>スズキ　マルシオ</t>
  </si>
  <si>
    <t>愛知県名古屋市港区九番町1-1-1</t>
  </si>
  <si>
    <t>九番団地1棟611</t>
  </si>
  <si>
    <t>12/14予定</t>
  </si>
  <si>
    <t>DINH TAN LEN</t>
  </si>
  <si>
    <t>ディン　タン　レン</t>
  </si>
  <si>
    <t>LE XUAN HUNG</t>
  </si>
  <si>
    <t>レ　スアン　フン</t>
  </si>
  <si>
    <t>DO VAN NGHIEP</t>
  </si>
  <si>
    <t>ドー　ヴァン　ギエップ</t>
  </si>
  <si>
    <t>437-0017</t>
  </si>
  <si>
    <t>静岡県袋井市鷲巣950-1</t>
  </si>
  <si>
    <t>ﾚｵﾊﾟﾚｽわしず103</t>
  </si>
  <si>
    <t>DAO HOANG ANH</t>
  </si>
  <si>
    <t>ダオ　ホアン　アン</t>
  </si>
  <si>
    <t>NGUYEN DUC HUNG</t>
  </si>
  <si>
    <t>グエン　ドック　フン</t>
  </si>
  <si>
    <t>TRAN XUAN THE</t>
  </si>
  <si>
    <t>ツアン　ヅアン　テェ</t>
  </si>
  <si>
    <t>米須　ジョン</t>
  </si>
  <si>
    <t>コメス　ジョン</t>
  </si>
  <si>
    <t>3か月後継続なら時給見直</t>
  </si>
  <si>
    <t>日本人の配偶者</t>
  </si>
  <si>
    <t>NGUYEN DINH TRONG</t>
  </si>
  <si>
    <t>グェン　ヂィン　チョン</t>
  </si>
  <si>
    <t>県営長根住宅6棟301号</t>
  </si>
  <si>
    <t>PHAM CONG HA</t>
  </si>
  <si>
    <t>ファム　コン　ハー</t>
  </si>
  <si>
    <t>乙川第２工場　製造３課６工区９班</t>
  </si>
  <si>
    <t>475-0828</t>
  </si>
  <si>
    <t>愛知県半田市瑞穂町4丁目1-19</t>
  </si>
  <si>
    <t>大松ﾊﾟｻｰｼﾞｭⅡ102号</t>
  </si>
  <si>
    <t>乙川第２工場　製造３課６工区８班</t>
  </si>
  <si>
    <t>NGUYEN HUY DUC</t>
  </si>
  <si>
    <t>グエン　フィー　ドウク</t>
  </si>
  <si>
    <t>2022/4/1～　1400円⇒1460円</t>
  </si>
  <si>
    <t>愛知県半田市瑞穂町9丁目6-9</t>
  </si>
  <si>
    <t>ｽｲｶｲﾚｼﾞﾃﾞﾝｽ302</t>
  </si>
  <si>
    <t>TRAN VAN TUNG</t>
  </si>
  <si>
    <t>チャン　ヴァン　トゥン</t>
  </si>
  <si>
    <t>PHAN MINH KHANH</t>
  </si>
  <si>
    <t>ファン　ミン　カン</t>
  </si>
  <si>
    <t>LUU THANH DAT</t>
  </si>
  <si>
    <t>リュ　タン　ダット</t>
  </si>
  <si>
    <t>武藤　ジュニオル　カズミ</t>
  </si>
  <si>
    <t>ムトウ　ジュニオル　カズミ</t>
  </si>
  <si>
    <t>一次旋係</t>
  </si>
  <si>
    <t>ハブ加工・自動機の操作・ＮＣプログラム修正</t>
  </si>
  <si>
    <t>LE VAN QUAN</t>
  </si>
  <si>
    <t>レー　ヴァン　クアン</t>
  </si>
  <si>
    <t>製造部機械加工課</t>
  </si>
  <si>
    <t>KIEU TRUNG HIEU</t>
  </si>
  <si>
    <t>キエウ　チュン　ヒエウ</t>
  </si>
  <si>
    <t>3/21～　\1400⇒\1500</t>
  </si>
  <si>
    <t>2021/1/25~2021/10/22高雄工業岡山所属　2021/10/25～PATECへ異動</t>
  </si>
  <si>
    <t>NGUYEN VAN THIEN</t>
  </si>
  <si>
    <t>グエン　ヴァン　ティエン</t>
  </si>
  <si>
    <t>HUB_第1</t>
  </si>
  <si>
    <t>LE VAN THUONG</t>
  </si>
  <si>
    <t>レー　ヴァン　トゥオン</t>
  </si>
  <si>
    <t>4/16~ 1200⇒1260へ</t>
  </si>
  <si>
    <t>498-0006</t>
  </si>
  <si>
    <t>愛知県弥富市佐古木3丁目289-2</t>
  </si>
  <si>
    <t>ﾄﾞﾐｰﾙ佐古木 105</t>
  </si>
  <si>
    <t>PHAM NGOC TUNG</t>
  </si>
  <si>
    <t>ファム　ゴック　トゥン</t>
  </si>
  <si>
    <t>CASA弥富A202</t>
  </si>
  <si>
    <t>LUONG QUANG QUAN</t>
  </si>
  <si>
    <t>ルォン　クァン　クァン</t>
  </si>
  <si>
    <t>愛知県弥富市前ヶ須町南本田522-１</t>
  </si>
  <si>
    <t>ﾐﾉﾔ弥冨ﾊｲﾂ502</t>
  </si>
  <si>
    <t>近藤　ヨシオ</t>
  </si>
  <si>
    <t>コンドウ　ヨシオ</t>
  </si>
  <si>
    <t>503-0973</t>
  </si>
  <si>
    <t>岐阜県大垣市木戸町292番地</t>
  </si>
  <si>
    <t>K HOUSE206</t>
  </si>
  <si>
    <t>ト精密</t>
  </si>
  <si>
    <t>TRAN VAN TUE</t>
  </si>
  <si>
    <t>チャン　ヴァン　トゥエ</t>
  </si>
  <si>
    <t>愛知県弥富市前ヶ須町東勘助138</t>
  </si>
  <si>
    <t>安井ﾋﾞﾙ5D</t>
  </si>
  <si>
    <t>幸埼　ノルベルト</t>
  </si>
  <si>
    <t>コサキ　ノルベルト</t>
  </si>
  <si>
    <t>2021/6/21~　1400⇒1500</t>
  </si>
  <si>
    <t>入社3か月後200円UP</t>
  </si>
  <si>
    <t>715-0006</t>
  </si>
  <si>
    <t>岡山県井原市西江原町936-1</t>
  </si>
  <si>
    <t>ｸﾞﾗﾝｴﾄﾜｰﾙB201</t>
  </si>
  <si>
    <t>PHAM VAN TRONG</t>
  </si>
  <si>
    <t>ファム　バン　チョン</t>
  </si>
  <si>
    <t>入社4ヵ月後50円UP</t>
  </si>
  <si>
    <t>岡山県井原市木之子町94番地１</t>
  </si>
  <si>
    <t>ﾋﾞﾚｯｼﾞﾊｳｽ木之子1-403</t>
  </si>
  <si>
    <t>2023/1/23～ﾌｪﾆﾃｯｸ岡山からプレテックへ異動</t>
  </si>
  <si>
    <t>NGUYEN HOA HOAN</t>
  </si>
  <si>
    <t>グエン　ホア　ホアン</t>
  </si>
  <si>
    <t>入社3か月後100円UP</t>
  </si>
  <si>
    <t>2023/1/9～ﾌｪﾆﾃｯｸ岡山から六甲電子へ異動　2023/3/14で六甲電子退社　2023/4/3からコーリツ入社</t>
  </si>
  <si>
    <t>VU DINH TUAN</t>
  </si>
  <si>
    <t>ヴー　ディン　トゥアン</t>
  </si>
  <si>
    <t>PHUNG VAN NAM</t>
  </si>
  <si>
    <t>フン　ヴァン　ナム</t>
  </si>
  <si>
    <t>PHAM KHAC SON</t>
  </si>
  <si>
    <t>ファム　カック　ソン</t>
  </si>
  <si>
    <t>TRAN THI HONG MAY</t>
  </si>
  <si>
    <t>チャン　ティ　ホング　マイ</t>
  </si>
  <si>
    <t>NGUYEN MINH SON</t>
  </si>
  <si>
    <t>グエン　ミン　ソン</t>
  </si>
  <si>
    <t>成広ｺｰﾎﾟⅡ102号</t>
  </si>
  <si>
    <t>LUU TUAN NGHIA</t>
  </si>
  <si>
    <t>リュウ　トゥアン　ギア</t>
  </si>
  <si>
    <t>NGUYEN MANH HAO</t>
  </si>
  <si>
    <t>グエン　マイン　ハオ</t>
  </si>
  <si>
    <t>岡山工場製造部PR課５インチ担当</t>
  </si>
  <si>
    <t>VU DINH HIEP</t>
  </si>
  <si>
    <t>ヴー　ディン　ヒエップ</t>
  </si>
  <si>
    <t>Florence1997 203</t>
  </si>
  <si>
    <t>LUONG XUAN NGOC</t>
  </si>
  <si>
    <t>ルオン　スアン　ゴック</t>
  </si>
  <si>
    <t>岡山県井原市木之子町5837-1</t>
  </si>
  <si>
    <t>ｳｯﾄﾞﾌｨｰﾙﾄﾞB203</t>
  </si>
  <si>
    <t>VAN TIEN THANH</t>
  </si>
  <si>
    <t>バン　ティエン　タン</t>
  </si>
  <si>
    <t>DAO VAN HOAN</t>
  </si>
  <si>
    <t>ダオ　ヴァン　ホアン</t>
  </si>
  <si>
    <t>NGUYEN VAN MANH</t>
  </si>
  <si>
    <t>グエン　ヴァン　マイン</t>
  </si>
  <si>
    <t>2021/7/21　1250⇒1300</t>
  </si>
  <si>
    <t>471-0873</t>
  </si>
  <si>
    <t>市営B-107号</t>
  </si>
  <si>
    <t>YOSHIKAWA DANIEL</t>
  </si>
  <si>
    <t>ヨシカワ　ダニエル</t>
  </si>
  <si>
    <t>498-0024</t>
  </si>
  <si>
    <t>愛知県弥富市鯏浦町西前新田97-1</t>
  </si>
  <si>
    <t>ﾗﾌｨﾈRS　A-102</t>
  </si>
  <si>
    <t>CVJ</t>
  </si>
  <si>
    <t>HA HAI PHI</t>
  </si>
  <si>
    <t>ハー　ハイ　フィ</t>
  </si>
  <si>
    <t>2021/7/16　1300円→1320円　2022/4/21～　1320円⇒1350円</t>
  </si>
  <si>
    <t>高雄宇工業本社⇒瑞陵精機へ異動</t>
  </si>
  <si>
    <t>HOANG VAN TUYEN</t>
  </si>
  <si>
    <t>ホアン　ヴァン　トウイエン</t>
  </si>
  <si>
    <t>475-0086</t>
  </si>
  <si>
    <t>愛知県半田市庚申町2-6-7</t>
  </si>
  <si>
    <t>ﾊｲﾂこうしんB棟101</t>
  </si>
  <si>
    <t>TRAN VAN SANG</t>
  </si>
  <si>
    <t>チャン　ヴァン　サン</t>
  </si>
  <si>
    <t>475-0071</t>
  </si>
  <si>
    <t>愛知県半田市大伝根町2丁目2-16</t>
  </si>
  <si>
    <t>ｻﾝﾋﾞﾚｯｼﾞ横川203</t>
  </si>
  <si>
    <t>LE VAN TUAT</t>
  </si>
  <si>
    <t>レ　ヴァン　トァト</t>
  </si>
  <si>
    <t>475-0961</t>
  </si>
  <si>
    <t>愛知県半田市岩滑中町1丁目65番地の１</t>
  </si>
  <si>
    <t>FLAT HANDA32号</t>
  </si>
  <si>
    <t>州の埼工場　製造３課５工区７班</t>
  </si>
  <si>
    <t>2022/3/21～　1400円⇒1500円</t>
  </si>
  <si>
    <t>DONG NGOC SON</t>
  </si>
  <si>
    <t>ドン　ゴック　ソン</t>
  </si>
  <si>
    <t>715-0023</t>
  </si>
  <si>
    <t>岡山県井原市大江町3715番地</t>
  </si>
  <si>
    <t>折口住宅3-7</t>
  </si>
  <si>
    <t>2021/4/5～2022/8/？？　2022/9/1~ﾌｪﾆﾃｯｸ岡山へ異動　2023/1/23～ﾌｪﾆﾃｯｸ岡山からプレテックへ異動</t>
  </si>
  <si>
    <t>PHAM VAN PHUOC</t>
  </si>
  <si>
    <t>ファム　ヴァン　フォック</t>
  </si>
  <si>
    <t>NAMBU ALEXANDRE</t>
  </si>
  <si>
    <t>ナンブ　アレシャンドレ</t>
  </si>
  <si>
    <t>LE DINH TUAN</t>
  </si>
  <si>
    <t>レ　ディン　トゥアン</t>
  </si>
  <si>
    <t>CAO VAN TUYEN</t>
  </si>
  <si>
    <t>カオ　バン　トウエン</t>
  </si>
  <si>
    <t>ﾋﾙｽﾞｻﾝﾊﾟﾃｨｰｸ203 から個人のアパートに移動</t>
  </si>
  <si>
    <t>NGUYEN HUU PHUC</t>
  </si>
  <si>
    <t>グエン　フュ　フック</t>
  </si>
  <si>
    <t>PHAN DINH THANH</t>
  </si>
  <si>
    <t>ファン　ディン　タァン</t>
  </si>
  <si>
    <t>TRAN QUOC THOM</t>
  </si>
  <si>
    <t>チャン　クオック　トム</t>
  </si>
  <si>
    <t>2022/7/1~ 1900円⇒2000円</t>
  </si>
  <si>
    <t>京田住宅2号棟223号室</t>
  </si>
  <si>
    <t>岡山工場製造部DF課６インチ担当</t>
  </si>
  <si>
    <t>LE XUAN CU</t>
  </si>
  <si>
    <t>レー　スアン　クー</t>
  </si>
  <si>
    <t>2021/7/21～　1400⇒1500</t>
  </si>
  <si>
    <t>ﾋﾞﾚｯｼﾞﾊｳｽ木之子1-104</t>
  </si>
  <si>
    <t>LE VAN HUNG</t>
  </si>
  <si>
    <t>レ　ヴァン　ホウン</t>
  </si>
  <si>
    <t>715-0021</t>
  </si>
  <si>
    <t>岡山県井原市上出部町171番地1</t>
  </si>
  <si>
    <t>ﾌｧﾐｰﾙいずえ102</t>
  </si>
  <si>
    <t>三芳</t>
  </si>
  <si>
    <t>TRAN DINH CHAU</t>
  </si>
  <si>
    <t>チャン　ディン　チャウ</t>
  </si>
  <si>
    <t>1/21~ 1300円→1400円へUP</t>
  </si>
  <si>
    <t>470-0162</t>
  </si>
  <si>
    <t>愛知県愛知郡東郷町大字春木字涼松228-6</t>
  </si>
  <si>
    <t>ﾌﾟﾁｼｬﾄｰ101号室</t>
  </si>
  <si>
    <t>715-0024</t>
  </si>
  <si>
    <t>岡山県井原市高屋町5丁目11-6</t>
  </si>
  <si>
    <t>ﾀｶﾞﾐﾊｲﾑ102</t>
  </si>
  <si>
    <t>TRAN DINH VINH</t>
  </si>
  <si>
    <t>チャン　ディン　ヴィン</t>
  </si>
  <si>
    <t>NGO THI MAI</t>
  </si>
  <si>
    <t>ゴ　ティ　マイ</t>
  </si>
  <si>
    <t>育休22/12/1まで</t>
  </si>
  <si>
    <t>京田住宅2号棟244号室</t>
  </si>
  <si>
    <t>NGUYEN DUC THO</t>
  </si>
  <si>
    <t>グエン　ドゥック　トー</t>
  </si>
  <si>
    <t>NGUYEN VAN DOANH</t>
  </si>
  <si>
    <t>グエン　ヴァン　ゾアン</t>
  </si>
  <si>
    <t>NGUYEN NGOC UYEN</t>
  </si>
  <si>
    <t>グエン　ゴック　ウエン</t>
  </si>
  <si>
    <t>9/16~ 1520円→1620円</t>
  </si>
  <si>
    <t>LE THU HA</t>
  </si>
  <si>
    <t>レー　トゥー　ハー</t>
  </si>
  <si>
    <t>愛知県弥富市前ケ須町南本田401-6</t>
  </si>
  <si>
    <t>ﾗﾌｨｰﾈﾔﾄﾐ2E</t>
  </si>
  <si>
    <t>PEREIRA ANDERSON</t>
  </si>
  <si>
    <t>ペレイラ　アンデルソン</t>
  </si>
  <si>
    <t>496-0812</t>
  </si>
  <si>
    <t>愛知県津島市兼平町1丁目58番地</t>
  </si>
  <si>
    <t>MA VAN NGOC</t>
  </si>
  <si>
    <t>マ　ヴァン　ゴック</t>
  </si>
  <si>
    <t>PHAM VAN KHANH</t>
  </si>
  <si>
    <t>ファン　ヴァン　カン</t>
  </si>
  <si>
    <t>HOANG XUAN THUY</t>
  </si>
  <si>
    <t>ファン　スアン　テイ</t>
  </si>
  <si>
    <t>TRUONG TRONG LUU</t>
  </si>
  <si>
    <t>チュオン　チョン　リュ</t>
  </si>
  <si>
    <t>VU VAN CHUC</t>
  </si>
  <si>
    <t>ヴ　ヴァン　チュック</t>
  </si>
  <si>
    <t>TRAN VAN QUYNH</t>
  </si>
  <si>
    <t>チャン　ヴァン　クイン</t>
  </si>
  <si>
    <t>HASHIMOTO ALEX SANDRO</t>
  </si>
  <si>
    <t>ハシモト　アレックス　サンドロ</t>
  </si>
  <si>
    <t>895-2701</t>
  </si>
  <si>
    <t>鹿児島県伊佐市菱刈前目1942</t>
  </si>
  <si>
    <t>菱刈ﾊｲﾂA103</t>
  </si>
  <si>
    <t>NGUYEN SY DUC</t>
  </si>
  <si>
    <t>DANG THI HONG</t>
  </si>
  <si>
    <t>ダオ　ティ　ホン</t>
  </si>
  <si>
    <t>DAO VAN LOI</t>
  </si>
  <si>
    <t>ダオ　バン　ロイ</t>
  </si>
  <si>
    <t>MAC VAN HUNG</t>
  </si>
  <si>
    <t>マック　ヴァン　フン</t>
  </si>
  <si>
    <t>2021/9/21~　1400⇒1500</t>
  </si>
  <si>
    <t>715-0022</t>
  </si>
  <si>
    <t>岡山県井原市下出部町2丁目8-7</t>
  </si>
  <si>
    <t>ｴｽﾃｰﾄｲﾃﾞﾊﾗB102</t>
  </si>
  <si>
    <t>製造部WT課プローブ</t>
  </si>
  <si>
    <t>TRUONG THI THANH THAO</t>
  </si>
  <si>
    <t>チュオン　ティ　タン　タオ</t>
  </si>
  <si>
    <t>2022/6/21～　1300円⇒1350円</t>
  </si>
  <si>
    <t>岡山県井原市高屋町1丁目20-11</t>
  </si>
  <si>
    <t>ｲﾌﾟｼﾛﾝB101</t>
  </si>
  <si>
    <t>TRAN QUOC TUAN</t>
  </si>
  <si>
    <t>チャン　クオック　トゥアン</t>
  </si>
  <si>
    <t>NGUYEN QUOC KHAI</t>
  </si>
  <si>
    <t>グエン　クオック　カイ</t>
  </si>
  <si>
    <t>PHAN THANH SI</t>
  </si>
  <si>
    <t>ファン　タイン　シー</t>
  </si>
  <si>
    <t>700-0065</t>
  </si>
  <si>
    <t>岡山県岡山市北区野殿東町10番17号</t>
  </si>
  <si>
    <t>NGUYEN VAN TIEN</t>
  </si>
  <si>
    <t>NGUYEN THI NGOC LINH</t>
  </si>
  <si>
    <t>グエン　ティ　ゴック　リン</t>
  </si>
  <si>
    <t>2021/9/21～　1250⇒1300UP</t>
  </si>
  <si>
    <t>入社一か月後　2000円へUP</t>
  </si>
  <si>
    <t>3/11最終出勤日、産休終了5/18で退社</t>
  </si>
  <si>
    <t>VAN THE LUONG</t>
  </si>
  <si>
    <t>ヴァン　テエ　ルオン</t>
  </si>
  <si>
    <t>安井ﾋﾞﾙ2C</t>
  </si>
  <si>
    <t>NGUYEN VIET HOANG</t>
  </si>
  <si>
    <t>グエン　ヴィエン　ホアン</t>
  </si>
  <si>
    <t>DANG VAN DAI</t>
  </si>
  <si>
    <t>ダン　ヴァン　ダイ</t>
  </si>
  <si>
    <t>鹿児島県姶良郡湧水町木場255番地1</t>
  </si>
  <si>
    <t>宮前住宅2号室241号</t>
  </si>
  <si>
    <t>LE HUY HOANG</t>
  </si>
  <si>
    <t>レ　フィ　ホアン</t>
  </si>
  <si>
    <t>HOANG VAN NHI</t>
  </si>
  <si>
    <t>ホアン　ヴァン　ニー</t>
  </si>
  <si>
    <t>ｲﾌﾟｼﾛﾝB102</t>
  </si>
  <si>
    <t>LE TIEN THANH</t>
  </si>
  <si>
    <t>レ　ティエン　タイン</t>
  </si>
  <si>
    <t>製造部DCG課ダイザー</t>
  </si>
  <si>
    <t>VU VAN PHONG</t>
  </si>
  <si>
    <t>ヴー　ヴァン　フォン</t>
  </si>
  <si>
    <t>岡山県井原市大池町3715番地折口</t>
  </si>
  <si>
    <t>住宅7-6</t>
  </si>
  <si>
    <t>グエン　ヴァン　ハオ</t>
  </si>
  <si>
    <t>899-6200</t>
  </si>
  <si>
    <t>鹿児島県姶良郡湧水町木場1214番地1</t>
  </si>
  <si>
    <t>尾鉢第3住宅1号棟</t>
  </si>
  <si>
    <t>DOAN THANH QUYNH</t>
  </si>
  <si>
    <t>ドアン　タン　クイン</t>
  </si>
  <si>
    <t>鹿児島県姶良郡湧水町木場1218番地</t>
  </si>
  <si>
    <t>尾鉢第2住宅1号棟112号</t>
  </si>
  <si>
    <t>NGUYEN VAN QUAN</t>
  </si>
  <si>
    <t>グエン　バン　クアン</t>
  </si>
  <si>
    <t>VI HONG KIEN</t>
  </si>
  <si>
    <t>ビ　ホン　キエン</t>
  </si>
  <si>
    <t>ＣＶＪ長軸等速ジョイント旋削加工・ＮＣプログラム修正</t>
  </si>
  <si>
    <t>PHAM VAN LONG</t>
  </si>
  <si>
    <t>ファム　ヴァン　ロン</t>
  </si>
  <si>
    <t>正社員に</t>
  </si>
  <si>
    <t>PHAM BAO NGHIA</t>
  </si>
  <si>
    <t>ファン　バオ　ギア</t>
  </si>
  <si>
    <t>高雄工業株式会社 TKE第一営</t>
  </si>
  <si>
    <t>TKE第一営</t>
  </si>
  <si>
    <t>河野　依里香</t>
  </si>
  <si>
    <t>コウノ　エリコ</t>
  </si>
  <si>
    <t>9/16~　1150円→1200円</t>
  </si>
  <si>
    <t>9/16~ 1700円→1750円</t>
  </si>
  <si>
    <t>497-0032</t>
  </si>
  <si>
    <t>愛知県海部郡蟹江町今市之坪16-5</t>
  </si>
  <si>
    <t>475-0041</t>
  </si>
  <si>
    <t>愛知県半田市乙川太田町2丁目125番地</t>
  </si>
  <si>
    <t>ｺｰﾎﾟｵｰｸｽ202号</t>
  </si>
  <si>
    <t>TRAN NHAT SON</t>
  </si>
  <si>
    <t>チャン　ニャット　ソン</t>
  </si>
  <si>
    <t>NGUYEN DINH THU</t>
  </si>
  <si>
    <t>グエン　ディン　トゥ</t>
  </si>
  <si>
    <t>成広矢原ｺｰﾎﾟⅥ101</t>
  </si>
  <si>
    <t>2021/8/1～2021/10/31　高雄工業請負　2021/11/1～高雄工業岡山派遣へ転籍</t>
  </si>
  <si>
    <t>岡山工場製造部DF課５インチ担当</t>
  </si>
  <si>
    <t>岡山県井原市西江原町936-3</t>
  </si>
  <si>
    <t>ｸﾞﾗﾝｴﾄﾜｰﾙA203</t>
  </si>
  <si>
    <t>DANG VAN KHANG</t>
  </si>
  <si>
    <t>ダン　ヴァン　カン</t>
  </si>
  <si>
    <t>ﾋﾞﾚｯｼﾞﾊｳｽ2号棟106</t>
  </si>
  <si>
    <t>2021/8/10~ﾌｪﾆﾃｯｸｾﾐｺﾝﾀﾞｸﾀｰ岡山　2023/2/27~ﾌﾟﾚﾃｯｸに異動</t>
  </si>
  <si>
    <t>チャン　ヴァン　トゥアン</t>
  </si>
  <si>
    <t>NGUYEN TRONG DU</t>
  </si>
  <si>
    <t>グエン　チョン　ズ</t>
  </si>
  <si>
    <t>PHAN MINH CHI</t>
  </si>
  <si>
    <t>ファン　ミン　チ</t>
  </si>
  <si>
    <t>ｸﾞﾗﾝｴﾄﾜｰﾙB103</t>
  </si>
  <si>
    <t>KHUONG SI GIANG</t>
  </si>
  <si>
    <t>クオン　シー　ザン</t>
  </si>
  <si>
    <t>岡山工場製造部PR課６インチ担当</t>
  </si>
  <si>
    <t>NGO NHAT QUYEN</t>
  </si>
  <si>
    <t>ゴー　ナット　クエン</t>
  </si>
  <si>
    <t>HOANG QUOC HUAN</t>
  </si>
  <si>
    <t>ホアン　コック　ホウアン</t>
  </si>
  <si>
    <t>州の埼工場　製造３課５工区６班</t>
  </si>
  <si>
    <t>CVJ製作課</t>
  </si>
  <si>
    <t>グエン　バン　チュオン</t>
  </si>
  <si>
    <t>475-0862</t>
  </si>
  <si>
    <t>愛知県半田市住吉町2丁目124番地1</t>
  </si>
  <si>
    <t>ﾚｼﾞﾃﾞﾝｽ住吉102</t>
  </si>
  <si>
    <t>NGUYEN THE SON</t>
  </si>
  <si>
    <t>グエン　テ―　ソン</t>
  </si>
  <si>
    <t>DO THI THUY</t>
  </si>
  <si>
    <t>ド　ティ　トゥイ</t>
  </si>
  <si>
    <t>2021/11/23(11/21)～　1250⇒1300UP</t>
  </si>
  <si>
    <t>NGUYEN QUANG TRUNG</t>
  </si>
  <si>
    <t>グエン　クアン　チュン</t>
  </si>
  <si>
    <t>LE CAO HOAI</t>
  </si>
  <si>
    <t>レ　カオ　ホアイ</t>
  </si>
  <si>
    <t>2021/12/21~</t>
  </si>
  <si>
    <t>岡山県井原市木之子町82-1</t>
  </si>
  <si>
    <t>ﾋﾞｱﾝｺ・ﾈﾛB102</t>
  </si>
  <si>
    <t>岡山工場製造部BM課</t>
  </si>
  <si>
    <t>NGUYEN DINH DAN</t>
  </si>
  <si>
    <t>グエン　ディン　ダン</t>
  </si>
  <si>
    <t>NGO VAN DUC</t>
  </si>
  <si>
    <t>ゴー　ヴァン　ドウック</t>
  </si>
  <si>
    <t>～6/11　静岡　6/23～　瑞陵   7/2 2D-&gt;4H</t>
  </si>
  <si>
    <t>PHAM HUY HOANG</t>
  </si>
  <si>
    <t>ファム　フイ　ホアン</t>
  </si>
  <si>
    <t>9/2~\1200⇒12/21⇒1250⇒3/21⇒MAX1300</t>
  </si>
  <si>
    <t>ﾋﾞﾚｯｼﾞﾊｳｽ長草2号棟203</t>
  </si>
  <si>
    <t>レ　ヴィエット　チュン</t>
  </si>
  <si>
    <t>ﾋﾞﾚｯｼﾞﾊｳｽ1-106</t>
  </si>
  <si>
    <t>NGUYEN NGOC TIEN</t>
  </si>
  <si>
    <t>グエン　ゴック　ティエン</t>
  </si>
  <si>
    <t>折口住宅11-315号</t>
  </si>
  <si>
    <t>2021/9/6～　ｾｲﾋﾞﾃｯｸ　2022/9/12～ﾌｪﾆﾃｯｸｾﾐｺﾝﾀﾞｸﾀｰへ異動</t>
  </si>
  <si>
    <t>NGUYEN QUANG HUY</t>
  </si>
  <si>
    <t>グエン　クアン　フィ</t>
  </si>
  <si>
    <t>9/16~ 1620円→1770円</t>
  </si>
  <si>
    <t>州の埼工場　製造１課１工区２班</t>
  </si>
  <si>
    <t>VU DUC CUONG</t>
  </si>
  <si>
    <t>ヴ　ドゥック　クオン</t>
  </si>
  <si>
    <t>愛知県半田市亀崎高根町2丁目20-7</t>
  </si>
  <si>
    <t>DAO NGOC ANH</t>
  </si>
  <si>
    <t>ダオ　ゴック　アン</t>
  </si>
  <si>
    <t>愛知県名古屋市港区土古町4丁目72番地</t>
  </si>
  <si>
    <t>鬼頭第2土古ﾋﾞﾙ202</t>
  </si>
  <si>
    <t>DAM HUY HUNG</t>
  </si>
  <si>
    <t>ダム　フィ　フン</t>
  </si>
  <si>
    <t>岡山工場製造部TF課５インチ担当</t>
  </si>
  <si>
    <t>MAI XUAN PHONG</t>
  </si>
  <si>
    <t>マイ　ジャン　フォン</t>
  </si>
  <si>
    <t>岡山県井原氏七日市町735-1</t>
  </si>
  <si>
    <t>ｻﾝﾋﾟｱｯﾂｧA101</t>
  </si>
  <si>
    <t>DA SILVA WAGNER</t>
  </si>
  <si>
    <t>ダ　シルバ　ワグナー</t>
  </si>
  <si>
    <t>愛知県弥富市前ヶ須町堪助走34-1</t>
  </si>
  <si>
    <t>ｱﾄﾚA棟101</t>
  </si>
  <si>
    <t>KITABATAKE　MICHEL</t>
  </si>
  <si>
    <t>キタバタケ　ミッシェル</t>
  </si>
  <si>
    <t>9/27～10/20　1350円　10/21～　1400円</t>
  </si>
  <si>
    <t>岐阜県不破郡垂井町宮代555番地1</t>
  </si>
  <si>
    <t>ｺｽﾓﾊｲﾂB205号</t>
  </si>
  <si>
    <t>NGUYEN VAN TRUNG</t>
  </si>
  <si>
    <t>グエン　ヴァン　チュン</t>
  </si>
  <si>
    <t>TRAN VAN PHONG</t>
  </si>
  <si>
    <t>チャン　ヴァン　フォン</t>
  </si>
  <si>
    <t>愛知県弥富市前ヶ須田堪助走34-1</t>
  </si>
  <si>
    <t>神田　恭宏</t>
  </si>
  <si>
    <t>カンダ　ヤスヒロ</t>
  </si>
  <si>
    <t>700-0945</t>
  </si>
  <si>
    <t>岡山県岡山市南区新保683-12</t>
  </si>
  <si>
    <t>TAN ALEXANDER IGANO</t>
  </si>
  <si>
    <t>タン　アレックサンダー　イガノ</t>
  </si>
  <si>
    <t>ﾌｨﾘﾋﾟﾝ</t>
  </si>
  <si>
    <t>702-8058</t>
  </si>
  <si>
    <t>岡山県岡山市南区並木町2-8-17</t>
  </si>
  <si>
    <t>中村　勝次</t>
  </si>
  <si>
    <t>ナカムラ　カツジ</t>
  </si>
  <si>
    <t>成広矢原ｺｰﾎﾟⅢ203</t>
  </si>
  <si>
    <t>藤宇　葉子</t>
  </si>
  <si>
    <t>フジウ　ヨウコ</t>
  </si>
  <si>
    <t>岡山県岡山市北区御津矢原339-2</t>
  </si>
  <si>
    <t>ｸﾞﾗﾝﾃﾞｰｻﾞⅡ101</t>
  </si>
  <si>
    <t>NGUYEN DUC MINH</t>
  </si>
  <si>
    <t>グエン　ドゥック　ミン</t>
  </si>
  <si>
    <t>4/21~ \1500⇒￥1600</t>
  </si>
  <si>
    <t>VU THI UYEN</t>
  </si>
  <si>
    <t>ヴ　ティー　ウェン</t>
  </si>
  <si>
    <t>471-0033</t>
  </si>
  <si>
    <t>愛知県豊田市月見町3-2-5</t>
  </si>
  <si>
    <t>ﾚｵﾊﾟﾚｽ上り屋敷ﾂｷﾐ306号</t>
  </si>
  <si>
    <t>HOANG VAN HUY</t>
  </si>
  <si>
    <t>ホアン　ヴァン　フィ</t>
  </si>
  <si>
    <t>NGUYEN VAN CHUNG</t>
  </si>
  <si>
    <t>グエン　バン　チュン</t>
  </si>
  <si>
    <t>HOANG VAN BAC</t>
  </si>
  <si>
    <t>ホアン　バン　バック</t>
  </si>
  <si>
    <t>4/21～　\1500⇒\1600</t>
  </si>
  <si>
    <t>TRAN HONG PHONG</t>
  </si>
  <si>
    <t>チャン　ホン　フォン</t>
  </si>
  <si>
    <t>663-8021</t>
  </si>
  <si>
    <t>兵庫県西宮市上之町25-54</t>
  </si>
  <si>
    <t>西宮ｵﾘｴﾝﾀﾙﾏﾝｼｮﾝ102</t>
  </si>
  <si>
    <t>NGUYEN QUANG TUYEN</t>
  </si>
  <si>
    <t>グエン　クアン　トウエン</t>
  </si>
  <si>
    <t>660-0064</t>
  </si>
  <si>
    <t>兵庫県尼崎市稲葉荘1-26-12</t>
  </si>
  <si>
    <t>ﾚｵﾊﾟﾚｽｻﾝﾗｲｽﾞ103</t>
  </si>
  <si>
    <t>2022/4/13甲子園四番町ハイツ１Ｆ号～転入</t>
  </si>
  <si>
    <t>NGUYEN CAO HUYEN</t>
  </si>
  <si>
    <t>グエン　カオ　フエン</t>
  </si>
  <si>
    <t>453-0064</t>
  </si>
  <si>
    <t>愛知県名古屋市中村区草薙町1-26</t>
  </si>
  <si>
    <t>天野ﾏﾝｼｮﾝ402</t>
  </si>
  <si>
    <t>チャン　フュ　フン</t>
  </si>
  <si>
    <t>PHAM THANH BINH</t>
  </si>
  <si>
    <t>ファム　タイン　ビン</t>
  </si>
  <si>
    <t>NONG THANH TUNG</t>
  </si>
  <si>
    <t>ノン　タイン　トゥン</t>
  </si>
  <si>
    <t>NGUYEN THE CANH</t>
  </si>
  <si>
    <t>グエン　テ　カイン</t>
  </si>
  <si>
    <t>岡山県岡山市北区御津下田77-3</t>
  </si>
  <si>
    <t>ﾋﾞﾚｯｼﾞﾊｳｽ宇甘川2号棟A302</t>
  </si>
  <si>
    <t>グエン　シー　ドウク</t>
  </si>
  <si>
    <t>5/21～\1400⇒1500</t>
  </si>
  <si>
    <t>TA MANH TRONG</t>
  </si>
  <si>
    <t>ター　マイン　チョン</t>
  </si>
  <si>
    <t>岡山工場製造部PE課６インチ担当</t>
  </si>
  <si>
    <t>22/1/21~1500</t>
  </si>
  <si>
    <t>2023/2/6～ﾌｪﾆﾃｯｸ岡山からプレテックへ異動</t>
  </si>
  <si>
    <t>PHUNG QUANG TU</t>
  </si>
  <si>
    <t>フン　クアン　トゥ</t>
  </si>
  <si>
    <t>VUONG PHUC HA</t>
  </si>
  <si>
    <t>ヴォン　フック　ハ</t>
  </si>
  <si>
    <t>DANG XUAN LUAN</t>
  </si>
  <si>
    <t>ダン　スアン　ルアン</t>
  </si>
  <si>
    <t>5/21～\1500⇒1600</t>
  </si>
  <si>
    <t>DUONG MINH NGHIA</t>
  </si>
  <si>
    <t>ズオン　ミン　ギャー</t>
  </si>
  <si>
    <t>岡山県岡山市北区美津下田77番地3</t>
  </si>
  <si>
    <t>2021/11/1~請負から高雄　岡山派遣へ転籍</t>
  </si>
  <si>
    <t>DO THI DUYEN</t>
  </si>
  <si>
    <t>ド　ティ　デュエン</t>
  </si>
  <si>
    <t>2022/2/1（2/21）～1250円⇒1300UP</t>
  </si>
  <si>
    <t>12/1～1900円</t>
  </si>
  <si>
    <t>岡山県井原市高屋町1丁目26-6</t>
  </si>
  <si>
    <t>ｺｰﾎﾟとりおか201号</t>
  </si>
  <si>
    <t>LAM VAN THANH</t>
  </si>
  <si>
    <t>ラム　ヴァン　タン</t>
  </si>
  <si>
    <t>453-0844</t>
  </si>
  <si>
    <t>愛知県名古屋市中村区小鴨町72番地</t>
  </si>
  <si>
    <t>ﾏﾝｼｮﾝ早河302号室</t>
  </si>
  <si>
    <t>2021/11/１（アルバイト）＝2021/11/16から　派遣社員</t>
  </si>
  <si>
    <t>PHAM THI PHUONG</t>
  </si>
  <si>
    <t>ファム　ティ　フォン</t>
  </si>
  <si>
    <t>712-8032</t>
  </si>
  <si>
    <t>岡山県倉敷市北畝2-4-11</t>
  </si>
  <si>
    <t>グエン　ヴァン　マン</t>
  </si>
  <si>
    <t>西岡工作所</t>
  </si>
  <si>
    <t>堤　浩二</t>
  </si>
  <si>
    <t>ツツミ　コウジ</t>
  </si>
  <si>
    <t>701-4265</t>
  </si>
  <si>
    <t>岡山県瀬戸内市長船町福岡1193-13</t>
  </si>
  <si>
    <t>2022/4/27で終了⇒請負へ異動　2022/5/9～</t>
  </si>
  <si>
    <t>HOANG VAN QUAN</t>
  </si>
  <si>
    <t>ホアン　ヴァン　クアン</t>
  </si>
  <si>
    <t>岡山第２工場</t>
  </si>
  <si>
    <t>LE NGOC THANH</t>
  </si>
  <si>
    <t>レ　ゴック　タイン</t>
  </si>
  <si>
    <t>709-4222</t>
  </si>
  <si>
    <t>岡山県美作市岩辺493-10</t>
  </si>
  <si>
    <t>岩辺借家</t>
  </si>
  <si>
    <t>NGUYEN DANG KHANG</t>
  </si>
  <si>
    <t>グエン　ダン　クアン</t>
  </si>
  <si>
    <t>ｽｶｲﾚｼﾞﾃﾞﾝｽ302</t>
  </si>
  <si>
    <t>州の埼第２工場　製造３課５工区７班</t>
  </si>
  <si>
    <t>DO DUC THUAN</t>
  </si>
  <si>
    <t>ドー　ドゥック　トゥアン</t>
  </si>
  <si>
    <t>NGUYEN HUU THIEN</t>
  </si>
  <si>
    <t>グエン　フウ　ティエン</t>
  </si>
  <si>
    <t>HOANG MINH LONG</t>
  </si>
  <si>
    <t>ホアン　ミン　ロン</t>
  </si>
  <si>
    <t>700-0861</t>
  </si>
  <si>
    <t>岡山県岡山市北区清輝橋2-7-18</t>
  </si>
  <si>
    <t>103号室</t>
  </si>
  <si>
    <t>6/21～\1400⇒1500</t>
  </si>
  <si>
    <t>NGUYRN HUU CANH</t>
  </si>
  <si>
    <t>グエン　フー　カン</t>
  </si>
  <si>
    <t>NGUYEN VAN DUY</t>
  </si>
  <si>
    <t>グエン　ヴァン　ズイ</t>
  </si>
  <si>
    <t>663-8174</t>
  </si>
  <si>
    <t>兵庫県西宮市甲子園四番町1-16</t>
  </si>
  <si>
    <t>甲子園四番町ﾊｲﾂ1F号</t>
  </si>
  <si>
    <t>NGUYEN HOANG LAM</t>
  </si>
  <si>
    <t>グエン　ホアン　ラム</t>
  </si>
  <si>
    <t>PHAM CHI BAC</t>
  </si>
  <si>
    <t>ファム　チー　バック</t>
  </si>
  <si>
    <t>581-0884</t>
  </si>
  <si>
    <t>大阪府八尾市恩智南町1ー130</t>
  </si>
  <si>
    <t>ﾌﾟﾚｱｰﾙ恩智Ⅱ202号</t>
  </si>
  <si>
    <t>LAI DUY HIEN</t>
  </si>
  <si>
    <t>ライ　ズイ　ヒエン</t>
  </si>
  <si>
    <t>州の埼工場　製造１課１工区１班</t>
  </si>
  <si>
    <t>CAO HUU SON</t>
  </si>
  <si>
    <t>カオ　フ　ソン</t>
  </si>
  <si>
    <t>県営長根住宅1-306</t>
  </si>
  <si>
    <t>LE HUU THANG</t>
  </si>
  <si>
    <t>レー　ヒュー　タン</t>
  </si>
  <si>
    <t>愛知県半田市長根町1丁目104</t>
  </si>
  <si>
    <t>乙川工場　製造３課５工区７班</t>
  </si>
  <si>
    <t>NGUYEN TIEN DUC</t>
  </si>
  <si>
    <t>グエン　テイエン　ドウク</t>
  </si>
  <si>
    <t>470-2300</t>
  </si>
  <si>
    <t>愛知県知多郡武豊町堀割1-1</t>
  </si>
  <si>
    <t>県営武豊住宅2-405</t>
  </si>
  <si>
    <t>TRAN HUU DANG</t>
  </si>
  <si>
    <t>チャン　フュ　ダン</t>
  </si>
  <si>
    <t>HOANG HUY HOI</t>
  </si>
  <si>
    <t>ホアン　フイ　ホイ</t>
  </si>
  <si>
    <t>ﾆｭｰｴﾙﾃﾞｨﾑ小西C201</t>
  </si>
  <si>
    <t>NGUYEN PHU CUONG</t>
  </si>
  <si>
    <t>グエン　フ　クオン</t>
  </si>
  <si>
    <t>岡山県岡山市北区美津下田77－3</t>
  </si>
  <si>
    <t>NGUYEN HUU MANH</t>
  </si>
  <si>
    <t>グエン　フウ　マン</t>
  </si>
  <si>
    <t>552-0001</t>
  </si>
  <si>
    <t>大阪府大阪市港区波除5丁目3番9</t>
  </si>
  <si>
    <t>304号</t>
  </si>
  <si>
    <t>PHAN VAN BINH</t>
  </si>
  <si>
    <t>ファン　バン　ビン</t>
  </si>
  <si>
    <t>MA PHUC MINH</t>
  </si>
  <si>
    <t>マ　フック　ミン</t>
  </si>
  <si>
    <t>DAO ANH TUAN</t>
  </si>
  <si>
    <t>ダオ　アン　トゥアン</t>
  </si>
  <si>
    <t>7/21～\1500⇒1600</t>
  </si>
  <si>
    <t>山口県防府市大字田島395番地</t>
  </si>
  <si>
    <t>ﾗｸﾞﾘｼｰﾅⅠ104</t>
  </si>
  <si>
    <t>PHAM LE PUONG DUY</t>
  </si>
  <si>
    <t>ファム　レー　フウノ　ユイ</t>
  </si>
  <si>
    <t>第５工場　製造２課３工区６班</t>
  </si>
  <si>
    <t>NGUYEN VAN CUA</t>
  </si>
  <si>
    <t>グエン　ヴァン　クア</t>
  </si>
  <si>
    <t>444-1313</t>
  </si>
  <si>
    <t>愛知県高浜市向山町1丁目210番地3</t>
  </si>
  <si>
    <t>ｻﾞ･ｼｯｸ101</t>
  </si>
  <si>
    <t>PHAM THANH TAM</t>
  </si>
  <si>
    <t>ファム　タン　タム</t>
  </si>
  <si>
    <t>2022/02/05ﾋﾙｽﾞｻﾝﾊﾟﾃｨｰｸ203～スカイレジデンス302に移動</t>
  </si>
  <si>
    <t>NGUYEN ANH HOANG</t>
  </si>
  <si>
    <t>グエン　アン　ホアン</t>
  </si>
  <si>
    <t>SURYA INDRA WARDANA</t>
  </si>
  <si>
    <t>スリャ　インドラ　ワルダナ</t>
  </si>
  <si>
    <t>1/21~1500</t>
  </si>
  <si>
    <t>22.04.01~200円UP</t>
  </si>
  <si>
    <t>2020/8/21～2021/3/31PMI所属　再入社</t>
  </si>
  <si>
    <t>TRESYAN REZA PERMANA</t>
  </si>
  <si>
    <t>トレシャン　レザ　ペルマナ</t>
  </si>
  <si>
    <t>岡山県岡山市北区御津矢原294番地１</t>
  </si>
  <si>
    <t>成広矢原ｺｰﾎﾟⅢ207</t>
  </si>
  <si>
    <t>NGUYEN MINH TAN</t>
  </si>
  <si>
    <t>グエン　ミン　タン</t>
  </si>
  <si>
    <t>州の埼２工場　製造3課５工区７班</t>
  </si>
  <si>
    <t>HOANG MANH TIEN</t>
  </si>
  <si>
    <t>ホアン　マン　ティエン</t>
  </si>
  <si>
    <t>VU VAN LONG</t>
  </si>
  <si>
    <t>ブー　バン　ロン</t>
  </si>
  <si>
    <t>NGUYEN CHI LINH</t>
  </si>
  <si>
    <t>グエン　チ　リン</t>
  </si>
  <si>
    <t>BITENCOURT CELIK SELIA</t>
  </si>
  <si>
    <t>ビテンコウルト　シエリク　セリア</t>
  </si>
  <si>
    <t>愛知県名古屋市港区丸池町1丁目1-1</t>
  </si>
  <si>
    <t>丸池荘4棟1108号</t>
  </si>
  <si>
    <t>SILVA BITENCOURT SELMA</t>
  </si>
  <si>
    <t>シルバ　ビテンコウルト　セルマ</t>
  </si>
  <si>
    <t>永住者の配偶者</t>
  </si>
  <si>
    <t>457-0824</t>
  </si>
  <si>
    <t>丸池荘3棟902号</t>
  </si>
  <si>
    <t>TRAN TRONG TU</t>
  </si>
  <si>
    <t>チャン　チョン　トゥ</t>
  </si>
  <si>
    <t>663-8122</t>
  </si>
  <si>
    <t>兵庫県西宮市小曽根町1丁目4-28</t>
  </si>
  <si>
    <t>ｸﾞﾘｰﾝﾊｲﾂ小曽根403</t>
  </si>
  <si>
    <t>ALI RASYIID MUHAMMAD</t>
  </si>
  <si>
    <t>アリ　ラシド　ムハマド</t>
  </si>
  <si>
    <t>BUI DUC ANH</t>
  </si>
  <si>
    <t>ブイ　ドゥック　アイン</t>
  </si>
  <si>
    <t>7/21～\1400⇒1500</t>
  </si>
  <si>
    <t>2021/1/6～2021/4/23川原鉄工所所属　再入社</t>
  </si>
  <si>
    <t>SANDY NACAYA JOELMA</t>
  </si>
  <si>
    <t>サンディー　ナカヤ　ジョエルマ</t>
  </si>
  <si>
    <t>丸池荘4棟1109号</t>
  </si>
  <si>
    <t>なし</t>
  </si>
  <si>
    <t>ODORIZZI SANDRA</t>
  </si>
  <si>
    <t>オードリージ　サンドラ</t>
  </si>
  <si>
    <t>455-0072</t>
  </si>
  <si>
    <t>愛知県名古屋市港区須成町2丁目14番地</t>
  </si>
  <si>
    <t>須成荘3棟302号</t>
  </si>
  <si>
    <t>岡山工場製造部PE課５インチ担当</t>
  </si>
  <si>
    <t>HO THANH BAO TRUNG</t>
  </si>
  <si>
    <t>ホー　タン　バオ　チュン</t>
  </si>
  <si>
    <t>4/21~1500</t>
  </si>
  <si>
    <t>714-1227</t>
  </si>
  <si>
    <t>岡山県小田郡矢掛町小田5518-1</t>
  </si>
  <si>
    <t>ｺｰﾎﾟ小田206</t>
  </si>
  <si>
    <t>DO VAN TRONG</t>
  </si>
  <si>
    <t>ド　ヴァン　チョン</t>
  </si>
  <si>
    <t>658-0021</t>
  </si>
  <si>
    <t>兵庫県神戸市東灘区深江本町2-7-3</t>
  </si>
  <si>
    <t>305号</t>
  </si>
  <si>
    <t>THAN TRUNG TIEN</t>
  </si>
  <si>
    <t>タン　チュン　ティエン</t>
  </si>
  <si>
    <t>FARID RIZAL</t>
  </si>
  <si>
    <t>ファリド　リザル</t>
  </si>
  <si>
    <t>岡山県岡山市北区御津下田77</t>
  </si>
  <si>
    <t>ﾋﾞﾚｯｼﾞﾊｳｽ2号棟304</t>
  </si>
  <si>
    <t>007210 高雄工業株式会社 岡山事業所CVJ工場製作課</t>
  </si>
  <si>
    <t>DAO XUAN TRINH</t>
  </si>
  <si>
    <t>ダオ　スアン　チン</t>
  </si>
  <si>
    <t>NGUYEN DUC DUY</t>
  </si>
  <si>
    <t>グエン　ドック　ユイ</t>
  </si>
  <si>
    <t>TRINH HOANG ANH</t>
  </si>
  <si>
    <t>チン　ホアン　アイン</t>
  </si>
  <si>
    <t>VU VAN QUYNH</t>
  </si>
  <si>
    <t>ヴー　ヴァン　クイン</t>
  </si>
  <si>
    <t>ﾌﾚｸﾞﾗﾝｽ桂E棟102号</t>
  </si>
  <si>
    <t>NGO VAN CHUONG</t>
  </si>
  <si>
    <t>ゴー　バン　チュオン</t>
  </si>
  <si>
    <t>大阪府大阪市住吉区清水丘1-29-13</t>
  </si>
  <si>
    <t>ｸｲｰﾝﾊｲﾂ清水ヶ丘403号</t>
  </si>
  <si>
    <t>NGUYEN NGOC TUNG</t>
  </si>
  <si>
    <t>グエン　ゴック　トゥン</t>
  </si>
  <si>
    <t>ｲｰｽﾄｺｰﾄ202</t>
  </si>
  <si>
    <t>NGUYEN SON TUNG</t>
  </si>
  <si>
    <t>グエン　ソン　トゥン</t>
  </si>
  <si>
    <t>LUYEN HUY TUAN</t>
  </si>
  <si>
    <t>ルイエン　フィ　トゥアン</t>
  </si>
  <si>
    <t>THAI DOAN PHONG</t>
  </si>
  <si>
    <t>タイ　ゾアン　フォン</t>
  </si>
  <si>
    <t>TRAN VAN LUC</t>
  </si>
  <si>
    <t>トラン　バン　ルック</t>
  </si>
  <si>
    <t>5/21～1500</t>
  </si>
  <si>
    <t>22.05.01～200円UP</t>
  </si>
  <si>
    <t>退社日修正1/30→1/24　他社1/25より就労の為</t>
  </si>
  <si>
    <t>RODRIGUES YAKABE ACHERAIBER ELIZA</t>
  </si>
  <si>
    <t>愛知県名古屋市港区丸池町1丁目1番</t>
  </si>
  <si>
    <t>丸池荘4棟802号</t>
  </si>
  <si>
    <t>仲間　ルイス　幸一</t>
  </si>
  <si>
    <t>ナカマ　ルイス　コウイチ</t>
  </si>
  <si>
    <t>455-0044</t>
  </si>
  <si>
    <t>愛知県名古屋市港区築三町1丁目26-1</t>
  </si>
  <si>
    <t>TRAN VAN HIEN</t>
  </si>
  <si>
    <t>チャン　ヴァン　ヒエン</t>
  </si>
  <si>
    <t>愛知県半田市苗代町2丁目19番地</t>
  </si>
  <si>
    <t>本社工場　製造１課２工区２班</t>
  </si>
  <si>
    <t>444-1302</t>
  </si>
  <si>
    <t>愛知県高浜市八幡町6-1-9</t>
  </si>
  <si>
    <t>ﾙﾐｴｰﾙ KATO201</t>
  </si>
  <si>
    <t>2022/2//28ﾋﾙｽﾞｻﾝﾊﾟﾃｨｰｸ203~ザ・シック101に移動 ,
 2022/03/13ザ・シック101~KATO201に移動</t>
  </si>
  <si>
    <t>VO VAN LUONG</t>
  </si>
  <si>
    <t>ボ　バン　ルン</t>
  </si>
  <si>
    <t xml:space="preserve">岡山県岡山市北区御津矢原288番地1 </t>
  </si>
  <si>
    <t>ｸﾞﾗﾝﾃﾞｰｻﾞ202</t>
  </si>
  <si>
    <t>DAO TRINH HOANG</t>
  </si>
  <si>
    <t>ダオ　チン　ホアン</t>
  </si>
  <si>
    <t>008110 高雄工業株式会社 静岡事業所第一工場製作課</t>
  </si>
  <si>
    <t>TRAN HOANG DIEU</t>
  </si>
  <si>
    <t>チャン　ホアン　ジェウ</t>
  </si>
  <si>
    <t>LE MINH CHINH</t>
  </si>
  <si>
    <t>レ　ミン　チン</t>
  </si>
  <si>
    <t>清掃作業</t>
  </si>
  <si>
    <t>栗原　ガブリエル</t>
  </si>
  <si>
    <t>クリハラ　ガブリエル</t>
  </si>
  <si>
    <t>437-0126</t>
  </si>
  <si>
    <t>静岡県袋井市月見町1-11</t>
  </si>
  <si>
    <t>ﾑｰﾝｼｬﾄｰ3M4号</t>
  </si>
  <si>
    <t>グエン　ヴァン　クアン</t>
  </si>
  <si>
    <t>PHAN TAT HOAN</t>
  </si>
  <si>
    <t>ファン　タット　ホアン</t>
  </si>
  <si>
    <t>VU HUY KHOI</t>
  </si>
  <si>
    <t>ヴー　フイ　クオイ</t>
  </si>
  <si>
    <t>OK3/28</t>
  </si>
  <si>
    <t>2022/3/17～2022/8/10までｾｲﾋﾞﾃｯｸ所属　2022/8/15～六甲電子所属</t>
  </si>
  <si>
    <t>ﾋﾞﾚｯｼﾞﾊｳｽ高取4号棟110号室</t>
  </si>
  <si>
    <t>NGUYEN TUAN CUONG</t>
  </si>
  <si>
    <t>グエン　トゥアン　クオン</t>
  </si>
  <si>
    <t>DO VAN MINH</t>
  </si>
  <si>
    <t>ドー　バン　ミン</t>
  </si>
  <si>
    <t>663-8222</t>
  </si>
  <si>
    <t>兵庫県西宮市今津久寿川町6-7</t>
  </si>
  <si>
    <t>久寿川岡田ﾏﾝｼｮﾝ402</t>
  </si>
  <si>
    <t>CHU TRONG AN</t>
  </si>
  <si>
    <t>チュ　チョン　アン</t>
  </si>
  <si>
    <t>新日本ホイール 2022/4/29退社　5/10より高雄静岡へ配属</t>
  </si>
  <si>
    <t>NGUYEN MINH VUONG</t>
  </si>
  <si>
    <t>グエン　ミン　ヴオン</t>
  </si>
  <si>
    <t>尾鉢第3住宅2号棟</t>
  </si>
  <si>
    <t>22.03.30</t>
  </si>
  <si>
    <t>LE MINH QUANG</t>
  </si>
  <si>
    <t>レー　ミン　クアン</t>
  </si>
  <si>
    <t>高雄工業株式会社 岡山事業所業務</t>
  </si>
  <si>
    <t>業務係CVJ</t>
  </si>
  <si>
    <t>NGUYEN THI MAI PHUONG</t>
  </si>
  <si>
    <t>グエン　ティ　マイ　フォン</t>
  </si>
  <si>
    <t>新日本ﾎｲｰﾙ工業</t>
  </si>
  <si>
    <t>LE VAN TUAN PHONG</t>
  </si>
  <si>
    <t>レ　ヴァン　トゥアン　フォン</t>
  </si>
  <si>
    <t>433-8111</t>
  </si>
  <si>
    <t>静岡県浜松市中区葵西6丁目22-12</t>
  </si>
  <si>
    <t>県営葵団地2-207</t>
  </si>
  <si>
    <t>22.05.01</t>
  </si>
  <si>
    <t>VU THANH HOANG</t>
  </si>
  <si>
    <t>ヴー　タン　ホアン</t>
  </si>
  <si>
    <t>006210 高雄工業株式会社 海南第一工場製作1課</t>
  </si>
  <si>
    <t>MATSUDA SERGIO YUKIO</t>
  </si>
  <si>
    <t>マツダ　セルジオ　ユキオ</t>
  </si>
  <si>
    <t>522-0222</t>
  </si>
  <si>
    <t>滋賀県彦根市南川瀬町1542-1</t>
  </si>
  <si>
    <t>ﾚｵﾊﾟﾚｽTSおおつか115号</t>
  </si>
  <si>
    <t>以前の住所498-0802三重県桑名郡木曾岬町見入辰高786-3ﾀﾂﾀﾞｶﾊｲﾂA102</t>
  </si>
  <si>
    <t>MAI VAN TRI</t>
  </si>
  <si>
    <t>マイ　ヴァン　チー</t>
  </si>
  <si>
    <t>10/21～\1500⇒1600</t>
  </si>
  <si>
    <t>DANG TRONG HIEU</t>
  </si>
  <si>
    <t>ダン　チョン　ヒエウ</t>
  </si>
  <si>
    <t>3/2~3/30高雄岡山、3/31～4/4岡山請負4/13～三幸技研</t>
  </si>
  <si>
    <t>NGUYEN DINH NGOC</t>
  </si>
  <si>
    <t>グエン　デイン　ゴック</t>
  </si>
  <si>
    <t>651-2112</t>
  </si>
  <si>
    <t>兵庫県神戸市西区大津和2-9-3</t>
  </si>
  <si>
    <t>ｻﾆｰﾊﾟﾚｽ102</t>
  </si>
  <si>
    <t>NGUYEN TRUNG TAN</t>
  </si>
  <si>
    <t>グエン　チュン　タン</t>
  </si>
  <si>
    <t>岩本ﾏﾝｼｮﾝ402</t>
  </si>
  <si>
    <t>VU VAN HUNG</t>
  </si>
  <si>
    <t>ヴー　ヴァン　フン</t>
  </si>
  <si>
    <t>LE QUANG TRONG</t>
  </si>
  <si>
    <t>レ　クアン　チョン</t>
  </si>
  <si>
    <t>TRINH THANH VIET ANH</t>
  </si>
  <si>
    <t>チン　タン　ヴィエト　アン</t>
  </si>
  <si>
    <t>PHAM VAN HIEU</t>
  </si>
  <si>
    <t>ファム　ヴァン　ヒエウ</t>
  </si>
  <si>
    <t>LE VAN LONG</t>
  </si>
  <si>
    <t>レー　ヴァン　ロン</t>
  </si>
  <si>
    <t>2022/5/10～2023/11/3高雄工業静岡退社　2023/11/6瑞陵精機に異動</t>
  </si>
  <si>
    <t>VU TUAN ANH</t>
  </si>
  <si>
    <t>ブー　テュアン　アン</t>
  </si>
  <si>
    <t>HO HUYNH DINH NGHIEM</t>
  </si>
  <si>
    <t>ホー　フィン　ディン　ギエム</t>
  </si>
  <si>
    <t>NGUYEN HOANG VIET LAM</t>
  </si>
  <si>
    <t>グエン　ホアン　ヴィエット　ラム</t>
  </si>
  <si>
    <t>DINH VAN HAI</t>
  </si>
  <si>
    <t>ディン　ヴァン　ハイ</t>
  </si>
  <si>
    <t>岡山県岡山市北区御津草生2169番地2</t>
  </si>
  <si>
    <t>草生一軒家</t>
  </si>
  <si>
    <t>NGUYEN HOANG TIEN</t>
  </si>
  <si>
    <t>グエン　ホアン　ティエン</t>
  </si>
  <si>
    <t>MA THE THIEN</t>
  </si>
  <si>
    <t>マー　テー　ティエン</t>
  </si>
  <si>
    <t>BUI THE LAM</t>
  </si>
  <si>
    <t>ブイ　テエ　ラム</t>
  </si>
  <si>
    <t>BUI DAI PHUOC</t>
  </si>
  <si>
    <t>ブイ　ダイ　フク</t>
  </si>
  <si>
    <t>474-0027</t>
  </si>
  <si>
    <t>愛知県大府市追分町2丁目334番地</t>
  </si>
  <si>
    <t>黄金ﾏﾝｼｮﾝ302</t>
  </si>
  <si>
    <t>5/24原</t>
  </si>
  <si>
    <t>2022/4/28～2022/5/19　請負従事　2022/5/23～　三幸技研へ派遣開始</t>
  </si>
  <si>
    <t>TA QUAN VUONG</t>
  </si>
  <si>
    <t>ター　クアン　ヴオン</t>
  </si>
  <si>
    <t>TRAN HONG QUAN</t>
  </si>
  <si>
    <t>チャン　ホン　クアン</t>
  </si>
  <si>
    <t>7/8原</t>
  </si>
  <si>
    <t>ﾌｪﾆﾃｯｸ岡山工場　退社　⇒　2022/5/31ﾌｪﾆﾃｯｸ鹿児島へ再入社</t>
  </si>
  <si>
    <t>州の崎第2工場製造3課5工区6班</t>
  </si>
  <si>
    <t>州の崎製造3課5工区6班</t>
  </si>
  <si>
    <t>2022/6/7～　1400円⇒1500円</t>
  </si>
  <si>
    <t>2022/4/27コーリツ退社　2022/6/1　コーリツに再入社</t>
  </si>
  <si>
    <t>2022/4/1コーリツ退社　2022/6/1　コーリツに再入社</t>
  </si>
  <si>
    <t>NAUFAL ANDZAR ASH-SHIDDIQ</t>
  </si>
  <si>
    <t>ナウファル　アンザル　アス　シッディク</t>
  </si>
  <si>
    <t>VO QUY HOAN</t>
  </si>
  <si>
    <t>ヴォ　クイ　ホアン</t>
  </si>
  <si>
    <t>VU DINH DUONG</t>
  </si>
  <si>
    <t>ヴー　ディン　ズオン</t>
  </si>
  <si>
    <t>山口県別府市大字田島545-2</t>
  </si>
  <si>
    <t>ﾋﾞﾚｯｼﾞﾊｳｽ2棟401</t>
  </si>
  <si>
    <t>NGUYEN NGOC CHIEN</t>
  </si>
  <si>
    <t>グエン　ゴック　チエン</t>
  </si>
  <si>
    <t>久寿川岡田ﾏﾝｼｮﾝ202</t>
  </si>
  <si>
    <t>ＣＶＪ研磨等速ジョイント旋削加工・ＮＣプログラム修正</t>
  </si>
  <si>
    <t>DANG CONG CHIEN</t>
  </si>
  <si>
    <t>ダン　コン　チエン</t>
  </si>
  <si>
    <t>PHAM DINH TUAN</t>
  </si>
  <si>
    <t>ファム　ディン　トウン</t>
  </si>
  <si>
    <t>559-0004</t>
  </si>
  <si>
    <t>大阪府大阪市住之江区住之江3-3-21</t>
  </si>
  <si>
    <t>ｻﾝﾗｲﾌ住之江101</t>
  </si>
  <si>
    <t>DUONG VAN NGHIA</t>
  </si>
  <si>
    <t>ズオン　ヴァン　ギア</t>
  </si>
  <si>
    <t>半年後UPなし</t>
  </si>
  <si>
    <t>8/10原</t>
  </si>
  <si>
    <t>NGUYEN VAN VUNG</t>
  </si>
  <si>
    <t>グエン　ヴァン　ブン</t>
  </si>
  <si>
    <t>DAO THI MIEN</t>
  </si>
  <si>
    <t>ダオ　ティ　ミエン</t>
  </si>
  <si>
    <t>2022/7/1~ﾌｪﾆﾃｯｸ鹿児島　2023/4/6～PMIへ移動、2023/7/8～304へ移動</t>
  </si>
  <si>
    <t>TRAN QUANG HUY</t>
  </si>
  <si>
    <t>チャン　クアン　フィ</t>
  </si>
  <si>
    <t>5/20請負入社　切子回収より異動</t>
  </si>
  <si>
    <t>佐藤　マルセロ　ヒトシ</t>
  </si>
  <si>
    <t>　2024/1/1～ 2000円⇒2100円</t>
  </si>
  <si>
    <t>8/3原</t>
  </si>
  <si>
    <t>ABDUL ANSAR</t>
  </si>
  <si>
    <t>アブドゥル　アンザル</t>
  </si>
  <si>
    <t>成広矢原ｺｰﾎﾟⅥ106</t>
  </si>
  <si>
    <t>VO VAN THA</t>
  </si>
  <si>
    <t>ヴォー　ヴァン　ター</t>
  </si>
  <si>
    <t>454-0996</t>
  </si>
  <si>
    <t>愛知県名古屋市中川区伏屋4丁目1501番地</t>
  </si>
  <si>
    <t>中伏屋荘T-4棟204号</t>
  </si>
  <si>
    <t>8/4中山</t>
  </si>
  <si>
    <t>24/2/21～24/8/20まで請求単価50円下げ</t>
  </si>
  <si>
    <t>DO DOAN HIEU</t>
  </si>
  <si>
    <t>ドー　ドアン　ヒエウ</t>
  </si>
  <si>
    <t>HOANG VAN HUNG</t>
  </si>
  <si>
    <t>ホアン　ヴァン　フン</t>
  </si>
  <si>
    <t>474-0056</t>
  </si>
  <si>
    <t>愛知県大府市明成町2丁目176番地</t>
  </si>
  <si>
    <t>ｻﾝﾋﾟｱ清野205</t>
  </si>
  <si>
    <t>21.08.01</t>
  </si>
  <si>
    <t>VU THUONG QUYEN</t>
  </si>
  <si>
    <t>ヴ　トウオン　クイエン</t>
  </si>
  <si>
    <t>京田住宅2号棟344</t>
  </si>
  <si>
    <t>LE VAN MANH</t>
  </si>
  <si>
    <t>レー　ヴァン　マイン</t>
  </si>
  <si>
    <t>愛知県春日井市高山町2丁目32番地5</t>
  </si>
  <si>
    <t>J加工2課</t>
  </si>
  <si>
    <t>TRAN BA HAI</t>
  </si>
  <si>
    <t>チャン　バ　ハイ</t>
  </si>
  <si>
    <t>木材加工・検査・梱包</t>
  </si>
  <si>
    <t>NGUYEN VIET HA</t>
  </si>
  <si>
    <t>グエン　ヴィエット　ハー</t>
  </si>
  <si>
    <t>CHU VAN PHUONG</t>
  </si>
  <si>
    <t>チュ　バン　フオン</t>
  </si>
  <si>
    <t>DANG VAN DOANH</t>
  </si>
  <si>
    <t>ダン　ヴァン　ゾアン</t>
  </si>
  <si>
    <t>静岡県袋井市堀越3-19-2</t>
  </si>
  <si>
    <t>県営葵団地2棟206号</t>
  </si>
  <si>
    <t>22.9.5</t>
  </si>
  <si>
    <t>9/5林</t>
  </si>
  <si>
    <t>MAI QUANG HAU</t>
  </si>
  <si>
    <t>マイ　クアン　ハウ</t>
  </si>
  <si>
    <t>NGUYEN XUAN PHUC</t>
  </si>
  <si>
    <t>グエン　スアン　フック</t>
  </si>
  <si>
    <t>2022/9/8　請負から派遣に切替　請負で1年以上経験有る為、1400円ｽﾀｰﾄ</t>
  </si>
  <si>
    <t>保科　クラウジオ</t>
  </si>
  <si>
    <t>NGUYEN VAN THAI</t>
  </si>
  <si>
    <t>グエン　バン　タイ</t>
  </si>
  <si>
    <t>田村　誠吾</t>
  </si>
  <si>
    <t>タムラ　セイゴ</t>
  </si>
  <si>
    <t>462-0012</t>
  </si>
  <si>
    <t>愛知県名古屋市北区楠2-119</t>
  </si>
  <si>
    <t>中あじま荘5棟206号</t>
  </si>
  <si>
    <t>DINH CONG CUONG</t>
  </si>
  <si>
    <t>ディン　コン　クォン</t>
  </si>
  <si>
    <t>486-0928</t>
  </si>
  <si>
    <t>愛知県春日井市妙慶町2丁目8</t>
  </si>
  <si>
    <t>妙慶ﾊｲﾂ202号</t>
  </si>
  <si>
    <t>DINH NHO SANG</t>
  </si>
  <si>
    <t>ディン　ノー　サン</t>
  </si>
  <si>
    <t>PHAN MINH THANH</t>
  </si>
  <si>
    <t>ファン　ミン　タイン</t>
  </si>
  <si>
    <t>生産2課</t>
  </si>
  <si>
    <t>HOANG ANH TU</t>
  </si>
  <si>
    <t>ホアン　アイン　トウ</t>
  </si>
  <si>
    <t>486-0806</t>
  </si>
  <si>
    <t>愛知県春日井市大手田酉町1-5-15</t>
  </si>
  <si>
    <t>ｻﾝｳﾞｨﾚｯｼﾞ91-205</t>
  </si>
  <si>
    <t>尾鉢第2住宅2号棟211号室</t>
  </si>
  <si>
    <t>LE VAN LUONG</t>
  </si>
  <si>
    <t>DO VAN TRINH</t>
  </si>
  <si>
    <t>ド　バン　チン</t>
  </si>
  <si>
    <t>高安一番館303号室</t>
  </si>
  <si>
    <t>22.10.3</t>
  </si>
  <si>
    <t>11/4原</t>
  </si>
  <si>
    <t>DANG VAN QUANG</t>
  </si>
  <si>
    <t>ダン　ヴァン　クアン</t>
  </si>
  <si>
    <t>701-0143</t>
  </si>
  <si>
    <t>岡山県岡山市北区白石194-1</t>
  </si>
  <si>
    <t>ｻﾝﾊｲﾂいたのC201</t>
  </si>
  <si>
    <t>LE TRONG LINH</t>
  </si>
  <si>
    <t>レ　チョン　リン</t>
  </si>
  <si>
    <t>VU DUC THIET</t>
  </si>
  <si>
    <t>ヴー　ドゥク　ティエット</t>
  </si>
  <si>
    <t>658-0014</t>
  </si>
  <si>
    <t>兵庫県神戸市東灘区北青木3－20－23</t>
  </si>
  <si>
    <t>青木ﾏﾝｼｮﾝ303</t>
  </si>
  <si>
    <t>PHAM VAN DUY</t>
  </si>
  <si>
    <t>ファム　バン　ズイ</t>
  </si>
  <si>
    <t>片山　アンドレ　リカルド</t>
  </si>
  <si>
    <t>カタヤマ　アンドレ　リカルド</t>
  </si>
  <si>
    <t>503-0981</t>
  </si>
  <si>
    <t>岐阜県大垣市桧町847番地</t>
  </si>
  <si>
    <t xml:space="preserve">ｻﾝｼﾃｨ静里B102 </t>
  </si>
  <si>
    <t>加入なし</t>
  </si>
  <si>
    <t>HOANG DUY THANG</t>
  </si>
  <si>
    <t>ホアン　ズイ　タン</t>
  </si>
  <si>
    <t>NGO VAN ANH</t>
  </si>
  <si>
    <t>ゴー　ヴァン　アイン</t>
  </si>
  <si>
    <t>PHAM TAN LOC</t>
  </si>
  <si>
    <t>ファム　タン　ロク</t>
  </si>
  <si>
    <t>鹿児島県姶良郡湧水町木場189番地</t>
  </si>
  <si>
    <t>ｽｲｰﾄﾀｯﾁD号室</t>
  </si>
  <si>
    <t>11/28林</t>
  </si>
  <si>
    <t>NGUYEN HUY TAI</t>
  </si>
  <si>
    <t>グエン　フィ　タイ</t>
  </si>
  <si>
    <t>486-0807</t>
  </si>
  <si>
    <t>愛知県春日井市大手町2-53-1</t>
  </si>
  <si>
    <t>NGUYEN THANH DAT</t>
  </si>
  <si>
    <t>グエン　タイン　ダット</t>
  </si>
  <si>
    <t>HOANG TUAN ANH</t>
  </si>
  <si>
    <t>ホアン　トゥアン　アイン</t>
  </si>
  <si>
    <t>岐阜県岐阜市大井町1120-303</t>
  </si>
  <si>
    <t>DUONG HOANG ANH</t>
  </si>
  <si>
    <t>ズオン　ホアン　アイン</t>
  </si>
  <si>
    <t>VU VAN DINH</t>
  </si>
  <si>
    <t>ヴー　ヴァン　ディン</t>
  </si>
  <si>
    <t>NGUYEN QUY TOAN</t>
  </si>
  <si>
    <t>グエン　クイ　トアン</t>
  </si>
  <si>
    <t>ﾋﾞﾚｯｼﾞﾊｳｽ恵那1号棟403</t>
  </si>
  <si>
    <t>NGUYEN VINH HIEU</t>
  </si>
  <si>
    <t>グエン　ヴィン　ヒエウ</t>
  </si>
  <si>
    <t>468-0807</t>
  </si>
  <si>
    <t>ﾊﾟｰｸｻｲﾄﾞ泉Ⅱ 201</t>
  </si>
  <si>
    <t>NGUYEN HOANG ANH</t>
  </si>
  <si>
    <t>グエン　ホアン　アイン</t>
  </si>
  <si>
    <t>岡山県岡山市北区御津矢原370-1</t>
  </si>
  <si>
    <t>23.1.23</t>
  </si>
  <si>
    <t>LE TRUNG DUC</t>
  </si>
  <si>
    <t>レ　チュン　ジク</t>
  </si>
  <si>
    <t>ｱﾒﾆﾃｨﾊｲﾂ田島101</t>
  </si>
  <si>
    <t>HUB　検査課係（保留中）</t>
  </si>
  <si>
    <t>CHU THANH AN</t>
  </si>
  <si>
    <t>チュー　タイン　アン</t>
  </si>
  <si>
    <t>2/16林</t>
  </si>
  <si>
    <t>NGUYEN VAN KIEN</t>
  </si>
  <si>
    <t>グエン　ヴァン　キエン</t>
  </si>
  <si>
    <t>NGUYEN XUAN DUONG</t>
  </si>
  <si>
    <t>グエン　スアン　ズオン</t>
  </si>
  <si>
    <t>TRAN NHU CANH</t>
  </si>
  <si>
    <t>チャン　ニュ　カン</t>
  </si>
  <si>
    <t>ﾛｼﾞｭﾏﾝ千希A201号</t>
  </si>
  <si>
    <t>DANG NGOC SON</t>
  </si>
  <si>
    <t>ダン　ゴック　ソン</t>
  </si>
  <si>
    <t>DO VAN SON</t>
  </si>
  <si>
    <t>ド　ヴァン　ソン</t>
  </si>
  <si>
    <t>資材供給部</t>
  </si>
  <si>
    <t>メラミン課</t>
  </si>
  <si>
    <t>TRAN BA HUNG</t>
  </si>
  <si>
    <t>チャン　バ　フン</t>
  </si>
  <si>
    <t>NGUYEN THI TRANG</t>
  </si>
  <si>
    <t>グエン　ティ　チャン</t>
  </si>
  <si>
    <t>NGUYEN VAN DOAN</t>
  </si>
  <si>
    <t>グエン　ヴァン　ドアン</t>
  </si>
  <si>
    <t>VU HUU HOANG</t>
  </si>
  <si>
    <t>ヴ　フュ　ホアン</t>
  </si>
  <si>
    <t>447-0011</t>
  </si>
  <si>
    <t>愛知県碧南市平山町3丁目16番地</t>
  </si>
  <si>
    <t>ﾋﾞﾚｯｼﾞﾊｳｽ西端1号棟302</t>
  </si>
  <si>
    <t>NGUYEN VAN TRUYEN</t>
  </si>
  <si>
    <t>グエン　ヴァン　チュエン</t>
  </si>
  <si>
    <t>VO VAN XUAN</t>
  </si>
  <si>
    <t>ヴォ　ヴァン　スアン</t>
  </si>
  <si>
    <t>DAM XUAN SOAT</t>
  </si>
  <si>
    <t>ダム　スアン　ソアット</t>
  </si>
  <si>
    <t>愛知県半田市庚申町2丁目6番地の7</t>
  </si>
  <si>
    <t>ﾊｲﾂこうしんA棟103号</t>
  </si>
  <si>
    <t>HA THO HOAN</t>
  </si>
  <si>
    <t>ハ　ト　ホアン</t>
  </si>
  <si>
    <t>州の埼２工場製造3課５工区７班</t>
  </si>
  <si>
    <t>PHAM HUY TIEN</t>
  </si>
  <si>
    <t>ファム　フィ　テイエン</t>
  </si>
  <si>
    <t>亀崎工場製造5課7工区8班</t>
  </si>
  <si>
    <t>NGUYEN VAN QUANG</t>
  </si>
  <si>
    <t>NGUYEN NGOC PHONG</t>
  </si>
  <si>
    <t>グエン　ゴック　フォン</t>
  </si>
  <si>
    <t>ｸﾞﾗﾝﾃﾞｰｻﾞ109</t>
  </si>
  <si>
    <t>高雄工業株式会社 岡山事業所HUB工場製作2課</t>
  </si>
  <si>
    <t>LE MINH HIEU</t>
  </si>
  <si>
    <t>レー　ミン　ヒエウ</t>
  </si>
  <si>
    <t>本社工場製造1課2工区6班</t>
  </si>
  <si>
    <t>田中　ヤスヒロ</t>
  </si>
  <si>
    <t>タナカ　ヤスヒロ</t>
  </si>
  <si>
    <t>304-0812</t>
  </si>
  <si>
    <t>茨城県下妻市田下598-3</t>
  </si>
  <si>
    <t>CHODORI　102</t>
  </si>
  <si>
    <t>THAI BA THACH</t>
  </si>
  <si>
    <t>タイ　バー　タック</t>
  </si>
  <si>
    <t>TRAN XUAN DAT</t>
  </si>
  <si>
    <t>チャン　スアン　ダット</t>
  </si>
  <si>
    <t>NGUYEN DINH HUAN</t>
  </si>
  <si>
    <t>グエン　ディン　ファン</t>
  </si>
  <si>
    <t>TRAN NGOC HOAI</t>
  </si>
  <si>
    <t>チャン　ゴック　ホアイ</t>
  </si>
  <si>
    <t>LE DINH PHUC</t>
  </si>
  <si>
    <t>レ　ディン　フック</t>
  </si>
  <si>
    <t>DO TUAN ANH</t>
  </si>
  <si>
    <t>ドー　トゥアン　アイン</t>
  </si>
  <si>
    <t>TRAN QUOC TRUONG</t>
  </si>
  <si>
    <t>チャン　コック　チュオン</t>
  </si>
  <si>
    <t>23.02.01</t>
  </si>
  <si>
    <t>請負より異動(入社23/1/19）</t>
  </si>
  <si>
    <t>23.6.26</t>
  </si>
  <si>
    <t>7/5林</t>
  </si>
  <si>
    <t>第5工場</t>
  </si>
  <si>
    <t>ホンダ　ビクトル</t>
  </si>
  <si>
    <t>日本人の配偶者等</t>
  </si>
  <si>
    <t>526-0803</t>
  </si>
  <si>
    <t>滋賀県長浜市東上坂町524-1</t>
  </si>
  <si>
    <t xml:space="preserve"> </t>
  </si>
  <si>
    <t>BUI THI PHUONG</t>
  </si>
  <si>
    <t>ブイ　ティ　フォン</t>
  </si>
  <si>
    <t>成広ｺｰﾎﾟⅡ206</t>
  </si>
  <si>
    <t>23.7.18</t>
  </si>
  <si>
    <t>7/27林</t>
  </si>
  <si>
    <t>NGUYEN VAN PHUC</t>
  </si>
  <si>
    <t>グエン　ヴァン　フック</t>
  </si>
  <si>
    <t>23.7.21</t>
  </si>
  <si>
    <t>DANG VAN BINH</t>
  </si>
  <si>
    <t>ダン　ヴァン　ビン</t>
  </si>
  <si>
    <t>441-1342</t>
  </si>
  <si>
    <t>愛知県新城市石田字南畑51-1</t>
  </si>
  <si>
    <t>ﾌﾞﾗﾝｼｪHiroB</t>
  </si>
  <si>
    <t>23.7.25</t>
  </si>
  <si>
    <t>LE XUAN HOANG</t>
  </si>
  <si>
    <t>レ　スアン　ホアン</t>
  </si>
  <si>
    <t>HO SY CUONG</t>
  </si>
  <si>
    <t>ホー　シー　クオン</t>
  </si>
  <si>
    <t>PHAN VAN PHI</t>
  </si>
  <si>
    <t>ファン　ヴァン　フィ</t>
  </si>
  <si>
    <t>23.7.26</t>
  </si>
  <si>
    <t>NGUYEN HUU NHAT</t>
  </si>
  <si>
    <t>グエン　ヒュ　ニャット</t>
  </si>
  <si>
    <t>NGUYEN QUOC LONG</t>
  </si>
  <si>
    <t>グエン　クォック　ロン</t>
  </si>
  <si>
    <t>内研</t>
  </si>
  <si>
    <t>LE SY HUNG</t>
  </si>
  <si>
    <t>レー　シー　フン</t>
  </si>
  <si>
    <t>グエン　ヴァン　フオン</t>
  </si>
  <si>
    <t>474-0071</t>
  </si>
  <si>
    <t>愛知県大府市梶田町3-143-2</t>
  </si>
  <si>
    <t>県営梶田町住宅6棟304</t>
  </si>
  <si>
    <t>LY VAN DUC</t>
  </si>
  <si>
    <t>リー　バン　ドク</t>
  </si>
  <si>
    <t>VU VAN DUNG</t>
  </si>
  <si>
    <t>ブ　バン　ズン</t>
  </si>
  <si>
    <t>476-0011</t>
  </si>
  <si>
    <t>愛知県東海市冨木島町山中80-1</t>
  </si>
  <si>
    <t>ﾋﾞﾚｯｼﾞﾊｳｽ山中2-304</t>
  </si>
  <si>
    <t>TRAN QUOC QUAN</t>
  </si>
  <si>
    <t>チャン　クオック　クアン</t>
  </si>
  <si>
    <t>23.9.6</t>
  </si>
  <si>
    <t>PHAM DUC KHAC</t>
  </si>
  <si>
    <t>ファム　ドゥック　カック</t>
  </si>
  <si>
    <t>NGUYEN DUC QUANG 　</t>
  </si>
  <si>
    <t>グエン　ドック　クアン</t>
  </si>
  <si>
    <t>10/18林</t>
  </si>
  <si>
    <t>NGUYEN QUOC CUONG</t>
  </si>
  <si>
    <t>グエン　クオック　クオン</t>
  </si>
  <si>
    <t>LE NGOC THONG</t>
  </si>
  <si>
    <t>レ　ゴック　トン</t>
  </si>
  <si>
    <t>HOANG XUAN TUAN</t>
  </si>
  <si>
    <t>ホアン　スアン　トゥアン</t>
  </si>
  <si>
    <t>NGO VAN LINH</t>
  </si>
  <si>
    <t>ゴー　バン　リン</t>
  </si>
  <si>
    <t>愛知県半田市乙川稗田町116</t>
  </si>
  <si>
    <t>23.10.26</t>
  </si>
  <si>
    <t>23.10.30</t>
  </si>
  <si>
    <t>LE TRAN NHAT LINH</t>
  </si>
  <si>
    <t>レ　チャン　ニャット　リン</t>
  </si>
  <si>
    <t>2023/12/18より請負へ異動その後23/12/25退社</t>
  </si>
  <si>
    <t>23.11.6</t>
  </si>
  <si>
    <t>VU VIET HUNG</t>
  </si>
  <si>
    <t>ブー　ベト　フン</t>
  </si>
  <si>
    <t>TRAN HUY CONG</t>
  </si>
  <si>
    <t>チャン　フイ　コン</t>
  </si>
  <si>
    <t>12/20林</t>
  </si>
  <si>
    <t>PHAN VAN QUY</t>
  </si>
  <si>
    <t>ファン　ヴァン　クイ</t>
  </si>
  <si>
    <t>成広矢原ｺｰﾎﾟⅥ205</t>
  </si>
  <si>
    <t>23.11.28</t>
  </si>
  <si>
    <t>EKO BUDIANTO</t>
  </si>
  <si>
    <t>エコ　ブディアント</t>
  </si>
  <si>
    <t>455-0823</t>
  </si>
  <si>
    <t>愛知県名古屋市港区惟信町1丁目26-1</t>
  </si>
  <si>
    <t>ﾍﾞﾙﾒｿﾞﾝ大山211</t>
  </si>
  <si>
    <t>23.12.21</t>
  </si>
  <si>
    <t>1/15林</t>
  </si>
  <si>
    <t>DUONG THANH BINH</t>
  </si>
  <si>
    <t>ズオン　タン　ビン</t>
  </si>
  <si>
    <t>BUI VAN CHINH</t>
  </si>
  <si>
    <t>ブイ　バン　チン</t>
  </si>
  <si>
    <t>VU TRUNG HIEU</t>
  </si>
  <si>
    <t>ヴー　チュン　ヒュー</t>
  </si>
  <si>
    <t>454-0835</t>
  </si>
  <si>
    <t>愛知県名古屋市中川区八家町2-164-1</t>
  </si>
  <si>
    <t>Court八家3D号</t>
  </si>
  <si>
    <t>24.2.1</t>
  </si>
  <si>
    <t>LUONG VAN HAI</t>
  </si>
  <si>
    <t>ルオン　ヴァン　ハイ</t>
  </si>
  <si>
    <t>594-0082</t>
  </si>
  <si>
    <t>大阪府和泉市富秋町3丁目11番25</t>
  </si>
  <si>
    <t>104号</t>
  </si>
  <si>
    <t>成広ｺｰﾎﾟⅡ201</t>
  </si>
  <si>
    <t>安谷屋　ロベルト</t>
  </si>
  <si>
    <t>NOVAIS GONDO GERENE LUKAS</t>
  </si>
  <si>
    <t>ゴンドウ　ルカス</t>
  </si>
  <si>
    <t>498-0023</t>
  </si>
  <si>
    <t>愛知県弥富市鯏浦町上六105-8</t>
  </si>
  <si>
    <t>24.2.29</t>
  </si>
  <si>
    <t>7/24林</t>
  </si>
  <si>
    <t>7/25林</t>
  </si>
  <si>
    <t>7/31林</t>
  </si>
  <si>
    <t>2024.7.22</t>
  </si>
  <si>
    <t>8/21林</t>
  </si>
  <si>
    <t>8/21原</t>
  </si>
  <si>
    <t>鹿児島県姶良郡湧水町木場1214-1</t>
  </si>
  <si>
    <t>NGUYEN THANH Y</t>
  </si>
  <si>
    <t>グエン　タン　イー</t>
  </si>
  <si>
    <t>9/3林</t>
  </si>
  <si>
    <t>グエン　マン　クオン</t>
  </si>
  <si>
    <t>HOANG QUOC VIET</t>
  </si>
  <si>
    <t>ホアン　クォック　ベト</t>
  </si>
  <si>
    <t>CAO VAN SON</t>
  </si>
  <si>
    <t>カオ　ヴァン　ソン</t>
  </si>
  <si>
    <t>愛知県小牧市小牧3522</t>
  </si>
  <si>
    <t>ﾋﾞﾚｯｼﾞﾊｳｽ山北5号棟205</t>
  </si>
  <si>
    <t>8/27林</t>
  </si>
  <si>
    <t>468-0808</t>
  </si>
  <si>
    <t>愛知県春日井市田楽町1641-10</t>
  </si>
  <si>
    <t>ｻﾝ・ﾅｶﾑﾗ203</t>
  </si>
  <si>
    <t>NGUYEN THE HAO</t>
  </si>
  <si>
    <t>グエン　テー　ハオ</t>
  </si>
  <si>
    <t>486-0913</t>
  </si>
  <si>
    <t>愛知県春日井市柏原町5-225</t>
  </si>
  <si>
    <t>ｽｶｲﾋﾞｰﾝｽﾞ柏原202号</t>
  </si>
  <si>
    <t>NGUYEN NGOC NHUT</t>
  </si>
  <si>
    <t>グエン　ゴック　ヌット</t>
  </si>
  <si>
    <t>PHAN DUY KHUONG</t>
  </si>
  <si>
    <t>ファン　ズイ　クオン</t>
  </si>
  <si>
    <t>PHAM VINH QUANG</t>
  </si>
  <si>
    <t>ファム　ヴィン　クアン</t>
  </si>
  <si>
    <t>DO DUC TRUNG</t>
  </si>
  <si>
    <t>ド　ドゥック　チュン</t>
  </si>
  <si>
    <t>NGUYEN BA HIEU</t>
  </si>
  <si>
    <t>グエン　バー　ヒエウ</t>
  </si>
  <si>
    <t>482-0001</t>
  </si>
  <si>
    <t>愛知県岩倉市東新町仲浦１番地</t>
  </si>
  <si>
    <t>岩倉団地31棟407号</t>
  </si>
  <si>
    <t>8/28林</t>
  </si>
  <si>
    <t>愛知県半田市長根町3-1</t>
  </si>
  <si>
    <t>TRAN NAM ANH</t>
  </si>
  <si>
    <t>チャン　ナム　アイン</t>
  </si>
  <si>
    <t>VU DUONG LINH</t>
  </si>
  <si>
    <t>KIEU THANH MINH</t>
  </si>
  <si>
    <t>キュウ　タン　ミン</t>
  </si>
  <si>
    <t>DANG VAN MUOI</t>
  </si>
  <si>
    <t>ダン　バン　ムオイ</t>
  </si>
  <si>
    <t>DANG VAN HOAI PHONG</t>
  </si>
  <si>
    <t>ダン　ヴァン　ホアイ　フォン</t>
  </si>
  <si>
    <t>LE DUC ANH</t>
  </si>
  <si>
    <t>レ　ドゥック　アイン</t>
  </si>
  <si>
    <t>VO DIEN VU MINH</t>
  </si>
  <si>
    <t>ヴォー　ディエン　ヴー　ミン</t>
  </si>
  <si>
    <t>BUI QUANG DAI</t>
  </si>
  <si>
    <t>ブイ　クアン　ダイ</t>
  </si>
  <si>
    <t>PHAM HUU CUONG</t>
  </si>
  <si>
    <t>ファム　ヒゥ　クオン</t>
  </si>
  <si>
    <t>ABE NUNES ERICO KENJI</t>
  </si>
  <si>
    <t>アベ　ケンジ</t>
  </si>
  <si>
    <t>TRAN THE AN</t>
  </si>
  <si>
    <t>チャン　テー　アン</t>
  </si>
  <si>
    <t>TRAN VIET HOANG</t>
  </si>
  <si>
    <t>チャン　ヴィエット　ホアン</t>
  </si>
  <si>
    <t>VU HAI LONG</t>
  </si>
  <si>
    <t>ヴー　ハイ　ロン</t>
  </si>
  <si>
    <t>DINH VAN TRUNG</t>
  </si>
  <si>
    <t>ディン　ヴァン　チュン</t>
  </si>
  <si>
    <t>NGUYEN DANG QUANG</t>
  </si>
  <si>
    <t>レ　ヴァン　ニュン</t>
  </si>
  <si>
    <t>DANG THAI BAO</t>
  </si>
  <si>
    <t>ダン　タイ　バオ</t>
  </si>
  <si>
    <t>IF($I9="","",IF(G9+1095&lt;HakenKikanE,"無期雇用","有期雇用（3ヵ月)"))</t>
    <phoneticPr fontId="1"/>
  </si>
  <si>
    <r>
      <rPr>
        <sz val="11"/>
        <color theme="1"/>
        <rFont val="Segoe UI Symbol"/>
        <family val="1"/>
      </rPr>
      <t>☑</t>
    </r>
    <r>
      <rPr>
        <sz val="11"/>
        <color theme="1"/>
        <rFont val="Calibri"/>
        <family val="1"/>
      </rPr>
      <t xml:space="preserve"> </t>
    </r>
    <r>
      <rPr>
        <sz val="11"/>
        <color theme="1"/>
        <rFont val="BIZ UD明朝 Medium"/>
        <family val="1"/>
        <charset val="128"/>
      </rPr>
      <t>有期雇用</t>
    </r>
    <r>
      <rPr>
        <sz val="11"/>
        <color theme="1"/>
        <rFont val="Calibri"/>
        <family val="1"/>
      </rPr>
      <t xml:space="preserve"> </t>
    </r>
    <r>
      <rPr>
        <sz val="11"/>
        <color theme="1"/>
        <rFont val="BIZ UD明朝 Medium"/>
        <family val="1"/>
        <charset val="128"/>
      </rPr>
      <t>　</t>
    </r>
    <r>
      <rPr>
        <sz val="11"/>
        <color theme="1"/>
        <rFont val="Calibri"/>
        <family val="1"/>
      </rPr>
      <t xml:space="preserve">  </t>
    </r>
    <r>
      <rPr>
        <sz val="11"/>
        <color theme="1"/>
        <rFont val="BIZ UD明朝 Medium"/>
        <family val="1"/>
        <charset val="128"/>
      </rPr>
      <t>　</t>
    </r>
    <r>
      <rPr>
        <sz val="11"/>
        <color theme="1"/>
        <rFont val="Calibri"/>
        <family val="1"/>
      </rPr>
      <t xml:space="preserve"> </t>
    </r>
    <r>
      <rPr>
        <sz val="11"/>
        <color theme="1"/>
        <rFont val="Segoe UI Symbol"/>
        <family val="1"/>
      </rPr>
      <t>□</t>
    </r>
    <r>
      <rPr>
        <sz val="11"/>
        <color theme="1"/>
        <rFont val="Calibri"/>
        <family val="1"/>
      </rPr>
      <t xml:space="preserve"> </t>
    </r>
    <r>
      <rPr>
        <sz val="11"/>
        <color theme="1"/>
        <rFont val="BIZ UD明朝 Medium"/>
        <family val="1"/>
        <charset val="128"/>
      </rPr>
      <t>無期雇用</t>
    </r>
    <phoneticPr fontId="1"/>
  </si>
  <si>
    <t>週4ヶ日間(シフトに準ずる）休日は、月曜日から金曜日の間一日・土曜日・日曜日・夏季休暇（8月9日～8月17日)・年末年始（12月29日～1月5日)・GW(4月29日～5月6日)・</t>
    <rPh sb="0" eb="1">
      <t>シュウ</t>
    </rPh>
    <rPh sb="3" eb="5">
      <t>カカン</t>
    </rPh>
    <rPh sb="10" eb="11">
      <t>ジュン</t>
    </rPh>
    <rPh sb="14" eb="16">
      <t>キュウジツ</t>
    </rPh>
    <rPh sb="18" eb="21">
      <t>ゲツヨウビ</t>
    </rPh>
    <rPh sb="23" eb="26">
      <t>キンヨウビ</t>
    </rPh>
    <rPh sb="27" eb="28">
      <t>アイダ</t>
    </rPh>
    <rPh sb="28" eb="30">
      <t>イチニチ</t>
    </rPh>
    <phoneticPr fontId="1"/>
  </si>
  <si>
    <t>週4ヶ日間(シフトに準ずる）休日は、月曜日から金曜日の間一日・土曜日・日曜日・年末年始（12月29日～1月5日)・GW(4月29日～5月6日)・夏季休暇（8月9日～8月17日)</t>
    <rPh sb="0" eb="1">
      <t>シュウ</t>
    </rPh>
    <rPh sb="3" eb="5">
      <t>カカン</t>
    </rPh>
    <rPh sb="10" eb="11">
      <t>ジュン</t>
    </rPh>
    <rPh sb="14" eb="16">
      <t>キュウジツ</t>
    </rPh>
    <rPh sb="18" eb="21">
      <t>ゲツヨウビ</t>
    </rPh>
    <rPh sb="23" eb="26">
      <t>キンヨウビ</t>
    </rPh>
    <rPh sb="27" eb="28">
      <t>アイダ</t>
    </rPh>
    <rPh sb="28" eb="30">
      <t>イチニチ</t>
    </rPh>
    <phoneticPr fontId="1"/>
  </si>
  <si>
    <t>492-8164</t>
  </si>
  <si>
    <t>愛知県稲沢市井之口大坪町79-1</t>
  </si>
  <si>
    <t>ﾋﾞﾚｯｼﾞﾊｳｽ井之口1棟2</t>
  </si>
  <si>
    <t>愛知県春日井市高山町4-5-1</t>
  </si>
  <si>
    <t>ﾗ･ﾎﾞﾝｼｬｽ201</t>
  </si>
  <si>
    <t>VU DINH HIEU</t>
  </si>
  <si>
    <t>ヴー　ディン　ヒエウ</t>
  </si>
  <si>
    <t>LE NHI KHANG</t>
  </si>
  <si>
    <t>レ－　ニィ　カン</t>
  </si>
  <si>
    <t>レ　ヴァン　ミン</t>
  </si>
  <si>
    <t>XLOOKUP($B$1,TBKaishaInfo[ライン],TBKaishaInfo[派遣先責任者部署]&amp;" "&amp;TBKaishaInfo[派遣先：苦情処理：部署])</t>
    <phoneticPr fontId="1"/>
  </si>
  <si>
    <t>P研磨</t>
  </si>
  <si>
    <t>折口住宅3－7号</t>
  </si>
  <si>
    <t>2024/12/18～請負から高雄岡山派遣に異動　時給1350円　2024/8/15支給から1400円にUP</t>
  </si>
  <si>
    <t>Tengo que ver en el Daicho 所　属　部　署 Y 製造業務専門
派遣先責任者</t>
    <phoneticPr fontId="1"/>
  </si>
  <si>
    <t>TKE高周波開発部</t>
  </si>
  <si>
    <t>TKE高周波開発部</t>
    <rPh sb="8" eb="9">
      <t>ブ</t>
    </rPh>
    <phoneticPr fontId="1"/>
  </si>
  <si>
    <t>課長 糸 悟志</t>
    <phoneticPr fontId="1"/>
  </si>
  <si>
    <t>コイル製作・加工業務</t>
  </si>
  <si>
    <t>コイル製作・加工業務</t>
    <phoneticPr fontId="1"/>
  </si>
  <si>
    <t>TKE営業課事業</t>
    <rPh sb="3" eb="6">
      <t>エイギョウカ</t>
    </rPh>
    <rPh sb="6" eb="8">
      <t>ジギョウ</t>
    </rPh>
    <phoneticPr fontId="1"/>
  </si>
  <si>
    <t>課長　山崎　高裕</t>
    <rPh sb="0" eb="2">
      <t>カチョウ</t>
    </rPh>
    <rPh sb="3" eb="5">
      <t>ヤマザキ</t>
    </rPh>
    <rPh sb="6" eb="8">
      <t>タカヒロ</t>
    </rPh>
    <phoneticPr fontId="1"/>
  </si>
  <si>
    <t>BUSCARX(C6,DBGenzai[社員№],DBGenzai[現在],"",-1)</t>
    <phoneticPr fontId="8" type="noConversion"/>
  </si>
  <si>
    <t>P研磨</t>
    <phoneticPr fontId="1"/>
  </si>
  <si>
    <t>係長　坂上　舞</t>
    <rPh sb="0" eb="2">
      <t>カカリチョウ</t>
    </rPh>
    <rPh sb="3" eb="5">
      <t>サカウエ</t>
    </rPh>
    <rPh sb="6" eb="7">
      <t>マイ</t>
    </rPh>
    <phoneticPr fontId="1"/>
  </si>
  <si>
    <t>配属先1</t>
    <phoneticPr fontId="8" type="noConversion"/>
  </si>
  <si>
    <t>配属先2</t>
    <phoneticPr fontId="8" type="noConversion"/>
  </si>
  <si>
    <t>第二営業部海南HUB営業課</t>
    <phoneticPr fontId="1"/>
  </si>
  <si>
    <t>ｺﾝﾂｪﾙﾊｳｽⅡD棟202</t>
  </si>
  <si>
    <t>ｺﾝﾂｪﾙﾊｳｽB棟106</t>
  </si>
  <si>
    <t>県営高取住宅3棟205号</t>
  </si>
  <si>
    <t>ﾒｿﾞﾝﾊﾟｰｸｱﾍﾞﾆｭｰ203</t>
  </si>
  <si>
    <t>ｺﾝﾂｪﾙﾊｳｽⅡD棟201</t>
  </si>
  <si>
    <t>愛知県大府市長草町新池8</t>
  </si>
  <si>
    <t>ﾋﾞﾚｯｼﾞﾊｳｽ宇甘川1棟402号</t>
  </si>
  <si>
    <t>ﾋﾞﾚｯｼﾞﾊｳｽ1棟310号</t>
  </si>
  <si>
    <t>成広矢原ｺｰﾎﾟⅢ106</t>
  </si>
  <si>
    <t>ﾌｨﾌﾃｨⅡ102</t>
  </si>
  <si>
    <t>成広ｺｰﾎﾟⅡ202</t>
  </si>
  <si>
    <t>DAO TIEN MANH</t>
  </si>
  <si>
    <t>ダオ　ティエン　マイン</t>
  </si>
  <si>
    <t>433-8119</t>
  </si>
  <si>
    <t>静岡県浜松市中央区高丘北３丁目１４番２５号</t>
  </si>
  <si>
    <t>ﾊｲﾂこうしんA棟103</t>
  </si>
  <si>
    <t>ﾋﾞﾚｯｼﾞﾊｳｽ恵那1号棟406</t>
  </si>
  <si>
    <t>ﾗﾌｨﾈYS C-101</t>
  </si>
  <si>
    <t>生産管理部</t>
  </si>
  <si>
    <t>品証安全環境管理課</t>
  </si>
  <si>
    <t>ヴ　ヅオン　リン</t>
  </si>
  <si>
    <t>9/13林</t>
  </si>
  <si>
    <t>山口県防府市大字浜方1087-2</t>
  </si>
  <si>
    <t>ﾏﾚ･ｻﾗﾝⅡ201</t>
  </si>
  <si>
    <t>9/19林</t>
  </si>
  <si>
    <t>愛知県春日井市柏原5-241</t>
  </si>
  <si>
    <t>ﾚｵﾊﾟﾚｽｳｯﾄﾞｶｼﾊﾗ203号</t>
  </si>
  <si>
    <t>山口県防府市大字田島1969-1</t>
  </si>
  <si>
    <t>ﾒｿﾞﾝ･ﾎﾟﾌﾟﾘｶ201</t>
  </si>
  <si>
    <t>VO HUY PHUONG</t>
  </si>
  <si>
    <t>ヴォ　フィ　フオン</t>
  </si>
  <si>
    <t>747-0825</t>
  </si>
  <si>
    <t>山口県防府市大字新田1721-1</t>
  </si>
  <si>
    <t>ﾃﾞｰｱｱｲⅠ　201号</t>
  </si>
  <si>
    <t>10/2林</t>
  </si>
  <si>
    <t>DO TIEN LEN</t>
  </si>
  <si>
    <t>ド　ティン　レン</t>
  </si>
  <si>
    <t>TRAN XUAN KHANH TRUNG</t>
  </si>
  <si>
    <t>チャン　スアン　カイン　チュン</t>
  </si>
  <si>
    <t>NAKIRI FERREIRA VALDINEI</t>
  </si>
  <si>
    <t>ナキリ　フェレイラ</t>
  </si>
  <si>
    <t>447-0061</t>
  </si>
  <si>
    <t>愛知県碧南市三度山町47番地</t>
  </si>
  <si>
    <t>ﾚｵﾊﾟﾚｽｱﾝｿﾚｲｴ恵207号</t>
  </si>
  <si>
    <t>454-0981</t>
  </si>
  <si>
    <t>愛知県名古屋市中川区吉津3-1004</t>
  </si>
  <si>
    <t>グエン　クオック　タイ</t>
  </si>
  <si>
    <t>レ　ドゥク　アイン</t>
  </si>
  <si>
    <t>TRAN THI LE QUYEN</t>
  </si>
  <si>
    <t>チャン　テイ　レー　クエン</t>
  </si>
  <si>
    <t>NGUYEN DINH BAC</t>
  </si>
  <si>
    <t>グエン　ディン　バック</t>
  </si>
  <si>
    <t>LIFT = BUSCARX($E$1,TBKaishaInfo[派遣先]&amp;" "&amp;TBKaishaInfo[工場名]&amp;TBKaishaInfo[配属先],TBKaishaInfo[配属先])</t>
    <phoneticPr fontId="1"/>
  </si>
  <si>
    <t>LIFT2=BUSCARX($E$1,TBKaishaInfo[派遣先]&amp;" "&amp;TBKaishaInfo[工場名]&amp;TBKaishaInfo[配属先],TBKaishaInfo[派遣先責任者部署]&amp;" "&amp;TBKaishaInfo[工場名]&amp;TBKaishaInfo[配属先])</t>
    <phoneticPr fontId="1"/>
  </si>
  <si>
    <t>製作1課</t>
    <phoneticPr fontId="1"/>
  </si>
  <si>
    <t>BUSCARX($E$1,TBKaishaInfo[派遣先]&amp;" "&amp;TBKaishaInfo[配属先],TBKaishaInfo[派遣先責任者部署]&amp;" "&amp;TBKaishaInfo[工場名]&amp;TBKaishaInfo[配属先],"2",1,1)</t>
    <phoneticPr fontId="1"/>
  </si>
  <si>
    <t>BUSCARX($E$1,TBKaishaInfo[派遣先]&amp;" "&amp;TBKaishaInfo[配属先],TBKaishaInfo[配属先])</t>
    <phoneticPr fontId="1"/>
  </si>
  <si>
    <t>高雄工業株式会社 愛知事業所本社工場製作課</t>
  </si>
  <si>
    <t>高雄工業株式会社 愛知事業所海南第一工場製作1課</t>
  </si>
  <si>
    <t>ハブ加工 機械オペレーター、NCプログラム修正</t>
  </si>
  <si>
    <t>ホアン　ヴァン　トック</t>
  </si>
  <si>
    <t>高雄工業株式会社 愛知事業所海南第二工場製作課</t>
  </si>
  <si>
    <t>ﾋﾞﾚｯｼﾞﾊｳｽ1-403</t>
  </si>
  <si>
    <t>4-805</t>
  </si>
  <si>
    <t>チャンファー</t>
  </si>
  <si>
    <t>兵庫県西宮市甲子園口北町4番15-201</t>
  </si>
  <si>
    <t>静岡県袋井市山科2997番地の５</t>
  </si>
  <si>
    <t>産業機械部品の旋削加工、NCプログラム修正</t>
  </si>
  <si>
    <t>高雄工業株式会社 愛知事業所海南第一工場製作2課</t>
  </si>
  <si>
    <t>ハブ加工品の2次施削、手動機械オペレーターNCプログラム修正、梱包</t>
  </si>
  <si>
    <t>ﾊｲﾂこうしんA棟101号</t>
  </si>
  <si>
    <t>愛知県半田市長根町3丁目1番地</t>
  </si>
  <si>
    <t>県営長根住宅6棟401号</t>
  </si>
  <si>
    <t>加工機や治具・装置の設定を変更する作業</t>
  </si>
  <si>
    <t>松下荘T-2棟204</t>
  </si>
  <si>
    <t>10/16林</t>
  </si>
  <si>
    <t>663-8136</t>
  </si>
  <si>
    <t>兵庫県西宮市笠屋町7番19</t>
  </si>
  <si>
    <t>405号室</t>
  </si>
  <si>
    <t>TRAN THANH LAM</t>
  </si>
  <si>
    <t>チャン　タイン　ラム</t>
  </si>
  <si>
    <t>11/5林</t>
  </si>
  <si>
    <t>NGUYEN VAN TUNG</t>
  </si>
  <si>
    <t>グエン　ヴァン　トゥン</t>
  </si>
  <si>
    <t>486-0906</t>
  </si>
  <si>
    <t>愛知県春日市下屋敷町101-3</t>
  </si>
  <si>
    <t>ｴｽﾎﾟﾜｰﾙ春日井302号</t>
  </si>
  <si>
    <t>LE MINH TUAN</t>
  </si>
  <si>
    <t>レー　ミン　トゥアン</t>
  </si>
  <si>
    <t>成広矢原ｺｰﾎⅥ105</t>
  </si>
  <si>
    <t>NGUYEN QUOC BAO</t>
  </si>
  <si>
    <t>グエン　クォック　バオ</t>
  </si>
  <si>
    <t>TRAN HUY HOANG</t>
  </si>
  <si>
    <t>チャン　フィ　ホアン</t>
  </si>
  <si>
    <t>中須賀ｺｰﾎﾟⅢ205</t>
  </si>
  <si>
    <t>NGUYEN DUYEN LAM</t>
  </si>
  <si>
    <t>グエン　ズエン　ラム</t>
  </si>
  <si>
    <t>成広矢原ｺｰﾎﾟⅡ101</t>
  </si>
  <si>
    <t>グエン　ドゥック　マイン</t>
  </si>
  <si>
    <t>HOANG TIEN LONG</t>
  </si>
  <si>
    <t>ホアン　ティエン　ロン</t>
  </si>
  <si>
    <t>成広矢原ｺｰﾎﾟⅠ102</t>
  </si>
  <si>
    <t>NGUYEN HUU KHANG</t>
  </si>
  <si>
    <t>グエン　ヒュウ　カン</t>
  </si>
  <si>
    <t>ヴォ　キム　タイン</t>
  </si>
  <si>
    <t>NGUYEN THANH VAN</t>
  </si>
  <si>
    <t>グエン　タイン　ヴァン</t>
  </si>
  <si>
    <t>LA XUAN THANG</t>
  </si>
  <si>
    <t>ラー　スアン　タン</t>
  </si>
  <si>
    <t>班長　満山　ケビン</t>
    <rPh sb="0" eb="2">
      <t>ﾊﾝﾁｮｳ</t>
    </rPh>
    <rPh sb="3" eb="5">
      <t>ﾏﾝｻﾞﾝ</t>
    </rPh>
    <phoneticPr fontId="8" type="noConversion"/>
  </si>
  <si>
    <t>班長 鈴木　涼太</t>
    <rPh sb="0" eb="2">
      <t>ﾊﾝﾁｮｳ</t>
    </rPh>
    <phoneticPr fontId="8" type="noConversion"/>
  </si>
  <si>
    <t>大庭　泰輔</t>
    <rPh sb="0" eb="2">
      <t>オオバ</t>
    </rPh>
    <rPh sb="3" eb="5">
      <t>タイスケ</t>
    </rPh>
    <phoneticPr fontId="1"/>
  </si>
  <si>
    <t>SI($B$1="リフト作業",BUSCARX($E$1,TBKaishaInfo[派遣先]&amp;" "&amp;TBKaishaInfo[配属先],TBKaishaInfo[工場住所],"nohay",0,1),BUSCARX($E$1,TBKaishaInfo[派遣先]&amp;" "&amp;TBKaishaInfo[派遣先責任者部署]&amp;TBKaishaInfo[工場名]&amp;TBKaishaInfo[配属先],TBKaishaInfo[工場住所]))</t>
    <phoneticPr fontId="1"/>
  </si>
  <si>
    <t>LE VAN QUANG</t>
  </si>
  <si>
    <t>レ　ヴァン　クアン</t>
  </si>
  <si>
    <t>BUI MINH PHAP</t>
  </si>
  <si>
    <t>ブイ　ミン　ファップ</t>
  </si>
  <si>
    <t>副部長 豊田 剛</t>
    <phoneticPr fontId="1"/>
  </si>
  <si>
    <t>ｷｬﾝﾊﾟｽみずほⅡ203</t>
  </si>
  <si>
    <t>製造部第2製造課</t>
  </si>
  <si>
    <t>475-0073</t>
  </si>
  <si>
    <t>愛知県半田市美原町1丁目25番地</t>
  </si>
  <si>
    <t>ｺｰﾎﾟﾏｲｷｬｯｽﾙS 206号室</t>
  </si>
  <si>
    <t>2024/12/2～PMIより異動</t>
  </si>
  <si>
    <t>2024/8/28三幸技研再入社　2024/12/13業務終了　2024/12/16～コーリツ本社工場異動</t>
  </si>
  <si>
    <t>2024/11/1ピーエムアイ再入社　2024/12/13業務終了　2024/12/16～コーリツ乙川工場異動</t>
  </si>
  <si>
    <t>2024/11/1～2025/1/10まで三幸技研配属　2025/1/13からPMIへ異動</t>
  </si>
  <si>
    <t>12/17林</t>
  </si>
  <si>
    <t>12/23林</t>
  </si>
  <si>
    <t>DAU VAN TRONG</t>
  </si>
  <si>
    <t>ダウ　ヴァン　チョン</t>
  </si>
  <si>
    <t>12/26林</t>
  </si>
  <si>
    <t>PHAM MINH HUAN</t>
  </si>
  <si>
    <t>ファム　ミン　フアン</t>
  </si>
  <si>
    <t>ゴ　ダン　バン</t>
  </si>
  <si>
    <t>愛知県大府市横根町平子74</t>
  </si>
  <si>
    <t>ﾋﾞﾚｯｼﾞﾊｳｽ横根5号棟307</t>
  </si>
  <si>
    <t>NGUYEN QUANG TUNG</t>
  </si>
  <si>
    <t>グエン　クアン　トゥン</t>
  </si>
  <si>
    <t>470-1131</t>
  </si>
  <si>
    <t>愛知県豊明市二村台3-3-1</t>
  </si>
  <si>
    <t>豊明団地45-105</t>
  </si>
  <si>
    <t>447-0064</t>
  </si>
  <si>
    <t>愛知県碧南市西山町1-41</t>
  </si>
  <si>
    <t>ﾊﾟｰｸﾊｲｱｯﾄ303</t>
  </si>
  <si>
    <t>PHAM BA DAI</t>
  </si>
  <si>
    <t>ファム　バ　ダイ</t>
  </si>
  <si>
    <t>NGUYEN PHUONG CUONG</t>
  </si>
  <si>
    <t>グエン　フォン　クオン</t>
  </si>
  <si>
    <t>12/19原</t>
  </si>
  <si>
    <t>2024/11/4～2024/12/10まで請負　2024/12/17～高雄工業海南第二に派遣開始</t>
  </si>
  <si>
    <t>DO BA HOANG</t>
  </si>
  <si>
    <t>ド　バ　ホアン</t>
  </si>
  <si>
    <t>DINH VAN LONG</t>
  </si>
  <si>
    <t>ディン　バン　ロン</t>
  </si>
  <si>
    <t>NGUYEN HAI LONG</t>
  </si>
  <si>
    <t>グエン　ハイ　ロン</t>
  </si>
  <si>
    <t>PHAM VAN NGHIA</t>
  </si>
  <si>
    <t>ファム　バン　ギア</t>
  </si>
  <si>
    <t>NGUYEN VAN THUAN</t>
  </si>
  <si>
    <t>グエン　ヴァン　トゥアン</t>
  </si>
  <si>
    <t>DAM KIEN LAP</t>
  </si>
  <si>
    <t>ダム　キエン　ラップ</t>
  </si>
  <si>
    <t>NGO DUY LONG</t>
  </si>
  <si>
    <t>ゴ　ズイ　ロン</t>
  </si>
  <si>
    <t>IF($B$1="リフト作業",XLOOKUP($E$1,TBKaishaInfo[派遣先]&amp;" "&amp;TBKaishaInfo[配属先],TBKaishaInfo[工場住所],"nohay",0,1),IF($O$22="高雄工業株式会社",XLOOKUP($E$1,TBKaishaInfo[派遣先]&amp;" "&amp;TBKaishaInfo[派遣先責任者部署]&amp;TBKaishaInfo[工場名]&amp;TBKaishaInfo[配属先],TBKaishaInfo[工場住所],"nada",0,1),XLOOKUP($E$1,TBKaishaInfo[派遣先]&amp;" "&amp;TBKaishaInfo[派遣先責任者部署]&amp;TBKaishaInfo[配属先],TBKaishaInfo[工場住所],XLOOKUP($E$1,TBKaishaInfo[指示命令者部署]&amp;TBKaishaInfo[配属先],TBKaishaInfo[工場住所],"nohayfabrica",0,1),0,1))))</t>
    <phoneticPr fontId="1"/>
  </si>
  <si>
    <t>岐阜県恵那市大井町526-7</t>
  </si>
  <si>
    <t>ｾﾗﾀｳﾝ弥富C棟201</t>
  </si>
  <si>
    <t>金川一軒家</t>
  </si>
  <si>
    <t>2023/7/5ピーエムアイ入社　⇒　2025/2/3加藤木材工業　本社に異動</t>
  </si>
  <si>
    <t>ﾋﾞﾚｯｼﾞﾊｳｽ恵那3-409</t>
  </si>
  <si>
    <t>700-0054</t>
  </si>
  <si>
    <t>岡山県岡山市北区下伊福西町7-32</t>
  </si>
  <si>
    <t>いわいｻﾝｺｰﾎﾟ107号</t>
  </si>
  <si>
    <t>VO KIM THANH</t>
  </si>
  <si>
    <t>岡山県岡山市北区御津矢原335-16</t>
  </si>
  <si>
    <t>ﾋﾞﾚｯｼﾞﾊｳｽ</t>
  </si>
  <si>
    <t>1/30林</t>
  </si>
  <si>
    <t>1/27林</t>
  </si>
  <si>
    <t>NGUYEN CONG HAU</t>
  </si>
  <si>
    <t>グエン　コン　ハウ</t>
  </si>
  <si>
    <t>成広矢原ｺｰⅢ207</t>
  </si>
  <si>
    <t>1/28林</t>
  </si>
  <si>
    <t>NGUYEN DUC HUY</t>
  </si>
  <si>
    <t>グエン　ドゥック　フィ</t>
  </si>
  <si>
    <t>ﾋﾞﾚｯｼﾞﾊｳｽ宇甘川　207号</t>
  </si>
  <si>
    <t>CAO KHAI DI</t>
  </si>
  <si>
    <t>カオ　カイ　ジー</t>
  </si>
  <si>
    <t>TRAN QUOC CHIEN</t>
  </si>
  <si>
    <t>チャン　クオック　チエン</t>
  </si>
  <si>
    <t>BUI TIEN DAT</t>
  </si>
  <si>
    <t>ブイ　テイエン　ダット</t>
  </si>
  <si>
    <t>HOANG BA THIEN</t>
  </si>
  <si>
    <t>ホアン　バー　ティエン</t>
  </si>
  <si>
    <t>2025/1/15瑞陵精機入社　⇒　2025/2/3加藤木材工業　本社に異動</t>
  </si>
  <si>
    <t>MAI THANH TUONG DUY</t>
  </si>
  <si>
    <t>マイ　タイン　チュオン　ズイ</t>
  </si>
  <si>
    <t>NGUYEN HUU NGHIA</t>
  </si>
  <si>
    <t>グエン　ヒュウ　ギア</t>
  </si>
  <si>
    <t>TRINH VAN NGOC ANH</t>
  </si>
  <si>
    <t>チン　ヴァン　ゴック　アイン</t>
  </si>
  <si>
    <t>TRAN PHAT LOI</t>
  </si>
  <si>
    <t>チャン　ファット　ロイ</t>
  </si>
  <si>
    <t>NGUYEN VO HUU THANG</t>
  </si>
  <si>
    <t>グエン　ヴォ　ヒュウ　タン</t>
  </si>
  <si>
    <t>NGUYEN NGOC HAI</t>
  </si>
  <si>
    <t>グエン　ゴック　ハイ</t>
  </si>
  <si>
    <t>PHAM KHANH DUY</t>
  </si>
  <si>
    <t>ファム　カン　ズイ</t>
  </si>
  <si>
    <t>NGO TUAN PHONG</t>
  </si>
  <si>
    <t>ゴー　トウアン　フオン</t>
  </si>
  <si>
    <t>2/13林</t>
  </si>
  <si>
    <t>TRAN VAN HOA</t>
  </si>
  <si>
    <t>チャン　ヴァン　ホア</t>
  </si>
  <si>
    <t>DANG DINH DUC</t>
  </si>
  <si>
    <t>ダン　ディン　ドゥック</t>
  </si>
  <si>
    <t>LAI VAN SON</t>
  </si>
  <si>
    <t>ライ　ヴァン　ソン</t>
  </si>
  <si>
    <t>LE VAN HIEU</t>
  </si>
  <si>
    <t>レ　ヴァン　ヒエウ</t>
  </si>
  <si>
    <t>BARROS CORREA MARIANA</t>
  </si>
  <si>
    <t>バロス　コレア　マリアナ</t>
  </si>
  <si>
    <t>NONG VAN TINH</t>
  </si>
  <si>
    <t>ノン　ヴァン　ティン</t>
  </si>
  <si>
    <t>NGUYEN THAI HUNG</t>
  </si>
  <si>
    <t>グエン　タイ　フン</t>
  </si>
  <si>
    <t>TRINH LUONG QUANG</t>
  </si>
  <si>
    <t>チン　ルオン　クアン</t>
  </si>
  <si>
    <t>NGUYEN TIEN KHOA</t>
  </si>
  <si>
    <t>グエン　ティエン　コア</t>
  </si>
  <si>
    <t>TRAN VU</t>
  </si>
  <si>
    <t>チャン　ヴ</t>
  </si>
  <si>
    <t>HA GIA BAO</t>
  </si>
  <si>
    <t>ハ　ジャ　バオ</t>
  </si>
  <si>
    <t>LE DINH NGHI</t>
  </si>
  <si>
    <t>レ　デイン　ギ</t>
  </si>
  <si>
    <t>LE VIET DUY CUONG</t>
  </si>
  <si>
    <t>レ　ヴィエット　ズイ　クオン</t>
  </si>
  <si>
    <t>LE MINH TRI</t>
  </si>
  <si>
    <t>レ　ミン　チー</t>
  </si>
  <si>
    <t>LE THANH SANG</t>
  </si>
  <si>
    <t>レ　タン　サン</t>
  </si>
  <si>
    <t>NGUYEN DUC LOC</t>
  </si>
  <si>
    <t>グエン　ドゥック　ロック</t>
  </si>
  <si>
    <t>BOLZAN DOS PASSOS DIEGO</t>
  </si>
  <si>
    <t>ボルザン　ジエゴ</t>
  </si>
  <si>
    <t>NGUYEN DINH THANG</t>
  </si>
  <si>
    <t>NGUYEN DUY THANH</t>
  </si>
  <si>
    <t>グエン　ズイ　タイン</t>
  </si>
  <si>
    <t>VU VAN BAO</t>
  </si>
  <si>
    <t>ヴ　ヴァン　バオ</t>
  </si>
  <si>
    <t>MAI XUAN CHAU BINH</t>
  </si>
  <si>
    <t>マイ　スアン　チャウ　ビン</t>
  </si>
  <si>
    <t>BUI VAN SON</t>
  </si>
  <si>
    <t>ブイ　ヴァン　ソン</t>
  </si>
  <si>
    <t>NGUYEN TIEN DUNG</t>
  </si>
  <si>
    <t>グエン　ティエン　ズン</t>
  </si>
  <si>
    <t>NGUYEN DINH NHAT</t>
  </si>
  <si>
    <t>グエン　ディン　ニャット</t>
  </si>
  <si>
    <t>NGUYEN VANG DANG</t>
  </si>
  <si>
    <t>グエン　ヴァン　ダン</t>
  </si>
  <si>
    <t>NGUYEN DINH THUAN</t>
  </si>
  <si>
    <t>グエン　ディン　トゥアン</t>
  </si>
  <si>
    <t>DAO NGOC DUY</t>
  </si>
  <si>
    <t>ダオ　ゴック　ズイ</t>
  </si>
  <si>
    <t>2024/7/1～2025/2/20まで加藤木材工業本社配属　2025/2/24～PMIに異動</t>
  </si>
  <si>
    <t>製造部第3製造課</t>
  </si>
  <si>
    <t>503-1543</t>
  </si>
  <si>
    <t>岐阜県不破郡関ケ原今須3316</t>
  </si>
  <si>
    <t>437-0122</t>
  </si>
  <si>
    <t>静岡県袋井市春岡1138番地2</t>
  </si>
  <si>
    <t>ﾏｯｸｽﾋﾞｭｰﾃｨA-102</t>
  </si>
  <si>
    <t>ﾏｯｸｽﾋﾞｭｰﾃｨB-103</t>
  </si>
  <si>
    <t>愛知県弥富市平島町五反割101-1</t>
  </si>
  <si>
    <t>ｱﾐﾃｨKⅠ-B</t>
  </si>
  <si>
    <t>ｼｬﾝﾄﾞﾌﾙｰﾙ101</t>
  </si>
  <si>
    <t>TRAN MINH TRUONG</t>
  </si>
  <si>
    <t>チャン　ミン　チュオン</t>
  </si>
  <si>
    <t>NONG DUC HUNG</t>
  </si>
  <si>
    <t>ノン　ドゥック　フン</t>
  </si>
  <si>
    <t>副工場長　服部晃昌</t>
    <rPh sb="6" eb="8">
      <t>コウジョ</t>
    </rPh>
    <rPh sb="8" eb="9">
      <t>ハットアキラアキラリウチョウ</t>
    </rPh>
    <phoneticPr fontId="1"/>
  </si>
  <si>
    <t>工場長　鬼頭　慎一</t>
    <phoneticPr fontId="8" type="noConversion"/>
  </si>
  <si>
    <t>副工場長　住田　正志</t>
    <rPh sb="0" eb="1">
      <t>ﾌｸ</t>
    </rPh>
    <rPh sb="5" eb="7">
      <t>ｽﾐﾀ</t>
    </rPh>
    <rPh sb="8" eb="10">
      <t>ﾏｻｼ</t>
    </rPh>
    <phoneticPr fontId="8" type="noConversion"/>
  </si>
  <si>
    <t>課長 寺田　正志</t>
    <rPh sb="0" eb="2">
      <t>ｶﾁｮｳ</t>
    </rPh>
    <rPh sb="6" eb="8">
      <t>ﾏｻｼ</t>
    </rPh>
    <phoneticPr fontId="8" type="noConversion"/>
  </si>
  <si>
    <t>日本語検定</t>
  </si>
  <si>
    <t>永住者.</t>
  </si>
  <si>
    <t>愛知県弥富市平島町大脇8-6</t>
  </si>
  <si>
    <t>JLPT-N3</t>
  </si>
  <si>
    <t>JLPT-N4</t>
  </si>
  <si>
    <t>ﾄﾗｯﾄﾞｼﾏﾀﾞ203</t>
  </si>
  <si>
    <t>大阪府大阪市住之江区粉浜西3丁目1番</t>
  </si>
  <si>
    <t>乙川工場製造3課7工区9班</t>
  </si>
  <si>
    <t>NASTEST-N4</t>
  </si>
  <si>
    <t>愛知県弥富市前ヶ須町南本田 355-1</t>
  </si>
  <si>
    <t>486-0901</t>
  </si>
  <si>
    <t>愛知県春日井市牛山町781-2</t>
  </si>
  <si>
    <t>ﾋﾞﾚｯｼﾞﾊｳｽ牛山3棟404</t>
  </si>
  <si>
    <t>JLPT-N2</t>
  </si>
  <si>
    <t>482-0004</t>
  </si>
  <si>
    <t>愛知県岩倉市 五条町渡り所1520-1</t>
  </si>
  <si>
    <t>ﾋﾞﾚｯｼﾞﾊｳｽ岩倉206</t>
  </si>
  <si>
    <t>JLPT-N5</t>
  </si>
  <si>
    <t>2024/3/15～2502/14まで高雄本社　2025/3/10～PMI異動</t>
  </si>
  <si>
    <t>州の崎工場製造2課3工区5班</t>
  </si>
  <si>
    <t>2024/9/6～2025/3/26までPATEC　2025/3/27～六甲電子に異動</t>
  </si>
  <si>
    <t>州の崎工場製造2課3工区1班</t>
  </si>
  <si>
    <t>NGO DANG BANG</t>
  </si>
  <si>
    <t>2/20林</t>
  </si>
  <si>
    <t>ﾋﾞﾚｯｼﾞﾊｳｽ宇甘川2号棟405</t>
  </si>
  <si>
    <t>2/25林</t>
  </si>
  <si>
    <t>DUONG TUAN VIET</t>
  </si>
  <si>
    <t>ズオン　トゥアン　ヴィエット</t>
  </si>
  <si>
    <t>2/21林</t>
  </si>
  <si>
    <t>ﾌﾚｸﾞﾗﾝｽｳｼ202</t>
  </si>
  <si>
    <t>2/26林</t>
  </si>
  <si>
    <t>愛知県小牧市大字小牧3522</t>
  </si>
  <si>
    <t>ﾋﾞﾚｯｼﾞﾊｳｽ山北5 304号</t>
  </si>
  <si>
    <t>3/12林</t>
  </si>
  <si>
    <t>3/18林</t>
  </si>
  <si>
    <t>ﾊｲﾂこうしんA棟1</t>
  </si>
  <si>
    <t>3/24林</t>
  </si>
  <si>
    <t>HOANG VAN CHUONG</t>
  </si>
  <si>
    <t>ホアン　ヴァン　チュオン</t>
  </si>
  <si>
    <t>3/17原</t>
  </si>
  <si>
    <t>2024/11/4～2025/3/7まで請負配属　2025/3/10～高雄工業岡山で派遣に切替</t>
  </si>
  <si>
    <t>NGO VAN TOAN</t>
  </si>
  <si>
    <t>ゴー　ヴァン　トアン</t>
  </si>
  <si>
    <t>2024/11/21～2025/3/7まで請負配属　2025/3/10～高雄工業岡山で派遣に切替</t>
  </si>
  <si>
    <t xml:space="preserve">HARDIANTO </t>
  </si>
  <si>
    <t>ハルディアント</t>
  </si>
  <si>
    <t>455-0042</t>
  </si>
  <si>
    <t>愛知県名古屋市港区佐野町3-33</t>
  </si>
  <si>
    <t>ﾘｳﾞｪｰﾙ築地口102号</t>
  </si>
  <si>
    <t>TRAN TUAN CUONG</t>
  </si>
  <si>
    <t>チャン　トアン　クオン</t>
  </si>
  <si>
    <t>豊明団地48-305</t>
  </si>
  <si>
    <t>3/26林</t>
  </si>
  <si>
    <t>NGUYEN DUC KIEN</t>
  </si>
  <si>
    <t>グエン　ドウク　キエン</t>
  </si>
  <si>
    <t>ﾋﾞﾚｯｼﾞﾊｳｽ西秦4-501</t>
  </si>
  <si>
    <t>LE VAN THAI BINH</t>
  </si>
  <si>
    <t>レ　バン　タイ　ビン</t>
  </si>
  <si>
    <t>LE VAN HA</t>
  </si>
  <si>
    <t>レ　ヴァン　ハ</t>
  </si>
  <si>
    <t>DUONG CHI THONG</t>
  </si>
  <si>
    <t>ズオン　チ　トン</t>
  </si>
  <si>
    <t>LY VAN NHAN</t>
  </si>
  <si>
    <t>リ　ヴァン　ニャン</t>
  </si>
  <si>
    <t>LO VIET DUC</t>
  </si>
  <si>
    <t>ロ　ヴィエット　ドゥック</t>
  </si>
  <si>
    <t>VU VAN BINH</t>
  </si>
  <si>
    <t>ヴー　ヴァン　ビン</t>
  </si>
  <si>
    <t>PHAM VAN BANG</t>
  </si>
  <si>
    <t>ファム　ヴァン　バン</t>
  </si>
  <si>
    <t>448-0807</t>
  </si>
  <si>
    <t>愛知県刈谷市刈谷町1-2-8</t>
  </si>
  <si>
    <t>こもがみﾊｲﾂ408</t>
  </si>
  <si>
    <t>TRAN DINH GIANG</t>
  </si>
  <si>
    <t>チャン　ディン　ザン</t>
  </si>
  <si>
    <t>ﾋﾞﾚｯｼﾞﾊｳｽ長草3号棟202</t>
  </si>
  <si>
    <t>NGUYEN KHAC TAN</t>
  </si>
  <si>
    <t>グエン　カック　タン</t>
  </si>
  <si>
    <t>SATO MARCELO YUUJI</t>
  </si>
  <si>
    <t>サトウ　マルセロ　ユウジ</t>
  </si>
  <si>
    <t>PHAM TAN DANH</t>
  </si>
  <si>
    <t>ファム　タン　ザイン</t>
  </si>
  <si>
    <t>DINH HOANG THANG</t>
  </si>
  <si>
    <t>デイン　ホアン　タン</t>
  </si>
  <si>
    <t>岡山県岡山市北区御津金川373-1</t>
  </si>
  <si>
    <t>NGUYEN NHU QUANG</t>
  </si>
  <si>
    <t>グエン　ヌ　クアン</t>
  </si>
  <si>
    <t>543-0043</t>
  </si>
  <si>
    <t>大阪府大阪市天王寺区勝山1-1-16</t>
  </si>
  <si>
    <t>IZONE506号</t>
  </si>
  <si>
    <t>NGUYEN NGOC MANH</t>
  </si>
  <si>
    <t>グエン　ゴック　マン</t>
  </si>
  <si>
    <t>LE MINH TIEN</t>
  </si>
  <si>
    <t>レ　ミン　テイエン</t>
  </si>
  <si>
    <t>NGUYEN THI HONG</t>
  </si>
  <si>
    <t>663-8214</t>
  </si>
  <si>
    <t>兵庫県西宮市今津曙町7-4</t>
  </si>
  <si>
    <t>ﾀﾞｲﾜﾋﾞﾙ202</t>
  </si>
  <si>
    <t>HUYNH TAN PHAT</t>
  </si>
  <si>
    <t>HOANG VAN QUYEN</t>
  </si>
  <si>
    <t>ホアン　バン　クエン</t>
  </si>
  <si>
    <t>LE TRUNG DUNG</t>
  </si>
  <si>
    <t>レ　チュン　ズン</t>
  </si>
  <si>
    <t>NGUYEN BA TIEN</t>
  </si>
  <si>
    <t>グエン　バー　ティエン</t>
  </si>
  <si>
    <t>愛知県大府市東新町3-11</t>
  </si>
  <si>
    <t>498-0822</t>
  </si>
  <si>
    <t>455-0008</t>
  </si>
  <si>
    <t>701-2503</t>
  </si>
  <si>
    <t>岡山県赤磐市周匝985-8</t>
  </si>
  <si>
    <t>ﾋﾞﾚｯｼﾞﾊｳｽ吉井1号棟107号</t>
  </si>
  <si>
    <t>ﾚﾌﾞﾗﾝｶﾐｰﾘｱB202</t>
  </si>
  <si>
    <t>兵庫県西宮市里中町3丁目2番17</t>
  </si>
  <si>
    <t>707号</t>
  </si>
  <si>
    <t>485-0826</t>
  </si>
  <si>
    <t>愛知県小牧市大字東田中830番地1</t>
  </si>
  <si>
    <t>県住4号棟307号</t>
  </si>
  <si>
    <t>JONDA RAMOS VICTOR ADOLFO</t>
  </si>
  <si>
    <t>5/21林</t>
  </si>
  <si>
    <t>請負より異動　2024/8/6～2025/5/9までPATEC　2025/5/19～コーリツへ異動</t>
  </si>
  <si>
    <t>愛知県高浜市湯山町4-9-6</t>
  </si>
  <si>
    <t>ﾋﾞﾚｯｼﾞﾊｳｽ高取2号棟304号</t>
  </si>
  <si>
    <t>5/26林</t>
  </si>
  <si>
    <t>グエン　ティ　ホン</t>
  </si>
  <si>
    <t>フィン　タン　ファット</t>
  </si>
  <si>
    <t>成広矢原ｺｰﾎﾟⅡ103</t>
  </si>
  <si>
    <t>ﾙﾐｴｰﾙ KATO105</t>
  </si>
  <si>
    <t>NGUYEN ANH HAO</t>
  </si>
  <si>
    <t>グエン　アイン　ハオ</t>
  </si>
  <si>
    <t>508-0006</t>
  </si>
  <si>
    <t>岐阜県中津川市落合959-9</t>
  </si>
  <si>
    <t>NGUYEN MINH DIEN</t>
  </si>
  <si>
    <t>グエン　ミン　ディエン</t>
  </si>
  <si>
    <t>HOANG VAN TRUONG</t>
  </si>
  <si>
    <t>NINH NGOC HIEU</t>
  </si>
  <si>
    <t>ニン　ゴック　ヒエウ</t>
  </si>
  <si>
    <t>LE DINH DONG</t>
  </si>
  <si>
    <t>レ　ディン　ドン</t>
  </si>
  <si>
    <t>阿波根　カロリーナ　サチコ</t>
  </si>
  <si>
    <t>BUI QUANG DUNG</t>
  </si>
  <si>
    <t>ブイ　クアン　ズン</t>
  </si>
  <si>
    <t>475-0014</t>
  </si>
  <si>
    <t>愛知県半田市一本木町2-1</t>
  </si>
  <si>
    <t>県営西亀崎住宅4棟404号</t>
  </si>
  <si>
    <t>HUB 検査課係</t>
  </si>
  <si>
    <t>アワコン　カロリーナ　サチコ</t>
  </si>
  <si>
    <t>月～金　(シフトに準ずる）休日は、土曜日・日曜日・年末年始（12月29日～1月5日)・GW(4月27日～5月4日)・夏季休暇（8月10日～8月17日)</t>
    <rPh sb="9" eb="10">
      <t>ジュン</t>
    </rPh>
    <rPh sb="13" eb="15">
      <t>キュウジツ</t>
    </rPh>
    <phoneticPr fontId="1"/>
  </si>
  <si>
    <t>本社工場</t>
    <phoneticPr fontId="1"/>
  </si>
  <si>
    <t>第一営業部本社営業課</t>
    <phoneticPr fontId="1"/>
  </si>
  <si>
    <t>高雄工業株式会社</t>
    <phoneticPr fontId="1"/>
  </si>
  <si>
    <t>六甲電子株式会社</t>
    <phoneticPr fontId="1"/>
  </si>
  <si>
    <t>兵庫県西宮市中島町8-5</t>
    <phoneticPr fontId="1"/>
  </si>
  <si>
    <t>0798-65- 4508</t>
    <phoneticPr fontId="1"/>
  </si>
  <si>
    <t>製造部製造  課</t>
    <phoneticPr fontId="1"/>
  </si>
  <si>
    <t xml:space="preserve">部署： 製造部   ： </t>
    <phoneticPr fontId="1"/>
  </si>
  <si>
    <t>Lista_Fabricas</t>
  </si>
  <si>
    <t>株式会社美鈴工業</t>
  </si>
  <si>
    <t>愛知県小牧市大字上末969</t>
  </si>
  <si>
    <t>0568-79-4145</t>
  </si>
  <si>
    <t>厚膜事業部</t>
  </si>
  <si>
    <t>SH製造課</t>
  </si>
  <si>
    <t>部長　山本雅典</t>
  </si>
  <si>
    <t>課長　高木正則</t>
  </si>
  <si>
    <t>機械オペレーター</t>
  </si>
  <si>
    <t>企画総務部　企画総務2課</t>
  </si>
  <si>
    <t>安達ちえみ</t>
  </si>
  <si>
    <t>昼勤  8時30分　～ 17時30分　   　　　夜勤　19時30分　～ 4時30分</t>
  </si>
  <si>
    <t>月末日</t>
  </si>
  <si>
    <t>翌月25日</t>
  </si>
  <si>
    <t>あいち銀行　大曽根支店　普通2166499　名義人　ユニバーサル企画（株）</t>
  </si>
  <si>
    <t>月～金　(シフトに準ずる）休日は、土曜日・日曜日・年末年始（12月29日～1月5日)・GW(4月27日～5月4日)・夏季休暇（8月10日～8月17日)</t>
  </si>
  <si>
    <t>月～金　(シフトに準ずる）休日は、土曜日・日曜日・GW(5月2日～5月6日)・夏季休暇（8月13日～8月17日)・年末年始（12月29日～1月5日)</t>
  </si>
  <si>
    <t>5時間/日、45時間/月、360時間/年迄とする。但し、特別条項の申請により、6時間/日、80時間/月、720時間/年迄延長できる。申請は6回/年迄とする。</t>
  </si>
  <si>
    <t>１５日</t>
  </si>
  <si>
    <t>（２）就業機会の確保派遣元事業主及び派遣先は、労働者派遣契約の契約期間が満了する前に派遣労働者の責に帰すべき事由によらない労働者派遣契約の解除を行った場合には、派遣先の関連会社での就業をあっせんする等により、当該労働者派遣契約に係る派遣労働者の新たな就業機会の確保を図ることとする。</t>
  </si>
  <si>
    <t xml:space="preserve">（１）労働者派遣契約の解除の事前申し入れ  派遣先は、専ら派遣先に起因する事由により、労働者派遣契約の契約期間が満了する前の解除を行おうとする場合には、派遣元の合意を得ることはもとより、あらかじめ相当の猶予期間をもって派遣元に解除の申し入れを行うこととする。  </t>
  </si>
  <si>
    <t>（３）損害賠償等に係る適切な措置派遣先は、派遣先の責に帰すべき事由により労働者派遣契約の契約期間が満了する前に労働者派遣契約の解除を行おうとする場合には、派遣労働者の新たな就業機会の確保を図ることとし、これができないときには、少なくとも当該労働者派遣契約の解除に伴い派遣元事業主が当該労働者派遣に係る派遣労働者を休業させること等を余儀なくされたことにより生じた損害の賠償を行わなければならないこととする。例えば、派遣元事業主が当該派遣労働者を休業させる場合は、休業手当に相当する額以上の額について、派遣元事業主がやむを得ない事由により当該派遣労働者を解雇する場合は、派遣先による解除の申し入れが相当の猶予期間をもって行われなかったことにより派遣元事業主が解雇の予告をしないときは、３０日分以上、当該予告をした日から解雇の日までの期間が３０日に満たないときは当該解雇の日の３０日前の日から当該予告の日までの日数分以上の賃金に相当する額以上の額について、損害の賠償を行わなければならないこととする。その他派遣先は派遣元事業主と十分に協議した上で適切な善後処理方策を講ずることとする。また、派遣元事業主及び派遣先の双方の責に帰すべき事由がある場合には、派遣元事業主及び派遣先のそれぞれの責に帰すべき部分の割合についても十分に考慮することとする。　　　　　　　　　　　</t>
  </si>
  <si>
    <t>（４）労働者派遣契約の解除の理由の明示 派遣先は、労働者派遣契約の契約期間が満了する前に労働者派遣契約の解除を行おうとする場合であって派遣元事業主から請求があったときは、労働者派遣契約の解除を行った理由を派遣元事業主に対してあきらかにすることとする。</t>
  </si>
  <si>
    <t>昼勤 10:30~10:40・12:40~13:20・15:20~15:30・17:30~17:40　  　　                    夜勤 21:30~21:40・23:40~00:20・2:20~2:30・4:30~4:40</t>
  </si>
  <si>
    <t>加藤木材工業株式会社</t>
  </si>
  <si>
    <t>生産統括部</t>
  </si>
  <si>
    <t>部長　渡邉　茂芳</t>
  </si>
  <si>
    <t>取締役 部長　中山　欣英</t>
  </si>
  <si>
    <t>昼勤：8時00分～17時00分 ・ 夜勤：20時00分～5時00分 (実働　7時間40分）</t>
  </si>
  <si>
    <t>昼勤：10時00～10時15分・12時00分～12時50分・15時00分～15時15分    夜勤：22時00～22時15・00時00分～00時50分・03時00分～03時15分</t>
  </si>
  <si>
    <t>20日</t>
  </si>
  <si>
    <t>翌月20日</t>
  </si>
  <si>
    <t>15日</t>
  </si>
  <si>
    <t>品質安全環境管理課</t>
  </si>
  <si>
    <t>課長　宮田　浩克</t>
  </si>
  <si>
    <t>大阪府大阪市淀川区十三本町3丁目5番19</t>
  </si>
  <si>
    <t>405号</t>
  </si>
  <si>
    <t>静岡県袋井市堀越1402-3</t>
  </si>
  <si>
    <t>ｼｬﾙﾏﾝA101</t>
  </si>
  <si>
    <t>2025/5/21～1300円⇒1330円</t>
  </si>
  <si>
    <t>2025/5/21~1700円⇒1745円</t>
  </si>
  <si>
    <t>2025/5/21～1300円⇒1350円</t>
  </si>
  <si>
    <t>2025/5/21~1700円⇒1775円</t>
  </si>
  <si>
    <t>ﾘﾗｲｱﾝ楓A-201</t>
  </si>
  <si>
    <t>愛知県弥冨市前ケ須町勘助走７番地1</t>
  </si>
  <si>
    <t>ﾀｳﾆｰﾊﾝﾀﾞC201</t>
  </si>
  <si>
    <t>製造部塗装課</t>
  </si>
  <si>
    <t>塗装B</t>
  </si>
  <si>
    <t>エアスプレーガンや自動塗装機を使い、均一に塗装を施す</t>
  </si>
  <si>
    <t>2025/5/21～1300円⇒1320円</t>
  </si>
  <si>
    <t>2025/5/21~1700円⇒1730円</t>
  </si>
  <si>
    <t>製造部検査課</t>
  </si>
  <si>
    <t>検査</t>
  </si>
  <si>
    <t>キズ・へこみ・塗装ムラ・異物混入などの不良を目視で確認</t>
  </si>
  <si>
    <t>2025/5/21～1300円⇒1310円</t>
  </si>
  <si>
    <t>2025/5/21~1700円⇒1715円</t>
  </si>
  <si>
    <t>素材</t>
  </si>
  <si>
    <t>原材料の受入・溶解、低圧鋳造機での成型、熱処理作業、金型整備等</t>
  </si>
  <si>
    <t>成広ｺｰﾎﾟⅡ-203</t>
  </si>
  <si>
    <t>ﾋﾞﾚｯｼﾞﾊｳｽ八代山2号棟307号室</t>
  </si>
  <si>
    <t>701-1145</t>
  </si>
  <si>
    <t>岡山県岡山市北区横井上203番地7</t>
  </si>
  <si>
    <t>ｱﾒﾆﾃｨﾊｳｽ重実305号室</t>
  </si>
  <si>
    <t>真庭工場</t>
  </si>
  <si>
    <t>品質管理課</t>
  </si>
  <si>
    <t>仕入れた材料や部品の検査</t>
  </si>
  <si>
    <t>700-0961</t>
  </si>
  <si>
    <t>岡山県岡山市北区北長瀬本町4番8号</t>
  </si>
  <si>
    <t>ﾊﾟｰｸｻｲﾄﾞﾊｲﾂA棟105</t>
  </si>
  <si>
    <t>出荷前の最終製品の品質確認</t>
  </si>
  <si>
    <t>塗装A</t>
  </si>
  <si>
    <t>成広矢原ｺｰﾎﾟⅥ203</t>
  </si>
  <si>
    <t>ﾋﾞﾚｯｼﾞﾊｳｽ宇甘川2-402</t>
  </si>
  <si>
    <t>6/19林</t>
  </si>
  <si>
    <t>CASA弥富A203</t>
  </si>
  <si>
    <t>愛知県弥富市前ヶ須東勘助90-3</t>
  </si>
  <si>
    <t>ｱｰﾙﾗｲﾌ302</t>
  </si>
  <si>
    <t>6/25林</t>
  </si>
  <si>
    <t>6/30林</t>
  </si>
  <si>
    <t>PERRIRA JOSIVAN DE SOUZA</t>
  </si>
  <si>
    <t>ペレイラ　ジョシバン　デ　ソウザ</t>
  </si>
  <si>
    <t>511-0903</t>
  </si>
  <si>
    <t>三重県桑名市大山田8丁目7-131</t>
  </si>
  <si>
    <t>大山田団地6棟401号</t>
  </si>
  <si>
    <t>BUI NGOC TIN</t>
  </si>
  <si>
    <t>ブイ　ゴック　ティン</t>
  </si>
  <si>
    <t>545-0001</t>
  </si>
  <si>
    <t>大阪府大阪市阿倍野区天王寺町北3-9-23</t>
  </si>
  <si>
    <t>ｱｰﾄﾌｧｲﾝﾄﾞ天王寺401号</t>
  </si>
  <si>
    <t>DO TRUNG KIEN</t>
  </si>
  <si>
    <t>ド　チュン　キエン</t>
  </si>
  <si>
    <t>2025/4/1~2025/6/20まで請負</t>
  </si>
  <si>
    <t>TRAN THI HANH</t>
  </si>
  <si>
    <t>チャン　ティ　ハイン</t>
  </si>
  <si>
    <t>VU VAN HIEP</t>
  </si>
  <si>
    <t>ヴー　ヴァン　ヒエップ</t>
  </si>
  <si>
    <t>709-0224</t>
  </si>
  <si>
    <t>岡山県備前市吉永町吉永中291-5</t>
  </si>
  <si>
    <t>ﾋﾞﾚｯｼﾞﾊｳｽ吉永2棟401</t>
  </si>
  <si>
    <t>7/16林</t>
  </si>
  <si>
    <t>DA COSTA MARCIO JOSE</t>
  </si>
  <si>
    <t>ダ　コスタ　マルシオ　ジョゼ</t>
  </si>
  <si>
    <t>愛知県津島市唐臼町西島71-2</t>
  </si>
  <si>
    <t>県営唐臼住宅3棟402号</t>
  </si>
  <si>
    <t>7/28林</t>
  </si>
  <si>
    <t>DO DINH THANH</t>
  </si>
  <si>
    <t>ドー　デイン　タン</t>
  </si>
  <si>
    <t>愛知県豊明市二村台6-1-1</t>
  </si>
  <si>
    <t>豊明団地21-305号</t>
  </si>
  <si>
    <t>8/20林</t>
  </si>
  <si>
    <t>TRAN THU HUONG</t>
  </si>
  <si>
    <t>チャン　トゥ　ホウオン</t>
  </si>
  <si>
    <t>HO VIET PHANG</t>
  </si>
  <si>
    <t>ホー　ヴェット　ファン</t>
  </si>
  <si>
    <t>496-8001</t>
  </si>
  <si>
    <t>愛知県愛西市勝幡町林76</t>
  </si>
  <si>
    <t>A-101号</t>
  </si>
  <si>
    <t>HUYNH HAI DANG</t>
  </si>
  <si>
    <t>フイン　ハイ　ダン</t>
  </si>
  <si>
    <t>ｼｬﾙﾑ三田202</t>
  </si>
  <si>
    <t>557-0016</t>
  </si>
  <si>
    <t>大阪府大阪市西成区花園北1丁目5番6</t>
  </si>
  <si>
    <t>ﾗﾊﾞﾝｼﾞｰﾙ大国3 603号</t>
  </si>
  <si>
    <t>NGUYEN CHI THONG</t>
  </si>
  <si>
    <t>グエン　チ　トン</t>
  </si>
  <si>
    <t>TRAN HUU LOC</t>
  </si>
  <si>
    <t>チャン　ヒュウ　ロック</t>
  </si>
  <si>
    <t>岸田ﾏﾝｼｮﾝ402号</t>
  </si>
  <si>
    <t>8/25林</t>
  </si>
  <si>
    <t>590-0984</t>
  </si>
  <si>
    <t>大阪府堺市堺区神南辺町1-19</t>
  </si>
  <si>
    <t>ﾎﾜｲﾄｳﾞｨﾗ503</t>
  </si>
  <si>
    <t>HA TRONG HUNG</t>
  </si>
  <si>
    <t>ハー　チョン　フン</t>
  </si>
  <si>
    <t>HUA TRUONG TIEN</t>
  </si>
  <si>
    <t>フア　チュオン　ティエン</t>
  </si>
  <si>
    <t>NGUYEN THANH PHONG</t>
  </si>
  <si>
    <t>グエン　タイン　フォン</t>
  </si>
  <si>
    <t>DINH VAN THANG</t>
  </si>
  <si>
    <t>ディン　ヴァン　タン</t>
  </si>
  <si>
    <t>ﾒｿﾞﾝﾊﾟｰｸｱﾍﾞﾆｭｰ202</t>
  </si>
  <si>
    <t>LE VAN HOANG</t>
  </si>
  <si>
    <t>レー　ヴァン　ホアン</t>
  </si>
  <si>
    <t>ﾌﾚｸﾞﾗﾝｽｳｼ201</t>
  </si>
  <si>
    <t>DANG HUYNH NAM</t>
  </si>
  <si>
    <t>ダン　フイン　ナム</t>
  </si>
  <si>
    <t>ﾒｿﾞﾝ辻山102</t>
  </si>
  <si>
    <t>NGUYEN THAI NANG</t>
  </si>
  <si>
    <t>グエン　タイ　ナン</t>
  </si>
  <si>
    <t>474-0073</t>
  </si>
  <si>
    <t>ﾋﾞﾚｯｼﾞﾊｳｽ2-309</t>
  </si>
  <si>
    <t>NGUYEN VAN HAU</t>
  </si>
  <si>
    <t>グエン　ヴァン　ハウ</t>
  </si>
  <si>
    <t>NGUYEN XUAN HUONG</t>
  </si>
  <si>
    <t>グエン　スアン　フーン</t>
  </si>
  <si>
    <t>兵庫県西宮市里中町3丁目6番7</t>
  </si>
  <si>
    <t>ﾋﾟｭｱ里中406号</t>
  </si>
  <si>
    <t>HAN QUANG LINH</t>
  </si>
  <si>
    <t>ハン　クアン　リン</t>
  </si>
  <si>
    <t>PHAN QUOC DUC</t>
  </si>
  <si>
    <t>ファン　クオック　ドゥック</t>
  </si>
  <si>
    <t>471-0845</t>
  </si>
  <si>
    <t>愛知県豊田市田中町4-32-3</t>
  </si>
  <si>
    <t>ﾋﾞﾚｯｼﾞﾊｳｽ田中第二8-406</t>
  </si>
  <si>
    <t>神山　龍也</t>
  </si>
  <si>
    <t>カミヤマ　リュウヤ</t>
  </si>
  <si>
    <t>待機中</t>
  </si>
  <si>
    <t>PHAM QUOC THINH</t>
  </si>
  <si>
    <t>ファム　クオック　ティン</t>
  </si>
  <si>
    <t>LE HUU NGHI</t>
  </si>
  <si>
    <t>レ　ヒュウ　ギー</t>
  </si>
  <si>
    <t>581-0094</t>
  </si>
  <si>
    <t>大坂府八尾市志紀町西1丁目3番地</t>
  </si>
  <si>
    <t>府営住宅6-1003号</t>
  </si>
  <si>
    <t>ロドリゲス　ヤカベ　シライベル　エリザ</t>
  </si>
  <si>
    <t>2022/7/1~2023/7/28ﾌｪﾆﾃｯｸ鹿児島　2023/8/4~高雄工業岡山へ異動 育休後復帰無で退社</t>
  </si>
  <si>
    <t>育休復帰後2025/11/7～請負へ異動</t>
  </si>
  <si>
    <t>請負に異動2025/8/26から</t>
  </si>
  <si>
    <t>異動_海南第一2025/10/16まで</t>
  </si>
  <si>
    <t>492-8429</t>
  </si>
  <si>
    <t>愛知県稲沢市増田西町144番地</t>
  </si>
  <si>
    <t>ビレッジハウス増田2-105</t>
  </si>
  <si>
    <t>岡山市北区御津下田77-3</t>
  </si>
  <si>
    <t>ビレッジハウス宇甘川2号棟301</t>
  </si>
  <si>
    <t>CVJ部品短軸品の旋削加工、NCプログラム修正</t>
  </si>
  <si>
    <t>9/25林</t>
  </si>
  <si>
    <t>美鈴工業 本社</t>
  </si>
  <si>
    <t>高雄工業株式会社 愛知事業所 海南第二工場 第三営業部 海南産機営業課</t>
  </si>
  <si>
    <t>愛知県弥富市平島町五反割63-14</t>
  </si>
  <si>
    <t>9/30林</t>
  </si>
  <si>
    <t>LUU XUAN VU</t>
  </si>
  <si>
    <t>リュウ　スアン　ヴ</t>
  </si>
  <si>
    <t>TONG XUAN HOA</t>
  </si>
  <si>
    <t>トン　スアン　ホア</t>
  </si>
  <si>
    <t>静岡県袋井市葵町2-3-13</t>
  </si>
  <si>
    <t>ｼﾃｨﾊｲﾑｸﾞﾘｰﾝﾗｲﾄ202</t>
  </si>
  <si>
    <t>10/24林</t>
  </si>
  <si>
    <t>美鈴工業 本庄</t>
  </si>
  <si>
    <t>ヒータ事業部</t>
  </si>
  <si>
    <t>LA VAN DAI</t>
  </si>
  <si>
    <t>ラ　ヴァン　ダイ</t>
  </si>
  <si>
    <t>485-0075</t>
  </si>
  <si>
    <t>愛知県小牧市小牧市三ツ渕866</t>
  </si>
  <si>
    <t>サープラスウワンは・る・る209</t>
  </si>
  <si>
    <t>愛知県春日井市牛山781-2</t>
  </si>
  <si>
    <t>ﾋﾞﾚｯｼﾞﾊｳｽ牛山２棟208</t>
  </si>
  <si>
    <t>DAO VAN TUONG</t>
  </si>
  <si>
    <t>ダオ　ヴァン　トウオン</t>
  </si>
  <si>
    <t>TRINH TRUNG HIEU</t>
  </si>
  <si>
    <t>チン　チュン　ヒエウ</t>
  </si>
  <si>
    <t>DUONG MINH TIEN</t>
  </si>
  <si>
    <t>ズオン　ミン　ティエン</t>
  </si>
  <si>
    <t>PHAM GIA UT</t>
  </si>
  <si>
    <t>ファム　ジャ　ウット</t>
  </si>
  <si>
    <t>485-0821</t>
  </si>
  <si>
    <t>愛知県小牧市大字本庄169番地3-2</t>
  </si>
  <si>
    <t>208号</t>
  </si>
  <si>
    <t>PHAM THI NGOC ANH</t>
  </si>
  <si>
    <t>ファム　ティ　ゴック　アイン</t>
  </si>
  <si>
    <t>チャン　ヴァン　トアン</t>
  </si>
  <si>
    <t>11/19林</t>
  </si>
  <si>
    <t>TRAN QUY TRONG</t>
  </si>
  <si>
    <t>チャン　クイ　チョン</t>
  </si>
  <si>
    <t>11/11林</t>
  </si>
  <si>
    <t>PHAM HUNG</t>
  </si>
  <si>
    <t>ファム　フン</t>
  </si>
  <si>
    <t>VU QUANG HUNG</t>
  </si>
  <si>
    <t>ヴ　クアン　フン</t>
  </si>
  <si>
    <t>11/13林</t>
  </si>
  <si>
    <t>VO HUY TUAN</t>
  </si>
  <si>
    <t>ヴォ　フイ　トウアン</t>
  </si>
  <si>
    <t>MATSUMOTO MAURILIO</t>
  </si>
  <si>
    <t>マツモト　マウリリオ</t>
  </si>
  <si>
    <t>497-0058</t>
  </si>
  <si>
    <t>愛知県海部郡蟹江町富吉1丁目723番地</t>
  </si>
  <si>
    <t>富吉公団住宅321号</t>
  </si>
  <si>
    <t>12/1原</t>
  </si>
  <si>
    <t>NGUYEN VAN HINH</t>
  </si>
  <si>
    <t>グエン　バン　ヒン</t>
  </si>
  <si>
    <t>447-0048</t>
  </si>
  <si>
    <t>愛知県碧南市福清水町4-45-10</t>
  </si>
  <si>
    <t>愛知県高浜市春日町1-2-1</t>
  </si>
  <si>
    <t>県営赤松住宅202</t>
  </si>
  <si>
    <t>DOAN NGOC THANG</t>
  </si>
  <si>
    <t>ドアン　ゴック　タン</t>
  </si>
  <si>
    <t>鶴松102</t>
  </si>
  <si>
    <t>NGUYEN MANH HA</t>
  </si>
  <si>
    <t>グエン　マイン　ハー</t>
  </si>
  <si>
    <t>DUONG CHI THANH</t>
  </si>
  <si>
    <t>ズオン　チー　タイン</t>
  </si>
  <si>
    <t>NGUYEN VAN VUONG</t>
  </si>
  <si>
    <t>グエン　ヴァン　ヴォン</t>
  </si>
  <si>
    <t>成広ｺｰﾎﾟⅠ105</t>
  </si>
  <si>
    <t>LE VAN TRONG</t>
  </si>
  <si>
    <t>レー　ヴァン　チョン</t>
  </si>
  <si>
    <t>成広矢原ｺｰﾎﾟⅢ101</t>
  </si>
  <si>
    <t>PHAM THUY HUONG AN</t>
  </si>
  <si>
    <t>ファム　トゥイ　フオン　アン</t>
  </si>
  <si>
    <t>458-0821</t>
  </si>
  <si>
    <t>愛知県小牧市大字本庄169番地</t>
  </si>
  <si>
    <t>本庄第3寮208号</t>
  </si>
  <si>
    <t>PHAM PHUNG TRUNG</t>
  </si>
  <si>
    <t>ファム　フン　チュン</t>
  </si>
  <si>
    <t>高雄工業株式会社</t>
  </si>
  <si>
    <t>期限過ぎてます! 2</t>
  </si>
  <si>
    <t>期限過ぎてます! 19</t>
  </si>
  <si>
    <t>期限過ぎてます! 58</t>
  </si>
  <si>
    <t>期限過ぎてます! 159</t>
  </si>
  <si>
    <t>期限過ぎてます! 13</t>
  </si>
  <si>
    <t>期限過ぎてます! 22</t>
  </si>
  <si>
    <t>期限過ぎてます! 0</t>
  </si>
  <si>
    <t>期限過ぎてます! 8</t>
  </si>
  <si>
    <t>VO TRUNG NGUYEN</t>
  </si>
  <si>
    <t>ヴォ　チュン　グエン</t>
  </si>
  <si>
    <t>DANG HOAI PHUONG</t>
  </si>
  <si>
    <t>ダン　ホアイ　フオン</t>
  </si>
  <si>
    <t>DANG NGUYEN HOANG ANH</t>
  </si>
  <si>
    <t>ダン　グエン　ホアン　アイン</t>
  </si>
  <si>
    <t>TK株式会社</t>
    <rPh sb="2" eb="6">
      <t>カブシキガイシャ</t>
    </rPh>
    <phoneticPr fontId="1"/>
  </si>
  <si>
    <t>月～金　(シフトに準ずる）休日は、土曜日・日曜日・年末年始（12月27日～1月4日)・GW(4月29日～5月5日)・夏季休暇（8月8日～8月16日)</t>
    <rPh sb="9" eb="10">
      <t>ジュン</t>
    </rPh>
    <rPh sb="13" eb="15">
      <t>キュウジツ</t>
    </rPh>
    <phoneticPr fontId="1"/>
  </si>
  <si>
    <t>チーフ 吉田裕亮</t>
    <phoneticPr fontId="1"/>
  </si>
  <si>
    <t>チーフ 松岡朋樹</t>
    <phoneticPr fontId="1"/>
  </si>
  <si>
    <t>製造部 チーフ 西川智之</t>
    <rPh sb="0" eb="2">
      <t>ｾｲｿﾞｳ</t>
    </rPh>
    <rPh sb="2" eb="3">
      <t>ﾌﾞ</t>
    </rPh>
    <rPh sb="8" eb="10">
      <t>ﾆｼｶﾜ</t>
    </rPh>
    <rPh sb="10" eb="12">
      <t>ﾄﾓﾕｷ</t>
    </rPh>
    <phoneticPr fontId="8" type="noConversion"/>
  </si>
  <si>
    <t>通知書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</si>
</sst>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164" formatCode="&quot;¥&quot;#,##0;&quot;¥&quot;\-#,##0"/>
    <numFmt numFmtId="165" formatCode="[$-F800]dddd\,\ mmmm\ dd\,\ yyyy"/>
    <numFmt numFmtId="166" formatCode="&quot;¥&quot;#,##0"/>
    <numFmt numFmtId="167" formatCode="yyyy&quot;年&quot;m&quot;月&quot;d&quot;日&quot;;@"/>
    <numFmt numFmtId="168" formatCode="&quot;休&quot;&quot;日&quot;\(0.00%\)"/>
    <numFmt numFmtId="169" formatCode="&quot;残&quot;&quot;業&quot;\(0.00%\)"/>
    <numFmt numFmtId="170" formatCode="&quot;深&quot;&quot;夜&quot;\(0.00%\)"/>
    <numFmt numFmtId="171" formatCode="yyyy&quot;年&quot;mm&quot;月&quot;dd&quot;日&quot;;@"/>
    <numFmt numFmtId="172" formatCode="General\ \ &quot;円&quot;"/>
    <numFmt numFmtId="173" formatCode="[$]ggge&quot;年&quot;m&quot;月&quot;d&quot;日&quot;;@" x16r2:formatCode16="[$-ja-JP-x-gannen]ggge&quot;年&quot;m&quot;月&quot;d&quot;日&quot;;@"/>
    <numFmt numFmtId="174" formatCode="General&quot;kpk&quot;"/>
    <numFmt numFmtId="175" formatCode="[$]ggge&quot;年&quot;m&quot;月&quot;d&quot;日&quot;;@" x16r2:formatCode16="[$-ja-JP-x-gannen,80]ggge&quot;年&quot;m&quot;月&quot;d&quot;日&quot;;@"/>
    <numFmt numFmtId="176" formatCode="yyyy&quot;年&quot;m&quot;月&quot;d&quot;日&quot;\)"/>
    <numFmt numFmtId="177" formatCode="0_);[Red]\(0\)"/>
    <numFmt numFmtId="178" formatCode="[$-411]ggge&quot;年&quot;m&quot;月&quot;d&quot;日&quot;;@"/>
    <numFmt numFmtId="179" formatCode="yyyy&quot;年&quot;m&quot;月&quot;d&quot;日&quot;\ \ \ \ &quot;～&quot;"/>
    <numFmt numFmtId="180" formatCode="d"/>
    <numFmt numFmtId="181" formatCode="aaa"/>
    <numFmt numFmtId="182" formatCode="General&quot;分&quot;"/>
    <numFmt numFmtId="183" formatCode="\(yyyy&quot;年&quot;m&quot;月&quot;d&quot;日&quot;\)"/>
  </numFmts>
  <fonts count="120">
    <font>
      <sz val="11"/>
      <color theme="1"/>
      <name val="Calibri"/>
      <family val="2"/>
      <charset val="128"/>
      <scheme val="minor"/>
    </font>
    <font>
      <sz val="6"/>
      <name val="Calibri"/>
      <family val="2"/>
      <charset val="128"/>
      <scheme val="minor"/>
    </font>
    <font>
      <sz val="11"/>
      <name val="ＭＳ Ｐゴシック"/>
      <family val="3"/>
      <charset val="128"/>
    </font>
    <font>
      <sz val="6"/>
      <name val="ＭＳ Ｐゴシック"/>
      <family val="3"/>
      <charset val="128"/>
    </font>
    <font>
      <sz val="11"/>
      <color theme="1"/>
      <name val="游明朝"/>
      <family val="1"/>
      <charset val="128"/>
    </font>
    <font>
      <sz val="11"/>
      <name val="游明朝"/>
      <family val="1"/>
      <charset val="128"/>
    </font>
    <font>
      <sz val="9"/>
      <name val="游明朝"/>
      <family val="1"/>
      <charset val="128"/>
    </font>
    <font>
      <sz val="11"/>
      <color theme="1"/>
      <name val="HGSMinchoE"/>
      <family val="1"/>
      <charset val="128"/>
    </font>
    <font>
      <sz val="8"/>
      <name val="Calibri"/>
      <family val="2"/>
      <charset val="128"/>
      <scheme val="minor"/>
    </font>
    <font>
      <sz val="6"/>
      <color theme="1"/>
      <name val="BIZ UD明朝 Medium"/>
      <family val="1"/>
      <charset val="128"/>
    </font>
    <font>
      <sz val="9"/>
      <color theme="1"/>
      <name val="BIZ UD明朝 Medium"/>
      <family val="1"/>
      <charset val="128"/>
    </font>
    <font>
      <sz val="7"/>
      <color theme="1"/>
      <name val="BIZ UD明朝 Medium"/>
      <family val="1"/>
      <charset val="128"/>
    </font>
    <font>
      <sz val="8"/>
      <color theme="1"/>
      <name val="BIZ UD明朝 Medium"/>
      <family val="1"/>
      <charset val="128"/>
    </font>
    <font>
      <sz val="11"/>
      <color theme="1"/>
      <name val="BIZ UD明朝 Medium"/>
      <family val="1"/>
      <charset val="128"/>
    </font>
    <font>
      <sz val="10"/>
      <color theme="1"/>
      <name val="BIZ UD明朝 Medium"/>
      <family val="1"/>
      <charset val="128"/>
    </font>
    <font>
      <sz val="14"/>
      <color theme="1"/>
      <name val="BIZ UD明朝 Medium"/>
      <family val="1"/>
      <charset val="128"/>
    </font>
    <font>
      <sz val="7.8"/>
      <color theme="1"/>
      <name val="BIZ UD明朝 Medium"/>
      <family val="1"/>
      <charset val="128"/>
    </font>
    <font>
      <sz val="11"/>
      <color theme="0"/>
      <name val="游明朝"/>
      <family val="1"/>
      <charset val="128"/>
    </font>
    <font>
      <sz val="12"/>
      <color theme="1"/>
      <name val="BIZ UD明朝 Medium"/>
      <family val="1"/>
      <charset val="128"/>
    </font>
    <font>
      <sz val="8"/>
      <name val="游明朝"/>
      <family val="1"/>
      <charset val="128"/>
    </font>
    <font>
      <b/>
      <sz val="15"/>
      <color theme="1"/>
      <name val="BIZ UD明朝 Medium"/>
      <family val="1"/>
      <charset val="128"/>
    </font>
    <font>
      <sz val="11"/>
      <color theme="0"/>
      <name val="BIZ UD明朝 Medium"/>
      <family val="1"/>
      <charset val="128"/>
    </font>
    <font>
      <sz val="8.5"/>
      <color theme="1"/>
      <name val="BIZ UD明朝 Medium"/>
      <family val="1"/>
      <charset val="128"/>
    </font>
    <font>
      <sz val="12"/>
      <color theme="1"/>
      <name val="游明朝"/>
      <family val="1"/>
      <charset val="128"/>
    </font>
    <font>
      <sz val="12"/>
      <name val="游明朝"/>
      <family val="1"/>
      <charset val="128"/>
    </font>
    <font>
      <sz val="12"/>
      <color theme="1"/>
      <name val="HGSMinchoE"/>
      <family val="1"/>
      <charset val="128"/>
    </font>
    <font>
      <u/>
      <sz val="11"/>
      <color theme="10"/>
      <name val="Calibri"/>
      <family val="2"/>
      <charset val="128"/>
      <scheme val="minor"/>
    </font>
    <font>
      <sz val="9"/>
      <color theme="1"/>
      <name val="Segoe UI Symbol"/>
      <family val="2"/>
    </font>
    <font>
      <sz val="9"/>
      <color theme="1"/>
      <name val="BIZ UD明朝 Medium"/>
      <family val="2"/>
      <charset val="128"/>
    </font>
    <font>
      <sz val="9"/>
      <color theme="1"/>
      <name val="Segoe UI Symbol"/>
      <family val="1"/>
    </font>
    <font>
      <sz val="11"/>
      <color theme="1"/>
      <name val="HGS明朝B"/>
      <family val="1"/>
      <charset val="128"/>
    </font>
    <font>
      <sz val="11"/>
      <color rgb="FFFF0000"/>
      <name val="BIZ UD明朝 Medium"/>
      <family val="1"/>
      <charset val="128"/>
    </font>
    <font>
      <sz val="9"/>
      <color rgb="FFFF0000"/>
      <name val="BIZ UD明朝 Medium"/>
      <family val="1"/>
      <charset val="128"/>
    </font>
    <font>
      <sz val="7.5"/>
      <color theme="1"/>
      <name val="BIZ UD明朝 Medium"/>
      <family val="1"/>
      <charset val="128"/>
    </font>
    <font>
      <sz val="10"/>
      <color theme="1"/>
      <name val="HGSMinchoE"/>
      <family val="1"/>
      <charset val="128"/>
    </font>
    <font>
      <sz val="11"/>
      <name val="BIZ UD明朝 Medium"/>
      <family val="1"/>
      <charset val="128"/>
    </font>
    <font>
      <sz val="11"/>
      <color theme="3"/>
      <name val="HGSMinchoE"/>
      <family val="1"/>
      <charset val="128"/>
    </font>
    <font>
      <sz val="9"/>
      <color indexed="81"/>
      <name val="Tahoma"/>
      <family val="2"/>
    </font>
    <font>
      <b/>
      <sz val="9"/>
      <color indexed="81"/>
      <name val="Tahoma"/>
      <family val="2"/>
    </font>
    <font>
      <sz val="11"/>
      <color theme="0"/>
      <name val="HGS明朝B"/>
      <family val="1"/>
      <charset val="128"/>
    </font>
    <font>
      <sz val="11"/>
      <color theme="1"/>
      <name val="HGP明朝B"/>
      <family val="1"/>
      <charset val="128"/>
    </font>
    <font>
      <sz val="11"/>
      <color rgb="FF00B0F0"/>
      <name val="HGS明朝B"/>
      <family val="1"/>
      <charset val="128"/>
    </font>
    <font>
      <sz val="10.8"/>
      <color theme="1"/>
      <name val="BIZ UD明朝 Medium"/>
      <family val="1"/>
      <charset val="128"/>
    </font>
    <font>
      <sz val="11"/>
      <color rgb="FFFFFFFF"/>
      <name val="BIZ UD明朝 Medium"/>
      <family val="1"/>
      <charset val="128"/>
    </font>
    <font>
      <sz val="11"/>
      <name val="HGS明朝B"/>
      <family val="1"/>
      <charset val="128"/>
    </font>
    <font>
      <b/>
      <sz val="10"/>
      <name val="HGS明朝B"/>
      <family val="1"/>
      <charset val="128"/>
    </font>
    <font>
      <b/>
      <sz val="16"/>
      <name val="HGS明朝B"/>
      <family val="1"/>
      <charset val="128"/>
    </font>
    <font>
      <sz val="16"/>
      <name val="HGS明朝B"/>
      <family val="1"/>
      <charset val="128"/>
    </font>
    <font>
      <sz val="14"/>
      <name val="HGS明朝B"/>
      <family val="1"/>
      <charset val="128"/>
    </font>
    <font>
      <sz val="9"/>
      <name val="HGS明朝B"/>
      <family val="1"/>
      <charset val="128"/>
    </font>
    <font>
      <sz val="10"/>
      <color rgb="FF0070C0"/>
      <name val="HGS明朝B"/>
      <family val="1"/>
      <charset val="128"/>
    </font>
    <font>
      <sz val="8"/>
      <name val="HGS明朝B"/>
      <family val="1"/>
      <charset val="128"/>
    </font>
    <font>
      <sz val="10"/>
      <name val="HGS明朝B"/>
      <family val="1"/>
      <charset val="128"/>
    </font>
    <font>
      <b/>
      <sz val="8"/>
      <name val="HGS明朝B"/>
      <family val="1"/>
      <charset val="128"/>
    </font>
    <font>
      <b/>
      <sz val="11"/>
      <name val="HGS明朝B"/>
      <family val="1"/>
      <charset val="128"/>
    </font>
    <font>
      <sz val="7"/>
      <name val="HGS明朝B"/>
      <family val="1"/>
      <charset val="128"/>
    </font>
    <font>
      <sz val="7.5"/>
      <name val="HGS明朝B"/>
      <family val="1"/>
      <charset val="128"/>
    </font>
    <font>
      <sz val="12"/>
      <name val="HGS明朝B"/>
      <family val="1"/>
      <charset val="128"/>
    </font>
    <font>
      <sz val="18"/>
      <color theme="1"/>
      <name val="BIZ UD明朝 Medium"/>
      <family val="1"/>
      <charset val="128"/>
    </font>
    <font>
      <sz val="11"/>
      <name val="Calibri"/>
      <family val="1"/>
    </font>
    <font>
      <sz val="11"/>
      <color theme="1"/>
      <name val="Calibri"/>
      <family val="2"/>
      <charset val="128"/>
      <scheme val="minor"/>
    </font>
    <font>
      <sz val="11"/>
      <color theme="0"/>
      <name val="Calibri"/>
      <family val="2"/>
      <charset val="128"/>
      <scheme val="minor"/>
    </font>
    <font>
      <sz val="11"/>
      <color theme="0"/>
      <name val="HGP明朝B"/>
      <family val="1"/>
      <charset val="128"/>
    </font>
    <font>
      <sz val="11"/>
      <name val="HGP明朝B"/>
      <family val="1"/>
      <charset val="128"/>
    </font>
    <font>
      <sz val="9"/>
      <name val="HGP明朝B"/>
      <family val="1"/>
      <charset val="128"/>
    </font>
    <font>
      <sz val="14"/>
      <name val="HGP明朝B"/>
      <family val="1"/>
      <charset val="128"/>
    </font>
    <font>
      <sz val="16"/>
      <name val="HGP明朝B"/>
      <family val="1"/>
      <charset val="128"/>
    </font>
    <font>
      <sz val="6"/>
      <name val="HGP明朝B"/>
      <family val="1"/>
      <charset val="128"/>
    </font>
    <font>
      <sz val="10"/>
      <name val="HGP明朝B"/>
      <family val="1"/>
      <charset val="128"/>
    </font>
    <font>
      <sz val="8"/>
      <name val="HGP明朝B"/>
      <family val="1"/>
      <charset val="128"/>
    </font>
    <font>
      <b/>
      <sz val="9"/>
      <name val="HGP明朝B"/>
      <family val="1"/>
      <charset val="128"/>
    </font>
    <font>
      <sz val="10"/>
      <name val="Segoe UI Symbol"/>
      <family val="2"/>
    </font>
    <font>
      <sz val="9"/>
      <name val="Segoe UI Symbol"/>
      <family val="1"/>
    </font>
    <font>
      <sz val="12"/>
      <name val="HGP明朝E"/>
      <family val="1"/>
      <charset val="128"/>
    </font>
    <font>
      <sz val="10.5"/>
      <name val="HGP明朝E"/>
      <family val="1"/>
      <charset val="128"/>
    </font>
    <font>
      <sz val="11"/>
      <name val="HGP明朝E"/>
      <family val="1"/>
      <charset val="128"/>
    </font>
    <font>
      <sz val="10"/>
      <color indexed="8"/>
      <name val="HGP明朝E"/>
      <family val="1"/>
      <charset val="128"/>
    </font>
    <font>
      <sz val="14"/>
      <color indexed="8"/>
      <name val="HGP明朝E"/>
      <family val="1"/>
      <charset val="128"/>
    </font>
    <font>
      <sz val="10"/>
      <name val="HGP明朝E"/>
      <family val="1"/>
      <charset val="128"/>
    </font>
    <font>
      <sz val="16"/>
      <name val="HGP明朝E"/>
      <family val="1"/>
      <charset val="128"/>
    </font>
    <font>
      <sz val="9.5"/>
      <color indexed="8"/>
      <name val="HGP明朝E"/>
      <family val="1"/>
      <charset val="128"/>
    </font>
    <font>
      <sz val="9"/>
      <name val="HGP明朝E"/>
      <family val="1"/>
      <charset val="128"/>
    </font>
    <font>
      <sz val="9"/>
      <color indexed="8"/>
      <name val="HGP明朝E"/>
      <family val="1"/>
      <charset val="128"/>
    </font>
    <font>
      <sz val="10"/>
      <color rgb="FF000000"/>
      <name val="Segoe UI Symbol"/>
      <family val="1"/>
    </font>
    <font>
      <sz val="10"/>
      <name val="Segoe UI Symbol"/>
      <family val="1"/>
    </font>
    <font>
      <sz val="11"/>
      <color theme="1"/>
      <name val="HGP明朝E"/>
      <family val="1"/>
      <charset val="128"/>
    </font>
    <font>
      <sz val="10"/>
      <color theme="1"/>
      <name val="HGP明朝E"/>
      <family val="1"/>
      <charset val="128"/>
    </font>
    <font>
      <sz val="9"/>
      <color theme="1"/>
      <name val="HGP明朝E"/>
      <family val="1"/>
      <charset val="128"/>
    </font>
    <font>
      <sz val="14"/>
      <name val="HGP明朝E"/>
      <family val="1"/>
      <charset val="128"/>
    </font>
    <font>
      <b/>
      <sz val="11"/>
      <name val="HGP明朝E"/>
      <family val="1"/>
      <charset val="128"/>
    </font>
    <font>
      <b/>
      <sz val="12"/>
      <name val="HGP明朝E"/>
      <family val="1"/>
      <charset val="128"/>
    </font>
    <font>
      <sz val="8"/>
      <name val="HGP明朝E"/>
      <family val="1"/>
      <charset val="128"/>
    </font>
    <font>
      <sz val="10"/>
      <color theme="1"/>
      <name val="Segoe UI Symbol"/>
      <family val="1"/>
    </font>
    <font>
      <sz val="11"/>
      <color theme="0"/>
      <name val="HGP明朝E"/>
      <family val="1"/>
      <charset val="128"/>
    </font>
    <font>
      <sz val="10"/>
      <color rgb="FFFFFFFF"/>
      <name val="HGP明朝E"/>
      <family val="1"/>
      <charset val="128"/>
    </font>
    <font>
      <b/>
      <sz val="11"/>
      <color theme="0"/>
      <name val="HGP明朝E"/>
      <family val="1"/>
      <charset val="128"/>
    </font>
    <font>
      <sz val="11"/>
      <color rgb="FFFFFFFF"/>
      <name val="HGP明朝E"/>
      <family val="1"/>
      <charset val="128"/>
    </font>
    <font>
      <sz val="10"/>
      <color theme="1"/>
      <name val="HGP明朝B"/>
      <family val="1"/>
      <charset val="128"/>
    </font>
    <font>
      <sz val="11"/>
      <color theme="1"/>
      <name val="Segoe UI Symbol"/>
      <family val="1"/>
    </font>
    <font>
      <sz val="12"/>
      <color theme="1"/>
      <name val="HGP明朝B"/>
      <family val="1"/>
      <charset val="128"/>
    </font>
    <font>
      <sz val="14"/>
      <color theme="1"/>
      <name val="HGP明朝B"/>
      <family val="1"/>
      <charset val="128"/>
    </font>
    <font>
      <sz val="9"/>
      <color theme="1"/>
      <name val="HGP明朝B"/>
      <family val="1"/>
      <charset val="128"/>
    </font>
    <font>
      <sz val="8.6"/>
      <color theme="1"/>
      <name val="HGP明朝E"/>
      <family val="1"/>
      <charset val="128"/>
    </font>
    <font>
      <sz val="9"/>
      <name val="HGP明朝B"/>
      <family val="2"/>
      <charset val="128"/>
    </font>
    <font>
      <sz val="6"/>
      <color rgb="FFFFFFFF"/>
      <name val="HGP明朝B"/>
      <family val="1"/>
      <charset val="128"/>
    </font>
    <font>
      <sz val="11"/>
      <color rgb="FFFFFFFF"/>
      <name val="HGP明朝B"/>
      <family val="1"/>
      <charset val="128"/>
    </font>
    <font>
      <sz val="11"/>
      <name val="Segoe UI Symbol"/>
      <family val="2"/>
    </font>
    <font>
      <sz val="9"/>
      <color theme="0"/>
      <name val="HGP明朝B"/>
      <family val="1"/>
      <charset val="128"/>
    </font>
    <font>
      <sz val="9"/>
      <color theme="0"/>
      <name val="HGS明朝B"/>
      <family val="1"/>
      <charset val="128"/>
    </font>
    <font>
      <sz val="12"/>
      <color theme="0"/>
      <name val="游明朝"/>
      <family val="1"/>
      <charset val="128"/>
    </font>
    <font>
      <sz val="10"/>
      <name val="Calibri"/>
      <family val="1"/>
    </font>
    <font>
      <sz val="6"/>
      <color theme="1"/>
      <name val="HGSMinchoE"/>
      <family val="1"/>
      <charset val="128"/>
    </font>
    <font>
      <sz val="12"/>
      <name val="BIZ UD明朝 Medium"/>
      <family val="1"/>
      <charset val="128"/>
    </font>
    <font>
      <sz val="9"/>
      <color theme="0"/>
      <name val="HGP明朝E"/>
      <family val="1"/>
      <charset val="128"/>
    </font>
    <font>
      <sz val="10"/>
      <color theme="0"/>
      <name val="HGP明朝E"/>
      <family val="1"/>
      <charset val="128"/>
    </font>
    <font>
      <sz val="11"/>
      <color theme="1"/>
      <name val="Calibri"/>
      <family val="1"/>
    </font>
    <font>
      <sz val="10"/>
      <color rgb="FF002060"/>
      <name val="BIZ UD明朝 Medium"/>
      <family val="1"/>
      <charset val="128"/>
    </font>
    <font>
      <sz val="9"/>
      <color rgb="FF002060"/>
      <name val="BIZ UD明朝 Medium"/>
      <family val="1"/>
      <charset val="128"/>
    </font>
    <font>
      <sz val="10"/>
      <color rgb="FFFF0000"/>
      <name val="BIZ UD明朝 Medium"/>
      <family val="1"/>
      <charset val="128"/>
    </font>
    <font>
      <sz val="6"/>
      <color theme="0"/>
      <name val="BIZ UD明朝 Medium"/>
      <family val="1"/>
      <charset val="128"/>
    </font>
  </fonts>
  <fills count="2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9"/>
        <bgColor indexed="64"/>
      </patternFill>
    </fill>
    <fill>
      <patternFill patternType="solid">
        <fgColor theme="8"/>
        <bgColor indexed="64"/>
      </patternFill>
    </fill>
    <fill>
      <patternFill patternType="solid">
        <fgColor theme="6"/>
        <bgColor indexed="64"/>
      </patternFill>
    </fill>
    <fill>
      <patternFill patternType="solid">
        <fgColor theme="6" tint="0.79998168889431442"/>
        <bgColor indexed="64"/>
      </patternFill>
    </fill>
    <fill>
      <patternFill patternType="solid">
        <fgColor rgb="FF00B0F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rgb="FFFFFFFF"/>
        <bgColor indexed="64"/>
      </patternFill>
    </fill>
    <fill>
      <patternFill patternType="solid">
        <fgColor rgb="FFFFFF99"/>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6" tint="0.39997558519241921"/>
        <bgColor indexed="64"/>
      </patternFill>
    </fill>
    <fill>
      <patternFill patternType="solid">
        <fgColor rgb="FF92D050"/>
        <bgColor indexed="64"/>
      </patternFill>
    </fill>
    <fill>
      <patternFill patternType="solid">
        <fgColor theme="8" tint="0.39997558519241921"/>
        <bgColor indexed="64"/>
      </patternFill>
    </fill>
    <fill>
      <patternFill patternType="solid">
        <fgColor theme="3"/>
        <bgColor indexed="64"/>
      </patternFill>
    </fill>
    <fill>
      <patternFill patternType="solid">
        <fgColor theme="6" tint="-0.249977111117893"/>
        <bgColor indexed="64"/>
      </patternFill>
    </fill>
    <fill>
      <patternFill patternType="solid">
        <fgColor theme="9" tint="0.59999389629810485"/>
        <bgColor indexed="64"/>
      </patternFill>
    </fill>
  </fills>
  <borders count="10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top style="thin">
        <color theme="2" tint="-0.249977111117893"/>
      </top>
      <bottom style="thin">
        <color theme="2" tint="-0.249977111117893"/>
      </bottom>
      <diagonal/>
    </border>
    <border>
      <left style="thin">
        <color theme="2" tint="-0.249977111117893"/>
      </left>
      <right/>
      <top style="thin">
        <color theme="2" tint="-0.249977111117893"/>
      </top>
      <bottom/>
      <diagonal/>
    </border>
    <border>
      <left/>
      <right/>
      <top style="thin">
        <color theme="2" tint="-0.249977111117893"/>
      </top>
      <bottom/>
      <diagonal/>
    </border>
    <border>
      <left style="thin">
        <color theme="2" tint="-0.249977111117893"/>
      </left>
      <right/>
      <top/>
      <bottom/>
      <diagonal/>
    </border>
    <border>
      <left style="thin">
        <color theme="2" tint="-0.249977111117893"/>
      </left>
      <right/>
      <top/>
      <bottom style="thin">
        <color theme="2" tint="-0.249977111117893"/>
      </bottom>
      <diagonal/>
    </border>
    <border>
      <left/>
      <right/>
      <top/>
      <bottom style="thin">
        <color theme="2" tint="-0.249977111117893"/>
      </bottom>
      <diagonal/>
    </border>
    <border>
      <left/>
      <right style="thin">
        <color theme="2" tint="-0.249977111117893"/>
      </right>
      <top/>
      <bottom style="thin">
        <color theme="2" tint="-0.249977111117893"/>
      </bottom>
      <diagonal/>
    </border>
    <border>
      <left style="thin">
        <color theme="2" tint="-0.249977111117893"/>
      </left>
      <right style="thin">
        <color theme="2" tint="-0.249977111117893"/>
      </right>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right style="thin">
        <color theme="2" tint="-0.249977111117893"/>
      </right>
      <top style="thin">
        <color theme="2" tint="-0.249977111117893"/>
      </top>
      <bottom style="thin">
        <color theme="2" tint="-0.249977111117893"/>
      </bottom>
      <diagonal/>
    </border>
    <border>
      <left style="thin">
        <color indexed="64"/>
      </left>
      <right/>
      <top style="thin">
        <color indexed="64"/>
      </top>
      <bottom style="thin">
        <color theme="2" tint="-0.249977111117893"/>
      </bottom>
      <diagonal/>
    </border>
    <border>
      <left style="thin">
        <color theme="2" tint="-0.249977111117893"/>
      </left>
      <right style="thin">
        <color indexed="64"/>
      </right>
      <top style="thin">
        <color indexed="64"/>
      </top>
      <bottom style="thin">
        <color indexed="64"/>
      </bottom>
      <diagonal/>
    </border>
    <border>
      <left style="thin">
        <color theme="2" tint="-0.249977111117893"/>
      </left>
      <right style="thin">
        <color theme="2" tint="-0.249977111117893"/>
      </right>
      <top style="thin">
        <color indexed="64"/>
      </top>
      <bottom style="thin">
        <color theme="2" tint="-0.249977111117893"/>
      </bottom>
      <diagonal/>
    </border>
    <border>
      <left style="thin">
        <color theme="2" tint="-0.249977111117893"/>
      </left>
      <right style="thin">
        <color indexed="64"/>
      </right>
      <top style="thin">
        <color indexed="64"/>
      </top>
      <bottom style="thin">
        <color theme="2" tint="-0.249977111117893"/>
      </bottom>
      <diagonal/>
    </border>
    <border>
      <left style="thin">
        <color theme="2" tint="-0.249977111117893"/>
      </left>
      <right style="thin">
        <color indexed="64"/>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style="thin">
        <color indexed="64"/>
      </bottom>
      <diagonal/>
    </border>
    <border>
      <left style="thin">
        <color theme="2" tint="-0.249977111117893"/>
      </left>
      <right style="thin">
        <color indexed="64"/>
      </right>
      <top style="thin">
        <color theme="2" tint="-0.249977111117893"/>
      </top>
      <bottom style="thin">
        <color indexed="64"/>
      </bottom>
      <diagonal/>
    </border>
    <border>
      <left/>
      <right style="thin">
        <color theme="2" tint="-0.249977111117893"/>
      </right>
      <top style="thin">
        <color theme="2" tint="-0.249977111117893"/>
      </top>
      <bottom style="thin">
        <color indexed="64"/>
      </bottom>
      <diagonal/>
    </border>
    <border>
      <left style="thin">
        <color indexed="64"/>
      </left>
      <right style="thin">
        <color theme="2" tint="-0.249977111117893"/>
      </right>
      <top style="thin">
        <color indexed="64"/>
      </top>
      <bottom style="thin">
        <color theme="2" tint="-0.249977111117893"/>
      </bottom>
      <diagonal/>
    </border>
    <border>
      <left style="thin">
        <color theme="2" tint="-0.249977111117893"/>
      </left>
      <right/>
      <top style="thin">
        <color indexed="64"/>
      </top>
      <bottom/>
      <diagonal/>
    </border>
    <border>
      <left/>
      <right/>
      <top style="thin">
        <color indexed="64"/>
      </top>
      <bottom style="thin">
        <color theme="2" tint="-0.249977111117893"/>
      </bottom>
      <diagonal/>
    </border>
    <border>
      <left style="thin">
        <color theme="2" tint="-0.249977111117893"/>
      </left>
      <right/>
      <top style="thin">
        <color indexed="64"/>
      </top>
      <bottom style="thin">
        <color theme="2" tint="-0.249977111117893"/>
      </bottom>
      <diagonal/>
    </border>
    <border>
      <left/>
      <right style="thin">
        <color indexed="64"/>
      </right>
      <top style="thin">
        <color indexed="64"/>
      </top>
      <bottom style="thin">
        <color theme="2" tint="-0.249977111117893"/>
      </bottom>
      <diagonal/>
    </border>
    <border>
      <left style="thin">
        <color indexed="64"/>
      </left>
      <right style="thin">
        <color theme="2" tint="-0.249977111117893"/>
      </right>
      <top style="thin">
        <color theme="2" tint="-0.249977111117893"/>
      </top>
      <bottom style="thin">
        <color theme="2" tint="-0.249977111117893"/>
      </bottom>
      <diagonal/>
    </border>
    <border>
      <left/>
      <right style="thin">
        <color indexed="64"/>
      </right>
      <top/>
      <bottom style="thin">
        <color theme="2" tint="-0.249977111117893"/>
      </bottom>
      <diagonal/>
    </border>
    <border>
      <left style="thin">
        <color theme="2" tint="-0.249977111117893"/>
      </left>
      <right style="thin">
        <color indexed="64"/>
      </right>
      <top/>
      <bottom style="thin">
        <color theme="2" tint="-0.249977111117893"/>
      </bottom>
      <diagonal/>
    </border>
    <border>
      <left style="thin">
        <color indexed="64"/>
      </left>
      <right style="thin">
        <color theme="2" tint="-0.249977111117893"/>
      </right>
      <top style="thin">
        <color theme="2" tint="-0.249977111117893"/>
      </top>
      <bottom style="thin">
        <color indexed="64"/>
      </bottom>
      <diagonal/>
    </border>
    <border>
      <left style="thin">
        <color theme="2" tint="-0.249977111117893"/>
      </left>
      <right/>
      <top/>
      <bottom style="thin">
        <color indexed="64"/>
      </bottom>
      <diagonal/>
    </border>
    <border>
      <left style="thin">
        <color theme="2" tint="-0.249977111117893"/>
      </left>
      <right/>
      <top style="thin">
        <color theme="2" tint="-0.249977111117893"/>
      </top>
      <bottom style="thin">
        <color indexed="64"/>
      </bottom>
      <diagonal/>
    </border>
    <border>
      <left style="thin">
        <color indexed="64"/>
      </left>
      <right style="thin">
        <color theme="2" tint="-0.249977111117893"/>
      </right>
      <top/>
      <bottom style="thin">
        <color theme="2" tint="-0.249977111117893"/>
      </bottom>
      <diagonal/>
    </border>
    <border>
      <left style="thin">
        <color indexed="64"/>
      </left>
      <right style="thin">
        <color theme="2" tint="-0.249977111117893"/>
      </right>
      <top style="thin">
        <color indexed="64"/>
      </top>
      <bottom style="thin">
        <color indexed="64"/>
      </bottom>
      <diagonal/>
    </border>
    <border>
      <left style="thin">
        <color theme="2" tint="-0.249977111117893"/>
      </left>
      <right style="thin">
        <color theme="2" tint="-0.249977111117893"/>
      </right>
      <top style="thin">
        <color indexed="64"/>
      </top>
      <bottom style="thin">
        <color indexed="64"/>
      </bottom>
      <diagonal/>
    </border>
    <border>
      <left/>
      <right style="thin">
        <color indexed="64"/>
      </right>
      <top style="thin">
        <color theme="2" tint="-0.249977111117893"/>
      </top>
      <bottom/>
      <diagonal/>
    </border>
    <border>
      <left style="thin">
        <color theme="2" tint="-0.249977111117893"/>
      </left>
      <right style="thin">
        <color indexed="64"/>
      </right>
      <top style="thin">
        <color theme="2" tint="-0.249977111117893"/>
      </top>
      <bottom/>
      <diagonal/>
    </border>
    <border>
      <left style="thin">
        <color indexed="64"/>
      </left>
      <right style="thin">
        <color theme="2" tint="-0.249977111117893"/>
      </right>
      <top style="thin">
        <color theme="2" tint="-0.249977111117893"/>
      </top>
      <bottom/>
      <diagonal/>
    </border>
    <border>
      <left/>
      <right/>
      <top style="thin">
        <color theme="2" tint="-0.249977111117893"/>
      </top>
      <bottom style="thin">
        <color indexed="64"/>
      </bottom>
      <diagonal/>
    </border>
    <border>
      <left/>
      <right style="thin">
        <color indexed="64"/>
      </right>
      <top style="thin">
        <color theme="2" tint="-0.249977111117893"/>
      </top>
      <bottom style="thin">
        <color indexed="64"/>
      </bottom>
      <diagonal/>
    </border>
    <border>
      <left style="thin">
        <color theme="2" tint="-0.249977111117893"/>
      </left>
      <right style="thin">
        <color theme="2" tint="-0.249977111117893"/>
      </right>
      <top/>
      <bottom/>
      <diagonal/>
    </border>
    <border>
      <left style="thin">
        <color theme="2" tint="-0.249977111117893"/>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2" tint="-0.249977111117893"/>
      </right>
      <top style="thin">
        <color indexed="64"/>
      </top>
      <bottom style="thin">
        <color indexed="64"/>
      </bottom>
      <diagonal/>
    </border>
    <border>
      <left style="thin">
        <color theme="2" tint="-0.249977111117893"/>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top style="medium">
        <color indexed="64"/>
      </top>
      <bottom style="medium">
        <color indexed="64"/>
      </bottom>
      <diagonal/>
    </border>
    <border>
      <left/>
      <right/>
      <top/>
      <bottom style="hair">
        <color indexed="64"/>
      </bottom>
      <diagonal/>
    </border>
    <border>
      <left style="thin">
        <color indexed="64"/>
      </left>
      <right/>
      <top style="hair">
        <color indexed="64"/>
      </top>
      <bottom/>
      <diagonal/>
    </border>
    <border>
      <left/>
      <right/>
      <top style="hair">
        <color indexed="64"/>
      </top>
      <bottom/>
      <diagonal/>
    </border>
    <border>
      <left style="thin">
        <color indexed="64"/>
      </left>
      <right/>
      <top/>
      <bottom style="hair">
        <color indexed="64"/>
      </bottom>
      <diagonal/>
    </border>
    <border>
      <left/>
      <right style="medium">
        <color indexed="64"/>
      </right>
      <top/>
      <bottom style="hair">
        <color indexed="64"/>
      </bottom>
      <diagonal/>
    </border>
    <border>
      <left/>
      <right style="medium">
        <color indexed="64"/>
      </right>
      <top style="hair">
        <color indexed="64"/>
      </top>
      <bottom/>
      <diagonal/>
    </border>
    <border>
      <left/>
      <right style="thin">
        <color indexed="64"/>
      </right>
      <top style="medium">
        <color indexed="64"/>
      </top>
      <bottom/>
      <diagonal/>
    </border>
    <border>
      <left/>
      <right style="thin">
        <color indexed="64"/>
      </right>
      <top/>
      <bottom style="medium">
        <color indexed="64"/>
      </bottom>
      <diagonal/>
    </border>
  </borders>
  <cellStyleXfs count="5">
    <xf numFmtId="0" fontId="0" fillId="0" borderId="0">
      <alignment vertical="center"/>
    </xf>
    <xf numFmtId="0" fontId="2" fillId="0" borderId="0">
      <alignment vertical="center"/>
    </xf>
    <xf numFmtId="0" fontId="26" fillId="0" borderId="0" applyNumberFormat="0" applyFill="0" applyBorder="0" applyAlignment="0" applyProtection="0">
      <alignment vertical="center"/>
    </xf>
    <xf numFmtId="0" fontId="2" fillId="0" borderId="0">
      <alignment vertical="center"/>
    </xf>
    <xf numFmtId="0" fontId="60" fillId="0" borderId="0"/>
  </cellStyleXfs>
  <cellXfs count="1139">
    <xf numFmtId="0" fontId="0" fillId="0" borderId="0" xfId="0">
      <alignment vertical="center"/>
    </xf>
    <xf numFmtId="0" fontId="4" fillId="0" borderId="0" xfId="0" applyFont="1">
      <alignment vertical="center"/>
    </xf>
    <xf numFmtId="0" fontId="5" fillId="0" borderId="0" xfId="1" applyFont="1">
      <alignment vertical="center"/>
    </xf>
    <xf numFmtId="0" fontId="5" fillId="0" borderId="1" xfId="1" applyFont="1" applyBorder="1" applyAlignment="1">
      <alignment horizontal="center" vertical="center"/>
    </xf>
    <xf numFmtId="0" fontId="7" fillId="0" borderId="0" xfId="0" applyFont="1">
      <alignment vertical="center"/>
    </xf>
    <xf numFmtId="0" fontId="12" fillId="0" borderId="4" xfId="0" applyFont="1" applyBorder="1">
      <alignment vertical="center"/>
    </xf>
    <xf numFmtId="0" fontId="12" fillId="0" borderId="5" xfId="0" applyFont="1" applyBorder="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12" fillId="0" borderId="5" xfId="0" applyFont="1" applyBorder="1">
      <alignment vertical="center"/>
    </xf>
    <xf numFmtId="0" fontId="12" fillId="0" borderId="6" xfId="0" applyFont="1" applyBorder="1">
      <alignment vertical="center"/>
    </xf>
    <xf numFmtId="0" fontId="12" fillId="0" borderId="7" xfId="0" applyFont="1" applyBorder="1">
      <alignment vertical="center"/>
    </xf>
    <xf numFmtId="0" fontId="12" fillId="0" borderId="9" xfId="0" applyFont="1" applyBorder="1">
      <alignment vertical="center"/>
    </xf>
    <xf numFmtId="0" fontId="12" fillId="0" borderId="8" xfId="0" applyFont="1" applyBorder="1">
      <alignment vertical="center"/>
    </xf>
    <xf numFmtId="0" fontId="12" fillId="0" borderId="12" xfId="0" applyFont="1" applyBorder="1">
      <alignment vertical="center"/>
    </xf>
    <xf numFmtId="0" fontId="12" fillId="0" borderId="13" xfId="0" applyFont="1" applyBorder="1">
      <alignment vertical="center"/>
    </xf>
    <xf numFmtId="0" fontId="12" fillId="0" borderId="14" xfId="0" applyFont="1" applyBorder="1">
      <alignment vertical="center"/>
    </xf>
    <xf numFmtId="0" fontId="7" fillId="0" borderId="0" xfId="0" applyFont="1" applyAlignment="1"/>
    <xf numFmtId="0" fontId="7" fillId="0" borderId="0" xfId="0" applyFont="1" applyAlignment="1">
      <alignment horizontal="center" vertical="center"/>
    </xf>
    <xf numFmtId="0" fontId="7" fillId="0" borderId="0" xfId="0" applyFont="1" applyAlignment="1">
      <alignment horizontal="center"/>
    </xf>
    <xf numFmtId="0" fontId="5" fillId="0" borderId="0" xfId="1" applyFont="1" applyAlignment="1">
      <alignment horizontal="left" vertical="center"/>
    </xf>
    <xf numFmtId="0" fontId="4" fillId="0" borderId="1" xfId="0" applyFont="1" applyBorder="1" applyAlignment="1">
      <alignment horizontal="center" vertical="center"/>
    </xf>
    <xf numFmtId="0" fontId="4" fillId="0" borderId="1" xfId="0" applyFont="1" applyBorder="1" applyAlignment="1">
      <alignment horizontal="center" vertical="center" shrinkToFit="1"/>
    </xf>
    <xf numFmtId="14" fontId="0" fillId="0" borderId="0" xfId="0" applyNumberFormat="1">
      <alignment vertical="center"/>
    </xf>
    <xf numFmtId="0" fontId="17" fillId="0" borderId="0" xfId="0" applyFont="1">
      <alignment vertical="center"/>
    </xf>
    <xf numFmtId="0" fontId="4" fillId="0" borderId="2" xfId="0" applyFont="1" applyBorder="1" applyAlignment="1">
      <alignment horizontal="center" vertical="center"/>
    </xf>
    <xf numFmtId="0" fontId="5" fillId="0" borderId="2" xfId="1" applyFont="1" applyBorder="1" applyAlignment="1">
      <alignment horizontal="center" vertical="center"/>
    </xf>
    <xf numFmtId="0" fontId="4" fillId="0" borderId="3" xfId="0" applyFont="1" applyBorder="1" applyAlignment="1">
      <alignment horizontal="center" vertical="center"/>
    </xf>
    <xf numFmtId="0" fontId="12" fillId="0" borderId="0" xfId="0" applyFont="1">
      <alignment vertical="center"/>
    </xf>
    <xf numFmtId="0" fontId="12" fillId="0" borderId="11" xfId="0" applyFont="1" applyBorder="1">
      <alignment vertical="center"/>
    </xf>
    <xf numFmtId="0" fontId="19" fillId="0" borderId="0" xfId="1" applyFont="1">
      <alignment vertical="center"/>
    </xf>
    <xf numFmtId="167" fontId="0" fillId="0" borderId="0" xfId="0" applyNumberFormat="1">
      <alignment vertical="center"/>
    </xf>
    <xf numFmtId="0" fontId="13" fillId="0" borderId="9" xfId="0" applyFont="1" applyBorder="1" applyAlignment="1">
      <alignment horizontal="left" vertical="center"/>
    </xf>
    <xf numFmtId="0" fontId="10" fillId="0" borderId="13" xfId="0" applyFont="1" applyBorder="1" applyAlignment="1">
      <alignment horizontal="left" vertical="center"/>
    </xf>
    <xf numFmtId="0" fontId="10" fillId="0" borderId="0" xfId="0" applyFont="1" applyAlignment="1">
      <alignment horizontal="left" vertical="center"/>
    </xf>
    <xf numFmtId="172" fontId="12" fillId="0" borderId="0" xfId="0" applyNumberFormat="1" applyFont="1">
      <alignment vertical="center"/>
    </xf>
    <xf numFmtId="0" fontId="4" fillId="0" borderId="6" xfId="0" applyFont="1" applyBorder="1" applyAlignment="1">
      <alignment horizontal="center" vertical="center"/>
    </xf>
    <xf numFmtId="0" fontId="5" fillId="0" borderId="4" xfId="1" applyFont="1" applyBorder="1" applyAlignment="1">
      <alignment horizontal="center" vertical="center"/>
    </xf>
    <xf numFmtId="0" fontId="5" fillId="0" borderId="14" xfId="1" applyFont="1" applyBorder="1" applyAlignment="1">
      <alignment horizontal="center" vertical="center"/>
    </xf>
    <xf numFmtId="0" fontId="6" fillId="0" borderId="3" xfId="1" applyFont="1" applyBorder="1" applyAlignment="1">
      <alignment horizontal="center" vertical="center"/>
    </xf>
    <xf numFmtId="0" fontId="6" fillId="0" borderId="12" xfId="1" applyFont="1" applyBorder="1" applyAlignment="1">
      <alignment horizontal="center" vertical="center"/>
    </xf>
    <xf numFmtId="0" fontId="4" fillId="0" borderId="8" xfId="0" applyFont="1" applyBorder="1" applyAlignment="1">
      <alignment horizontal="center" vertical="center"/>
    </xf>
    <xf numFmtId="0" fontId="4" fillId="0" borderId="2" xfId="0" applyFont="1" applyBorder="1" applyAlignment="1">
      <alignment horizontal="center" vertical="center" shrinkToFit="1"/>
    </xf>
    <xf numFmtId="0" fontId="5" fillId="0" borderId="7" xfId="1" applyFont="1" applyBorder="1" applyAlignment="1">
      <alignment horizontal="center" vertical="center"/>
    </xf>
    <xf numFmtId="0" fontId="4" fillId="0" borderId="3" xfId="0" applyFont="1" applyBorder="1" applyAlignment="1">
      <alignment horizontal="center" vertical="center" shrinkToFit="1"/>
    </xf>
    <xf numFmtId="0" fontId="23" fillId="0" borderId="1" xfId="0" applyFont="1" applyBorder="1" applyAlignment="1">
      <alignment horizontal="center" vertical="center" shrinkToFit="1"/>
    </xf>
    <xf numFmtId="0" fontId="23" fillId="0" borderId="2" xfId="0" applyFont="1" applyBorder="1" applyAlignment="1">
      <alignment horizontal="center" vertical="center" shrinkToFit="1"/>
    </xf>
    <xf numFmtId="0" fontId="23" fillId="0" borderId="3" xfId="0" applyFont="1" applyBorder="1" applyAlignment="1">
      <alignment horizontal="center" vertical="center" shrinkToFit="1"/>
    </xf>
    <xf numFmtId="0" fontId="5" fillId="0" borderId="1" xfId="1" applyFont="1" applyBorder="1" applyAlignment="1">
      <alignment horizontal="center" vertical="center" shrinkToFit="1"/>
    </xf>
    <xf numFmtId="0" fontId="5" fillId="0" borderId="2" xfId="1" applyFont="1" applyBorder="1" applyAlignment="1">
      <alignment horizontal="center" vertical="center" shrinkToFit="1"/>
    </xf>
    <xf numFmtId="0" fontId="5" fillId="0" borderId="3" xfId="1" applyFont="1" applyBorder="1" applyAlignment="1">
      <alignment horizontal="center" vertical="center" shrinkToFit="1"/>
    </xf>
    <xf numFmtId="167" fontId="5" fillId="0" borderId="0" xfId="1" applyNumberFormat="1" applyFont="1" applyAlignment="1">
      <alignment horizontal="left" vertical="center"/>
    </xf>
    <xf numFmtId="0" fontId="24" fillId="0" borderId="0" xfId="1" applyFont="1">
      <alignment vertical="center"/>
    </xf>
    <xf numFmtId="0" fontId="24" fillId="0" borderId="0" xfId="1" applyFont="1" applyAlignment="1">
      <alignment horizontal="left" vertical="center"/>
    </xf>
    <xf numFmtId="0" fontId="21" fillId="0" borderId="0" xfId="0" applyFont="1">
      <alignment vertical="center"/>
    </xf>
    <xf numFmtId="0" fontId="10" fillId="0" borderId="0" xfId="0" applyFont="1" applyAlignment="1"/>
    <xf numFmtId="167" fontId="0" fillId="2" borderId="0" xfId="0" applyNumberFormat="1" applyFill="1">
      <alignment vertical="center"/>
    </xf>
    <xf numFmtId="165" fontId="0" fillId="0" borderId="0" xfId="0" applyNumberFormat="1">
      <alignment vertical="center"/>
    </xf>
    <xf numFmtId="165" fontId="7" fillId="0" borderId="0" xfId="0" applyNumberFormat="1" applyFont="1">
      <alignment vertical="center"/>
    </xf>
    <xf numFmtId="0" fontId="26" fillId="0" borderId="0" xfId="2" quotePrefix="1">
      <alignment vertical="center"/>
    </xf>
    <xf numFmtId="0" fontId="26" fillId="0" borderId="0" xfId="2">
      <alignment vertical="center"/>
    </xf>
    <xf numFmtId="0" fontId="7" fillId="0" borderId="55" xfId="0" applyFont="1" applyBorder="1">
      <alignment vertical="center"/>
    </xf>
    <xf numFmtId="0" fontId="30" fillId="0" borderId="0" xfId="0" applyFont="1">
      <alignment vertical="center"/>
    </xf>
    <xf numFmtId="0" fontId="30" fillId="0" borderId="0" xfId="0" applyFont="1" applyAlignment="1">
      <alignment horizontal="center" vertical="center"/>
    </xf>
    <xf numFmtId="165" fontId="30" fillId="0" borderId="0" xfId="0" applyNumberFormat="1" applyFont="1">
      <alignment vertical="center"/>
    </xf>
    <xf numFmtId="14" fontId="30" fillId="0" borderId="0" xfId="0" applyNumberFormat="1" applyFont="1">
      <alignment vertical="center"/>
    </xf>
    <xf numFmtId="0" fontId="30" fillId="2" borderId="1" xfId="0" applyFont="1" applyFill="1" applyBorder="1" applyAlignment="1">
      <alignment horizontal="center" vertical="center"/>
    </xf>
    <xf numFmtId="165" fontId="30" fillId="0" borderId="0" xfId="0" applyNumberFormat="1" applyFont="1" applyAlignment="1">
      <alignment horizontal="center" vertical="center"/>
    </xf>
    <xf numFmtId="0" fontId="0" fillId="2" borderId="0" xfId="0" applyFill="1">
      <alignment vertical="center"/>
    </xf>
    <xf numFmtId="0" fontId="31" fillId="0" borderId="0" xfId="0" applyFont="1">
      <alignment vertical="center"/>
    </xf>
    <xf numFmtId="0" fontId="32" fillId="0" borderId="0" xfId="0" applyFont="1" applyAlignment="1"/>
    <xf numFmtId="167" fontId="26" fillId="0" borderId="0" xfId="2" applyNumberFormat="1">
      <alignment vertical="center"/>
    </xf>
    <xf numFmtId="0" fontId="26" fillId="0" borderId="0" xfId="2" applyAlignment="1">
      <alignment horizontal="center" vertical="center"/>
    </xf>
    <xf numFmtId="167" fontId="26" fillId="0" borderId="0" xfId="2" applyNumberFormat="1" applyAlignment="1">
      <alignment horizontal="center" vertical="center"/>
    </xf>
    <xf numFmtId="0" fontId="25" fillId="0" borderId="0" xfId="0" applyFont="1" applyAlignment="1">
      <alignment horizontal="left" vertical="center" wrapText="1" shrinkToFit="1"/>
    </xf>
    <xf numFmtId="0" fontId="7" fillId="0" borderId="56" xfId="0" applyFont="1" applyBorder="1" applyAlignment="1">
      <alignment horizontal="center" vertical="center"/>
    </xf>
    <xf numFmtId="0" fontId="7" fillId="2" borderId="0" xfId="0" applyFont="1" applyFill="1">
      <alignment vertical="center"/>
    </xf>
    <xf numFmtId="0" fontId="7" fillId="2" borderId="55" xfId="0" applyFont="1" applyFill="1" applyBorder="1">
      <alignment vertical="center"/>
    </xf>
    <xf numFmtId="167" fontId="36" fillId="0" borderId="0" xfId="0" applyNumberFormat="1" applyFont="1">
      <alignment vertical="center"/>
    </xf>
    <xf numFmtId="165" fontId="36" fillId="2" borderId="0" xfId="0" applyNumberFormat="1" applyFont="1" applyFill="1">
      <alignment vertical="center"/>
    </xf>
    <xf numFmtId="0" fontId="39" fillId="0" borderId="0" xfId="0" applyFont="1">
      <alignment vertical="center"/>
    </xf>
    <xf numFmtId="0" fontId="40" fillId="0" borderId="0" xfId="0" applyFont="1">
      <alignment vertical="center"/>
    </xf>
    <xf numFmtId="0" fontId="41" fillId="0" borderId="0" xfId="0" applyFont="1">
      <alignment vertical="center"/>
    </xf>
    <xf numFmtId="12" fontId="24" fillId="0" borderId="0" xfId="1" applyNumberFormat="1" applyFont="1" applyAlignment="1">
      <alignment vertical="center" shrinkToFit="1"/>
    </xf>
    <xf numFmtId="0" fontId="24" fillId="0" borderId="0" xfId="1" applyFont="1" applyAlignment="1">
      <alignment vertical="center" shrinkToFit="1"/>
    </xf>
    <xf numFmtId="0" fontId="13" fillId="0" borderId="0" xfId="0" applyFont="1" applyAlignment="1">
      <alignment horizontal="center" vertical="center"/>
    </xf>
    <xf numFmtId="175" fontId="13" fillId="0" borderId="0" xfId="0" applyNumberFormat="1" applyFont="1" applyAlignment="1">
      <alignment vertical="center" shrinkToFit="1"/>
    </xf>
    <xf numFmtId="0" fontId="43" fillId="0" borderId="0" xfId="0" applyFont="1">
      <alignment vertical="center"/>
    </xf>
    <xf numFmtId="0" fontId="44" fillId="0" borderId="0" xfId="0" applyFont="1">
      <alignment vertical="center"/>
    </xf>
    <xf numFmtId="165" fontId="44" fillId="0" borderId="0" xfId="0" applyNumberFormat="1" applyFont="1">
      <alignment vertical="center"/>
    </xf>
    <xf numFmtId="0" fontId="44" fillId="3" borderId="0" xfId="3" applyFont="1" applyFill="1">
      <alignment vertical="center"/>
    </xf>
    <xf numFmtId="0" fontId="45" fillId="3" borderId="0" xfId="3" applyFont="1" applyFill="1">
      <alignment vertical="center"/>
    </xf>
    <xf numFmtId="0" fontId="46" fillId="3" borderId="0" xfId="3" applyFont="1" applyFill="1">
      <alignment vertical="center"/>
    </xf>
    <xf numFmtId="0" fontId="44" fillId="0" borderId="0" xfId="3" applyFont="1">
      <alignment vertical="center"/>
    </xf>
    <xf numFmtId="0" fontId="48" fillId="3" borderId="0" xfId="3" applyFont="1" applyFill="1">
      <alignment vertical="center"/>
    </xf>
    <xf numFmtId="0" fontId="48" fillId="3" borderId="0" xfId="3" applyFont="1" applyFill="1" applyAlignment="1">
      <alignment horizontal="distributed" vertical="center"/>
    </xf>
    <xf numFmtId="0" fontId="49" fillId="3" borderId="0" xfId="3" applyFont="1" applyFill="1">
      <alignment vertical="center"/>
    </xf>
    <xf numFmtId="0" fontId="49" fillId="3" borderId="0" xfId="3" applyFont="1" applyFill="1" applyAlignment="1">
      <alignment horizontal="center" vertical="center"/>
    </xf>
    <xf numFmtId="0" fontId="44" fillId="3" borderId="9" xfId="3" applyFont="1" applyFill="1" applyBorder="1">
      <alignment vertical="center"/>
    </xf>
    <xf numFmtId="0" fontId="44" fillId="3" borderId="12" xfId="3" applyFont="1" applyFill="1" applyBorder="1">
      <alignment vertical="center"/>
    </xf>
    <xf numFmtId="0" fontId="44" fillId="3" borderId="13" xfId="3" applyFont="1" applyFill="1" applyBorder="1">
      <alignment vertical="center"/>
    </xf>
    <xf numFmtId="0" fontId="44" fillId="3" borderId="11" xfId="3" applyFont="1" applyFill="1" applyBorder="1">
      <alignment vertical="center"/>
    </xf>
    <xf numFmtId="0" fontId="52" fillId="3" borderId="13" xfId="3" applyFont="1" applyFill="1" applyBorder="1" applyAlignment="1">
      <alignment horizontal="center" vertical="center"/>
    </xf>
    <xf numFmtId="0" fontId="51" fillId="3" borderId="0" xfId="3" applyFont="1" applyFill="1" applyAlignment="1">
      <alignment horizontal="left" vertical="center"/>
    </xf>
    <xf numFmtId="0" fontId="53" fillId="3" borderId="0" xfId="3" applyFont="1" applyFill="1">
      <alignment vertical="center"/>
    </xf>
    <xf numFmtId="0" fontId="44" fillId="3" borderId="0" xfId="3" applyFont="1" applyFill="1" applyAlignment="1">
      <alignment horizontal="center" vertical="center"/>
    </xf>
    <xf numFmtId="0" fontId="49" fillId="3" borderId="13" xfId="3" applyFont="1" applyFill="1" applyBorder="1">
      <alignment vertical="center"/>
    </xf>
    <xf numFmtId="0" fontId="44" fillId="3" borderId="14" xfId="3" applyFont="1" applyFill="1" applyBorder="1">
      <alignment vertical="center"/>
    </xf>
    <xf numFmtId="0" fontId="44" fillId="3" borderId="8" xfId="3" applyFont="1" applyFill="1" applyBorder="1">
      <alignment vertical="center"/>
    </xf>
    <xf numFmtId="0" fontId="49" fillId="3" borderId="9" xfId="3" applyFont="1" applyFill="1" applyBorder="1">
      <alignment vertical="center"/>
    </xf>
    <xf numFmtId="0" fontId="51" fillId="3" borderId="0" xfId="3" applyFont="1" applyFill="1">
      <alignment vertical="center"/>
    </xf>
    <xf numFmtId="0" fontId="49" fillId="3" borderId="13" xfId="3" applyFont="1" applyFill="1" applyBorder="1" applyAlignment="1">
      <alignment horizontal="left" vertical="center"/>
    </xf>
    <xf numFmtId="0" fontId="51" fillId="3" borderId="9" xfId="3" applyFont="1" applyFill="1" applyBorder="1" applyAlignment="1">
      <alignment horizontal="left" vertical="center"/>
    </xf>
    <xf numFmtId="0" fontId="44" fillId="3" borderId="10" xfId="3" applyFont="1" applyFill="1" applyBorder="1">
      <alignment vertical="center"/>
    </xf>
    <xf numFmtId="0" fontId="53" fillId="3" borderId="10" xfId="3" applyFont="1" applyFill="1" applyBorder="1">
      <alignment vertical="center"/>
    </xf>
    <xf numFmtId="0" fontId="49" fillId="3" borderId="0" xfId="3" applyFont="1" applyFill="1" applyAlignment="1">
      <alignment horizontal="left" vertical="center"/>
    </xf>
    <xf numFmtId="0" fontId="49" fillId="3" borderId="0" xfId="3" applyFont="1" applyFill="1" applyAlignment="1">
      <alignment horizontal="right" vertical="center"/>
    </xf>
    <xf numFmtId="0" fontId="51" fillId="3" borderId="10" xfId="3" applyFont="1" applyFill="1" applyBorder="1" applyAlignment="1">
      <alignment horizontal="left" vertical="center"/>
    </xf>
    <xf numFmtId="0" fontId="54" fillId="3" borderId="0" xfId="3" applyFont="1" applyFill="1">
      <alignment vertical="center"/>
    </xf>
    <xf numFmtId="0" fontId="49" fillId="3" borderId="10" xfId="3" applyFont="1" applyFill="1" applyBorder="1" applyAlignment="1">
      <alignment horizontal="left" vertical="center"/>
    </xf>
    <xf numFmtId="0" fontId="49" fillId="3" borderId="11" xfId="3" applyFont="1" applyFill="1" applyBorder="1">
      <alignment vertical="center"/>
    </xf>
    <xf numFmtId="0" fontId="49" fillId="3" borderId="12" xfId="3" applyFont="1" applyFill="1" applyBorder="1" applyAlignment="1">
      <alignment horizontal="left" vertical="center"/>
    </xf>
    <xf numFmtId="0" fontId="50" fillId="3" borderId="7" xfId="3" applyFont="1" applyFill="1" applyBorder="1" applyAlignment="1">
      <alignment vertical="top"/>
    </xf>
    <xf numFmtId="0" fontId="50" fillId="3" borderId="9" xfId="3" applyFont="1" applyFill="1" applyBorder="1" applyAlignment="1">
      <alignment vertical="top" shrinkToFit="1"/>
    </xf>
    <xf numFmtId="0" fontId="51" fillId="3" borderId="9" xfId="3" applyFont="1" applyFill="1" applyBorder="1" applyAlignment="1">
      <alignment vertical="top"/>
    </xf>
    <xf numFmtId="0" fontId="44" fillId="3" borderId="9" xfId="3" applyFont="1" applyFill="1" applyBorder="1" applyAlignment="1">
      <alignment vertical="top"/>
    </xf>
    <xf numFmtId="0" fontId="44" fillId="3" borderId="8" xfId="3" applyFont="1" applyFill="1" applyBorder="1" applyAlignment="1">
      <alignment vertical="top"/>
    </xf>
    <xf numFmtId="0" fontId="51" fillId="13" borderId="10" xfId="3" applyFont="1" applyFill="1" applyBorder="1" applyAlignment="1">
      <alignment vertical="top"/>
    </xf>
    <xf numFmtId="0" fontId="50" fillId="13" borderId="0" xfId="3" applyFont="1" applyFill="1" applyAlignment="1">
      <alignment horizontal="left" vertical="top" shrinkToFit="1"/>
    </xf>
    <xf numFmtId="0" fontId="51" fillId="13" borderId="0" xfId="3" applyFont="1" applyFill="1" applyAlignment="1">
      <alignment vertical="top"/>
    </xf>
    <xf numFmtId="0" fontId="44" fillId="13" borderId="0" xfId="3" applyFont="1" applyFill="1" applyAlignment="1">
      <alignment vertical="top"/>
    </xf>
    <xf numFmtId="0" fontId="44" fillId="3" borderId="0" xfId="3" applyFont="1" applyFill="1" applyAlignment="1">
      <alignment vertical="top"/>
    </xf>
    <xf numFmtId="0" fontId="44" fillId="3" borderId="11" xfId="3" applyFont="1" applyFill="1" applyBorder="1" applyAlignment="1">
      <alignment vertical="top"/>
    </xf>
    <xf numFmtId="0" fontId="51" fillId="3" borderId="12" xfId="3" applyFont="1" applyFill="1" applyBorder="1">
      <alignment vertical="center"/>
    </xf>
    <xf numFmtId="0" fontId="49" fillId="3" borderId="13" xfId="3" applyFont="1" applyFill="1" applyBorder="1" applyAlignment="1">
      <alignment vertical="top"/>
    </xf>
    <xf numFmtId="0" fontId="44" fillId="3" borderId="13" xfId="3" applyFont="1" applyFill="1" applyBorder="1" applyAlignment="1">
      <alignment vertical="top"/>
    </xf>
    <xf numFmtId="0" fontId="44" fillId="3" borderId="14" xfId="3" applyFont="1" applyFill="1" applyBorder="1" applyAlignment="1">
      <alignment vertical="top"/>
    </xf>
    <xf numFmtId="0" fontId="52" fillId="3" borderId="13" xfId="3" applyFont="1" applyFill="1" applyBorder="1">
      <alignment vertical="center"/>
    </xf>
    <xf numFmtId="0" fontId="52" fillId="3" borderId="14" xfId="3" applyFont="1" applyFill="1" applyBorder="1">
      <alignment vertical="center"/>
    </xf>
    <xf numFmtId="0" fontId="44" fillId="0" borderId="9" xfId="3" applyFont="1" applyBorder="1">
      <alignment vertical="center"/>
    </xf>
    <xf numFmtId="0" fontId="51" fillId="0" borderId="9" xfId="3" applyFont="1" applyBorder="1">
      <alignment vertical="center"/>
    </xf>
    <xf numFmtId="0" fontId="51" fillId="0" borderId="0" xfId="3" applyFont="1" applyAlignment="1">
      <alignment horizontal="left" vertical="center"/>
    </xf>
    <xf numFmtId="0" fontId="52" fillId="3" borderId="10" xfId="3" applyFont="1" applyFill="1" applyBorder="1">
      <alignment vertical="center"/>
    </xf>
    <xf numFmtId="0" fontId="53" fillId="3" borderId="0" xfId="3" applyFont="1" applyFill="1" applyAlignment="1">
      <alignment horizontal="left" vertical="center"/>
    </xf>
    <xf numFmtId="0" fontId="52" fillId="3" borderId="7" xfId="3" applyFont="1" applyFill="1" applyBorder="1">
      <alignment vertical="center"/>
    </xf>
    <xf numFmtId="0" fontId="53" fillId="3" borderId="0" xfId="3" applyFont="1" applyFill="1" applyAlignment="1">
      <alignment horizontal="center" vertical="center"/>
    </xf>
    <xf numFmtId="0" fontId="52" fillId="0" borderId="4" xfId="3" applyFont="1" applyBorder="1">
      <alignment vertical="center"/>
    </xf>
    <xf numFmtId="0" fontId="44" fillId="0" borderId="5" xfId="3" applyFont="1" applyBorder="1">
      <alignment vertical="center"/>
    </xf>
    <xf numFmtId="0" fontId="55" fillId="3" borderId="10" xfId="3" applyFont="1" applyFill="1" applyBorder="1">
      <alignment vertical="center"/>
    </xf>
    <xf numFmtId="0" fontId="51" fillId="3" borderId="13" xfId="3" applyFont="1" applyFill="1" applyBorder="1">
      <alignment vertical="center"/>
    </xf>
    <xf numFmtId="0" fontId="51" fillId="3" borderId="14" xfId="3" applyFont="1" applyFill="1" applyBorder="1">
      <alignment vertical="center"/>
    </xf>
    <xf numFmtId="0" fontId="49" fillId="3" borderId="11" xfId="3" applyFont="1" applyFill="1" applyBorder="1" applyAlignment="1">
      <alignment horizontal="center" vertical="center"/>
    </xf>
    <xf numFmtId="0" fontId="53" fillId="3" borderId="11" xfId="3" applyFont="1" applyFill="1" applyBorder="1" applyAlignment="1">
      <alignment horizontal="center" vertical="center"/>
    </xf>
    <xf numFmtId="22" fontId="44" fillId="3" borderId="0" xfId="3" applyNumberFormat="1" applyFont="1" applyFill="1">
      <alignment vertical="center"/>
    </xf>
    <xf numFmtId="177" fontId="57" fillId="0" borderId="0" xfId="3" applyNumberFormat="1" applyFont="1">
      <alignment vertical="center"/>
    </xf>
    <xf numFmtId="167" fontId="30" fillId="0" borderId="0" xfId="0" applyNumberFormat="1" applyFont="1">
      <alignment vertical="center"/>
    </xf>
    <xf numFmtId="167" fontId="30" fillId="11" borderId="0" xfId="0" applyNumberFormat="1" applyFont="1" applyFill="1" applyAlignment="1">
      <alignment horizontal="center" vertical="center"/>
    </xf>
    <xf numFmtId="165" fontId="30" fillId="10" borderId="0" xfId="0" applyNumberFormat="1" applyFont="1" applyFill="1" applyAlignment="1">
      <alignment horizontal="center" vertical="center"/>
    </xf>
    <xf numFmtId="0" fontId="30" fillId="14" borderId="0" xfId="0" applyFont="1" applyFill="1" applyAlignment="1">
      <alignment horizontal="center" vertical="center"/>
    </xf>
    <xf numFmtId="0" fontId="44" fillId="0" borderId="1" xfId="0" applyFont="1" applyBorder="1">
      <alignment vertical="center"/>
    </xf>
    <xf numFmtId="167" fontId="7" fillId="0" borderId="0" xfId="0" applyNumberFormat="1" applyFont="1">
      <alignment vertical="center"/>
    </xf>
    <xf numFmtId="0" fontId="39" fillId="3" borderId="0" xfId="3" applyFont="1" applyFill="1">
      <alignment vertical="center"/>
    </xf>
    <xf numFmtId="0" fontId="62" fillId="3" borderId="0" xfId="3" applyFont="1" applyFill="1">
      <alignment vertical="center"/>
    </xf>
    <xf numFmtId="0" fontId="63" fillId="3" borderId="0" xfId="3" applyFont="1" applyFill="1">
      <alignment vertical="center"/>
    </xf>
    <xf numFmtId="178" fontId="64" fillId="3" borderId="0" xfId="3" applyNumberFormat="1" applyFont="1" applyFill="1" applyAlignment="1">
      <alignment horizontal="center" vertical="center"/>
    </xf>
    <xf numFmtId="0" fontId="63" fillId="0" borderId="0" xfId="3" applyFont="1">
      <alignment vertical="center"/>
    </xf>
    <xf numFmtId="0" fontId="65" fillId="3" borderId="0" xfId="3" applyFont="1" applyFill="1">
      <alignment vertical="center"/>
    </xf>
    <xf numFmtId="0" fontId="66" fillId="3" borderId="0" xfId="3" applyFont="1" applyFill="1" applyAlignment="1">
      <alignment horizontal="center" vertical="center"/>
    </xf>
    <xf numFmtId="0" fontId="66" fillId="3" borderId="0" xfId="3" applyFont="1" applyFill="1">
      <alignment vertical="center"/>
    </xf>
    <xf numFmtId="0" fontId="64" fillId="3" borderId="0" xfId="3" applyFont="1" applyFill="1">
      <alignment vertical="center"/>
    </xf>
    <xf numFmtId="0" fontId="65" fillId="3" borderId="0" xfId="3" applyFont="1" applyFill="1" applyAlignment="1">
      <alignment horizontal="center" vertical="center"/>
    </xf>
    <xf numFmtId="0" fontId="67" fillId="3" borderId="0" xfId="3" applyFont="1" applyFill="1">
      <alignment vertical="center"/>
    </xf>
    <xf numFmtId="0" fontId="68" fillId="3" borderId="0" xfId="3" applyFont="1" applyFill="1">
      <alignment vertical="center"/>
    </xf>
    <xf numFmtId="0" fontId="65" fillId="3" borderId="0" xfId="3" applyFont="1" applyFill="1" applyAlignment="1">
      <alignment horizontal="left" vertical="center"/>
    </xf>
    <xf numFmtId="0" fontId="63" fillId="3" borderId="0" xfId="3" applyFont="1" applyFill="1" applyAlignment="1">
      <alignment horizontal="center" vertical="center"/>
    </xf>
    <xf numFmtId="0" fontId="63" fillId="0" borderId="0" xfId="3" applyFont="1" applyAlignment="1">
      <alignment horizontal="left" vertical="center"/>
    </xf>
    <xf numFmtId="0" fontId="63" fillId="0" borderId="13" xfId="3" applyFont="1" applyBorder="1" applyAlignment="1">
      <alignment horizontal="left" vertical="center" wrapText="1"/>
    </xf>
    <xf numFmtId="0" fontId="64" fillId="0" borderId="13" xfId="3" applyFont="1" applyBorder="1" applyAlignment="1">
      <alignment horizontal="left" vertical="center"/>
    </xf>
    <xf numFmtId="0" fontId="63" fillId="0" borderId="13" xfId="3" applyFont="1" applyBorder="1">
      <alignment vertical="center"/>
    </xf>
    <xf numFmtId="0" fontId="69" fillId="0" borderId="13" xfId="3" applyFont="1" applyBorder="1" applyAlignment="1">
      <alignment horizontal="left" vertical="top" wrapText="1"/>
    </xf>
    <xf numFmtId="0" fontId="63" fillId="0" borderId="13" xfId="3" applyFont="1" applyBorder="1" applyAlignment="1">
      <alignment horizontal="left" vertical="center"/>
    </xf>
    <xf numFmtId="0" fontId="63" fillId="3" borderId="0" xfId="3" applyFont="1" applyFill="1" applyAlignment="1">
      <alignment vertical="top"/>
    </xf>
    <xf numFmtId="0" fontId="63" fillId="0" borderId="0" xfId="3" applyFont="1" applyAlignment="1">
      <alignment vertical="top"/>
    </xf>
    <xf numFmtId="0" fontId="69" fillId="3" borderId="0" xfId="3" applyFont="1" applyFill="1">
      <alignment vertical="center"/>
    </xf>
    <xf numFmtId="0" fontId="69" fillId="0" borderId="0" xfId="3" applyFont="1">
      <alignment vertical="center"/>
    </xf>
    <xf numFmtId="0" fontId="63" fillId="3" borderId="0" xfId="3" applyFont="1" applyFill="1" applyAlignment="1"/>
    <xf numFmtId="0" fontId="63" fillId="0" borderId="0" xfId="3" applyFont="1" applyAlignment="1"/>
    <xf numFmtId="0" fontId="64" fillId="0" borderId="0" xfId="3" applyFont="1">
      <alignment vertical="center"/>
    </xf>
    <xf numFmtId="0" fontId="68" fillId="0" borderId="0" xfId="3" applyFont="1" applyAlignment="1">
      <alignment vertical="center" wrapText="1" shrinkToFit="1"/>
    </xf>
    <xf numFmtId="0" fontId="63" fillId="0" borderId="0" xfId="3" applyFont="1" applyAlignment="1">
      <alignment vertical="center" wrapText="1" shrinkToFit="1"/>
    </xf>
    <xf numFmtId="0" fontId="68" fillId="0" borderId="0" xfId="3" applyFont="1" applyAlignment="1"/>
    <xf numFmtId="0" fontId="69" fillId="0" borderId="0" xfId="3" applyFont="1" applyAlignment="1">
      <alignment horizontal="left" vertical="top" wrapText="1"/>
    </xf>
    <xf numFmtId="0" fontId="21" fillId="2" borderId="0" xfId="0" applyFont="1" applyFill="1">
      <alignment vertical="center"/>
    </xf>
    <xf numFmtId="0" fontId="63" fillId="0" borderId="69" xfId="3" applyFont="1" applyBorder="1" applyAlignment="1">
      <alignment horizontal="left" vertical="top"/>
    </xf>
    <xf numFmtId="0" fontId="63" fillId="0" borderId="70" xfId="3" applyFont="1" applyBorder="1" applyAlignment="1">
      <alignment horizontal="center" vertical="center"/>
    </xf>
    <xf numFmtId="0" fontId="63" fillId="0" borderId="70" xfId="3" applyFont="1" applyBorder="1" applyAlignment="1">
      <alignment horizontal="left" vertical="center"/>
    </xf>
    <xf numFmtId="0" fontId="63" fillId="0" borderId="71" xfId="3" applyFont="1" applyBorder="1" applyAlignment="1">
      <alignment horizontal="left" vertical="center"/>
    </xf>
    <xf numFmtId="0" fontId="63" fillId="0" borderId="72" xfId="3" applyFont="1" applyBorder="1" applyAlignment="1">
      <alignment horizontal="left" vertical="top"/>
    </xf>
    <xf numFmtId="0" fontId="63" fillId="0" borderId="73" xfId="3" applyFont="1" applyBorder="1" applyAlignment="1">
      <alignment horizontal="left" vertical="center"/>
    </xf>
    <xf numFmtId="0" fontId="69" fillId="0" borderId="74" xfId="3" applyFont="1" applyBorder="1" applyAlignment="1">
      <alignment horizontal="left" vertical="top" wrapText="1"/>
    </xf>
    <xf numFmtId="0" fontId="63" fillId="0" borderId="75" xfId="3" applyFont="1" applyBorder="1" applyAlignment="1">
      <alignment horizontal="left" vertical="center"/>
    </xf>
    <xf numFmtId="0" fontId="73" fillId="0" borderId="0" xfId="4" applyFont="1" applyAlignment="1">
      <alignment horizontal="center" vertical="center" wrapText="1"/>
    </xf>
    <xf numFmtId="0" fontId="60" fillId="0" borderId="0" xfId="4"/>
    <xf numFmtId="0" fontId="74" fillId="0" borderId="0" xfId="4" applyFont="1" applyAlignment="1">
      <alignment vertical="center"/>
    </xf>
    <xf numFmtId="0" fontId="73" fillId="0" borderId="72" xfId="4" applyFont="1" applyBorder="1" applyAlignment="1">
      <alignment vertical="center"/>
    </xf>
    <xf numFmtId="0" fontId="73" fillId="0" borderId="0" xfId="4" applyFont="1" applyAlignment="1">
      <alignment vertical="center"/>
    </xf>
    <xf numFmtId="0" fontId="73" fillId="0" borderId="0" xfId="4" applyFont="1" applyAlignment="1">
      <alignment vertical="center" wrapText="1"/>
    </xf>
    <xf numFmtId="0" fontId="60" fillId="0" borderId="73" xfId="4" applyBorder="1"/>
    <xf numFmtId="0" fontId="73" fillId="0" borderId="0" xfId="4" applyFont="1" applyAlignment="1">
      <alignment horizontal="left" vertical="center"/>
    </xf>
    <xf numFmtId="0" fontId="74" fillId="0" borderId="0" xfId="4" applyFont="1" applyAlignment="1">
      <alignment horizontal="left" vertical="center"/>
    </xf>
    <xf numFmtId="0" fontId="74" fillId="0" borderId="5" xfId="4" applyFont="1" applyBorder="1" applyAlignment="1">
      <alignment vertical="center" wrapText="1"/>
    </xf>
    <xf numFmtId="0" fontId="74" fillId="0" borderId="85" xfId="4" applyFont="1" applyBorder="1" applyAlignment="1">
      <alignment vertical="center" wrapText="1"/>
    </xf>
    <xf numFmtId="0" fontId="74" fillId="0" borderId="0" xfId="4" applyFont="1" applyAlignment="1">
      <alignment vertical="center" wrapText="1"/>
    </xf>
    <xf numFmtId="0" fontId="74" fillId="0" borderId="90" xfId="4" applyFont="1" applyBorder="1" applyAlignment="1">
      <alignment vertical="center" wrapText="1"/>
    </xf>
    <xf numFmtId="0" fontId="74" fillId="0" borderId="79" xfId="4" applyFont="1" applyBorder="1" applyAlignment="1">
      <alignment vertical="center" wrapText="1"/>
    </xf>
    <xf numFmtId="0" fontId="74" fillId="0" borderId="80" xfId="4" applyFont="1" applyBorder="1" applyAlignment="1">
      <alignment vertical="center" wrapText="1"/>
    </xf>
    <xf numFmtId="0" fontId="74" fillId="0" borderId="91" xfId="4" applyFont="1" applyBorder="1" applyAlignment="1">
      <alignment vertical="center" wrapText="1"/>
    </xf>
    <xf numFmtId="0" fontId="74" fillId="0" borderId="91" xfId="4" applyFont="1" applyBorder="1" applyAlignment="1">
      <alignment vertical="center"/>
    </xf>
    <xf numFmtId="167" fontId="77" fillId="0" borderId="12" xfId="4" applyNumberFormat="1" applyFont="1" applyBorder="1" applyAlignment="1">
      <alignment vertical="center" wrapText="1"/>
    </xf>
    <xf numFmtId="167" fontId="79" fillId="0" borderId="0" xfId="4" applyNumberFormat="1" applyFont="1" applyAlignment="1">
      <alignment horizontal="center" vertical="center" wrapText="1"/>
    </xf>
    <xf numFmtId="0" fontId="76" fillId="0" borderId="10" xfId="4" quotePrefix="1" applyFont="1" applyBorder="1" applyAlignment="1">
      <alignment horizontal="distributed" vertical="center" wrapText="1"/>
    </xf>
    <xf numFmtId="0" fontId="76" fillId="0" borderId="10" xfId="4" applyFont="1" applyBorder="1" applyAlignment="1">
      <alignment horizontal="distributed" vertical="center" wrapText="1"/>
    </xf>
    <xf numFmtId="0" fontId="76" fillId="0" borderId="0" xfId="4" applyFont="1" applyAlignment="1">
      <alignment vertical="center" wrapText="1"/>
    </xf>
    <xf numFmtId="0" fontId="76" fillId="0" borderId="0" xfId="4" applyFont="1" applyAlignment="1">
      <alignment horizontal="left" vertical="center" wrapText="1"/>
    </xf>
    <xf numFmtId="0" fontId="76" fillId="0" borderId="7" xfId="4" applyFont="1" applyBorder="1" applyAlignment="1">
      <alignment horizontal="distributed" vertical="center" wrapText="1"/>
    </xf>
    <xf numFmtId="0" fontId="76" fillId="0" borderId="0" xfId="4" applyFont="1" applyAlignment="1">
      <alignment vertical="center"/>
    </xf>
    <xf numFmtId="0" fontId="78" fillId="0" borderId="0" xfId="4" applyFont="1" applyAlignment="1">
      <alignment vertical="center"/>
    </xf>
    <xf numFmtId="0" fontId="78" fillId="0" borderId="73" xfId="4" applyFont="1" applyBorder="1" applyAlignment="1">
      <alignment vertical="center"/>
    </xf>
    <xf numFmtId="0" fontId="78" fillId="0" borderId="0" xfId="4" applyFont="1" applyAlignment="1">
      <alignment vertical="center" wrapText="1"/>
    </xf>
    <xf numFmtId="0" fontId="76" fillId="0" borderId="7" xfId="4" quotePrefix="1" applyFont="1" applyBorder="1" applyAlignment="1">
      <alignment horizontal="distributed" vertical="center" wrapText="1"/>
    </xf>
    <xf numFmtId="0" fontId="76" fillId="0" borderId="0" xfId="4" applyFont="1" applyAlignment="1">
      <alignment horizontal="left" vertical="center"/>
    </xf>
    <xf numFmtId="0" fontId="76" fillId="0" borderId="93" xfId="4" applyFont="1" applyBorder="1" applyAlignment="1">
      <alignment horizontal="distributed" vertical="center" wrapText="1"/>
    </xf>
    <xf numFmtId="0" fontId="76" fillId="0" borderId="12" xfId="4" applyFont="1" applyBorder="1" applyAlignment="1">
      <alignment horizontal="distributed" vertical="center" wrapText="1"/>
    </xf>
    <xf numFmtId="0" fontId="78" fillId="0" borderId="73" xfId="4" applyFont="1" applyBorder="1" applyAlignment="1">
      <alignment vertical="center" wrapText="1"/>
    </xf>
    <xf numFmtId="20" fontId="78" fillId="0" borderId="0" xfId="4" applyNumberFormat="1" applyFont="1" applyAlignment="1">
      <alignment horizontal="center" vertical="center" wrapText="1"/>
    </xf>
    <xf numFmtId="0" fontId="76" fillId="0" borderId="72" xfId="4" quotePrefix="1" applyFont="1" applyBorder="1" applyAlignment="1">
      <alignment horizontal="distributed" vertical="center" wrapText="1"/>
    </xf>
    <xf numFmtId="0" fontId="78" fillId="0" borderId="0" xfId="4" applyFont="1" applyAlignment="1">
      <alignment horizontal="left" vertical="center" wrapText="1"/>
    </xf>
    <xf numFmtId="0" fontId="76" fillId="0" borderId="74" xfId="4" applyFont="1" applyBorder="1" applyAlignment="1">
      <alignment horizontal="distributed" vertical="center" wrapText="1"/>
    </xf>
    <xf numFmtId="0" fontId="76" fillId="0" borderId="12" xfId="4" applyFont="1" applyBorder="1" applyAlignment="1">
      <alignment vertical="center" wrapText="1"/>
    </xf>
    <xf numFmtId="0" fontId="76" fillId="0" borderId="76" xfId="4" applyFont="1" applyBorder="1" applyAlignment="1">
      <alignment horizontal="distributed" vertical="center" wrapText="1"/>
    </xf>
    <xf numFmtId="0" fontId="78" fillId="0" borderId="76" xfId="4" applyFont="1" applyBorder="1" applyAlignment="1">
      <alignment horizontal="distributed" vertical="center" wrapText="1"/>
    </xf>
    <xf numFmtId="0" fontId="78" fillId="0" borderId="9" xfId="4" applyFont="1" applyBorder="1" applyAlignment="1">
      <alignment vertical="center" wrapText="1"/>
    </xf>
    <xf numFmtId="0" fontId="78" fillId="0" borderId="77" xfId="4" applyFont="1" applyBorder="1" applyAlignment="1">
      <alignment vertical="center" wrapText="1"/>
    </xf>
    <xf numFmtId="0" fontId="76" fillId="0" borderId="95" xfId="4" applyFont="1" applyBorder="1" applyAlignment="1">
      <alignment horizontal="distributed" vertical="center" wrapText="1"/>
    </xf>
    <xf numFmtId="0" fontId="78" fillId="0" borderId="74" xfId="4" applyFont="1" applyBorder="1" applyAlignment="1">
      <alignment horizontal="distributed" vertical="center" wrapText="1"/>
    </xf>
    <xf numFmtId="0" fontId="78" fillId="0" borderId="76" xfId="4" quotePrefix="1" applyFont="1" applyBorder="1" applyAlignment="1">
      <alignment horizontal="distributed" vertical="center" wrapText="1"/>
    </xf>
    <xf numFmtId="0" fontId="78" fillId="0" borderId="9" xfId="4" applyFont="1" applyBorder="1" applyAlignment="1">
      <alignment vertical="center"/>
    </xf>
    <xf numFmtId="0" fontId="78" fillId="0" borderId="9" xfId="4" applyFont="1" applyBorder="1" applyAlignment="1">
      <alignment horizontal="right" vertical="center" wrapText="1"/>
    </xf>
    <xf numFmtId="164" fontId="75" fillId="0" borderId="9" xfId="4" applyNumberFormat="1" applyFont="1" applyBorder="1" applyAlignment="1">
      <alignment horizontal="center" vertical="center" wrapText="1"/>
    </xf>
    <xf numFmtId="164" fontId="78" fillId="0" borderId="9" xfId="4" applyNumberFormat="1" applyFont="1" applyBorder="1" applyAlignment="1">
      <alignment horizontal="left" vertical="center" wrapText="1"/>
    </xf>
    <xf numFmtId="0" fontId="76" fillId="0" borderId="7" xfId="4" quotePrefix="1" applyFont="1" applyBorder="1" applyAlignment="1">
      <alignment vertical="center" wrapText="1"/>
    </xf>
    <xf numFmtId="0" fontId="76" fillId="0" borderId="10" xfId="4" quotePrefix="1" applyFont="1" applyBorder="1" applyAlignment="1">
      <alignment vertical="center" wrapText="1"/>
    </xf>
    <xf numFmtId="0" fontId="76" fillId="0" borderId="72" xfId="4" applyFont="1" applyBorder="1" applyAlignment="1">
      <alignment horizontal="distributed" vertical="center"/>
    </xf>
    <xf numFmtId="0" fontId="76" fillId="0" borderId="76" xfId="4" quotePrefix="1" applyFont="1" applyBorder="1" applyAlignment="1">
      <alignment horizontal="distributed" vertical="center"/>
    </xf>
    <xf numFmtId="0" fontId="74" fillId="0" borderId="7" xfId="4" applyFont="1" applyBorder="1" applyAlignment="1">
      <alignment vertical="center" wrapText="1"/>
    </xf>
    <xf numFmtId="0" fontId="74" fillId="0" borderId="10" xfId="4" applyFont="1" applyBorder="1" applyAlignment="1">
      <alignment vertical="center" wrapText="1"/>
    </xf>
    <xf numFmtId="0" fontId="76" fillId="0" borderId="74" xfId="4" applyFont="1" applyBorder="1" applyAlignment="1">
      <alignment horizontal="distributed" vertical="center"/>
    </xf>
    <xf numFmtId="0" fontId="76" fillId="0" borderId="72" xfId="4" applyFont="1" applyBorder="1" applyAlignment="1">
      <alignment horizontal="left" vertical="center"/>
    </xf>
    <xf numFmtId="0" fontId="78" fillId="0" borderId="72" xfId="4" applyFont="1" applyBorder="1" applyAlignment="1">
      <alignment vertical="center" wrapText="1"/>
    </xf>
    <xf numFmtId="0" fontId="78" fillId="0" borderId="92" xfId="4" applyFont="1" applyBorder="1" applyAlignment="1">
      <alignment vertical="center" wrapText="1"/>
    </xf>
    <xf numFmtId="0" fontId="60" fillId="0" borderId="92" xfId="4" applyBorder="1"/>
    <xf numFmtId="0" fontId="60" fillId="0" borderId="96" xfId="4" applyBorder="1"/>
    <xf numFmtId="0" fontId="78" fillId="0" borderId="0" xfId="4" applyFont="1" applyAlignment="1">
      <alignment horizontal="center" vertical="center" wrapText="1"/>
    </xf>
    <xf numFmtId="0" fontId="78" fillId="0" borderId="78" xfId="4" applyFont="1" applyBorder="1" applyAlignment="1">
      <alignment vertical="center" wrapText="1"/>
    </xf>
    <xf numFmtId="0" fontId="78" fillId="0" borderId="79" xfId="4" applyFont="1" applyBorder="1" applyAlignment="1">
      <alignment vertical="center" wrapText="1"/>
    </xf>
    <xf numFmtId="167" fontId="79" fillId="0" borderId="71" xfId="4" applyNumberFormat="1" applyFont="1" applyBorder="1" applyAlignment="1">
      <alignment vertical="center" wrapText="1"/>
    </xf>
    <xf numFmtId="167" fontId="79" fillId="0" borderId="75" xfId="4" applyNumberFormat="1" applyFont="1" applyBorder="1" applyAlignment="1">
      <alignment vertical="center" wrapText="1"/>
    </xf>
    <xf numFmtId="0" fontId="61" fillId="0" borderId="0" xfId="4" applyFont="1"/>
    <xf numFmtId="0" fontId="74" fillId="0" borderId="72" xfId="4" applyFont="1" applyBorder="1" applyAlignment="1">
      <alignment vertical="center"/>
    </xf>
    <xf numFmtId="0" fontId="74" fillId="0" borderId="73" xfId="4" applyFont="1" applyBorder="1" applyAlignment="1">
      <alignment vertical="center" wrapText="1"/>
    </xf>
    <xf numFmtId="0" fontId="85" fillId="0" borderId="70" xfId="4" applyFont="1" applyBorder="1"/>
    <xf numFmtId="167" fontId="86" fillId="0" borderId="71" xfId="4" applyNumberFormat="1" applyFont="1" applyBorder="1" applyAlignment="1">
      <alignment horizontal="left" vertical="center"/>
    </xf>
    <xf numFmtId="0" fontId="78" fillId="0" borderId="4" xfId="4" applyFont="1" applyBorder="1" applyAlignment="1">
      <alignment vertical="center" wrapText="1"/>
    </xf>
    <xf numFmtId="0" fontId="78" fillId="0" borderId="10" xfId="4" applyFont="1" applyBorder="1" applyAlignment="1">
      <alignment vertical="center" wrapText="1"/>
    </xf>
    <xf numFmtId="0" fontId="76" fillId="0" borderId="69" xfId="4" applyFont="1" applyBorder="1" applyAlignment="1">
      <alignment horizontal="distributed" vertical="center" wrapText="1"/>
    </xf>
    <xf numFmtId="0" fontId="79" fillId="3" borderId="0" xfId="3" applyFont="1" applyFill="1" applyAlignment="1">
      <alignment horizontal="center" vertical="center"/>
    </xf>
    <xf numFmtId="0" fontId="88" fillId="3" borderId="13" xfId="3" applyFont="1" applyFill="1" applyBorder="1" applyAlignment="1"/>
    <xf numFmtId="0" fontId="75" fillId="0" borderId="9" xfId="3" applyFont="1" applyBorder="1">
      <alignment vertical="center"/>
    </xf>
    <xf numFmtId="0" fontId="75" fillId="0" borderId="8" xfId="3" applyFont="1" applyBorder="1">
      <alignment vertical="center"/>
    </xf>
    <xf numFmtId="0" fontId="75" fillId="0" borderId="5" xfId="3" applyFont="1" applyBorder="1" applyAlignment="1">
      <alignment horizontal="right" vertical="center"/>
    </xf>
    <xf numFmtId="0" fontId="75" fillId="0" borderId="6" xfId="3" applyFont="1" applyBorder="1" applyAlignment="1">
      <alignment horizontal="right" vertical="center"/>
    </xf>
    <xf numFmtId="0" fontId="75" fillId="0" borderId="13" xfId="3" applyFont="1" applyBorder="1" applyAlignment="1">
      <alignment horizontal="right" vertical="center"/>
    </xf>
    <xf numFmtId="0" fontId="75" fillId="0" borderId="14" xfId="3" applyFont="1" applyBorder="1" applyAlignment="1">
      <alignment horizontal="right" vertical="center"/>
    </xf>
    <xf numFmtId="0" fontId="75" fillId="0" borderId="0" xfId="3" applyFont="1">
      <alignment vertical="center"/>
    </xf>
    <xf numFmtId="49" fontId="73" fillId="0" borderId="1" xfId="3" applyNumberFormat="1" applyFont="1" applyBorder="1" applyAlignment="1">
      <alignment horizontal="center" vertical="center"/>
    </xf>
    <xf numFmtId="49" fontId="73" fillId="0" borderId="3" xfId="3" applyNumberFormat="1" applyFont="1" applyBorder="1" applyAlignment="1">
      <alignment horizontal="center" vertical="center"/>
    </xf>
    <xf numFmtId="49" fontId="73" fillId="0" borderId="2" xfId="3" applyNumberFormat="1" applyFont="1" applyBorder="1" applyAlignment="1">
      <alignment horizontal="center" vertical="center"/>
    </xf>
    <xf numFmtId="0" fontId="88" fillId="3" borderId="0" xfId="3" applyFont="1" applyFill="1" applyAlignment="1">
      <alignment horizontal="center"/>
    </xf>
    <xf numFmtId="0" fontId="75" fillId="0" borderId="0" xfId="3" applyFont="1" applyAlignment="1">
      <alignment horizontal="center" vertical="center"/>
    </xf>
    <xf numFmtId="0" fontId="75" fillId="0" borderId="0" xfId="0" applyFont="1">
      <alignment vertical="center"/>
    </xf>
    <xf numFmtId="0" fontId="75" fillId="0" borderId="0" xfId="0" applyFont="1" applyAlignment="1">
      <alignment horizontal="center" vertical="center"/>
    </xf>
    <xf numFmtId="0" fontId="75" fillId="3" borderId="0" xfId="3" applyFont="1" applyFill="1" applyAlignment="1">
      <alignment horizontal="center" vertical="center"/>
    </xf>
    <xf numFmtId="0" fontId="88" fillId="3" borderId="0" xfId="3" applyFont="1" applyFill="1">
      <alignment vertical="center"/>
    </xf>
    <xf numFmtId="0" fontId="75" fillId="3" borderId="7" xfId="3" applyFont="1" applyFill="1" applyBorder="1" applyAlignment="1">
      <alignment horizontal="left" vertical="center"/>
    </xf>
    <xf numFmtId="0" fontId="75" fillId="3" borderId="9" xfId="3" applyFont="1" applyFill="1" applyBorder="1" applyAlignment="1"/>
    <xf numFmtId="0" fontId="75" fillId="3" borderId="9" xfId="3" applyFont="1" applyFill="1" applyBorder="1" applyAlignment="1">
      <alignment horizontal="center"/>
    </xf>
    <xf numFmtId="0" fontId="89" fillId="3" borderId="9" xfId="3" applyFont="1" applyFill="1" applyBorder="1" applyAlignment="1">
      <alignment wrapText="1"/>
    </xf>
    <xf numFmtId="0" fontId="89" fillId="3" borderId="8" xfId="3" applyFont="1" applyFill="1" applyBorder="1" applyAlignment="1">
      <alignment wrapText="1"/>
    </xf>
    <xf numFmtId="0" fontId="75" fillId="3" borderId="13" xfId="3" applyFont="1" applyFill="1" applyBorder="1" applyAlignment="1">
      <alignment horizontal="left"/>
    </xf>
    <xf numFmtId="0" fontId="75" fillId="3" borderId="13" xfId="3" applyFont="1" applyFill="1" applyBorder="1" applyAlignment="1">
      <alignment horizontal="center"/>
    </xf>
    <xf numFmtId="0" fontId="89" fillId="3" borderId="13" xfId="3" applyFont="1" applyFill="1" applyBorder="1" applyAlignment="1">
      <alignment wrapText="1"/>
    </xf>
    <xf numFmtId="0" fontId="75" fillId="3" borderId="7" xfId="3" applyFont="1" applyFill="1" applyBorder="1">
      <alignment vertical="center"/>
    </xf>
    <xf numFmtId="0" fontId="75" fillId="3" borderId="5" xfId="3" applyFont="1" applyFill="1" applyBorder="1">
      <alignment vertical="center"/>
    </xf>
    <xf numFmtId="0" fontId="75" fillId="3" borderId="5" xfId="3" applyFont="1" applyFill="1" applyBorder="1" applyAlignment="1">
      <alignment horizontal="center" vertical="center"/>
    </xf>
    <xf numFmtId="0" fontId="75" fillId="3" borderId="6" xfId="3" applyFont="1" applyFill="1" applyBorder="1">
      <alignment vertical="center"/>
    </xf>
    <xf numFmtId="0" fontId="93" fillId="0" borderId="0" xfId="0" applyFont="1">
      <alignment vertical="center"/>
    </xf>
    <xf numFmtId="0" fontId="93" fillId="0" borderId="0" xfId="0" applyFont="1" applyAlignment="1">
      <alignment horizontal="center" vertical="center"/>
    </xf>
    <xf numFmtId="0" fontId="76" fillId="0" borderId="70" xfId="4" applyFont="1" applyBorder="1" applyAlignment="1">
      <alignment vertical="center" wrapText="1"/>
    </xf>
    <xf numFmtId="0" fontId="76" fillId="0" borderId="74" xfId="4" quotePrefix="1" applyFont="1" applyBorder="1" applyAlignment="1">
      <alignment horizontal="distributed" vertical="center" wrapText="1"/>
    </xf>
    <xf numFmtId="180" fontId="88" fillId="0" borderId="1" xfId="3" applyNumberFormat="1" applyFont="1" applyBorder="1" applyAlignment="1">
      <alignment horizontal="center" vertical="center"/>
    </xf>
    <xf numFmtId="181" fontId="75" fillId="0" borderId="1" xfId="3" applyNumberFormat="1" applyFont="1" applyBorder="1" applyAlignment="1">
      <alignment horizontal="center" vertical="center"/>
    </xf>
    <xf numFmtId="0" fontId="73" fillId="3" borderId="0" xfId="3" applyFont="1" applyFill="1" applyAlignment="1">
      <alignment horizontal="left" vertical="center"/>
    </xf>
    <xf numFmtId="20" fontId="73" fillId="0" borderId="1" xfId="3" applyNumberFormat="1" applyFont="1" applyBorder="1" applyAlignment="1">
      <alignment horizontal="center" vertical="center"/>
    </xf>
    <xf numFmtId="180" fontId="88" fillId="15" borderId="1" xfId="3" applyNumberFormat="1" applyFont="1" applyFill="1" applyBorder="1" applyAlignment="1">
      <alignment horizontal="center" vertical="center"/>
    </xf>
    <xf numFmtId="181" fontId="75" fillId="15" borderId="1" xfId="3" applyNumberFormat="1" applyFont="1" applyFill="1" applyBorder="1" applyAlignment="1">
      <alignment horizontal="center" vertical="center"/>
    </xf>
    <xf numFmtId="49" fontId="73" fillId="15" borderId="1" xfId="3" applyNumberFormat="1" applyFont="1" applyFill="1" applyBorder="1" applyAlignment="1">
      <alignment horizontal="center" vertical="center"/>
    </xf>
    <xf numFmtId="0" fontId="0" fillId="0" borderId="0" xfId="4" applyFont="1"/>
    <xf numFmtId="0" fontId="95" fillId="0" borderId="14" xfId="3" applyFont="1" applyBorder="1" applyAlignment="1">
      <alignment wrapText="1"/>
    </xf>
    <xf numFmtId="0" fontId="78" fillId="3" borderId="0" xfId="3" applyFont="1" applyFill="1" applyAlignment="1">
      <alignment horizontal="center" vertical="center" shrinkToFit="1"/>
    </xf>
    <xf numFmtId="0" fontId="78" fillId="3" borderId="13" xfId="3" applyFont="1" applyFill="1" applyBorder="1" applyAlignment="1">
      <alignment horizontal="center" vertical="center"/>
    </xf>
    <xf numFmtId="0" fontId="96" fillId="0" borderId="0" xfId="0" applyFont="1">
      <alignment vertical="center"/>
    </xf>
    <xf numFmtId="182" fontId="73" fillId="0" borderId="3" xfId="3" applyNumberFormat="1" applyFont="1" applyBorder="1" applyAlignment="1">
      <alignment horizontal="center" vertical="center"/>
    </xf>
    <xf numFmtId="182" fontId="73" fillId="15" borderId="3" xfId="3" applyNumberFormat="1" applyFont="1" applyFill="1" applyBorder="1" applyAlignment="1">
      <alignment horizontal="center" vertical="center"/>
    </xf>
    <xf numFmtId="0" fontId="75" fillId="0" borderId="1" xfId="0" applyFont="1" applyBorder="1" applyAlignment="1">
      <alignment horizontal="center" vertical="center"/>
    </xf>
    <xf numFmtId="0" fontId="75" fillId="3" borderId="1" xfId="3" applyFont="1" applyFill="1" applyBorder="1" applyAlignment="1">
      <alignment horizontal="center" vertical="center" shrinkToFit="1"/>
    </xf>
    <xf numFmtId="0" fontId="78" fillId="3" borderId="1" xfId="3" applyFont="1" applyFill="1" applyBorder="1" applyAlignment="1">
      <alignment horizontal="center" vertical="center" shrinkToFit="1"/>
    </xf>
    <xf numFmtId="0" fontId="75" fillId="0" borderId="1" xfId="0" applyFont="1" applyBorder="1" applyAlignment="1">
      <alignment horizontal="center" vertical="center" shrinkToFit="1"/>
    </xf>
    <xf numFmtId="49" fontId="75" fillId="0" borderId="0" xfId="0" applyNumberFormat="1" applyFont="1">
      <alignment vertical="center"/>
    </xf>
    <xf numFmtId="20" fontId="75" fillId="0" borderId="1" xfId="0" applyNumberFormat="1" applyFont="1" applyBorder="1" applyAlignment="1">
      <alignment horizontal="center" vertical="center"/>
    </xf>
    <xf numFmtId="0" fontId="75" fillId="15" borderId="1" xfId="0" applyFont="1" applyFill="1" applyBorder="1" applyAlignment="1">
      <alignment horizontal="center" vertical="center"/>
    </xf>
    <xf numFmtId="0" fontId="63" fillId="0" borderId="0" xfId="3" applyFont="1" applyAlignment="1">
      <alignment horizontal="center" vertical="center"/>
    </xf>
    <xf numFmtId="0" fontId="63" fillId="0" borderId="0" xfId="3" applyFont="1" applyAlignment="1">
      <alignment horizontal="left" vertical="center" wrapText="1"/>
    </xf>
    <xf numFmtId="0" fontId="64" fillId="0" borderId="0" xfId="3" applyFont="1" applyAlignment="1">
      <alignment horizontal="left" vertical="center"/>
    </xf>
    <xf numFmtId="0" fontId="94" fillId="0" borderId="0" xfId="4" applyFont="1" applyAlignment="1">
      <alignment vertical="center" wrapText="1"/>
    </xf>
    <xf numFmtId="0" fontId="76" fillId="0" borderId="0" xfId="4" quotePrefix="1" applyFont="1" applyAlignment="1">
      <alignment vertical="center" wrapText="1"/>
    </xf>
    <xf numFmtId="167" fontId="39" fillId="3" borderId="0" xfId="3" applyNumberFormat="1" applyFont="1" applyFill="1">
      <alignment vertical="center"/>
    </xf>
    <xf numFmtId="0" fontId="40" fillId="0" borderId="0" xfId="0" applyFont="1" applyAlignment="1">
      <alignment horizontal="center" vertical="center"/>
    </xf>
    <xf numFmtId="0" fontId="40" fillId="0" borderId="69" xfId="0" applyFont="1" applyBorder="1">
      <alignment vertical="center"/>
    </xf>
    <xf numFmtId="0" fontId="40" fillId="0" borderId="70" xfId="0" applyFont="1" applyBorder="1">
      <alignment vertical="center"/>
    </xf>
    <xf numFmtId="0" fontId="40" fillId="0" borderId="73" xfId="0" applyFont="1" applyBorder="1">
      <alignment vertical="center"/>
    </xf>
    <xf numFmtId="0" fontId="40" fillId="0" borderId="72" xfId="0" applyFont="1" applyBorder="1">
      <alignment vertical="center"/>
    </xf>
    <xf numFmtId="0" fontId="97" fillId="0" borderId="0" xfId="0" applyFont="1" applyAlignment="1">
      <alignment vertical="center" wrapText="1"/>
    </xf>
    <xf numFmtId="0" fontId="97" fillId="0" borderId="73" xfId="0" applyFont="1" applyBorder="1" applyAlignment="1">
      <alignment vertical="center" wrapText="1"/>
    </xf>
    <xf numFmtId="0" fontId="62" fillId="0" borderId="0" xfId="0" applyFont="1">
      <alignment vertical="center"/>
    </xf>
    <xf numFmtId="0" fontId="40" fillId="0" borderId="13" xfId="0" applyFont="1" applyBorder="1">
      <alignment vertical="center"/>
    </xf>
    <xf numFmtId="0" fontId="97" fillId="0" borderId="13" xfId="0" applyFont="1" applyBorder="1" applyAlignment="1">
      <alignment vertical="center" wrapText="1"/>
    </xf>
    <xf numFmtId="0" fontId="97" fillId="0" borderId="75" xfId="0" applyFont="1" applyBorder="1" applyAlignment="1">
      <alignment vertical="center" wrapText="1"/>
    </xf>
    <xf numFmtId="0" fontId="63" fillId="0" borderId="9" xfId="3" applyFont="1" applyBorder="1" applyAlignment="1">
      <alignment horizontal="left" vertical="top" wrapText="1"/>
    </xf>
    <xf numFmtId="0" fontId="64" fillId="0" borderId="73" xfId="3" applyFont="1" applyBorder="1">
      <alignment vertical="center"/>
    </xf>
    <xf numFmtId="0" fontId="64" fillId="0" borderId="72" xfId="3" applyFont="1" applyBorder="1" applyAlignment="1">
      <alignment horizontal="center" vertical="center"/>
    </xf>
    <xf numFmtId="0" fontId="63" fillId="0" borderId="73" xfId="3" applyFont="1" applyBorder="1">
      <alignment vertical="center"/>
    </xf>
    <xf numFmtId="0" fontId="64" fillId="0" borderId="72" xfId="3" applyFont="1" applyBorder="1" applyAlignment="1">
      <alignment vertical="center" wrapText="1"/>
    </xf>
    <xf numFmtId="0" fontId="64" fillId="0" borderId="0" xfId="3" applyFont="1" applyAlignment="1">
      <alignment vertical="center" wrapText="1"/>
    </xf>
    <xf numFmtId="0" fontId="64" fillId="0" borderId="73" xfId="3" applyFont="1" applyBorder="1" applyAlignment="1">
      <alignment vertical="center" wrapText="1"/>
    </xf>
    <xf numFmtId="0" fontId="64" fillId="0" borderId="72" xfId="3" applyFont="1" applyBorder="1" applyAlignment="1">
      <alignment vertical="top" wrapText="1"/>
    </xf>
    <xf numFmtId="0" fontId="64" fillId="0" borderId="0" xfId="3" applyFont="1" applyAlignment="1">
      <alignment vertical="top" wrapText="1"/>
    </xf>
    <xf numFmtId="0" fontId="64" fillId="0" borderId="73" xfId="3" applyFont="1" applyBorder="1" applyAlignment="1">
      <alignment vertical="top" wrapText="1"/>
    </xf>
    <xf numFmtId="0" fontId="64" fillId="0" borderId="72" xfId="3" applyFont="1" applyBorder="1">
      <alignment vertical="center"/>
    </xf>
    <xf numFmtId="0" fontId="64" fillId="0" borderId="0" xfId="3" applyFont="1" applyAlignment="1">
      <alignment horizontal="left" vertical="top" wrapText="1"/>
    </xf>
    <xf numFmtId="0" fontId="63" fillId="0" borderId="72" xfId="3" applyFont="1" applyBorder="1">
      <alignment vertical="center"/>
    </xf>
    <xf numFmtId="0" fontId="64" fillId="0" borderId="74" xfId="3" applyFont="1" applyBorder="1" applyAlignment="1">
      <alignment vertical="top" wrapText="1"/>
    </xf>
    <xf numFmtId="0" fontId="64" fillId="0" borderId="13" xfId="3" applyFont="1" applyBorder="1" applyAlignment="1">
      <alignment vertical="top" wrapText="1"/>
    </xf>
    <xf numFmtId="0" fontId="64" fillId="0" borderId="75" xfId="3" applyFont="1" applyBorder="1" applyAlignment="1">
      <alignment vertical="top" wrapText="1"/>
    </xf>
    <xf numFmtId="0" fontId="63" fillId="0" borderId="76" xfId="3" applyFont="1" applyBorder="1" applyAlignment="1">
      <alignment horizontal="left" vertical="top"/>
    </xf>
    <xf numFmtId="0" fontId="63" fillId="0" borderId="9" xfId="3" applyFont="1" applyBorder="1" applyAlignment="1">
      <alignment horizontal="left" vertical="top"/>
    </xf>
    <xf numFmtId="0" fontId="63" fillId="0" borderId="77" xfId="3" applyFont="1" applyBorder="1" applyAlignment="1">
      <alignment horizontal="left" vertical="top"/>
    </xf>
    <xf numFmtId="0" fontId="63" fillId="0" borderId="72" xfId="3" applyFont="1" applyBorder="1" applyAlignment="1">
      <alignment vertical="top"/>
    </xf>
    <xf numFmtId="0" fontId="63" fillId="0" borderId="73" xfId="3" applyFont="1" applyBorder="1" applyAlignment="1">
      <alignment vertical="top"/>
    </xf>
    <xf numFmtId="0" fontId="63" fillId="0" borderId="74" xfId="3" applyFont="1" applyBorder="1" applyAlignment="1">
      <alignment vertical="top"/>
    </xf>
    <xf numFmtId="0" fontId="69" fillId="0" borderId="13" xfId="3" applyFont="1" applyBorder="1">
      <alignment vertical="center"/>
    </xf>
    <xf numFmtId="0" fontId="63" fillId="0" borderId="13" xfId="3" applyFont="1" applyBorder="1" applyAlignment="1">
      <alignment vertical="top"/>
    </xf>
    <xf numFmtId="0" fontId="63" fillId="0" borderId="75" xfId="3" applyFont="1" applyBorder="1" applyAlignment="1">
      <alignment vertical="top"/>
    </xf>
    <xf numFmtId="0" fontId="60" fillId="0" borderId="12" xfId="4" applyBorder="1"/>
    <xf numFmtId="0" fontId="60" fillId="0" borderId="7" xfId="4" applyBorder="1"/>
    <xf numFmtId="167" fontId="77" fillId="0" borderId="77" xfId="4" applyNumberFormat="1" applyFont="1" applyBorder="1" applyAlignment="1">
      <alignment vertical="center" wrapText="1"/>
    </xf>
    <xf numFmtId="167" fontId="77" fillId="0" borderId="7" xfId="4" applyNumberFormat="1" applyFont="1" applyBorder="1" applyAlignment="1">
      <alignment vertical="center" wrapText="1"/>
    </xf>
    <xf numFmtId="167" fontId="76" fillId="0" borderId="9" xfId="4" applyNumberFormat="1" applyFont="1" applyBorder="1" applyAlignment="1">
      <alignment vertical="center" wrapText="1"/>
    </xf>
    <xf numFmtId="167" fontId="77" fillId="0" borderId="9" xfId="4" applyNumberFormat="1" applyFont="1" applyBorder="1" applyAlignment="1">
      <alignment vertical="center" wrapText="1"/>
    </xf>
    <xf numFmtId="0" fontId="60" fillId="0" borderId="13" xfId="4" applyBorder="1"/>
    <xf numFmtId="0" fontId="87" fillId="0" borderId="13" xfId="4" applyFont="1" applyBorder="1" applyAlignment="1">
      <alignment wrapText="1"/>
    </xf>
    <xf numFmtId="178" fontId="24" fillId="0" borderId="0" xfId="1" applyNumberFormat="1" applyFont="1">
      <alignment vertical="center"/>
    </xf>
    <xf numFmtId="0" fontId="55" fillId="0" borderId="10" xfId="3" applyFont="1" applyBorder="1">
      <alignment vertical="center"/>
    </xf>
    <xf numFmtId="0" fontId="49" fillId="0" borderId="11" xfId="3" applyFont="1" applyBorder="1" applyAlignment="1">
      <alignment horizontal="center" vertical="center"/>
    </xf>
    <xf numFmtId="14" fontId="44" fillId="0" borderId="0" xfId="3" applyNumberFormat="1" applyFont="1">
      <alignment vertical="center"/>
    </xf>
    <xf numFmtId="0" fontId="52" fillId="3" borderId="9" xfId="3" applyFont="1" applyFill="1" applyBorder="1" applyAlignment="1">
      <alignment horizontal="center" vertical="center"/>
    </xf>
    <xf numFmtId="0" fontId="101" fillId="3" borderId="0" xfId="0" applyFont="1" applyFill="1">
      <alignment vertical="center"/>
    </xf>
    <xf numFmtId="0" fontId="104" fillId="0" borderId="0" xfId="0" applyFont="1">
      <alignment vertical="center"/>
    </xf>
    <xf numFmtId="0" fontId="105" fillId="0" borderId="0" xfId="0" applyFont="1">
      <alignment vertical="center"/>
    </xf>
    <xf numFmtId="0" fontId="106" fillId="0" borderId="0" xfId="3" applyFont="1" applyAlignment="1">
      <alignment horizontal="left" vertical="center" wrapText="1"/>
    </xf>
    <xf numFmtId="176" fontId="52" fillId="3" borderId="9" xfId="3" applyNumberFormat="1" applyFont="1" applyFill="1" applyBorder="1" applyAlignment="1">
      <alignment horizontal="center" vertical="center"/>
    </xf>
    <xf numFmtId="0" fontId="49" fillId="3" borderId="9" xfId="3" applyFont="1" applyFill="1" applyBorder="1" applyAlignment="1">
      <alignment horizontal="center" vertical="center"/>
    </xf>
    <xf numFmtId="0" fontId="49" fillId="3" borderId="8" xfId="3" applyFont="1" applyFill="1" applyBorder="1" applyAlignment="1">
      <alignment horizontal="center" vertical="center"/>
    </xf>
    <xf numFmtId="0" fontId="52" fillId="3" borderId="12" xfId="3" applyFont="1" applyFill="1" applyBorder="1">
      <alignment vertical="center"/>
    </xf>
    <xf numFmtId="167" fontId="52" fillId="3" borderId="9" xfId="3" applyNumberFormat="1" applyFont="1" applyFill="1" applyBorder="1" applyAlignment="1">
      <alignment horizontal="center" vertical="center"/>
    </xf>
    <xf numFmtId="0" fontId="44" fillId="0" borderId="13" xfId="3" applyFont="1" applyBorder="1">
      <alignment vertical="center"/>
    </xf>
    <xf numFmtId="173" fontId="109" fillId="0" borderId="0" xfId="1" applyNumberFormat="1" applyFont="1" applyAlignment="1">
      <alignment horizontal="center"/>
    </xf>
    <xf numFmtId="0" fontId="44" fillId="12" borderId="5" xfId="3" applyFont="1" applyFill="1" applyBorder="1">
      <alignment vertical="center"/>
    </xf>
    <xf numFmtId="0" fontId="44" fillId="12" borderId="6" xfId="3" applyFont="1" applyFill="1" applyBorder="1">
      <alignment vertical="center"/>
    </xf>
    <xf numFmtId="0" fontId="49" fillId="3" borderId="12" xfId="3" applyFont="1" applyFill="1" applyBorder="1" applyAlignment="1">
      <alignment vertical="center" shrinkToFit="1"/>
    </xf>
    <xf numFmtId="0" fontId="49" fillId="3" borderId="13" xfId="3" applyFont="1" applyFill="1" applyBorder="1" applyAlignment="1">
      <alignment vertical="center" shrinkToFit="1"/>
    </xf>
    <xf numFmtId="0" fontId="14" fillId="0" borderId="0" xfId="0" applyFont="1" applyAlignment="1">
      <alignment horizontal="left" vertical="center" wrapText="1"/>
    </xf>
    <xf numFmtId="0" fontId="14" fillId="0" borderId="0" xfId="0" applyFont="1" applyAlignment="1">
      <alignment horizontal="left" vertical="center"/>
    </xf>
    <xf numFmtId="0" fontId="13" fillId="6" borderId="0" xfId="0" applyFont="1" applyFill="1" applyAlignment="1">
      <alignment horizontal="left" vertical="center"/>
    </xf>
    <xf numFmtId="0" fontId="13" fillId="5" borderId="0" xfId="0" applyFont="1" applyFill="1" applyAlignment="1">
      <alignment horizontal="left" vertical="center"/>
    </xf>
    <xf numFmtId="0" fontId="13" fillId="4" borderId="0" xfId="0" applyFont="1" applyFill="1" applyAlignment="1">
      <alignment horizontal="left" vertical="center"/>
    </xf>
    <xf numFmtId="0" fontId="35" fillId="2" borderId="0" xfId="0" applyFont="1" applyFill="1" applyAlignment="1">
      <alignment horizontal="left" vertical="center"/>
    </xf>
    <xf numFmtId="165" fontId="13" fillId="0" borderId="0" xfId="0" applyNumberFormat="1" applyFont="1" applyAlignment="1">
      <alignment horizontal="left" vertical="center"/>
    </xf>
    <xf numFmtId="167" fontId="31" fillId="2" borderId="0" xfId="0" applyNumberFormat="1" applyFont="1" applyFill="1" applyAlignment="1">
      <alignment horizontal="center" vertical="center"/>
    </xf>
    <xf numFmtId="167" fontId="14" fillId="0" borderId="0" xfId="0" applyNumberFormat="1" applyFont="1" applyAlignment="1">
      <alignment horizontal="left" vertical="center"/>
    </xf>
    <xf numFmtId="0" fontId="14" fillId="3" borderId="0" xfId="0" applyFont="1" applyFill="1" applyAlignment="1">
      <alignment horizontal="left" vertical="center"/>
    </xf>
    <xf numFmtId="0" fontId="14" fillId="6" borderId="0" xfId="0" applyFont="1" applyFill="1" applyAlignment="1">
      <alignment horizontal="left" vertical="center"/>
    </xf>
    <xf numFmtId="0" fontId="14" fillId="2" borderId="0" xfId="0" applyFont="1" applyFill="1" applyAlignment="1">
      <alignment horizontal="left" vertical="center"/>
    </xf>
    <xf numFmtId="0" fontId="14" fillId="7" borderId="0" xfId="0" applyFont="1" applyFill="1" applyAlignment="1">
      <alignment horizontal="left" vertical="center"/>
    </xf>
    <xf numFmtId="0" fontId="14" fillId="9" borderId="0" xfId="0" applyFont="1" applyFill="1" applyAlignment="1">
      <alignment horizontal="left" vertical="center"/>
    </xf>
    <xf numFmtId="0" fontId="14" fillId="8" borderId="0" xfId="0" applyFont="1" applyFill="1" applyAlignment="1">
      <alignment horizontal="left" vertical="center"/>
    </xf>
    <xf numFmtId="14" fontId="14" fillId="0" borderId="0" xfId="0" applyNumberFormat="1" applyFont="1" applyAlignment="1">
      <alignment horizontal="left" vertical="center"/>
    </xf>
    <xf numFmtId="0" fontId="10" fillId="16" borderId="0" xfId="0" applyFont="1" applyFill="1" applyAlignment="1">
      <alignment horizontal="left" vertical="center"/>
    </xf>
    <xf numFmtId="0" fontId="10" fillId="0" borderId="0" xfId="0" applyFont="1" applyAlignment="1">
      <alignment vertical="center" wrapText="1"/>
    </xf>
    <xf numFmtId="0" fontId="14" fillId="0" borderId="0" xfId="0" applyFont="1" applyAlignment="1">
      <alignment horizontal="center" vertical="center"/>
    </xf>
    <xf numFmtId="0" fontId="14" fillId="16" borderId="0" xfId="0" applyFont="1" applyFill="1" applyAlignment="1">
      <alignment horizontal="left" vertical="center"/>
    </xf>
    <xf numFmtId="0" fontId="14" fillId="17" borderId="0" xfId="0" applyFont="1" applyFill="1" applyAlignment="1">
      <alignment horizontal="left" vertical="center"/>
    </xf>
    <xf numFmtId="165" fontId="30" fillId="19" borderId="0" xfId="0" applyNumberFormat="1" applyFont="1" applyFill="1" applyAlignment="1">
      <alignment horizontal="center" vertical="center"/>
    </xf>
    <xf numFmtId="167" fontId="44" fillId="18" borderId="0" xfId="0" applyNumberFormat="1" applyFont="1" applyFill="1" applyAlignment="1">
      <alignment horizontal="center" vertical="center"/>
    </xf>
    <xf numFmtId="0" fontId="13" fillId="2" borderId="0" xfId="0" applyFont="1" applyFill="1">
      <alignment vertical="center"/>
    </xf>
    <xf numFmtId="0" fontId="30" fillId="0" borderId="1" xfId="0" applyFont="1" applyBorder="1">
      <alignment vertical="center"/>
    </xf>
    <xf numFmtId="0" fontId="111" fillId="0" borderId="0" xfId="0" applyFont="1" applyAlignment="1">
      <alignment horizontal="center" vertical="center"/>
    </xf>
    <xf numFmtId="0" fontId="39" fillId="20" borderId="0" xfId="0" applyFont="1" applyFill="1">
      <alignment vertical="center"/>
    </xf>
    <xf numFmtId="0" fontId="114" fillId="0" borderId="73" xfId="4" applyFont="1" applyBorder="1" applyAlignment="1">
      <alignment vertical="center" wrapText="1"/>
    </xf>
    <xf numFmtId="0" fontId="85" fillId="0" borderId="0" xfId="4" applyFont="1"/>
    <xf numFmtId="0" fontId="87" fillId="0" borderId="0" xfId="4" applyFont="1"/>
    <xf numFmtId="0" fontId="86" fillId="0" borderId="0" xfId="4" applyFont="1"/>
    <xf numFmtId="0" fontId="87" fillId="0" borderId="75" xfId="4" applyFont="1" applyBorder="1" applyAlignment="1">
      <alignment wrapText="1"/>
    </xf>
    <xf numFmtId="0" fontId="111" fillId="0" borderId="0" xfId="0" applyFont="1" applyAlignment="1">
      <alignment horizontal="left" vertical="center"/>
    </xf>
    <xf numFmtId="0" fontId="10" fillId="2" borderId="0" xfId="0" applyFont="1" applyFill="1" applyAlignment="1">
      <alignment horizontal="left" vertical="center"/>
    </xf>
    <xf numFmtId="0" fontId="10" fillId="21" borderId="0" xfId="0" applyFont="1" applyFill="1" applyAlignment="1">
      <alignment horizontal="left" vertical="center"/>
    </xf>
    <xf numFmtId="0" fontId="7" fillId="2" borderId="0" xfId="0" applyFont="1" applyFill="1" applyAlignment="1">
      <alignment horizontal="center" vertical="center"/>
    </xf>
    <xf numFmtId="14" fontId="30" fillId="14" borderId="0" xfId="0" applyNumberFormat="1" applyFont="1" applyFill="1" applyAlignment="1">
      <alignment horizontal="center" vertical="center"/>
    </xf>
    <xf numFmtId="167" fontId="4" fillId="0" borderId="0" xfId="0" applyNumberFormat="1" applyFont="1">
      <alignment vertical="center"/>
    </xf>
    <xf numFmtId="165" fontId="13" fillId="22" borderId="0" xfId="0" applyNumberFormat="1" applyFont="1" applyFill="1" applyAlignment="1">
      <alignment horizontal="left" vertical="center"/>
    </xf>
    <xf numFmtId="165" fontId="10" fillId="22" borderId="0" xfId="0" applyNumberFormat="1" applyFont="1" applyFill="1" applyAlignment="1">
      <alignment horizontal="left" vertical="center"/>
    </xf>
    <xf numFmtId="165" fontId="14" fillId="22" borderId="0" xfId="0" applyNumberFormat="1" applyFont="1" applyFill="1" applyAlignment="1">
      <alignment horizontal="left" vertical="center"/>
    </xf>
    <xf numFmtId="165" fontId="14" fillId="8" borderId="0" xfId="0" applyNumberFormat="1" applyFont="1" applyFill="1" applyAlignment="1">
      <alignment horizontal="right" vertical="center"/>
    </xf>
    <xf numFmtId="165" fontId="10" fillId="8" borderId="0" xfId="0" applyNumberFormat="1" applyFont="1" applyFill="1" applyAlignment="1">
      <alignment horizontal="right" vertical="center"/>
    </xf>
    <xf numFmtId="167" fontId="116" fillId="18" borderId="0" xfId="0" applyNumberFormat="1" applyFont="1" applyFill="1" applyAlignment="1">
      <alignment horizontal="center" vertical="center"/>
    </xf>
    <xf numFmtId="167" fontId="117" fillId="18" borderId="0" xfId="0" applyNumberFormat="1" applyFont="1" applyFill="1" applyAlignment="1">
      <alignment horizontal="center" vertical="center"/>
    </xf>
    <xf numFmtId="167" fontId="13" fillId="0" borderId="0" xfId="0" applyNumberFormat="1" applyFont="1" applyAlignment="1">
      <alignment horizontal="center" vertical="center"/>
    </xf>
    <xf numFmtId="165" fontId="118" fillId="8" borderId="0" xfId="0" applyNumberFormat="1" applyFont="1" applyFill="1" applyAlignment="1">
      <alignment horizontal="right" vertical="center"/>
    </xf>
    <xf numFmtId="165" fontId="118" fillId="22" borderId="0" xfId="0" applyNumberFormat="1" applyFont="1" applyFill="1" applyAlignment="1">
      <alignment horizontal="left" vertical="center"/>
    </xf>
    <xf numFmtId="0" fontId="0" fillId="0" borderId="1" xfId="0" applyBorder="1">
      <alignment vertical="center"/>
    </xf>
    <xf numFmtId="167" fontId="119" fillId="0" borderId="0" xfId="0" applyNumberFormat="1" applyFont="1">
      <alignment vertical="center"/>
    </xf>
    <xf numFmtId="0" fontId="74" fillId="0" borderId="84" xfId="4" applyFont="1" applyBorder="1" applyAlignment="1">
      <alignment horizontal="center" vertical="center" wrapText="1"/>
    </xf>
    <xf numFmtId="0" fontId="74" fillId="0" borderId="85" xfId="4" applyFont="1" applyBorder="1" applyAlignment="1">
      <alignment horizontal="center" vertical="center" wrapText="1"/>
    </xf>
    <xf numFmtId="0" fontId="73" fillId="0" borderId="5" xfId="4" applyFont="1" applyBorder="1" applyAlignment="1">
      <alignment horizontal="left" vertical="center"/>
    </xf>
    <xf numFmtId="0" fontId="73" fillId="0" borderId="85" xfId="4" applyFont="1" applyBorder="1" applyAlignment="1">
      <alignment horizontal="left" vertical="center"/>
    </xf>
    <xf numFmtId="167" fontId="75" fillId="0" borderId="84" xfId="4" applyNumberFormat="1" applyFont="1" applyBorder="1" applyAlignment="1">
      <alignment horizontal="center" vertical="center"/>
    </xf>
    <xf numFmtId="167" fontId="75" fillId="0" borderId="5" xfId="4" applyNumberFormat="1" applyFont="1" applyBorder="1" applyAlignment="1">
      <alignment horizontal="center" vertical="center"/>
    </xf>
    <xf numFmtId="0" fontId="86" fillId="0" borderId="69" xfId="4" applyFont="1" applyBorder="1" applyAlignment="1">
      <alignment horizontal="center" wrapText="1"/>
    </xf>
    <xf numFmtId="0" fontId="86" fillId="0" borderId="98" xfId="4" applyFont="1" applyBorder="1" applyAlignment="1">
      <alignment horizontal="center" wrapText="1"/>
    </xf>
    <xf numFmtId="0" fontId="86" fillId="0" borderId="74" xfId="4" applyFont="1" applyBorder="1" applyAlignment="1">
      <alignment horizontal="center" wrapText="1"/>
    </xf>
    <xf numFmtId="0" fontId="86" fillId="0" borderId="14" xfId="4" applyFont="1" applyBorder="1" applyAlignment="1">
      <alignment horizontal="center" wrapText="1"/>
    </xf>
    <xf numFmtId="0" fontId="87" fillId="0" borderId="70" xfId="4" applyFont="1" applyBorder="1" applyAlignment="1">
      <alignment horizontal="left"/>
    </xf>
    <xf numFmtId="0" fontId="73" fillId="0" borderId="69" xfId="4" applyFont="1" applyBorder="1" applyAlignment="1">
      <alignment horizontal="center" vertical="center" wrapText="1"/>
    </xf>
    <xf numFmtId="0" fontId="73" fillId="0" borderId="70" xfId="4" applyFont="1" applyBorder="1" applyAlignment="1">
      <alignment horizontal="center" vertical="center" wrapText="1"/>
    </xf>
    <xf numFmtId="0" fontId="73" fillId="0" borderId="71" xfId="4" applyFont="1" applyBorder="1" applyAlignment="1">
      <alignment horizontal="center" vertical="center" wrapText="1"/>
    </xf>
    <xf numFmtId="0" fontId="73" fillId="0" borderId="78" xfId="4" applyFont="1" applyBorder="1" applyAlignment="1">
      <alignment horizontal="center" vertical="center" wrapText="1"/>
    </xf>
    <xf numFmtId="0" fontId="73" fillId="0" borderId="79" xfId="4" applyFont="1" applyBorder="1" applyAlignment="1">
      <alignment horizontal="center" vertical="center" wrapText="1"/>
    </xf>
    <xf numFmtId="0" fontId="73" fillId="0" borderId="0" xfId="4" applyFont="1" applyAlignment="1">
      <alignment horizontal="center" vertical="center" wrapText="1"/>
    </xf>
    <xf numFmtId="0" fontId="73" fillId="0" borderId="73" xfId="4" applyFont="1" applyBorder="1" applyAlignment="1">
      <alignment horizontal="center" vertical="center" wrapText="1"/>
    </xf>
    <xf numFmtId="0" fontId="73" fillId="0" borderId="80" xfId="4" applyFont="1" applyBorder="1" applyAlignment="1">
      <alignment horizontal="center" vertical="center" wrapText="1"/>
    </xf>
    <xf numFmtId="0" fontId="74" fillId="0" borderId="81" xfId="4" applyFont="1" applyBorder="1" applyAlignment="1">
      <alignment horizontal="center" vertical="center" wrapText="1"/>
    </xf>
    <xf numFmtId="0" fontId="74" fillId="0" borderId="82" xfId="4" applyFont="1" applyBorder="1" applyAlignment="1">
      <alignment horizontal="center" vertical="center" wrapText="1"/>
    </xf>
    <xf numFmtId="0" fontId="74" fillId="0" borderId="83" xfId="4" applyFont="1" applyBorder="1" applyAlignment="1">
      <alignment vertical="center"/>
    </xf>
    <xf numFmtId="0" fontId="74" fillId="0" borderId="82" xfId="4" applyFont="1" applyBorder="1" applyAlignment="1">
      <alignment vertical="center"/>
    </xf>
    <xf numFmtId="0" fontId="73" fillId="0" borderId="86" xfId="4" applyFont="1" applyBorder="1" applyAlignment="1">
      <alignment horizontal="center" vertical="center"/>
    </xf>
    <xf numFmtId="0" fontId="73" fillId="0" borderId="87" xfId="4" applyFont="1" applyBorder="1" applyAlignment="1">
      <alignment horizontal="center" vertical="center"/>
    </xf>
    <xf numFmtId="0" fontId="78" fillId="0" borderId="69" xfId="4" applyFont="1" applyBorder="1" applyAlignment="1">
      <alignment horizontal="center" vertical="center" wrapText="1"/>
    </xf>
    <xf numFmtId="0" fontId="78" fillId="0" borderId="71" xfId="4" applyFont="1" applyBorder="1" applyAlignment="1">
      <alignment horizontal="center" vertical="center" wrapText="1"/>
    </xf>
    <xf numFmtId="0" fontId="78" fillId="0" borderId="74" xfId="4" applyFont="1" applyBorder="1" applyAlignment="1">
      <alignment horizontal="center" vertical="center" wrapText="1"/>
    </xf>
    <xf numFmtId="0" fontId="78" fillId="0" borderId="75" xfId="4" applyFont="1" applyBorder="1" applyAlignment="1">
      <alignment horizontal="center" vertical="center" wrapText="1"/>
    </xf>
    <xf numFmtId="167" fontId="79" fillId="2" borderId="69" xfId="4" applyNumberFormat="1" applyFont="1" applyFill="1" applyBorder="1" applyAlignment="1">
      <alignment horizontal="right" vertical="center" wrapText="1"/>
    </xf>
    <xf numFmtId="167" fontId="79" fillId="2" borderId="70" xfId="4" applyNumberFormat="1" applyFont="1" applyFill="1" applyBorder="1" applyAlignment="1">
      <alignment horizontal="right" vertical="center" wrapText="1"/>
    </xf>
    <xf numFmtId="167" fontId="79" fillId="2" borderId="74" xfId="4" applyNumberFormat="1" applyFont="1" applyFill="1" applyBorder="1" applyAlignment="1">
      <alignment horizontal="right" vertical="center" wrapText="1"/>
    </xf>
    <xf numFmtId="167" fontId="79" fillId="2" borderId="13" xfId="4" applyNumberFormat="1" applyFont="1" applyFill="1" applyBorder="1" applyAlignment="1">
      <alignment horizontal="right" vertical="center" wrapText="1"/>
    </xf>
    <xf numFmtId="167" fontId="79" fillId="0" borderId="70" xfId="4" applyNumberFormat="1" applyFont="1" applyBorder="1" applyAlignment="1">
      <alignment horizontal="center" vertical="center" wrapText="1"/>
    </xf>
    <xf numFmtId="167" fontId="79" fillId="0" borderId="13" xfId="4" applyNumberFormat="1" applyFont="1" applyBorder="1" applyAlignment="1">
      <alignment horizontal="center" vertical="center" wrapText="1"/>
    </xf>
    <xf numFmtId="167" fontId="79" fillId="2" borderId="70" xfId="4" applyNumberFormat="1" applyFont="1" applyFill="1" applyBorder="1" applyAlignment="1">
      <alignment horizontal="left" vertical="center" wrapText="1"/>
    </xf>
    <xf numFmtId="167" fontId="79" fillId="2" borderId="13" xfId="4" applyNumberFormat="1" applyFont="1" applyFill="1" applyBorder="1" applyAlignment="1">
      <alignment horizontal="left" vertical="center" wrapText="1"/>
    </xf>
    <xf numFmtId="0" fontId="76" fillId="0" borderId="76" xfId="4" applyFont="1" applyBorder="1" applyAlignment="1">
      <alignment horizontal="center" vertical="center"/>
    </xf>
    <xf numFmtId="0" fontId="76" fillId="0" borderId="9" xfId="4" applyFont="1" applyBorder="1" applyAlignment="1">
      <alignment horizontal="center" vertical="center"/>
    </xf>
    <xf numFmtId="0" fontId="76" fillId="0" borderId="74" xfId="4" applyFont="1" applyBorder="1" applyAlignment="1">
      <alignment horizontal="center" vertical="center"/>
    </xf>
    <xf numFmtId="0" fontId="76" fillId="0" borderId="13" xfId="4" applyFont="1" applyBorder="1" applyAlignment="1">
      <alignment horizontal="center" vertical="center"/>
    </xf>
    <xf numFmtId="14" fontId="77" fillId="0" borderId="9" xfId="4" applyNumberFormat="1" applyFont="1" applyBorder="1" applyAlignment="1">
      <alignment horizontal="center" vertical="center" wrapText="1"/>
    </xf>
    <xf numFmtId="14" fontId="77" fillId="0" borderId="13" xfId="4" applyNumberFormat="1" applyFont="1" applyBorder="1" applyAlignment="1">
      <alignment horizontal="center" vertical="center" wrapText="1"/>
    </xf>
    <xf numFmtId="0" fontId="86" fillId="0" borderId="70" xfId="4" applyFont="1" applyBorder="1" applyAlignment="1">
      <alignment horizontal="right" vertical="center"/>
    </xf>
    <xf numFmtId="0" fontId="74" fillId="0" borderId="88" xfId="4" applyFont="1" applyBorder="1" applyAlignment="1">
      <alignment horizontal="center" vertical="center" wrapText="1"/>
    </xf>
    <xf numFmtId="0" fontId="74" fillId="0" borderId="89" xfId="4" applyFont="1" applyBorder="1" applyAlignment="1">
      <alignment horizontal="center" vertical="center" wrapText="1"/>
    </xf>
    <xf numFmtId="0" fontId="75" fillId="0" borderId="88" xfId="4" applyFont="1" applyBorder="1" applyAlignment="1">
      <alignment horizontal="center" vertical="center"/>
    </xf>
    <xf numFmtId="0" fontId="75" fillId="0" borderId="90" xfId="4" applyFont="1" applyBorder="1" applyAlignment="1">
      <alignment horizontal="center" vertical="center"/>
    </xf>
    <xf numFmtId="183" fontId="86" fillId="0" borderId="0" xfId="4" applyNumberFormat="1" applyFont="1" applyAlignment="1">
      <alignment horizontal="left"/>
    </xf>
    <xf numFmtId="183" fontId="86" fillId="0" borderId="73" xfId="4" applyNumberFormat="1" applyFont="1" applyBorder="1" applyAlignment="1">
      <alignment horizontal="left"/>
    </xf>
    <xf numFmtId="0" fontId="74" fillId="0" borderId="91" xfId="4" applyFont="1" applyBorder="1" applyAlignment="1">
      <alignment horizontal="right" vertical="center" wrapText="1"/>
    </xf>
    <xf numFmtId="0" fontId="76" fillId="0" borderId="57" xfId="4" applyFont="1" applyBorder="1" applyAlignment="1">
      <alignment horizontal="center" vertical="center"/>
    </xf>
    <xf numFmtId="0" fontId="76" fillId="0" borderId="1" xfId="4" applyFont="1" applyBorder="1" applyAlignment="1">
      <alignment horizontal="center" vertical="center"/>
    </xf>
    <xf numFmtId="179" fontId="77" fillId="0" borderId="9" xfId="4" applyNumberFormat="1" applyFont="1" applyBorder="1" applyAlignment="1">
      <alignment horizontal="center" vertical="center" wrapText="1"/>
    </xf>
    <xf numFmtId="167" fontId="77" fillId="0" borderId="9" xfId="4" applyNumberFormat="1" applyFont="1" applyBorder="1" applyAlignment="1">
      <alignment horizontal="left" vertical="center" wrapText="1"/>
    </xf>
    <xf numFmtId="0" fontId="76" fillId="0" borderId="0" xfId="4" applyFont="1" applyAlignment="1">
      <alignment vertical="center" wrapText="1"/>
    </xf>
    <xf numFmtId="0" fontId="76" fillId="0" borderId="13" xfId="4" applyFont="1" applyBorder="1" applyAlignment="1">
      <alignment vertical="center" wrapText="1"/>
    </xf>
    <xf numFmtId="0" fontId="76" fillId="0" borderId="0" xfId="4" applyFont="1" applyAlignment="1">
      <alignment horizontal="center" vertical="center" wrapText="1"/>
    </xf>
    <xf numFmtId="0" fontId="76" fillId="0" borderId="73" xfId="4" applyFont="1" applyBorder="1" applyAlignment="1">
      <alignment horizontal="center" vertical="center" wrapText="1"/>
    </xf>
    <xf numFmtId="0" fontId="76" fillId="0" borderId="13" xfId="4" applyFont="1" applyBorder="1" applyAlignment="1">
      <alignment horizontal="center" vertical="center" wrapText="1"/>
    </xf>
    <xf numFmtId="0" fontId="76" fillId="0" borderId="75" xfId="4" applyFont="1" applyBorder="1" applyAlignment="1">
      <alignment horizontal="center" vertical="center" wrapText="1"/>
    </xf>
    <xf numFmtId="0" fontId="87" fillId="0" borderId="76" xfId="4" applyFont="1" applyBorder="1" applyAlignment="1">
      <alignment horizontal="center" vertical="center"/>
    </xf>
    <xf numFmtId="0" fontId="87" fillId="0" borderId="77" xfId="4" applyFont="1" applyBorder="1" applyAlignment="1">
      <alignment horizontal="center" vertical="center"/>
    </xf>
    <xf numFmtId="0" fontId="76" fillId="0" borderId="69" xfId="4" applyFont="1" applyBorder="1" applyAlignment="1">
      <alignment horizontal="distributed" vertical="center" wrapText="1"/>
    </xf>
    <xf numFmtId="0" fontId="76" fillId="0" borderId="72" xfId="4" applyFont="1" applyBorder="1" applyAlignment="1">
      <alignment horizontal="distributed" vertical="center" wrapText="1"/>
    </xf>
    <xf numFmtId="0" fontId="76" fillId="0" borderId="78" xfId="4" applyFont="1" applyBorder="1" applyAlignment="1">
      <alignment horizontal="distributed" vertical="center" wrapText="1"/>
    </xf>
    <xf numFmtId="0" fontId="76" fillId="0" borderId="70" xfId="4" applyFont="1" applyBorder="1" applyAlignment="1">
      <alignment horizontal="left" vertical="center" wrapText="1"/>
    </xf>
    <xf numFmtId="0" fontId="76" fillId="0" borderId="71" xfId="4" applyFont="1" applyBorder="1" applyAlignment="1">
      <alignment horizontal="left" vertical="center" wrapText="1"/>
    </xf>
    <xf numFmtId="0" fontId="76" fillId="0" borderId="72" xfId="4" applyFont="1" applyBorder="1" applyAlignment="1">
      <alignment horizontal="center" vertical="center" wrapText="1"/>
    </xf>
    <xf numFmtId="0" fontId="76" fillId="0" borderId="0" xfId="4" applyFont="1" applyAlignment="1">
      <alignment horizontal="left" vertical="center" wrapText="1"/>
    </xf>
    <xf numFmtId="0" fontId="76" fillId="0" borderId="73" xfId="4" applyFont="1" applyBorder="1" applyAlignment="1">
      <alignment horizontal="left" vertical="center" wrapText="1"/>
    </xf>
    <xf numFmtId="0" fontId="76" fillId="0" borderId="76" xfId="4" applyFont="1" applyBorder="1" applyAlignment="1">
      <alignment horizontal="center" vertical="center" wrapText="1"/>
    </xf>
    <xf numFmtId="0" fontId="76" fillId="0" borderId="8" xfId="4" applyFont="1" applyBorder="1" applyAlignment="1">
      <alignment horizontal="center" vertical="center" wrapText="1"/>
    </xf>
    <xf numFmtId="0" fontId="76" fillId="0" borderId="74" xfId="4" applyFont="1" applyBorder="1" applyAlignment="1">
      <alignment horizontal="center" vertical="center" wrapText="1"/>
    </xf>
    <xf numFmtId="0" fontId="76" fillId="0" borderId="14" xfId="4" applyFont="1" applyBorder="1" applyAlignment="1">
      <alignment horizontal="center" vertical="center" wrapText="1"/>
    </xf>
    <xf numFmtId="0" fontId="76" fillId="0" borderId="9" xfId="4" applyFont="1" applyBorder="1" applyAlignment="1">
      <alignment horizontal="left" vertical="center" wrapText="1"/>
    </xf>
    <xf numFmtId="0" fontId="76" fillId="0" borderId="13" xfId="4" applyFont="1" applyBorder="1" applyAlignment="1">
      <alignment horizontal="left" vertical="center" wrapText="1"/>
    </xf>
    <xf numFmtId="0" fontId="76" fillId="0" borderId="9" xfId="4" applyFont="1" applyBorder="1" applyAlignment="1">
      <alignment horizontal="center" vertical="center" wrapText="1"/>
    </xf>
    <xf numFmtId="0" fontId="76" fillId="0" borderId="77" xfId="4" applyFont="1" applyBorder="1" applyAlignment="1">
      <alignment horizontal="center" vertical="center" wrapText="1"/>
    </xf>
    <xf numFmtId="0" fontId="76" fillId="0" borderId="0" xfId="4" applyFont="1" applyAlignment="1">
      <alignment horizontal="distributed" vertical="center" wrapText="1"/>
    </xf>
    <xf numFmtId="0" fontId="102" fillId="0" borderId="9" xfId="4" applyFont="1" applyBorder="1" applyAlignment="1">
      <alignment horizontal="left" wrapText="1"/>
    </xf>
    <xf numFmtId="0" fontId="102" fillId="0" borderId="77" xfId="4" applyFont="1" applyBorder="1" applyAlignment="1">
      <alignment horizontal="left" wrapText="1"/>
    </xf>
    <xf numFmtId="0" fontId="102" fillId="0" borderId="13" xfId="4" applyFont="1" applyBorder="1" applyAlignment="1">
      <alignment horizontal="left" wrapText="1"/>
    </xf>
    <xf numFmtId="0" fontId="102" fillId="0" borderId="75" xfId="4" applyFont="1" applyBorder="1" applyAlignment="1">
      <alignment horizontal="left" wrapText="1"/>
    </xf>
    <xf numFmtId="0" fontId="76" fillId="0" borderId="0" xfId="4" applyFont="1" applyAlignment="1">
      <alignment vertical="center"/>
    </xf>
    <xf numFmtId="0" fontId="76" fillId="0" borderId="73" xfId="4" applyFont="1" applyBorder="1" applyAlignment="1">
      <alignment vertical="center"/>
    </xf>
    <xf numFmtId="0" fontId="76" fillId="0" borderId="9" xfId="4" applyFont="1" applyBorder="1" applyAlignment="1">
      <alignment horizontal="center" vertical="center" shrinkToFit="1"/>
    </xf>
    <xf numFmtId="0" fontId="76" fillId="0" borderId="92" xfId="4" applyFont="1" applyBorder="1" applyAlignment="1">
      <alignment horizontal="center" vertical="center" shrinkToFit="1"/>
    </xf>
    <xf numFmtId="0" fontId="78" fillId="0" borderId="0" xfId="4" applyFont="1" applyAlignment="1">
      <alignment vertical="center" shrinkToFit="1"/>
    </xf>
    <xf numFmtId="0" fontId="78" fillId="0" borderId="73" xfId="4" applyFont="1" applyBorder="1" applyAlignment="1">
      <alignment vertical="center" shrinkToFit="1"/>
    </xf>
    <xf numFmtId="0" fontId="78" fillId="0" borderId="0" xfId="4" applyFont="1" applyAlignment="1">
      <alignment vertical="center" wrapText="1"/>
    </xf>
    <xf numFmtId="0" fontId="78" fillId="0" borderId="73" xfId="4" applyFont="1" applyBorder="1" applyAlignment="1">
      <alignment vertical="center" wrapText="1"/>
    </xf>
    <xf numFmtId="0" fontId="76" fillId="0" borderId="94" xfId="4" applyFont="1" applyBorder="1" applyAlignment="1">
      <alignment horizontal="center" vertical="center" wrapText="1"/>
    </xf>
    <xf numFmtId="0" fontId="76" fillId="0" borderId="79" xfId="4" applyFont="1" applyBorder="1" applyAlignment="1">
      <alignment horizontal="left" vertical="center" wrapText="1"/>
    </xf>
    <xf numFmtId="0" fontId="76" fillId="0" borderId="80" xfId="4" applyFont="1" applyBorder="1" applyAlignment="1">
      <alignment horizontal="left" vertical="center" wrapText="1"/>
    </xf>
    <xf numFmtId="0" fontId="78" fillId="0" borderId="76" xfId="4" applyFont="1" applyBorder="1" applyAlignment="1">
      <alignment horizontal="center" vertical="center" wrapText="1"/>
    </xf>
    <xf numFmtId="0" fontId="78" fillId="0" borderId="9" xfId="4" applyFont="1" applyBorder="1" applyAlignment="1">
      <alignment horizontal="center" vertical="center" wrapText="1"/>
    </xf>
    <xf numFmtId="0" fontId="78" fillId="0" borderId="72" xfId="4" applyFont="1" applyBorder="1" applyAlignment="1">
      <alignment horizontal="center" vertical="center" wrapText="1"/>
    </xf>
    <xf numFmtId="0" fontId="78" fillId="0" borderId="0" xfId="4" applyFont="1" applyAlignment="1">
      <alignment horizontal="center" vertical="center" wrapText="1"/>
    </xf>
    <xf numFmtId="0" fontId="78" fillId="0" borderId="13" xfId="4" applyFont="1" applyBorder="1" applyAlignment="1">
      <alignment horizontal="center" vertical="center" wrapText="1"/>
    </xf>
    <xf numFmtId="0" fontId="78" fillId="0" borderId="70" xfId="4" applyFont="1" applyBorder="1" applyAlignment="1">
      <alignment vertical="center" shrinkToFit="1"/>
    </xf>
    <xf numFmtId="0" fontId="78" fillId="0" borderId="71" xfId="4" applyFont="1" applyBorder="1" applyAlignment="1">
      <alignment vertical="center" shrinkToFit="1"/>
    </xf>
    <xf numFmtId="0" fontId="76" fillId="0" borderId="11" xfId="4" applyFont="1" applyBorder="1" applyAlignment="1">
      <alignment horizontal="center" vertical="center" wrapText="1"/>
    </xf>
    <xf numFmtId="0" fontId="76" fillId="0" borderId="92" xfId="4" applyFont="1" applyBorder="1" applyAlignment="1">
      <alignment horizontal="center" vertical="center" wrapText="1"/>
    </xf>
    <xf numFmtId="0" fontId="80" fillId="0" borderId="9" xfId="4" applyFont="1" applyBorder="1" applyAlignment="1">
      <alignment vertical="center" wrapText="1"/>
    </xf>
    <xf numFmtId="0" fontId="80" fillId="0" borderId="77" xfId="4" applyFont="1" applyBorder="1" applyAlignment="1">
      <alignment vertical="center" wrapText="1"/>
    </xf>
    <xf numFmtId="0" fontId="80" fillId="0" borderId="0" xfId="4" applyFont="1" applyAlignment="1">
      <alignment vertical="center" wrapText="1"/>
    </xf>
    <xf numFmtId="0" fontId="80" fillId="0" borderId="73" xfId="4" applyFont="1" applyBorder="1" applyAlignment="1">
      <alignment vertical="center" wrapText="1"/>
    </xf>
    <xf numFmtId="0" fontId="80" fillId="0" borderId="13" xfId="4" applyFont="1" applyBorder="1" applyAlignment="1">
      <alignment vertical="center" wrapText="1"/>
    </xf>
    <xf numFmtId="0" fontId="80" fillId="0" borderId="75" xfId="4" applyFont="1" applyBorder="1" applyAlignment="1">
      <alignment vertical="center" wrapText="1"/>
    </xf>
    <xf numFmtId="0" fontId="76" fillId="0" borderId="73" xfId="4" applyFont="1" applyBorder="1" applyAlignment="1">
      <alignment vertical="center" wrapText="1"/>
    </xf>
    <xf numFmtId="0" fontId="76" fillId="0" borderId="92" xfId="4" applyFont="1" applyBorder="1" applyAlignment="1">
      <alignment horizontal="left" vertical="center" wrapText="1"/>
    </xf>
    <xf numFmtId="0" fontId="76" fillId="0" borderId="96" xfId="4" applyFont="1" applyBorder="1" applyAlignment="1">
      <alignment horizontal="left" vertical="center" wrapText="1"/>
    </xf>
    <xf numFmtId="0" fontId="76" fillId="0" borderId="94" xfId="4" applyFont="1" applyBorder="1" applyAlignment="1">
      <alignment vertical="center" wrapText="1"/>
    </xf>
    <xf numFmtId="0" fontId="76" fillId="0" borderId="97" xfId="4" applyFont="1" applyBorder="1" applyAlignment="1">
      <alignment vertical="center" wrapText="1"/>
    </xf>
    <xf numFmtId="0" fontId="76" fillId="0" borderId="75" xfId="4" applyFont="1" applyBorder="1" applyAlignment="1">
      <alignment vertical="center" wrapText="1"/>
    </xf>
    <xf numFmtId="0" fontId="76" fillId="0" borderId="75" xfId="4" applyFont="1" applyBorder="1" applyAlignment="1">
      <alignment horizontal="left" vertical="center" wrapText="1"/>
    </xf>
    <xf numFmtId="0" fontId="81" fillId="0" borderId="9" xfId="4" applyFont="1" applyBorder="1" applyAlignment="1">
      <alignment vertical="center" wrapText="1"/>
    </xf>
    <xf numFmtId="0" fontId="81" fillId="0" borderId="77" xfId="4" applyFont="1" applyBorder="1" applyAlignment="1">
      <alignment vertical="center" wrapText="1"/>
    </xf>
    <xf numFmtId="0" fontId="81" fillId="0" borderId="0" xfId="4" applyFont="1" applyAlignment="1">
      <alignment vertical="center" wrapText="1"/>
    </xf>
    <xf numFmtId="0" fontId="81" fillId="0" borderId="73" xfId="4" applyFont="1" applyBorder="1" applyAlignment="1">
      <alignment vertical="center" wrapText="1"/>
    </xf>
    <xf numFmtId="0" fontId="81" fillId="0" borderId="13" xfId="4" applyFont="1" applyBorder="1" applyAlignment="1">
      <alignment vertical="center" wrapText="1"/>
    </xf>
    <xf numFmtId="0" fontId="81" fillId="0" borderId="75" xfId="4" applyFont="1" applyBorder="1" applyAlignment="1">
      <alignment vertical="center" wrapText="1"/>
    </xf>
    <xf numFmtId="0" fontId="76" fillId="0" borderId="9" xfId="4" applyFont="1" applyBorder="1" applyAlignment="1">
      <alignment vertical="center" wrapText="1"/>
    </xf>
    <xf numFmtId="0" fontId="76" fillId="0" borderId="77" xfId="4" applyFont="1" applyBorder="1" applyAlignment="1">
      <alignment vertical="center" wrapText="1"/>
    </xf>
    <xf numFmtId="0" fontId="78" fillId="0" borderId="9" xfId="4" applyFont="1" applyBorder="1" applyAlignment="1">
      <alignment vertical="center" wrapText="1"/>
    </xf>
    <xf numFmtId="0" fontId="78" fillId="0" borderId="77" xfId="4" applyFont="1" applyBorder="1" applyAlignment="1">
      <alignment vertical="center" wrapText="1"/>
    </xf>
    <xf numFmtId="0" fontId="78" fillId="0" borderId="13" xfId="4" applyFont="1" applyBorder="1" applyAlignment="1">
      <alignment vertical="center" wrapText="1"/>
    </xf>
    <xf numFmtId="0" fontId="78" fillId="0" borderId="75" xfId="4" applyFont="1" applyBorder="1" applyAlignment="1">
      <alignment vertical="center" wrapText="1"/>
    </xf>
    <xf numFmtId="0" fontId="74" fillId="0" borderId="76" xfId="4" applyFont="1" applyBorder="1" applyAlignment="1">
      <alignment horizontal="center" vertical="center" wrapText="1"/>
    </xf>
    <xf numFmtId="0" fontId="74" fillId="0" borderId="9" xfId="4" applyFont="1" applyBorder="1" applyAlignment="1">
      <alignment horizontal="center" vertical="center" wrapText="1"/>
    </xf>
    <xf numFmtId="0" fontId="74" fillId="0" borderId="72" xfId="4" applyFont="1" applyBorder="1" applyAlignment="1">
      <alignment horizontal="center" vertical="center" wrapText="1"/>
    </xf>
    <xf numFmtId="0" fontId="74" fillId="0" borderId="0" xfId="4" applyFont="1" applyAlignment="1">
      <alignment horizontal="center" vertical="center" wrapText="1"/>
    </xf>
    <xf numFmtId="0" fontId="74" fillId="0" borderId="74" xfId="4" applyFont="1" applyBorder="1" applyAlignment="1">
      <alignment horizontal="center" vertical="center" wrapText="1"/>
    </xf>
    <xf numFmtId="0" fontId="74" fillId="0" borderId="13" xfId="4" applyFont="1" applyBorder="1" applyAlignment="1">
      <alignment horizontal="center" vertical="center" wrapText="1"/>
    </xf>
    <xf numFmtId="0" fontId="76" fillId="0" borderId="84" xfId="4" applyFont="1" applyBorder="1" applyAlignment="1">
      <alignment horizontal="center" vertical="center" wrapText="1"/>
    </xf>
    <xf numFmtId="0" fontId="76" fillId="0" borderId="6" xfId="4" applyFont="1" applyBorder="1" applyAlignment="1">
      <alignment horizontal="center" vertical="center" wrapText="1"/>
    </xf>
    <xf numFmtId="0" fontId="76" fillId="0" borderId="5" xfId="4" applyFont="1" applyBorder="1" applyAlignment="1">
      <alignment vertical="center" wrapText="1"/>
    </xf>
    <xf numFmtId="0" fontId="76" fillId="0" borderId="85" xfId="4" applyFont="1" applyBorder="1" applyAlignment="1">
      <alignment vertical="center" wrapText="1"/>
    </xf>
    <xf numFmtId="0" fontId="76" fillId="0" borderId="9" xfId="4" applyFont="1" applyBorder="1" applyAlignment="1">
      <alignment horizontal="left" vertical="top" wrapText="1"/>
    </xf>
    <xf numFmtId="0" fontId="76" fillId="0" borderId="9" xfId="4" applyFont="1" applyBorder="1" applyAlignment="1">
      <alignment horizontal="left" vertical="top"/>
    </xf>
    <xf numFmtId="0" fontId="76" fillId="0" borderId="77" xfId="4" applyFont="1" applyBorder="1" applyAlignment="1">
      <alignment horizontal="left" vertical="top"/>
    </xf>
    <xf numFmtId="0" fontId="76" fillId="0" borderId="78" xfId="4" applyFont="1" applyBorder="1" applyAlignment="1">
      <alignment horizontal="center" vertical="center" wrapText="1"/>
    </xf>
    <xf numFmtId="0" fontId="76" fillId="0" borderId="79" xfId="4" applyFont="1" applyBorder="1" applyAlignment="1">
      <alignment horizontal="center" vertical="center" wrapText="1"/>
    </xf>
    <xf numFmtId="0" fontId="78" fillId="0" borderId="8" xfId="4" applyFont="1" applyBorder="1" applyAlignment="1">
      <alignment horizontal="center" vertical="center" wrapText="1"/>
    </xf>
    <xf numFmtId="0" fontId="78" fillId="0" borderId="11" xfId="4" applyFont="1" applyBorder="1" applyAlignment="1">
      <alignment horizontal="center" vertical="center" wrapText="1"/>
    </xf>
    <xf numFmtId="0" fontId="78" fillId="0" borderId="14" xfId="4" applyFont="1" applyBorder="1" applyAlignment="1">
      <alignment horizontal="center" vertical="center" wrapText="1"/>
    </xf>
    <xf numFmtId="0" fontId="74" fillId="0" borderId="76" xfId="4" applyFont="1" applyBorder="1" applyAlignment="1">
      <alignment horizontal="center" vertical="center"/>
    </xf>
    <xf numFmtId="0" fontId="74" fillId="0" borderId="9" xfId="4" applyFont="1" applyBorder="1" applyAlignment="1">
      <alignment horizontal="center" vertical="center"/>
    </xf>
    <xf numFmtId="0" fontId="74" fillId="0" borderId="72" xfId="4" applyFont="1" applyBorder="1" applyAlignment="1">
      <alignment horizontal="center" vertical="center"/>
    </xf>
    <xf numFmtId="0" fontId="74" fillId="0" borderId="0" xfId="4" applyFont="1" applyAlignment="1">
      <alignment horizontal="center" vertical="center"/>
    </xf>
    <xf numFmtId="0" fontId="78" fillId="0" borderId="0" xfId="4" applyFont="1" applyAlignment="1">
      <alignment vertical="center"/>
    </xf>
    <xf numFmtId="0" fontId="78" fillId="0" borderId="73" xfId="4" applyFont="1" applyBorder="1" applyAlignment="1">
      <alignment vertical="center"/>
    </xf>
    <xf numFmtId="0" fontId="78" fillId="0" borderId="0" xfId="4" applyFont="1"/>
    <xf numFmtId="0" fontId="78" fillId="0" borderId="73" xfId="4" applyFont="1" applyBorder="1"/>
    <xf numFmtId="0" fontId="76" fillId="0" borderId="9" xfId="4" applyFont="1" applyBorder="1" applyAlignment="1">
      <alignment vertical="center"/>
    </xf>
    <xf numFmtId="0" fontId="76" fillId="0" borderId="77" xfId="4" applyFont="1" applyBorder="1" applyAlignment="1">
      <alignment vertical="center"/>
    </xf>
    <xf numFmtId="0" fontId="78" fillId="0" borderId="5" xfId="4" applyFont="1" applyBorder="1" applyAlignment="1">
      <alignment vertical="center" wrapText="1"/>
    </xf>
    <xf numFmtId="0" fontId="78" fillId="0" borderId="85" xfId="4" applyFont="1" applyBorder="1" applyAlignment="1">
      <alignment vertical="center" wrapText="1"/>
    </xf>
    <xf numFmtId="14" fontId="94" fillId="0" borderId="0" xfId="4" applyNumberFormat="1" applyFont="1" applyAlignment="1">
      <alignment horizontal="left" vertical="center" wrapText="1"/>
    </xf>
    <xf numFmtId="0" fontId="94" fillId="0" borderId="0" xfId="4" applyFont="1" applyAlignment="1">
      <alignment horizontal="left" vertical="center" wrapText="1"/>
    </xf>
    <xf numFmtId="0" fontId="82" fillId="0" borderId="9" xfId="4" applyFont="1" applyBorder="1" applyAlignment="1">
      <alignment vertical="center" wrapText="1"/>
    </xf>
    <xf numFmtId="0" fontId="82" fillId="0" borderId="77" xfId="4" applyFont="1" applyBorder="1" applyAlignment="1">
      <alignment vertical="center" wrapText="1"/>
    </xf>
    <xf numFmtId="0" fontId="82" fillId="0" borderId="13" xfId="4" applyFont="1" applyBorder="1" applyAlignment="1">
      <alignment vertical="center" wrapText="1"/>
    </xf>
    <xf numFmtId="0" fontId="82" fillId="0" borderId="75" xfId="4" applyFont="1" applyBorder="1" applyAlignment="1">
      <alignment vertical="center" wrapText="1"/>
    </xf>
    <xf numFmtId="0" fontId="76" fillId="0" borderId="79" xfId="4" applyFont="1" applyBorder="1" applyAlignment="1">
      <alignment vertical="center"/>
    </xf>
    <xf numFmtId="0" fontId="76" fillId="0" borderId="80" xfId="4" applyFont="1" applyBorder="1" applyAlignment="1">
      <alignment vertical="center"/>
    </xf>
    <xf numFmtId="0" fontId="78" fillId="0" borderId="79" xfId="4" applyFont="1" applyBorder="1" applyAlignment="1">
      <alignment vertical="center" wrapText="1"/>
    </xf>
    <xf numFmtId="0" fontId="78" fillId="0" borderId="79" xfId="4" applyFont="1" applyBorder="1" applyAlignment="1">
      <alignment horizontal="left" vertical="center" wrapText="1"/>
    </xf>
    <xf numFmtId="0" fontId="78" fillId="0" borderId="80" xfId="4" applyFont="1" applyBorder="1" applyAlignment="1">
      <alignment horizontal="left" vertical="center" wrapText="1"/>
    </xf>
    <xf numFmtId="0" fontId="78" fillId="0" borderId="0" xfId="4" applyFont="1" applyAlignment="1">
      <alignment horizontal="left" wrapText="1"/>
    </xf>
    <xf numFmtId="0" fontId="39" fillId="0" borderId="0" xfId="0" applyFont="1" applyAlignment="1">
      <alignment horizontal="center" vertical="center"/>
    </xf>
    <xf numFmtId="0" fontId="13" fillId="0" borderId="0" xfId="0" applyFont="1" applyAlignment="1">
      <alignment horizontal="left" vertical="center"/>
    </xf>
    <xf numFmtId="0" fontId="12" fillId="0" borderId="13" xfId="0" applyFont="1" applyBorder="1" applyAlignment="1">
      <alignment horizontal="left" vertical="center"/>
    </xf>
    <xf numFmtId="0" fontId="7" fillId="2" borderId="6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63" xfId="0" applyFont="1" applyFill="1" applyBorder="1" applyAlignment="1">
      <alignment horizontal="center" vertical="center"/>
    </xf>
    <xf numFmtId="0" fontId="7" fillId="2" borderId="57"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58" xfId="0" applyFont="1" applyFill="1" applyBorder="1" applyAlignment="1">
      <alignment horizontal="center" vertical="center"/>
    </xf>
    <xf numFmtId="0" fontId="7" fillId="0" borderId="64" xfId="0" applyFont="1" applyBorder="1" applyAlignment="1">
      <alignment horizontal="center" vertical="center"/>
    </xf>
    <xf numFmtId="0" fontId="7" fillId="0" borderId="65" xfId="0" applyFont="1" applyBorder="1" applyAlignment="1">
      <alignment horizontal="center" vertical="center"/>
    </xf>
    <xf numFmtId="0" fontId="7" fillId="0" borderId="66" xfId="0" applyFont="1" applyBorder="1" applyAlignment="1">
      <alignment horizontal="center" vertical="center"/>
    </xf>
    <xf numFmtId="0" fontId="12" fillId="0" borderId="0" xfId="0" applyFont="1" applyAlignment="1">
      <alignment horizontal="left" vertical="center"/>
    </xf>
    <xf numFmtId="167" fontId="12" fillId="0" borderId="4" xfId="0" applyNumberFormat="1" applyFont="1" applyBorder="1" applyAlignment="1">
      <alignment horizontal="left" vertical="center" shrinkToFit="1"/>
    </xf>
    <xf numFmtId="167" fontId="12" fillId="0" borderId="5" xfId="0" applyNumberFormat="1" applyFont="1" applyBorder="1" applyAlignment="1">
      <alignment horizontal="left" vertical="center" shrinkToFit="1"/>
    </xf>
    <xf numFmtId="167" fontId="12" fillId="0" borderId="6" xfId="0" applyNumberFormat="1" applyFont="1" applyBorder="1" applyAlignment="1">
      <alignment horizontal="left" vertical="center" shrinkToFit="1"/>
    </xf>
    <xf numFmtId="0" fontId="7" fillId="2" borderId="59" xfId="0" applyFont="1" applyFill="1" applyBorder="1" applyAlignment="1">
      <alignment horizontal="center" vertical="center"/>
    </xf>
    <xf numFmtId="0" fontId="7" fillId="2" borderId="60" xfId="0" applyFont="1" applyFill="1" applyBorder="1" applyAlignment="1">
      <alignment horizontal="center" vertical="center"/>
    </xf>
    <xf numFmtId="0" fontId="7" fillId="2" borderId="61" xfId="0" applyFont="1" applyFill="1" applyBorder="1" applyAlignment="1">
      <alignment horizontal="center" vertical="center"/>
    </xf>
    <xf numFmtId="0" fontId="12" fillId="0" borderId="6" xfId="0" applyFont="1" applyBorder="1" applyAlignment="1">
      <alignment horizontal="left" vertical="center" wrapText="1"/>
    </xf>
    <xf numFmtId="0" fontId="12" fillId="0" borderId="1" xfId="0" applyFont="1" applyBorder="1" applyAlignment="1">
      <alignment horizontal="left" vertical="center" wrapText="1"/>
    </xf>
    <xf numFmtId="0" fontId="12" fillId="0" borderId="8" xfId="0" applyFont="1" applyBorder="1" applyAlignment="1">
      <alignment horizontal="left" vertical="center" wrapText="1"/>
    </xf>
    <xf numFmtId="0" fontId="12" fillId="0" borderId="2" xfId="0" applyFont="1" applyBorder="1" applyAlignment="1">
      <alignment horizontal="left" vertical="center" wrapText="1"/>
    </xf>
    <xf numFmtId="0" fontId="12" fillId="0" borderId="7" xfId="0" applyFont="1" applyBorder="1" applyAlignment="1">
      <alignment horizontal="right" vertical="center"/>
    </xf>
    <xf numFmtId="0" fontId="12" fillId="0" borderId="9" xfId="0" applyFont="1" applyBorder="1" applyAlignment="1">
      <alignment horizontal="right" vertical="center"/>
    </xf>
    <xf numFmtId="166" fontId="12" fillId="0" borderId="9" xfId="0" applyNumberFormat="1" applyFont="1" applyBorder="1" applyAlignment="1">
      <alignment horizontal="left" vertical="center"/>
    </xf>
    <xf numFmtId="0" fontId="12" fillId="0" borderId="5" xfId="0" applyFont="1" applyBorder="1" applyAlignment="1">
      <alignment horizontal="left"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2" fillId="0" borderId="4" xfId="0" applyFont="1" applyBorder="1" applyAlignment="1">
      <alignment horizontal="center" vertical="center"/>
    </xf>
    <xf numFmtId="167" fontId="12" fillId="0" borderId="5" xfId="0" applyNumberFormat="1" applyFont="1" applyBorder="1" applyAlignment="1">
      <alignment horizontal="left" vertical="center"/>
    </xf>
    <xf numFmtId="0" fontId="14" fillId="0" borderId="0" xfId="0" applyFont="1" applyAlignment="1">
      <alignment horizontal="left"/>
    </xf>
    <xf numFmtId="0" fontId="12" fillId="0" borderId="1" xfId="0" applyFont="1" applyBorder="1" applyAlignment="1">
      <alignment horizontal="left" vertical="center"/>
    </xf>
    <xf numFmtId="167" fontId="112" fillId="12" borderId="0" xfId="0" applyNumberFormat="1" applyFont="1" applyFill="1" applyAlignment="1">
      <alignment horizontal="center" vertical="center"/>
    </xf>
    <xf numFmtId="0" fontId="112" fillId="12" borderId="0" xfId="0" applyFont="1" applyFill="1" applyAlignment="1">
      <alignment horizontal="center" vertical="center"/>
    </xf>
    <xf numFmtId="0" fontId="13" fillId="0" borderId="0" xfId="0" applyFont="1" applyAlignment="1">
      <alignment horizontal="center" vertical="center"/>
    </xf>
    <xf numFmtId="0" fontId="12" fillId="0" borderId="5" xfId="0" applyFont="1" applyBorder="1" applyAlignment="1">
      <alignment horizontal="left" vertical="center" shrinkToFit="1"/>
    </xf>
    <xf numFmtId="0" fontId="11" fillId="0" borderId="1" xfId="0" applyFont="1" applyBorder="1" applyAlignment="1">
      <alignment horizontal="center" vertical="center"/>
    </xf>
    <xf numFmtId="0" fontId="11" fillId="0" borderId="1" xfId="0" applyFont="1" applyBorder="1" applyAlignment="1">
      <alignment horizontal="left" vertical="center" wrapText="1"/>
    </xf>
    <xf numFmtId="0" fontId="11" fillId="0" borderId="4" xfId="0" applyFont="1" applyBorder="1" applyAlignment="1">
      <alignment horizontal="center" vertical="center"/>
    </xf>
    <xf numFmtId="0" fontId="11" fillId="0" borderId="6" xfId="0" applyFont="1" applyBorder="1" applyAlignment="1">
      <alignment horizontal="center" vertical="center"/>
    </xf>
    <xf numFmtId="0" fontId="11" fillId="0" borderId="6" xfId="0" applyFont="1" applyBorder="1" applyAlignment="1">
      <alignment horizontal="center" vertical="center" wrapText="1"/>
    </xf>
    <xf numFmtId="0" fontId="11" fillId="0" borderId="1" xfId="0" applyFont="1" applyBorder="1" applyAlignment="1">
      <alignment horizontal="center" vertical="center" wrapText="1"/>
    </xf>
    <xf numFmtId="0" fontId="12" fillId="0" borderId="4" xfId="0" applyFont="1" applyBorder="1" applyAlignment="1">
      <alignment horizontal="center" vertical="center" shrinkToFit="1"/>
    </xf>
    <xf numFmtId="0" fontId="12" fillId="0" borderId="5" xfId="0" applyFont="1" applyBorder="1" applyAlignment="1">
      <alignment horizontal="center" vertical="center" shrinkToFit="1"/>
    </xf>
    <xf numFmtId="0" fontId="12" fillId="0" borderId="6" xfId="0" applyFont="1" applyBorder="1" applyAlignment="1">
      <alignment horizontal="center" vertical="center" shrinkToFit="1"/>
    </xf>
    <xf numFmtId="0" fontId="10" fillId="0" borderId="1" xfId="0" applyFont="1" applyBorder="1" applyAlignment="1">
      <alignment horizontal="center" vertical="center" textRotation="255" wrapText="1"/>
    </xf>
    <xf numFmtId="0" fontId="12" fillId="0" borderId="12" xfId="0" applyFont="1" applyBorder="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left" vertical="center"/>
    </xf>
    <xf numFmtId="0" fontId="10" fillId="0" borderId="1" xfId="0" applyFont="1" applyBorder="1" applyAlignment="1">
      <alignment horizontal="center" vertical="center"/>
    </xf>
    <xf numFmtId="0" fontId="16" fillId="0" borderId="5" xfId="0" applyFont="1" applyBorder="1" applyAlignment="1">
      <alignment horizontal="left" vertical="center"/>
    </xf>
    <xf numFmtId="0" fontId="11" fillId="0" borderId="7" xfId="0" applyFont="1" applyBorder="1" applyAlignment="1">
      <alignment horizontal="center" vertical="center" wrapText="1"/>
    </xf>
    <xf numFmtId="0" fontId="11" fillId="0" borderId="9" xfId="0" applyFont="1" applyBorder="1" applyAlignment="1">
      <alignment horizontal="center" vertical="center" wrapText="1"/>
    </xf>
    <xf numFmtId="0" fontId="11" fillId="0" borderId="8" xfId="0" applyFont="1" applyBorder="1" applyAlignment="1">
      <alignment horizontal="center" vertical="center" wrapText="1"/>
    </xf>
    <xf numFmtId="0" fontId="11" fillId="0" borderId="10" xfId="0" applyFont="1" applyBorder="1" applyAlignment="1">
      <alignment horizontal="center" vertical="center" wrapText="1"/>
    </xf>
    <xf numFmtId="0" fontId="11" fillId="0" borderId="0" xfId="0" applyFont="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3" xfId="0" applyFont="1" applyBorder="1" applyAlignment="1">
      <alignment horizontal="center" vertical="center" wrapText="1"/>
    </xf>
    <xf numFmtId="0" fontId="11" fillId="0" borderId="14" xfId="0" applyFont="1" applyBorder="1" applyAlignment="1">
      <alignment horizontal="center" vertical="center" wrapText="1"/>
    </xf>
    <xf numFmtId="0" fontId="12" fillId="0" borderId="10" xfId="0" applyFont="1" applyBorder="1" applyAlignment="1">
      <alignment horizontal="left" vertical="center" wrapText="1"/>
    </xf>
    <xf numFmtId="0" fontId="12" fillId="0" borderId="0" xfId="0" applyFont="1" applyAlignment="1">
      <alignment horizontal="left" vertical="center" wrapText="1"/>
    </xf>
    <xf numFmtId="0" fontId="12" fillId="0" borderId="11" xfId="0" applyFont="1" applyBorder="1" applyAlignment="1">
      <alignment horizontal="left" vertical="center" wrapText="1"/>
    </xf>
    <xf numFmtId="0" fontId="12" fillId="0" borderId="12" xfId="0" applyFont="1" applyBorder="1" applyAlignment="1">
      <alignment horizontal="left" vertical="center" wrapText="1"/>
    </xf>
    <xf numFmtId="0" fontId="12" fillId="0" borderId="13" xfId="0" applyFont="1" applyBorder="1" applyAlignment="1">
      <alignment horizontal="left" vertical="center" wrapText="1"/>
    </xf>
    <xf numFmtId="0" fontId="12" fillId="0" borderId="14" xfId="0" applyFont="1" applyBorder="1" applyAlignment="1">
      <alignment horizontal="left" vertical="center" wrapText="1"/>
    </xf>
    <xf numFmtId="0" fontId="12" fillId="0" borderId="7" xfId="0" applyFont="1" applyBorder="1" applyAlignment="1">
      <alignment horizontal="left" vertical="center" wrapText="1"/>
    </xf>
    <xf numFmtId="0" fontId="12" fillId="0" borderId="9" xfId="0" applyFont="1" applyBorder="1" applyAlignment="1">
      <alignment horizontal="left" vertical="center" wrapText="1"/>
    </xf>
    <xf numFmtId="0" fontId="11" fillId="0" borderId="7" xfId="0" applyFont="1" applyBorder="1" applyAlignment="1">
      <alignment horizontal="center" vertical="center"/>
    </xf>
    <xf numFmtId="0" fontId="11" fillId="0" borderId="9" xfId="0" applyFont="1" applyBorder="1" applyAlignment="1">
      <alignment horizontal="center" vertical="center"/>
    </xf>
    <xf numFmtId="0" fontId="11" fillId="0" borderId="8" xfId="0" applyFont="1" applyBorder="1" applyAlignment="1">
      <alignment horizontal="center" vertical="center"/>
    </xf>
    <xf numFmtId="0" fontId="11" fillId="0" borderId="10" xfId="0" applyFont="1" applyBorder="1" applyAlignment="1">
      <alignment horizontal="center" vertical="center"/>
    </xf>
    <xf numFmtId="0" fontId="11" fillId="0" borderId="0" xfId="0" applyFont="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2" fillId="0" borderId="7"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left" vertical="center"/>
    </xf>
    <xf numFmtId="0" fontId="12" fillId="0" borderId="4" xfId="0" applyFont="1" applyBorder="1" applyAlignment="1">
      <alignment horizontal="left" vertical="center" shrinkToFit="1"/>
    </xf>
    <xf numFmtId="0" fontId="12" fillId="0" borderId="6" xfId="0" applyFont="1" applyBorder="1" applyAlignment="1">
      <alignment horizontal="left" vertical="center" shrinkToFit="1"/>
    </xf>
    <xf numFmtId="0" fontId="9" fillId="0" borderId="7" xfId="0" applyFont="1" applyBorder="1" applyAlignment="1">
      <alignment vertical="top" wrapText="1"/>
    </xf>
    <xf numFmtId="0" fontId="9" fillId="0" borderId="9" xfId="0" applyFont="1" applyBorder="1" applyAlignment="1">
      <alignment vertical="top" wrapText="1"/>
    </xf>
    <xf numFmtId="0" fontId="9" fillId="0" borderId="8" xfId="0" applyFont="1" applyBorder="1" applyAlignment="1">
      <alignment vertical="top" wrapText="1"/>
    </xf>
    <xf numFmtId="0" fontId="9" fillId="0" borderId="10" xfId="0" applyFont="1" applyBorder="1" applyAlignment="1">
      <alignment vertical="top" wrapText="1"/>
    </xf>
    <xf numFmtId="0" fontId="9" fillId="0" borderId="0" xfId="0" applyFont="1" applyAlignment="1">
      <alignment vertical="top" wrapText="1"/>
    </xf>
    <xf numFmtId="0" fontId="9" fillId="0" borderId="11" xfId="0" applyFont="1" applyBorder="1" applyAlignment="1">
      <alignment vertical="top" wrapText="1"/>
    </xf>
    <xf numFmtId="0" fontId="9" fillId="0" borderId="10" xfId="0" applyFont="1" applyBorder="1" applyAlignment="1">
      <alignment horizontal="left" vertical="center" wrapText="1"/>
    </xf>
    <xf numFmtId="0" fontId="9" fillId="0" borderId="0" xfId="0" applyFont="1" applyAlignment="1">
      <alignment horizontal="left" vertical="center" wrapText="1"/>
    </xf>
    <xf numFmtId="0" fontId="9" fillId="0" borderId="11" xfId="0" applyFont="1" applyBorder="1" applyAlignment="1">
      <alignment horizontal="left" vertical="center" wrapText="1"/>
    </xf>
    <xf numFmtId="0" fontId="9" fillId="0" borderId="12" xfId="0" applyFont="1" applyBorder="1" applyAlignment="1">
      <alignment horizontal="left" vertical="center" wrapText="1"/>
    </xf>
    <xf numFmtId="0" fontId="9" fillId="0" borderId="13" xfId="0" applyFont="1" applyBorder="1" applyAlignment="1">
      <alignment horizontal="left" vertical="center" wrapText="1"/>
    </xf>
    <xf numFmtId="0" fontId="9" fillId="0" borderId="14" xfId="0" applyFont="1" applyBorder="1" applyAlignment="1">
      <alignment horizontal="left" vertical="center" wrapText="1"/>
    </xf>
    <xf numFmtId="0" fontId="11" fillId="0" borderId="3" xfId="0" applyFont="1" applyBorder="1" applyAlignment="1">
      <alignment horizontal="left" vertical="center" wrapText="1"/>
    </xf>
    <xf numFmtId="0" fontId="34" fillId="0" borderId="0" xfId="0" applyFont="1" applyAlignment="1">
      <alignment horizontal="left" vertical="center" wrapText="1" shrinkToFit="1"/>
    </xf>
    <xf numFmtId="0" fontId="9" fillId="0" borderId="7" xfId="0" applyFont="1" applyBorder="1" applyAlignment="1">
      <alignment horizontal="left" vertical="center" wrapText="1" readingOrder="1"/>
    </xf>
    <xf numFmtId="0" fontId="0" fillId="0" borderId="9" xfId="0" applyBorder="1" applyAlignment="1">
      <alignment horizontal="left" vertical="center" wrapText="1" readingOrder="1"/>
    </xf>
    <xf numFmtId="0" fontId="0" fillId="0" borderId="8" xfId="0" applyBorder="1" applyAlignment="1">
      <alignment horizontal="left" vertical="center" wrapText="1" readingOrder="1"/>
    </xf>
    <xf numFmtId="0" fontId="0" fillId="0" borderId="10" xfId="0" applyBorder="1" applyAlignment="1">
      <alignment horizontal="left" vertical="center" wrapText="1" readingOrder="1"/>
    </xf>
    <xf numFmtId="0" fontId="0" fillId="0" borderId="0" xfId="0" applyAlignment="1">
      <alignment horizontal="left" vertical="center" wrapText="1" readingOrder="1"/>
    </xf>
    <xf numFmtId="0" fontId="0" fillId="0" borderId="11" xfId="0" applyBorder="1" applyAlignment="1">
      <alignment horizontal="left" vertical="center" wrapText="1" readingOrder="1"/>
    </xf>
    <xf numFmtId="0" fontId="0" fillId="0" borderId="12" xfId="0" applyBorder="1" applyAlignment="1">
      <alignment horizontal="left" vertical="center" wrapText="1" readingOrder="1"/>
    </xf>
    <xf numFmtId="0" fontId="0" fillId="0" borderId="13" xfId="0" applyBorder="1" applyAlignment="1">
      <alignment horizontal="left" vertical="center" wrapText="1" readingOrder="1"/>
    </xf>
    <xf numFmtId="0" fontId="0" fillId="0" borderId="14" xfId="0" applyBorder="1" applyAlignment="1">
      <alignment horizontal="left" vertical="center" wrapText="1" readingOrder="1"/>
    </xf>
    <xf numFmtId="170" fontId="12" fillId="0" borderId="9" xfId="0" applyNumberFormat="1" applyFont="1" applyBorder="1" applyAlignment="1">
      <alignment horizontal="right" vertical="center"/>
    </xf>
    <xf numFmtId="168" fontId="12" fillId="0" borderId="10" xfId="0" applyNumberFormat="1" applyFont="1" applyBorder="1" applyAlignment="1">
      <alignment horizontal="right" vertical="center"/>
    </xf>
    <xf numFmtId="168" fontId="12" fillId="0" borderId="0" xfId="0" applyNumberFormat="1" applyFont="1" applyAlignment="1">
      <alignment horizontal="right" vertical="center"/>
    </xf>
    <xf numFmtId="166" fontId="12" fillId="0" borderId="0" xfId="0" applyNumberFormat="1" applyFont="1" applyAlignment="1">
      <alignment horizontal="left" vertical="center"/>
    </xf>
    <xf numFmtId="0" fontId="12" fillId="0" borderId="0" xfId="0" applyFont="1" applyAlignment="1">
      <alignment horizontal="center" vertical="center"/>
    </xf>
    <xf numFmtId="169" fontId="12" fillId="0" borderId="9" xfId="0" applyNumberFormat="1" applyFont="1" applyBorder="1" applyAlignment="1">
      <alignment horizontal="right" vertical="center"/>
    </xf>
    <xf numFmtId="0" fontId="12" fillId="0" borderId="1" xfId="0" applyFont="1" applyBorder="1" applyAlignment="1">
      <alignment horizontal="center" vertical="center"/>
    </xf>
    <xf numFmtId="167" fontId="12" fillId="3" borderId="4" xfId="0" applyNumberFormat="1" applyFont="1" applyFill="1" applyBorder="1" applyAlignment="1">
      <alignment horizontal="center" vertical="center"/>
    </xf>
    <xf numFmtId="167" fontId="12" fillId="3" borderId="5" xfId="0" applyNumberFormat="1" applyFont="1" applyFill="1" applyBorder="1" applyAlignment="1">
      <alignment horizontal="center" vertical="center"/>
    </xf>
    <xf numFmtId="167" fontId="12" fillId="3" borderId="6" xfId="0" applyNumberFormat="1" applyFont="1" applyFill="1" applyBorder="1" applyAlignment="1">
      <alignment horizontal="center" vertical="center"/>
    </xf>
    <xf numFmtId="0" fontId="12" fillId="3" borderId="5" xfId="0" applyFont="1" applyFill="1" applyBorder="1" applyAlignment="1">
      <alignment horizontal="center" vertical="center"/>
    </xf>
    <xf numFmtId="0" fontId="15" fillId="0" borderId="0" xfId="0" applyFont="1" applyAlignment="1">
      <alignment horizontal="center" vertical="center"/>
    </xf>
    <xf numFmtId="0" fontId="14" fillId="0" borderId="0" xfId="0" applyFont="1" applyAlignment="1">
      <alignment horizontal="left" vertical="center" wrapText="1"/>
    </xf>
    <xf numFmtId="0" fontId="24" fillId="0" borderId="0" xfId="1" applyFont="1" applyAlignment="1">
      <alignment horizontal="left" vertical="center"/>
    </xf>
    <xf numFmtId="0" fontId="5" fillId="0" borderId="0" xfId="1" applyFont="1" applyAlignment="1">
      <alignment horizontal="left" vertical="center"/>
    </xf>
    <xf numFmtId="171" fontId="12" fillId="0" borderId="0" xfId="0" applyNumberFormat="1" applyFont="1" applyAlignment="1">
      <alignment horizontal="right" vertical="center" wrapText="1"/>
    </xf>
    <xf numFmtId="0" fontId="20" fillId="0" borderId="0" xfId="0" applyFont="1" applyAlignment="1">
      <alignment horizontal="center" vertical="center"/>
    </xf>
    <xf numFmtId="0" fontId="10" fillId="0" borderId="9" xfId="0" applyFont="1" applyBorder="1" applyAlignment="1">
      <alignment horizontal="left" vertical="center"/>
    </xf>
    <xf numFmtId="0" fontId="10" fillId="0" borderId="8" xfId="0" applyFont="1" applyBorder="1" applyAlignment="1">
      <alignment horizontal="left" vertical="center"/>
    </xf>
    <xf numFmtId="0" fontId="10" fillId="0" borderId="13" xfId="0" applyFont="1" applyBorder="1" applyAlignment="1">
      <alignment horizontal="left" vertical="center"/>
    </xf>
    <xf numFmtId="0" fontId="10" fillId="0" borderId="14" xfId="0" applyFont="1" applyBorder="1" applyAlignment="1">
      <alignment horizontal="left" vertical="center"/>
    </xf>
    <xf numFmtId="0" fontId="10" fillId="0" borderId="34" xfId="0" applyFont="1" applyBorder="1" applyAlignment="1">
      <alignment horizontal="center" vertical="center"/>
    </xf>
    <xf numFmtId="0" fontId="10" fillId="0" borderId="28" xfId="0" applyFont="1" applyBorder="1" applyAlignment="1">
      <alignment horizontal="center" vertical="center"/>
    </xf>
    <xf numFmtId="0" fontId="10" fillId="0" borderId="29" xfId="0" applyFont="1" applyBorder="1" applyAlignment="1">
      <alignment horizontal="center" vertical="center"/>
    </xf>
    <xf numFmtId="0" fontId="10" fillId="0" borderId="39" xfId="0" applyFont="1" applyBorder="1" applyAlignment="1">
      <alignment horizontal="center" vertical="center"/>
    </xf>
    <xf numFmtId="0" fontId="10" fillId="0" borderId="15" xfId="0" applyFont="1" applyBorder="1" applyAlignment="1">
      <alignment horizontal="center" vertical="center"/>
    </xf>
    <xf numFmtId="0" fontId="10" fillId="0" borderId="30" xfId="0" applyFont="1" applyBorder="1" applyAlignment="1">
      <alignment horizontal="center" vertical="center"/>
    </xf>
    <xf numFmtId="0" fontId="10" fillId="0" borderId="42" xfId="0" applyFont="1" applyBorder="1" applyAlignment="1">
      <alignment horizontal="center" vertical="center"/>
    </xf>
    <xf numFmtId="0" fontId="10" fillId="0" borderId="31" xfId="0" applyFont="1" applyBorder="1" applyAlignment="1">
      <alignment horizontal="center" vertical="center"/>
    </xf>
    <xf numFmtId="0" fontId="10" fillId="0" borderId="32" xfId="0" applyFont="1" applyBorder="1" applyAlignment="1">
      <alignment horizontal="center" vertical="center"/>
    </xf>
    <xf numFmtId="0" fontId="13" fillId="0" borderId="7" xfId="0" applyFont="1" applyBorder="1" applyAlignment="1">
      <alignment horizontal="left" vertical="center"/>
    </xf>
    <xf numFmtId="0" fontId="13" fillId="0" borderId="10" xfId="0" applyFont="1" applyBorder="1" applyAlignment="1">
      <alignment horizontal="left" vertical="center"/>
    </xf>
    <xf numFmtId="0" fontId="13" fillId="0" borderId="12" xfId="0" applyFont="1" applyBorder="1" applyAlignment="1">
      <alignment horizontal="left" vertical="center"/>
    </xf>
    <xf numFmtId="0" fontId="10" fillId="0" borderId="0" xfId="0" applyFont="1" applyAlignment="1">
      <alignment horizontal="left" vertical="center"/>
    </xf>
    <xf numFmtId="0" fontId="10" fillId="0" borderId="11" xfId="0" applyFont="1" applyBorder="1" applyAlignment="1">
      <alignment horizontal="left" vertical="center"/>
    </xf>
    <xf numFmtId="0" fontId="10" fillId="0" borderId="34" xfId="0" applyFont="1" applyBorder="1" applyAlignment="1">
      <alignment horizontal="center" vertical="center" wrapText="1"/>
    </xf>
    <xf numFmtId="0" fontId="22" fillId="0" borderId="10" xfId="0" applyFont="1" applyBorder="1" applyAlignment="1">
      <alignment horizontal="center" wrapText="1"/>
    </xf>
    <xf numFmtId="0" fontId="22" fillId="0" borderId="0" xfId="0" applyFont="1" applyAlignment="1">
      <alignment horizontal="center" wrapText="1"/>
    </xf>
    <xf numFmtId="0" fontId="22" fillId="0" borderId="11" xfId="0" applyFont="1" applyBorder="1" applyAlignment="1">
      <alignment horizontal="center" wrapText="1"/>
    </xf>
    <xf numFmtId="0" fontId="10" fillId="0" borderId="7" xfId="0" applyFont="1" applyBorder="1" applyAlignment="1">
      <alignment horizontal="left" vertical="center"/>
    </xf>
    <xf numFmtId="0" fontId="10" fillId="0" borderId="12" xfId="0" applyFont="1" applyBorder="1" applyAlignment="1">
      <alignment horizontal="left" vertical="center"/>
    </xf>
    <xf numFmtId="0" fontId="21" fillId="0" borderId="0" xfId="0" applyFont="1" applyAlignment="1">
      <alignment horizontal="center" vertical="center"/>
    </xf>
    <xf numFmtId="0" fontId="10" fillId="0" borderId="9" xfId="0" applyFont="1" applyBorder="1" applyAlignment="1">
      <alignment horizontal="center" vertical="center"/>
    </xf>
    <xf numFmtId="0" fontId="10" fillId="0" borderId="13" xfId="0" applyFont="1" applyBorder="1" applyAlignment="1">
      <alignment horizontal="center" vertical="center"/>
    </xf>
    <xf numFmtId="0" fontId="10" fillId="0" borderId="45" xfId="0" applyFont="1" applyBorder="1" applyAlignment="1">
      <alignment horizontal="center" vertical="center"/>
    </xf>
    <xf numFmtId="0" fontId="10" fillId="0" borderId="23" xfId="0" applyFont="1" applyBorder="1" applyAlignment="1">
      <alignment horizontal="center" vertical="center"/>
    </xf>
    <xf numFmtId="0" fontId="10" fillId="0" borderId="41" xfId="0" applyFont="1" applyBorder="1" applyAlignment="1">
      <alignment horizontal="center" vertical="center"/>
    </xf>
    <xf numFmtId="0" fontId="10" fillId="0" borderId="50" xfId="0" applyFont="1" applyBorder="1" applyAlignment="1">
      <alignment horizontal="center" vertical="center"/>
    </xf>
    <xf numFmtId="0" fontId="10" fillId="0" borderId="24" xfId="0" applyFont="1" applyBorder="1" applyAlignment="1">
      <alignment horizontal="center" vertical="center"/>
    </xf>
    <xf numFmtId="0" fontId="10" fillId="0" borderId="49" xfId="0" applyFont="1" applyBorder="1" applyAlignment="1">
      <alignment horizontal="center" vertical="center"/>
    </xf>
    <xf numFmtId="0" fontId="10" fillId="0" borderId="9" xfId="0" applyFont="1" applyBorder="1" applyAlignment="1">
      <alignment horizontal="left" vertical="center" shrinkToFit="1"/>
    </xf>
    <xf numFmtId="0" fontId="10" fillId="0" borderId="0" xfId="0" applyFont="1" applyAlignment="1">
      <alignment horizontal="left" vertical="center" shrinkToFit="1"/>
    </xf>
    <xf numFmtId="0" fontId="10" fillId="0" borderId="13" xfId="0" applyFont="1" applyBorder="1" applyAlignment="1">
      <alignment horizontal="left" vertical="center" shrinkToFit="1"/>
    </xf>
    <xf numFmtId="0" fontId="10" fillId="0" borderId="10" xfId="0" applyFont="1" applyBorder="1" applyAlignment="1">
      <alignment horizontal="left" vertical="center"/>
    </xf>
    <xf numFmtId="0" fontId="10" fillId="0" borderId="7" xfId="0" applyFont="1" applyBorder="1" applyAlignment="1">
      <alignment horizontal="center" vertical="center" shrinkToFit="1"/>
    </xf>
    <xf numFmtId="0" fontId="10" fillId="0" borderId="9" xfId="0" applyFont="1" applyBorder="1" applyAlignment="1">
      <alignment horizontal="center" vertical="center" shrinkToFit="1"/>
    </xf>
    <xf numFmtId="0" fontId="10" fillId="0" borderId="8" xfId="0" applyFont="1" applyBorder="1" applyAlignment="1">
      <alignment horizontal="center" vertical="center" shrinkToFit="1"/>
    </xf>
    <xf numFmtId="0" fontId="10" fillId="0" borderId="10" xfId="0" applyFont="1" applyBorder="1" applyAlignment="1">
      <alignment horizontal="center" vertical="center" shrinkToFit="1"/>
    </xf>
    <xf numFmtId="0" fontId="10" fillId="0" borderId="0" xfId="0" applyFont="1" applyAlignment="1">
      <alignment horizontal="center" vertical="center" shrinkToFit="1"/>
    </xf>
    <xf numFmtId="0" fontId="10" fillId="0" borderId="11" xfId="0" applyFont="1" applyBorder="1" applyAlignment="1">
      <alignment horizontal="center" vertical="center" shrinkToFit="1"/>
    </xf>
    <xf numFmtId="0" fontId="10" fillId="0" borderId="12" xfId="0" applyFont="1" applyBorder="1" applyAlignment="1">
      <alignment horizontal="center" vertical="center" shrinkToFit="1"/>
    </xf>
    <xf numFmtId="0" fontId="10" fillId="0" borderId="13" xfId="0" applyFont="1" applyBorder="1" applyAlignment="1">
      <alignment horizontal="center" vertical="center" shrinkToFit="1"/>
    </xf>
    <xf numFmtId="0" fontId="10" fillId="0" borderId="14" xfId="0" applyFont="1" applyBorder="1" applyAlignment="1">
      <alignment horizontal="center" vertical="center" shrinkToFit="1"/>
    </xf>
    <xf numFmtId="0" fontId="22" fillId="0" borderId="10" xfId="0" applyFont="1" applyBorder="1" applyAlignment="1">
      <alignment horizontal="center" vertical="center" wrapText="1"/>
    </xf>
    <xf numFmtId="0" fontId="22" fillId="0" borderId="0" xfId="0" applyFont="1" applyAlignment="1">
      <alignment horizontal="center" vertical="center" wrapText="1"/>
    </xf>
    <xf numFmtId="0" fontId="22" fillId="0" borderId="11" xfId="0" applyFont="1" applyBorder="1" applyAlignment="1">
      <alignment horizontal="center" vertical="center" wrapText="1"/>
    </xf>
    <xf numFmtId="0" fontId="22" fillId="0" borderId="10" xfId="0" applyFont="1" applyBorder="1" applyAlignment="1">
      <alignment horizontal="center" vertical="top" wrapText="1"/>
    </xf>
    <xf numFmtId="0" fontId="22" fillId="0" borderId="0" xfId="0" applyFont="1" applyAlignment="1">
      <alignment horizontal="center" vertical="top" wrapText="1"/>
    </xf>
    <xf numFmtId="0" fontId="22" fillId="0" borderId="11" xfId="0" applyFont="1" applyBorder="1" applyAlignment="1">
      <alignment horizontal="center" vertical="top" wrapText="1"/>
    </xf>
    <xf numFmtId="0" fontId="22" fillId="0" borderId="12" xfId="0" applyFont="1" applyBorder="1" applyAlignment="1">
      <alignment horizontal="center" vertical="top" wrapText="1"/>
    </xf>
    <xf numFmtId="0" fontId="22" fillId="0" borderId="13" xfId="0" applyFont="1" applyBorder="1" applyAlignment="1">
      <alignment horizontal="center" vertical="top" wrapText="1"/>
    </xf>
    <xf numFmtId="0" fontId="22" fillId="0" borderId="14" xfId="0" applyFont="1" applyBorder="1" applyAlignment="1">
      <alignment horizontal="center" vertical="top" wrapText="1"/>
    </xf>
    <xf numFmtId="0" fontId="10" fillId="0" borderId="20" xfId="0" applyFont="1" applyBorder="1" applyAlignment="1">
      <alignment horizontal="center" vertical="center"/>
    </xf>
    <xf numFmtId="0" fontId="10" fillId="0" borderId="19" xfId="0" applyFont="1" applyBorder="1" applyAlignment="1">
      <alignment horizontal="center" vertical="center"/>
    </xf>
    <xf numFmtId="0" fontId="10" fillId="0" borderId="11" xfId="0" applyFont="1" applyBorder="1" applyAlignment="1">
      <alignment horizontal="center" vertical="center"/>
    </xf>
    <xf numFmtId="0" fontId="10" fillId="0" borderId="16" xfId="0" applyFont="1" applyBorder="1" applyAlignment="1">
      <alignment horizontal="center" vertical="center"/>
    </xf>
    <xf numFmtId="0" fontId="10" fillId="0" borderId="44" xfId="0" applyFont="1" applyBorder="1" applyAlignment="1">
      <alignment horizontal="center" vertical="center"/>
    </xf>
    <xf numFmtId="0" fontId="10" fillId="0" borderId="43" xfId="0" applyFont="1" applyBorder="1" applyAlignment="1">
      <alignment horizontal="center" vertical="center"/>
    </xf>
    <xf numFmtId="0" fontId="10" fillId="0" borderId="14" xfId="0" applyFont="1" applyBorder="1" applyAlignment="1">
      <alignment horizontal="center" vertical="center"/>
    </xf>
    <xf numFmtId="0" fontId="10" fillId="0" borderId="34" xfId="0" applyFont="1" applyBorder="1" applyAlignment="1">
      <alignment horizontal="left" vertical="center" shrinkToFit="1"/>
    </xf>
    <xf numFmtId="0" fontId="10" fillId="0" borderId="28" xfId="0" applyFont="1" applyBorder="1" applyAlignment="1">
      <alignment horizontal="left" vertical="center" shrinkToFit="1"/>
    </xf>
    <xf numFmtId="0" fontId="10" fillId="0" borderId="29" xfId="0" applyFont="1" applyBorder="1" applyAlignment="1">
      <alignment horizontal="left" vertical="center" shrinkToFit="1"/>
    </xf>
    <xf numFmtId="0" fontId="10" fillId="0" borderId="39" xfId="0" applyFont="1" applyBorder="1" applyAlignment="1">
      <alignment horizontal="left" vertical="center" shrinkToFit="1"/>
    </xf>
    <xf numFmtId="0" fontId="10" fillId="0" borderId="15" xfId="0" applyFont="1" applyBorder="1" applyAlignment="1">
      <alignment horizontal="left" vertical="center" shrinkToFit="1"/>
    </xf>
    <xf numFmtId="0" fontId="10" fillId="0" borderId="30" xfId="0" applyFont="1" applyBorder="1" applyAlignment="1">
      <alignment horizontal="left" vertical="center" shrinkToFit="1"/>
    </xf>
    <xf numFmtId="0" fontId="10" fillId="0" borderId="42" xfId="0" applyFont="1" applyBorder="1" applyAlignment="1">
      <alignment horizontal="left" vertical="center" shrinkToFit="1"/>
    </xf>
    <xf numFmtId="0" fontId="10" fillId="0" borderId="31" xfId="0" applyFont="1" applyBorder="1" applyAlignment="1">
      <alignment horizontal="left" vertical="center" shrinkToFit="1"/>
    </xf>
    <xf numFmtId="0" fontId="10" fillId="0" borderId="32" xfId="0" applyFont="1" applyBorder="1" applyAlignment="1">
      <alignment horizontal="left" vertical="center" shrinkToFit="1"/>
    </xf>
    <xf numFmtId="0" fontId="28" fillId="0" borderId="22" xfId="0" applyFont="1" applyBorder="1" applyAlignment="1">
      <alignment horizontal="left" vertical="center" wrapText="1"/>
    </xf>
    <xf numFmtId="0" fontId="10" fillId="0" borderId="23" xfId="0" applyFont="1" applyBorder="1" applyAlignment="1">
      <alignment horizontal="left" vertical="center" wrapText="1"/>
    </xf>
    <xf numFmtId="0" fontId="10" fillId="0" borderId="41" xfId="0" applyFont="1" applyBorder="1" applyAlignment="1">
      <alignment horizontal="left" vertical="center" wrapText="1"/>
    </xf>
    <xf numFmtId="0" fontId="10" fillId="0" borderId="25" xfId="0" applyFont="1" applyBorder="1" applyAlignment="1">
      <alignment horizontal="left" vertical="center" wrapText="1"/>
    </xf>
    <xf numFmtId="0" fontId="10" fillId="0" borderId="15" xfId="0" applyFont="1" applyBorder="1" applyAlignment="1">
      <alignment horizontal="left" vertical="center" wrapText="1"/>
    </xf>
    <xf numFmtId="0" fontId="10" fillId="0" borderId="30" xfId="0" applyFont="1" applyBorder="1" applyAlignment="1">
      <alignment horizontal="left" vertical="center" wrapText="1"/>
    </xf>
    <xf numFmtId="0" fontId="10" fillId="0" borderId="33" xfId="0" applyFont="1" applyBorder="1" applyAlignment="1">
      <alignment horizontal="left" vertical="center" wrapText="1"/>
    </xf>
    <xf numFmtId="0" fontId="10" fillId="0" borderId="31" xfId="0" applyFont="1" applyBorder="1" applyAlignment="1">
      <alignment horizontal="left" vertical="center" wrapText="1"/>
    </xf>
    <xf numFmtId="0" fontId="10" fillId="0" borderId="32" xfId="0" applyFont="1" applyBorder="1" applyAlignment="1">
      <alignment horizontal="left" vertical="center" wrapText="1"/>
    </xf>
    <xf numFmtId="0" fontId="10" fillId="0" borderId="53" xfId="0" applyFont="1" applyBorder="1" applyAlignment="1">
      <alignment horizontal="center" vertical="center"/>
    </xf>
    <xf numFmtId="0" fontId="10" fillId="0" borderId="54" xfId="0" applyFont="1" applyBorder="1" applyAlignment="1">
      <alignment horizontal="center" vertical="center"/>
    </xf>
    <xf numFmtId="0" fontId="10" fillId="0" borderId="17" xfId="0" applyFont="1" applyBorder="1" applyAlignment="1">
      <alignment horizontal="center" vertical="center"/>
    </xf>
    <xf numFmtId="0" fontId="10" fillId="0" borderId="48" xfId="0" applyFont="1" applyBorder="1" applyAlignment="1">
      <alignment horizontal="center" vertical="center"/>
    </xf>
    <xf numFmtId="0" fontId="10" fillId="0" borderId="18" xfId="0" applyFont="1" applyBorder="1" applyAlignment="1">
      <alignment horizontal="left" vertical="center"/>
    </xf>
    <xf numFmtId="0" fontId="10" fillId="0" borderId="18" xfId="0" applyFont="1" applyBorder="1" applyAlignment="1">
      <alignment horizontal="left" vertical="center" shrinkToFit="1"/>
    </xf>
    <xf numFmtId="0" fontId="12" fillId="0" borderId="51" xfId="0" applyFont="1" applyBorder="1" applyAlignment="1">
      <alignment horizontal="left" vertical="center"/>
    </xf>
    <xf numFmtId="0" fontId="10" fillId="0" borderId="48" xfId="0" applyFont="1" applyBorder="1" applyAlignment="1">
      <alignment horizontal="left" vertical="center"/>
    </xf>
    <xf numFmtId="0" fontId="10" fillId="0" borderId="46" xfId="0" applyFont="1" applyBorder="1" applyAlignment="1">
      <alignment horizontal="left" vertical="center"/>
    </xf>
    <xf numFmtId="0" fontId="10" fillId="0" borderId="47" xfId="0" applyFont="1" applyBorder="1" applyAlignment="1">
      <alignment horizontal="left" vertical="center"/>
    </xf>
    <xf numFmtId="0" fontId="10" fillId="0" borderId="27" xfId="0" applyFont="1" applyBorder="1" applyAlignment="1">
      <alignment horizontal="left" vertical="center"/>
    </xf>
    <xf numFmtId="0" fontId="10" fillId="0" borderId="40" xfId="0" applyFont="1" applyBorder="1" applyAlignment="1">
      <alignment horizontal="center" vertical="center"/>
    </xf>
    <xf numFmtId="0" fontId="10" fillId="0" borderId="21" xfId="0" applyFont="1" applyBorder="1" applyAlignment="1">
      <alignment horizontal="left" vertical="center"/>
    </xf>
    <xf numFmtId="0" fontId="28" fillId="0" borderId="0" xfId="0" applyFont="1" applyAlignment="1">
      <alignment horizontal="left" vertical="center"/>
    </xf>
    <xf numFmtId="0" fontId="10" fillId="0" borderId="40" xfId="0" applyFont="1" applyBorder="1" applyAlignment="1">
      <alignment horizontal="left" vertical="center"/>
    </xf>
    <xf numFmtId="0" fontId="10" fillId="0" borderId="19" xfId="0" applyFont="1" applyBorder="1" applyAlignment="1">
      <alignment horizontal="left" vertical="center"/>
    </xf>
    <xf numFmtId="171" fontId="10" fillId="0" borderId="9" xfId="0" applyNumberFormat="1" applyFont="1" applyBorder="1" applyAlignment="1">
      <alignment horizontal="left" vertical="center" shrinkToFit="1"/>
    </xf>
    <xf numFmtId="171" fontId="10" fillId="0" borderId="0" xfId="0" applyNumberFormat="1" applyFont="1" applyAlignment="1">
      <alignment horizontal="left" vertical="center" shrinkToFit="1"/>
    </xf>
    <xf numFmtId="171" fontId="10" fillId="0" borderId="13" xfId="0" applyNumberFormat="1" applyFont="1" applyBorder="1" applyAlignment="1">
      <alignment horizontal="left" vertical="center" shrinkToFit="1"/>
    </xf>
    <xf numFmtId="165" fontId="12" fillId="0" borderId="9" xfId="0" applyNumberFormat="1" applyFont="1" applyBorder="1" applyAlignment="1">
      <alignment horizontal="left" vertical="center"/>
    </xf>
    <xf numFmtId="165" fontId="12" fillId="0" borderId="0" xfId="0" applyNumberFormat="1" applyFont="1" applyAlignment="1">
      <alignment horizontal="left" vertical="center"/>
    </xf>
    <xf numFmtId="165" fontId="12" fillId="0" borderId="13" xfId="0" applyNumberFormat="1" applyFont="1" applyBorder="1" applyAlignment="1">
      <alignment horizontal="left" vertical="center"/>
    </xf>
    <xf numFmtId="165" fontId="10" fillId="0" borderId="9" xfId="0" applyNumberFormat="1" applyFont="1" applyBorder="1" applyAlignment="1">
      <alignment horizontal="left" vertical="center" shrinkToFit="1"/>
    </xf>
    <xf numFmtId="165" fontId="10" fillId="0" borderId="8" xfId="0" applyNumberFormat="1" applyFont="1" applyBorder="1" applyAlignment="1">
      <alignment horizontal="left" vertical="center" shrinkToFit="1"/>
    </xf>
    <xf numFmtId="165" fontId="10" fillId="0" borderId="0" xfId="0" applyNumberFormat="1" applyFont="1" applyAlignment="1">
      <alignment horizontal="left" vertical="center" shrinkToFit="1"/>
    </xf>
    <xf numFmtId="165" fontId="10" fillId="0" borderId="11" xfId="0" applyNumberFormat="1" applyFont="1" applyBorder="1" applyAlignment="1">
      <alignment horizontal="left" vertical="center" shrinkToFit="1"/>
    </xf>
    <xf numFmtId="165" fontId="10" fillId="0" borderId="13" xfId="0" applyNumberFormat="1" applyFont="1" applyBorder="1" applyAlignment="1">
      <alignment horizontal="left" vertical="center" shrinkToFit="1"/>
    </xf>
    <xf numFmtId="165" fontId="10" fillId="0" borderId="14" xfId="0" applyNumberFormat="1" applyFont="1" applyBorder="1" applyAlignment="1">
      <alignment horizontal="left" vertical="center" shrinkToFit="1"/>
    </xf>
    <xf numFmtId="0" fontId="33" fillId="0" borderId="9" xfId="0" applyFont="1" applyBorder="1" applyAlignment="1">
      <alignment horizontal="left" vertical="center" shrinkToFit="1"/>
    </xf>
    <xf numFmtId="0" fontId="33" fillId="0" borderId="8" xfId="0" applyFont="1" applyBorder="1" applyAlignment="1">
      <alignment horizontal="left" vertical="center" shrinkToFit="1"/>
    </xf>
    <xf numFmtId="0" fontId="12" fillId="0" borderId="11" xfId="0" applyFont="1" applyBorder="1" applyAlignment="1">
      <alignment horizontal="left" vertical="center"/>
    </xf>
    <xf numFmtId="0" fontId="10" fillId="0" borderId="37" xfId="0" applyFont="1" applyBorder="1" applyAlignment="1">
      <alignment horizontal="center" vertical="center"/>
    </xf>
    <xf numFmtId="0" fontId="10" fillId="0" borderId="35" xfId="0" applyFont="1" applyBorder="1" applyAlignment="1">
      <alignment horizontal="center" vertical="center"/>
    </xf>
    <xf numFmtId="0" fontId="10" fillId="0" borderId="8" xfId="0" applyFont="1" applyBorder="1" applyAlignment="1">
      <alignment horizontal="center" vertical="center"/>
    </xf>
    <xf numFmtId="174" fontId="10" fillId="0" borderId="7" xfId="0" applyNumberFormat="1" applyFont="1" applyBorder="1" applyAlignment="1">
      <alignment horizontal="center" vertical="center"/>
    </xf>
    <xf numFmtId="174" fontId="10" fillId="0" borderId="9" xfId="0" applyNumberFormat="1" applyFont="1" applyBorder="1" applyAlignment="1">
      <alignment horizontal="center" vertical="center"/>
    </xf>
    <xf numFmtId="174" fontId="10" fillId="0" borderId="10" xfId="0" applyNumberFormat="1" applyFont="1" applyBorder="1" applyAlignment="1">
      <alignment horizontal="center" vertical="center"/>
    </xf>
    <xf numFmtId="174" fontId="10" fillId="0" borderId="0" xfId="0" applyNumberFormat="1" applyFont="1" applyAlignment="1">
      <alignment horizontal="center" vertical="center"/>
    </xf>
    <xf numFmtId="174" fontId="10" fillId="0" borderId="12" xfId="0" applyNumberFormat="1" applyFont="1" applyBorder="1" applyAlignment="1">
      <alignment horizontal="center" vertical="center"/>
    </xf>
    <xf numFmtId="174" fontId="10" fillId="0" borderId="13" xfId="0" applyNumberFormat="1" applyFont="1" applyBorder="1" applyAlignment="1">
      <alignment horizontal="center" vertical="center"/>
    </xf>
    <xf numFmtId="0" fontId="12" fillId="0" borderId="0" xfId="0" applyFont="1" applyAlignment="1">
      <alignment horizontal="left" vertical="top"/>
    </xf>
    <xf numFmtId="0" fontId="10" fillId="0" borderId="34" xfId="0" applyFont="1" applyBorder="1" applyAlignment="1">
      <alignment horizontal="left" vertical="center" textRotation="255"/>
    </xf>
    <xf numFmtId="0" fontId="10" fillId="0" borderId="28" xfId="0" applyFont="1" applyBorder="1" applyAlignment="1">
      <alignment horizontal="left" vertical="center" textRotation="255"/>
    </xf>
    <xf numFmtId="0" fontId="10" fillId="0" borderId="37" xfId="0" applyFont="1" applyBorder="1" applyAlignment="1">
      <alignment horizontal="left" vertical="center" textRotation="255"/>
    </xf>
    <xf numFmtId="0" fontId="10" fillId="0" borderId="39" xfId="0" applyFont="1" applyBorder="1" applyAlignment="1">
      <alignment horizontal="left" vertical="center" textRotation="255"/>
    </xf>
    <xf numFmtId="0" fontId="10" fillId="0" borderId="15" xfId="0" applyFont="1" applyBorder="1" applyAlignment="1">
      <alignment horizontal="left" vertical="center" textRotation="255"/>
    </xf>
    <xf numFmtId="0" fontId="10" fillId="0" borderId="16" xfId="0" applyFont="1" applyBorder="1" applyAlignment="1">
      <alignment horizontal="left" vertical="center" textRotation="255"/>
    </xf>
    <xf numFmtId="0" fontId="10" fillId="0" borderId="42" xfId="0" applyFont="1" applyBorder="1" applyAlignment="1">
      <alignment horizontal="left" vertical="center" textRotation="255"/>
    </xf>
    <xf numFmtId="0" fontId="10" fillId="0" borderId="31" xfId="0" applyFont="1" applyBorder="1" applyAlignment="1">
      <alignment horizontal="left" vertical="center" textRotation="255"/>
    </xf>
    <xf numFmtId="0" fontId="10" fillId="0" borderId="44" xfId="0" applyFont="1" applyBorder="1" applyAlignment="1">
      <alignment horizontal="left" vertical="center" textRotation="255"/>
    </xf>
    <xf numFmtId="0" fontId="10" fillId="3" borderId="7" xfId="0" applyFont="1" applyFill="1" applyBorder="1" applyAlignment="1">
      <alignment horizontal="left" vertical="center"/>
    </xf>
    <xf numFmtId="0" fontId="10" fillId="3" borderId="9" xfId="0" applyFont="1" applyFill="1" applyBorder="1" applyAlignment="1">
      <alignment horizontal="left" vertical="center"/>
    </xf>
    <xf numFmtId="0" fontId="10" fillId="3" borderId="35" xfId="0" applyFont="1" applyFill="1" applyBorder="1" applyAlignment="1">
      <alignment horizontal="left" vertical="center"/>
    </xf>
    <xf numFmtId="0" fontId="10" fillId="3" borderId="8" xfId="0" applyFont="1" applyFill="1" applyBorder="1" applyAlignment="1">
      <alignment horizontal="left" vertical="center"/>
    </xf>
    <xf numFmtId="0" fontId="11" fillId="3" borderId="10" xfId="0" applyFont="1" applyFill="1" applyBorder="1" applyAlignment="1">
      <alignment horizontal="left" vertical="center" textRotation="255"/>
    </xf>
    <xf numFmtId="0" fontId="11" fillId="3" borderId="0" xfId="0" applyFont="1" applyFill="1" applyAlignment="1">
      <alignment horizontal="left" vertical="center" textRotation="255"/>
    </xf>
    <xf numFmtId="0" fontId="11" fillId="3" borderId="12" xfId="0" applyFont="1" applyFill="1" applyBorder="1" applyAlignment="1">
      <alignment horizontal="left" vertical="center" textRotation="255"/>
    </xf>
    <xf numFmtId="0" fontId="11" fillId="3" borderId="13" xfId="0" applyFont="1" applyFill="1" applyBorder="1" applyAlignment="1">
      <alignment horizontal="left" vertical="center" textRotation="255"/>
    </xf>
    <xf numFmtId="0" fontId="11" fillId="3" borderId="34" xfId="0" applyFont="1" applyFill="1" applyBorder="1" applyAlignment="1">
      <alignment horizontal="left"/>
    </xf>
    <xf numFmtId="0" fontId="11" fillId="3" borderId="28" xfId="0" applyFont="1" applyFill="1" applyBorder="1" applyAlignment="1">
      <alignment horizontal="left"/>
    </xf>
    <xf numFmtId="0" fontId="11" fillId="3" borderId="37" xfId="0" applyFont="1" applyFill="1" applyBorder="1" applyAlignment="1">
      <alignment horizontal="left"/>
    </xf>
    <xf numFmtId="0" fontId="11" fillId="3" borderId="36" xfId="0" applyFont="1" applyFill="1" applyBorder="1" applyAlignment="1">
      <alignment horizontal="left"/>
    </xf>
    <xf numFmtId="0" fontId="11" fillId="3" borderId="38" xfId="0" applyFont="1" applyFill="1" applyBorder="1" applyAlignment="1">
      <alignment horizontal="left"/>
    </xf>
    <xf numFmtId="0" fontId="11" fillId="3" borderId="39" xfId="0" applyFont="1" applyFill="1" applyBorder="1" applyAlignment="1">
      <alignment horizontal="left"/>
    </xf>
    <xf numFmtId="0" fontId="11" fillId="3" borderId="15" xfId="0" applyFont="1" applyFill="1" applyBorder="1" applyAlignment="1">
      <alignment horizontal="left"/>
    </xf>
    <xf numFmtId="0" fontId="11" fillId="3" borderId="23" xfId="0" applyFont="1" applyFill="1" applyBorder="1" applyAlignment="1">
      <alignment horizontal="left"/>
    </xf>
    <xf numFmtId="0" fontId="11" fillId="3" borderId="41" xfId="0" applyFont="1" applyFill="1" applyBorder="1" applyAlignment="1">
      <alignment horizontal="left"/>
    </xf>
    <xf numFmtId="0" fontId="11" fillId="3" borderId="30" xfId="0" applyFont="1" applyFill="1" applyBorder="1" applyAlignment="1">
      <alignment horizontal="left"/>
    </xf>
    <xf numFmtId="0" fontId="11" fillId="3" borderId="42" xfId="0" applyFont="1" applyFill="1" applyBorder="1" applyAlignment="1">
      <alignment horizontal="left"/>
    </xf>
    <xf numFmtId="0" fontId="11" fillId="3" borderId="31" xfId="0" applyFont="1" applyFill="1" applyBorder="1" applyAlignment="1">
      <alignment horizontal="left"/>
    </xf>
    <xf numFmtId="0" fontId="11" fillId="3" borderId="32" xfId="0" applyFont="1" applyFill="1" applyBorder="1" applyAlignment="1">
      <alignment horizontal="left"/>
    </xf>
    <xf numFmtId="0" fontId="10" fillId="3" borderId="26" xfId="0" applyFont="1" applyFill="1" applyBorder="1" applyAlignment="1">
      <alignment horizontal="left" vertical="center"/>
    </xf>
    <xf numFmtId="0" fontId="10" fillId="3" borderId="36" xfId="0" applyFont="1" applyFill="1" applyBorder="1" applyAlignment="1">
      <alignment horizontal="left" vertical="center"/>
    </xf>
    <xf numFmtId="0" fontId="10" fillId="3" borderId="38" xfId="0" applyFont="1" applyFill="1" applyBorder="1" applyAlignment="1">
      <alignment horizontal="left" vertical="center"/>
    </xf>
    <xf numFmtId="0" fontId="10" fillId="3" borderId="45" xfId="0" applyFont="1" applyFill="1" applyBorder="1" applyAlignment="1">
      <alignment horizontal="left" vertical="center"/>
    </xf>
    <xf numFmtId="0" fontId="10" fillId="3" borderId="23" xfId="0" applyFont="1" applyFill="1" applyBorder="1" applyAlignment="1">
      <alignment horizontal="left" vertical="center"/>
    </xf>
    <xf numFmtId="0" fontId="10" fillId="3" borderId="41" xfId="0" applyFont="1" applyFill="1" applyBorder="1" applyAlignment="1">
      <alignment horizontal="left" vertical="center"/>
    </xf>
    <xf numFmtId="0" fontId="10" fillId="3" borderId="42" xfId="0" applyFont="1" applyFill="1" applyBorder="1" applyAlignment="1">
      <alignment horizontal="left" vertical="center"/>
    </xf>
    <xf numFmtId="0" fontId="10" fillId="3" borderId="31" xfId="0" applyFont="1" applyFill="1" applyBorder="1" applyAlignment="1">
      <alignment horizontal="left" vertical="center"/>
    </xf>
    <xf numFmtId="0" fontId="10" fillId="3" borderId="32" xfId="0" applyFont="1" applyFill="1" applyBorder="1" applyAlignment="1">
      <alignment horizontal="left" vertical="center"/>
    </xf>
    <xf numFmtId="0" fontId="10" fillId="3" borderId="39" xfId="0" applyFont="1" applyFill="1" applyBorder="1" applyAlignment="1">
      <alignment horizontal="left" vertical="center"/>
    </xf>
    <xf numFmtId="0" fontId="10" fillId="3" borderId="15" xfId="0" applyFont="1" applyFill="1" applyBorder="1" applyAlignment="1">
      <alignment horizontal="left" vertical="center"/>
    </xf>
    <xf numFmtId="0" fontId="10" fillId="3" borderId="30" xfId="0" applyFont="1" applyFill="1" applyBorder="1" applyAlignment="1">
      <alignment horizontal="left" vertical="center"/>
    </xf>
    <xf numFmtId="0" fontId="11" fillId="3" borderId="29" xfId="0" applyFont="1" applyFill="1" applyBorder="1" applyAlignment="1">
      <alignment horizontal="left"/>
    </xf>
    <xf numFmtId="0" fontId="10" fillId="3" borderId="34" xfId="0" applyFont="1" applyFill="1" applyBorder="1" applyAlignment="1">
      <alignment horizontal="left" vertical="center"/>
    </xf>
    <xf numFmtId="0" fontId="10" fillId="3" borderId="28" xfId="0" applyFont="1" applyFill="1" applyBorder="1" applyAlignment="1">
      <alignment horizontal="left" vertical="center"/>
    </xf>
    <xf numFmtId="0" fontId="10" fillId="3" borderId="29" xfId="0" applyFont="1" applyFill="1" applyBorder="1" applyAlignment="1">
      <alignment horizontal="left" vertical="center"/>
    </xf>
    <xf numFmtId="0" fontId="10" fillId="3" borderId="22" xfId="0" applyFont="1" applyFill="1" applyBorder="1" applyAlignment="1">
      <alignment horizontal="left" vertical="center"/>
    </xf>
    <xf numFmtId="0" fontId="10" fillId="3" borderId="25" xfId="0" applyFont="1" applyFill="1" applyBorder="1" applyAlignment="1">
      <alignment horizontal="left" vertical="center"/>
    </xf>
    <xf numFmtId="0" fontId="10" fillId="3" borderId="33" xfId="0" applyFont="1" applyFill="1" applyBorder="1" applyAlignment="1">
      <alignment horizontal="left" vertical="center"/>
    </xf>
    <xf numFmtId="0" fontId="11" fillId="3" borderId="45" xfId="0" applyFont="1" applyFill="1" applyBorder="1" applyAlignment="1">
      <alignment horizontal="left"/>
    </xf>
    <xf numFmtId="0" fontId="31" fillId="0" borderId="0" xfId="0" applyFont="1" applyAlignment="1">
      <alignment horizontal="left" vertical="center" wrapText="1"/>
    </xf>
    <xf numFmtId="171" fontId="10" fillId="0" borderId="4" xfId="0" applyNumberFormat="1" applyFont="1" applyBorder="1" applyAlignment="1">
      <alignment horizontal="center" vertical="center"/>
    </xf>
    <xf numFmtId="171" fontId="10" fillId="0" borderId="5" xfId="0" applyNumberFormat="1" applyFont="1" applyBorder="1" applyAlignment="1">
      <alignment horizontal="center" vertical="center"/>
    </xf>
    <xf numFmtId="171" fontId="10" fillId="0" borderId="67" xfId="0" applyNumberFormat="1" applyFont="1" applyBorder="1" applyAlignment="1">
      <alignment horizontal="center" vertical="center"/>
    </xf>
    <xf numFmtId="0" fontId="10" fillId="0" borderId="68" xfId="0" applyFont="1" applyBorder="1" applyAlignment="1">
      <alignment horizontal="left" vertical="center"/>
    </xf>
    <xf numFmtId="0" fontId="10" fillId="0" borderId="5" xfId="0" applyFont="1" applyBorder="1" applyAlignment="1">
      <alignment horizontal="left" vertical="center"/>
    </xf>
    <xf numFmtId="0" fontId="10" fillId="0" borderId="6" xfId="0" applyFont="1" applyBorder="1" applyAlignment="1">
      <alignment horizontal="left" vertical="center"/>
    </xf>
    <xf numFmtId="0" fontId="10" fillId="0" borderId="0" xfId="0" applyFont="1" applyAlignment="1">
      <alignment horizontal="center" vertical="center"/>
    </xf>
    <xf numFmtId="0" fontId="10" fillId="3" borderId="0" xfId="0" applyFont="1" applyFill="1" applyAlignment="1">
      <alignment horizontal="left" vertical="center"/>
    </xf>
    <xf numFmtId="0" fontId="10" fillId="3" borderId="11" xfId="0" applyFont="1" applyFill="1" applyBorder="1" applyAlignment="1">
      <alignment horizontal="left" vertical="center"/>
    </xf>
    <xf numFmtId="0" fontId="10" fillId="3" borderId="13" xfId="0" applyFont="1" applyFill="1" applyBorder="1" applyAlignment="1">
      <alignment horizontal="left" vertical="center"/>
    </xf>
    <xf numFmtId="0" fontId="10" fillId="3" borderId="14" xfId="0" applyFont="1" applyFill="1" applyBorder="1" applyAlignment="1">
      <alignment horizontal="left" vertical="center"/>
    </xf>
    <xf numFmtId="0" fontId="10" fillId="0" borderId="45" xfId="0" applyFont="1" applyBorder="1" applyAlignment="1">
      <alignment horizontal="center" vertical="center" wrapText="1"/>
    </xf>
    <xf numFmtId="0" fontId="10" fillId="0" borderId="51" xfId="0" applyFont="1" applyBorder="1" applyAlignment="1">
      <alignment horizontal="left" vertical="center"/>
    </xf>
    <xf numFmtId="0" fontId="10" fillId="0" borderId="52" xfId="0" applyFont="1" applyBorder="1" applyAlignment="1">
      <alignment horizontal="left" vertical="center"/>
    </xf>
    <xf numFmtId="0" fontId="52" fillId="3" borderId="4" xfId="3" applyFont="1" applyFill="1" applyBorder="1" applyAlignment="1">
      <alignment horizontal="left" vertical="center" shrinkToFit="1"/>
    </xf>
    <xf numFmtId="0" fontId="52" fillId="3" borderId="5" xfId="3" applyFont="1" applyFill="1" applyBorder="1" applyAlignment="1">
      <alignment horizontal="left" vertical="center" shrinkToFit="1"/>
    </xf>
    <xf numFmtId="0" fontId="52" fillId="3" borderId="6" xfId="3" applyFont="1" applyFill="1" applyBorder="1" applyAlignment="1">
      <alignment horizontal="left" vertical="center" shrinkToFit="1"/>
    </xf>
    <xf numFmtId="0" fontId="52" fillId="3" borderId="7" xfId="3" applyFont="1" applyFill="1" applyBorder="1" applyAlignment="1">
      <alignment horizontal="center" vertical="center"/>
    </xf>
    <xf numFmtId="0" fontId="52" fillId="3" borderId="9" xfId="3" applyFont="1" applyFill="1" applyBorder="1" applyAlignment="1">
      <alignment horizontal="center" vertical="center"/>
    </xf>
    <xf numFmtId="176" fontId="44" fillId="0" borderId="13" xfId="3" applyNumberFormat="1" applyFont="1" applyBorder="1" applyAlignment="1">
      <alignment horizontal="center" vertical="center"/>
    </xf>
    <xf numFmtId="0" fontId="52" fillId="3" borderId="13" xfId="3" applyFont="1" applyFill="1" applyBorder="1" applyAlignment="1">
      <alignment horizontal="center" vertical="center"/>
    </xf>
    <xf numFmtId="0" fontId="52" fillId="3" borderId="14" xfId="3" applyFont="1" applyFill="1" applyBorder="1" applyAlignment="1">
      <alignment horizontal="center" vertical="center"/>
    </xf>
    <xf numFmtId="0" fontId="52" fillId="3" borderId="4" xfId="3" applyFont="1" applyFill="1" applyBorder="1" applyAlignment="1">
      <alignment horizontal="center" vertical="center"/>
    </xf>
    <xf numFmtId="0" fontId="52" fillId="3" borderId="5" xfId="3" applyFont="1" applyFill="1" applyBorder="1" applyAlignment="1">
      <alignment horizontal="center" vertical="center"/>
    </xf>
    <xf numFmtId="0" fontId="52" fillId="3" borderId="5" xfId="3" applyFont="1" applyFill="1" applyBorder="1" applyAlignment="1">
      <alignment horizontal="left" vertical="center"/>
    </xf>
    <xf numFmtId="0" fontId="53" fillId="3" borderId="0" xfId="3" applyFont="1" applyFill="1" applyAlignment="1">
      <alignment horizontal="center" vertical="center"/>
    </xf>
    <xf numFmtId="167" fontId="51" fillId="3" borderId="0" xfId="3" applyNumberFormat="1" applyFont="1" applyFill="1" applyAlignment="1">
      <alignment horizontal="center" vertical="center"/>
    </xf>
    <xf numFmtId="0" fontId="56" fillId="3" borderId="0" xfId="3" applyFont="1" applyFill="1">
      <alignment vertical="center"/>
    </xf>
    <xf numFmtId="0" fontId="51" fillId="3" borderId="0" xfId="3" applyFont="1" applyFill="1">
      <alignment vertical="center"/>
    </xf>
    <xf numFmtId="0" fontId="51" fillId="0" borderId="0" xfId="3" applyFont="1">
      <alignment vertical="center"/>
    </xf>
    <xf numFmtId="0" fontId="49" fillId="3" borderId="0" xfId="3" applyFont="1" applyFill="1" applyAlignment="1">
      <alignment horizontal="left" vertical="center"/>
    </xf>
    <xf numFmtId="0" fontId="51" fillId="0" borderId="5" xfId="3" applyFont="1" applyBorder="1" applyAlignment="1">
      <alignment horizontal="left" vertical="center" wrapText="1"/>
    </xf>
    <xf numFmtId="0" fontId="51" fillId="0" borderId="6" xfId="3" applyFont="1" applyBorder="1" applyAlignment="1">
      <alignment horizontal="left" vertical="center" wrapText="1"/>
    </xf>
    <xf numFmtId="0" fontId="51" fillId="3" borderId="10" xfId="3" applyFont="1" applyFill="1" applyBorder="1" applyAlignment="1">
      <alignment horizontal="left" vertical="center"/>
    </xf>
    <xf numFmtId="0" fontId="51" fillId="3" borderId="0" xfId="3" applyFont="1" applyFill="1" applyAlignment="1">
      <alignment horizontal="left" vertical="center"/>
    </xf>
    <xf numFmtId="0" fontId="51" fillId="3" borderId="11" xfId="3" applyFont="1" applyFill="1" applyBorder="1" applyAlignment="1">
      <alignment horizontal="left" vertical="center"/>
    </xf>
    <xf numFmtId="165" fontId="51" fillId="0" borderId="0" xfId="3" applyNumberFormat="1" applyFont="1" applyAlignment="1">
      <alignment horizontal="center" vertical="center"/>
    </xf>
    <xf numFmtId="0" fontId="51" fillId="0" borderId="0" xfId="3" applyFont="1" applyAlignment="1">
      <alignment horizontal="center" vertical="center"/>
    </xf>
    <xf numFmtId="0" fontId="53" fillId="3" borderId="13" xfId="3" applyFont="1" applyFill="1" applyBorder="1" applyAlignment="1">
      <alignment horizontal="center" vertical="center"/>
    </xf>
    <xf numFmtId="165" fontId="49" fillId="3" borderId="0" xfId="3" applyNumberFormat="1" applyFont="1" applyFill="1" applyAlignment="1">
      <alignment horizontal="center" vertical="center"/>
    </xf>
    <xf numFmtId="0" fontId="49" fillId="3" borderId="11" xfId="3" applyFont="1" applyFill="1" applyBorder="1" applyAlignment="1">
      <alignment horizontal="left" vertical="center"/>
    </xf>
    <xf numFmtId="0" fontId="51" fillId="3" borderId="0" xfId="3" applyFont="1" applyFill="1" applyAlignment="1">
      <alignment horizontal="left" vertical="center" wrapText="1"/>
    </xf>
    <xf numFmtId="0" fontId="51" fillId="3" borderId="11" xfId="3" applyFont="1" applyFill="1" applyBorder="1" applyAlignment="1">
      <alignment horizontal="left" vertical="center" wrapText="1"/>
    </xf>
    <xf numFmtId="0" fontId="51" fillId="3" borderId="13" xfId="3" applyFont="1" applyFill="1" applyBorder="1" applyAlignment="1">
      <alignment horizontal="left" vertical="center" wrapText="1"/>
    </xf>
    <xf numFmtId="0" fontId="51" fillId="3" borderId="14" xfId="3" applyFont="1" applyFill="1" applyBorder="1" applyAlignment="1">
      <alignment horizontal="left" vertical="center" wrapText="1"/>
    </xf>
    <xf numFmtId="0" fontId="51" fillId="0" borderId="0" xfId="3" applyFont="1" applyAlignment="1">
      <alignment horizontal="left" vertical="center" shrinkToFit="1"/>
    </xf>
    <xf numFmtId="0" fontId="51" fillId="0" borderId="11" xfId="3" applyFont="1" applyBorder="1" applyAlignment="1">
      <alignment horizontal="left" vertical="center" shrinkToFit="1"/>
    </xf>
    <xf numFmtId="0" fontId="52" fillId="3" borderId="12" xfId="3" applyFont="1" applyFill="1" applyBorder="1" applyAlignment="1">
      <alignment horizontal="left" vertical="center" shrinkToFit="1"/>
    </xf>
    <xf numFmtId="0" fontId="52" fillId="3" borderId="13" xfId="3" applyFont="1" applyFill="1" applyBorder="1" applyAlignment="1">
      <alignment horizontal="left" vertical="center" shrinkToFit="1"/>
    </xf>
    <xf numFmtId="0" fontId="52" fillId="3" borderId="14" xfId="3" applyFont="1" applyFill="1" applyBorder="1" applyAlignment="1">
      <alignment horizontal="left" vertical="center" shrinkToFit="1"/>
    </xf>
    <xf numFmtId="0" fontId="51" fillId="0" borderId="10" xfId="3" applyFont="1" applyBorder="1" applyAlignment="1">
      <alignment horizontal="left" vertical="center"/>
    </xf>
    <xf numFmtId="0" fontId="51" fillId="0" borderId="0" xfId="3" applyFont="1" applyAlignment="1">
      <alignment horizontal="left" vertical="center"/>
    </xf>
    <xf numFmtId="0" fontId="52" fillId="3" borderId="12" xfId="3" applyFont="1" applyFill="1" applyBorder="1" applyAlignment="1">
      <alignment horizontal="left" vertical="center"/>
    </xf>
    <xf numFmtId="0" fontId="52" fillId="3" borderId="13" xfId="3" applyFont="1" applyFill="1" applyBorder="1" applyAlignment="1">
      <alignment horizontal="left" vertical="center"/>
    </xf>
    <xf numFmtId="0" fontId="53" fillId="3" borderId="10" xfId="3" applyFont="1" applyFill="1" applyBorder="1" applyAlignment="1">
      <alignment horizontal="left" vertical="center"/>
    </xf>
    <xf numFmtId="0" fontId="53" fillId="3" borderId="0" xfId="3" applyFont="1" applyFill="1" applyAlignment="1">
      <alignment horizontal="left" vertical="center"/>
    </xf>
    <xf numFmtId="0" fontId="52" fillId="3" borderId="12" xfId="3" applyFont="1" applyFill="1" applyBorder="1" applyAlignment="1">
      <alignment horizontal="center" vertical="top"/>
    </xf>
    <xf numFmtId="0" fontId="52" fillId="3" borderId="13" xfId="3" applyFont="1" applyFill="1" applyBorder="1" applyAlignment="1">
      <alignment horizontal="center" vertical="top"/>
    </xf>
    <xf numFmtId="0" fontId="52" fillId="3" borderId="14" xfId="3" applyFont="1" applyFill="1" applyBorder="1" applyAlignment="1">
      <alignment horizontal="center" vertical="top"/>
    </xf>
    <xf numFmtId="0" fontId="49" fillId="3" borderId="12" xfId="3" applyFont="1" applyFill="1" applyBorder="1" applyAlignment="1">
      <alignment horizontal="center" vertical="center"/>
    </xf>
    <xf numFmtId="0" fontId="49" fillId="3" borderId="13" xfId="3" applyFont="1" applyFill="1" applyBorder="1" applyAlignment="1">
      <alignment horizontal="center" vertical="center"/>
    </xf>
    <xf numFmtId="0" fontId="49" fillId="3" borderId="14" xfId="3" applyFont="1" applyFill="1" applyBorder="1" applyAlignment="1">
      <alignment horizontal="center" vertical="center"/>
    </xf>
    <xf numFmtId="0" fontId="52" fillId="3" borderId="12" xfId="3" applyFont="1" applyFill="1" applyBorder="1" applyAlignment="1">
      <alignment horizontal="center" vertical="center"/>
    </xf>
    <xf numFmtId="167" fontId="52" fillId="3" borderId="13" xfId="3" applyNumberFormat="1" applyFont="1" applyFill="1" applyBorder="1" applyAlignment="1">
      <alignment horizontal="center" vertical="center"/>
    </xf>
    <xf numFmtId="176" fontId="52" fillId="3" borderId="13" xfId="3" applyNumberFormat="1" applyFont="1" applyFill="1" applyBorder="1" applyAlignment="1">
      <alignment horizontal="center" vertical="center"/>
    </xf>
    <xf numFmtId="176" fontId="52" fillId="3" borderId="14" xfId="3" applyNumberFormat="1" applyFont="1" applyFill="1" applyBorder="1" applyAlignment="1">
      <alignment horizontal="center" vertical="center"/>
    </xf>
    <xf numFmtId="0" fontId="52" fillId="3" borderId="8" xfId="3" applyFont="1" applyFill="1" applyBorder="1" applyAlignment="1">
      <alignment horizontal="center" vertical="center"/>
    </xf>
    <xf numFmtId="167" fontId="52" fillId="3" borderId="12" xfId="3" applyNumberFormat="1" applyFont="1" applyFill="1" applyBorder="1" applyAlignment="1">
      <alignment horizontal="center" vertical="center"/>
    </xf>
    <xf numFmtId="0" fontId="52" fillId="3" borderId="10" xfId="3" applyFont="1" applyFill="1" applyBorder="1" applyAlignment="1">
      <alignment horizontal="left" vertical="center" shrinkToFit="1"/>
    </xf>
    <xf numFmtId="0" fontId="52" fillId="3" borderId="0" xfId="3" applyFont="1" applyFill="1" applyAlignment="1">
      <alignment horizontal="left" vertical="center" shrinkToFit="1"/>
    </xf>
    <xf numFmtId="0" fontId="52" fillId="3" borderId="11" xfId="3" applyFont="1" applyFill="1" applyBorder="1" applyAlignment="1">
      <alignment horizontal="left" vertical="center" shrinkToFit="1"/>
    </xf>
    <xf numFmtId="0" fontId="44" fillId="3" borderId="9" xfId="3" applyFont="1" applyFill="1" applyBorder="1" applyAlignment="1">
      <alignment horizontal="center" vertical="center"/>
    </xf>
    <xf numFmtId="0" fontId="51" fillId="0" borderId="9" xfId="3" applyFont="1" applyBorder="1" applyAlignment="1">
      <alignment horizontal="left" vertical="center" wrapText="1"/>
    </xf>
    <xf numFmtId="0" fontId="0" fillId="0" borderId="9" xfId="0" applyBorder="1" applyAlignment="1">
      <alignment horizontal="left" vertical="center" wrapText="1"/>
    </xf>
    <xf numFmtId="0" fontId="0" fillId="0" borderId="8" xfId="0" applyBorder="1" applyAlignment="1">
      <alignment horizontal="left" vertical="center" wrapText="1"/>
    </xf>
    <xf numFmtId="0" fontId="0" fillId="0" borderId="13" xfId="0" applyBorder="1" applyAlignment="1">
      <alignment horizontal="left" vertical="center" wrapText="1"/>
    </xf>
    <xf numFmtId="0" fontId="0" fillId="0" borderId="14" xfId="0" applyBorder="1" applyAlignment="1">
      <alignment horizontal="left" vertical="center" wrapText="1"/>
    </xf>
    <xf numFmtId="178" fontId="108" fillId="3" borderId="0" xfId="3" applyNumberFormat="1" applyFont="1" applyFill="1" applyAlignment="1">
      <alignment horizontal="center" vertical="center" shrinkToFit="1"/>
    </xf>
    <xf numFmtId="0" fontId="52" fillId="3" borderId="7" xfId="3" applyFont="1" applyFill="1" applyBorder="1" applyAlignment="1">
      <alignment horizontal="left" vertical="center"/>
    </xf>
    <xf numFmtId="0" fontId="52" fillId="3" borderId="9" xfId="3" applyFont="1" applyFill="1" applyBorder="1" applyAlignment="1">
      <alignment horizontal="left" vertical="center"/>
    </xf>
    <xf numFmtId="0" fontId="47" fillId="3" borderId="0" xfId="3" applyFont="1" applyFill="1" applyAlignment="1">
      <alignment horizontal="center" vertical="center"/>
    </xf>
    <xf numFmtId="0" fontId="44" fillId="3" borderId="9" xfId="3" applyFont="1" applyFill="1" applyBorder="1" applyAlignment="1">
      <alignment horizontal="left" vertical="center"/>
    </xf>
    <xf numFmtId="0" fontId="44" fillId="3" borderId="13" xfId="3" applyFont="1" applyFill="1" applyBorder="1" applyAlignment="1">
      <alignment horizontal="left" vertical="center"/>
    </xf>
    <xf numFmtId="0" fontId="44" fillId="3" borderId="8" xfId="3" applyFont="1" applyFill="1" applyBorder="1" applyAlignment="1">
      <alignment horizontal="center" vertical="center"/>
    </xf>
    <xf numFmtId="0" fontId="44" fillId="3" borderId="13" xfId="3" applyFont="1" applyFill="1" applyBorder="1" applyAlignment="1">
      <alignment horizontal="center" vertical="center"/>
    </xf>
    <xf numFmtId="0" fontId="44" fillId="3" borderId="14" xfId="3" applyFont="1" applyFill="1" applyBorder="1" applyAlignment="1">
      <alignment horizontal="center" vertical="center"/>
    </xf>
    <xf numFmtId="0" fontId="52" fillId="3" borderId="14" xfId="3" applyFont="1" applyFill="1" applyBorder="1" applyAlignment="1">
      <alignment horizontal="left" vertical="center"/>
    </xf>
    <xf numFmtId="0" fontId="52" fillId="3" borderId="10" xfId="3" applyFont="1" applyFill="1" applyBorder="1" applyAlignment="1">
      <alignment horizontal="center" vertical="center"/>
    </xf>
    <xf numFmtId="0" fontId="52" fillId="3" borderId="0" xfId="3" applyFont="1" applyFill="1" applyAlignment="1">
      <alignment horizontal="center" vertical="center"/>
    </xf>
    <xf numFmtId="0" fontId="52" fillId="3" borderId="11" xfId="3" applyFont="1" applyFill="1" applyBorder="1" applyAlignment="1">
      <alignment horizontal="center" vertical="center"/>
    </xf>
    <xf numFmtId="0" fontId="53" fillId="3" borderId="10" xfId="3" applyFont="1" applyFill="1" applyBorder="1" applyAlignment="1">
      <alignment horizontal="center" vertical="center"/>
    </xf>
    <xf numFmtId="0" fontId="64" fillId="0" borderId="72" xfId="3" applyFont="1" applyBorder="1" applyAlignment="1">
      <alignment horizontal="left" vertical="top" wrapText="1"/>
    </xf>
    <xf numFmtId="0" fontId="64" fillId="0" borderId="0" xfId="3" applyFont="1" applyAlignment="1">
      <alignment horizontal="left" vertical="top" wrapText="1"/>
    </xf>
    <xf numFmtId="0" fontId="64" fillId="0" borderId="73" xfId="3" applyFont="1" applyBorder="1" applyAlignment="1">
      <alignment horizontal="left" vertical="top" wrapText="1"/>
    </xf>
    <xf numFmtId="0" fontId="64" fillId="0" borderId="78" xfId="3" applyFont="1" applyBorder="1" applyAlignment="1">
      <alignment horizontal="left" vertical="top" wrapText="1"/>
    </xf>
    <xf numFmtId="0" fontId="64" fillId="0" borderId="79" xfId="3" applyFont="1" applyBorder="1" applyAlignment="1">
      <alignment horizontal="left" vertical="top" wrapText="1"/>
    </xf>
    <xf numFmtId="0" fontId="64" fillId="0" borderId="80" xfId="3" applyFont="1" applyBorder="1" applyAlignment="1">
      <alignment horizontal="left" vertical="top" wrapText="1"/>
    </xf>
    <xf numFmtId="0" fontId="63" fillId="0" borderId="76" xfId="3" applyFont="1" applyBorder="1" applyAlignment="1">
      <alignment horizontal="left" vertical="top"/>
    </xf>
    <xf numFmtId="0" fontId="63" fillId="0" borderId="9" xfId="3" applyFont="1" applyBorder="1" applyAlignment="1">
      <alignment horizontal="left" vertical="top"/>
    </xf>
    <xf numFmtId="0" fontId="63" fillId="0" borderId="77" xfId="3" applyFont="1" applyBorder="1" applyAlignment="1">
      <alignment horizontal="left" vertical="top"/>
    </xf>
    <xf numFmtId="0" fontId="68" fillId="0" borderId="0" xfId="3" applyFont="1" applyAlignment="1">
      <alignment horizontal="left" vertical="top"/>
    </xf>
    <xf numFmtId="0" fontId="66" fillId="3" borderId="0" xfId="3" applyFont="1" applyFill="1" applyAlignment="1">
      <alignment horizontal="center" vertical="center"/>
    </xf>
    <xf numFmtId="178" fontId="107" fillId="3" borderId="0" xfId="3" applyNumberFormat="1" applyFont="1" applyFill="1" applyAlignment="1">
      <alignment horizontal="center" vertical="center"/>
    </xf>
    <xf numFmtId="0" fontId="68" fillId="3" borderId="0" xfId="3" applyFont="1" applyFill="1" applyAlignment="1">
      <alignment horizontal="left" vertical="center" wrapText="1"/>
    </xf>
    <xf numFmtId="0" fontId="63" fillId="0" borderId="76" xfId="3" applyFont="1" applyBorder="1" applyAlignment="1">
      <alignment horizontal="left" vertical="top" wrapText="1"/>
    </xf>
    <xf numFmtId="0" fontId="63" fillId="0" borderId="9" xfId="3" applyFont="1" applyBorder="1" applyAlignment="1">
      <alignment horizontal="left" vertical="top" wrapText="1"/>
    </xf>
    <xf numFmtId="0" fontId="63" fillId="0" borderId="77" xfId="3" applyFont="1" applyBorder="1" applyAlignment="1">
      <alignment horizontal="left" vertical="top" wrapText="1"/>
    </xf>
    <xf numFmtId="0" fontId="65" fillId="3" borderId="0" xfId="3" applyFont="1" applyFill="1" applyAlignment="1">
      <alignment horizontal="center" vertical="center"/>
    </xf>
    <xf numFmtId="167" fontId="64" fillId="0" borderId="0" xfId="3" applyNumberFormat="1" applyFont="1" applyAlignment="1">
      <alignment horizontal="center" vertical="center"/>
    </xf>
    <xf numFmtId="0" fontId="64" fillId="0" borderId="72" xfId="3" applyFont="1" applyBorder="1" applyAlignment="1">
      <alignment horizontal="left" vertical="center"/>
    </xf>
    <xf numFmtId="0" fontId="64" fillId="0" borderId="0" xfId="3" applyFont="1" applyAlignment="1">
      <alignment horizontal="left" vertical="center"/>
    </xf>
    <xf numFmtId="0" fontId="64" fillId="0" borderId="0" xfId="3" applyFont="1" applyAlignment="1">
      <alignment horizontal="left" vertical="center" wrapText="1"/>
    </xf>
    <xf numFmtId="0" fontId="64" fillId="0" borderId="73" xfId="3" applyFont="1" applyBorder="1" applyAlignment="1">
      <alignment horizontal="left" vertical="center" wrapText="1"/>
    </xf>
    <xf numFmtId="0" fontId="64" fillId="0" borderId="72" xfId="3" applyFont="1" applyBorder="1" applyAlignment="1">
      <alignment horizontal="center" vertical="center"/>
    </xf>
    <xf numFmtId="0" fontId="64" fillId="0" borderId="0" xfId="3" applyFont="1" applyAlignment="1">
      <alignment horizontal="center" vertical="center"/>
    </xf>
    <xf numFmtId="0" fontId="64" fillId="0" borderId="72" xfId="3" applyFont="1" applyBorder="1" applyAlignment="1">
      <alignment horizontal="center" vertical="center" wrapText="1"/>
    </xf>
    <xf numFmtId="0" fontId="64" fillId="0" borderId="0" xfId="3" applyFont="1" applyAlignment="1">
      <alignment horizontal="center" vertical="center" wrapText="1"/>
    </xf>
    <xf numFmtId="0" fontId="64" fillId="0" borderId="0" xfId="3" applyFont="1">
      <alignment vertical="center"/>
    </xf>
    <xf numFmtId="167" fontId="79" fillId="0" borderId="69" xfId="4" applyNumberFormat="1" applyFont="1" applyBorder="1" applyAlignment="1">
      <alignment horizontal="right" vertical="center" wrapText="1"/>
    </xf>
    <xf numFmtId="167" fontId="79" fillId="0" borderId="70" xfId="4" applyNumberFormat="1" applyFont="1" applyBorder="1" applyAlignment="1">
      <alignment horizontal="right" vertical="center" wrapText="1"/>
    </xf>
    <xf numFmtId="167" fontId="79" fillId="0" borderId="74" xfId="4" applyNumberFormat="1" applyFont="1" applyBorder="1" applyAlignment="1">
      <alignment horizontal="right" vertical="center" wrapText="1"/>
    </xf>
    <xf numFmtId="167" fontId="79" fillId="0" borderId="13" xfId="4" applyNumberFormat="1" applyFont="1" applyBorder="1" applyAlignment="1">
      <alignment horizontal="right" vertical="center" wrapText="1"/>
    </xf>
    <xf numFmtId="167" fontId="79" fillId="0" borderId="70" xfId="4" applyNumberFormat="1" applyFont="1" applyBorder="1" applyAlignment="1">
      <alignment horizontal="left" vertical="center" wrapText="1"/>
    </xf>
    <xf numFmtId="167" fontId="79" fillId="0" borderId="13" xfId="4" applyNumberFormat="1" applyFont="1" applyBorder="1" applyAlignment="1">
      <alignment horizontal="left" vertical="center" wrapText="1"/>
    </xf>
    <xf numFmtId="176" fontId="68" fillId="0" borderId="9" xfId="0" applyNumberFormat="1" applyFont="1" applyBorder="1" applyAlignment="1">
      <alignment horizontal="left" vertical="center" wrapText="1"/>
    </xf>
    <xf numFmtId="176" fontId="68" fillId="0" borderId="77" xfId="0" applyNumberFormat="1" applyFont="1" applyBorder="1" applyAlignment="1">
      <alignment horizontal="left" vertical="center" wrapText="1"/>
    </xf>
    <xf numFmtId="176" fontId="68" fillId="0" borderId="0" xfId="0" applyNumberFormat="1" applyFont="1" applyAlignment="1">
      <alignment horizontal="left" vertical="center" wrapText="1"/>
    </xf>
    <xf numFmtId="176" fontId="68" fillId="0" borderId="73" xfId="0" applyNumberFormat="1" applyFont="1" applyBorder="1" applyAlignment="1">
      <alignment horizontal="left" vertical="center" wrapText="1"/>
    </xf>
    <xf numFmtId="0" fontId="40" fillId="0" borderId="76" xfId="0" applyFont="1" applyBorder="1" applyAlignment="1">
      <alignment horizontal="center" vertical="center" wrapText="1"/>
    </xf>
    <xf numFmtId="0" fontId="40" fillId="0" borderId="9" xfId="0" applyFont="1" applyBorder="1" applyAlignment="1">
      <alignment horizontal="center" vertical="center" wrapText="1"/>
    </xf>
    <xf numFmtId="0" fontId="40" fillId="0" borderId="8" xfId="0" applyFont="1" applyBorder="1" applyAlignment="1">
      <alignment horizontal="center" vertical="center" wrapText="1"/>
    </xf>
    <xf numFmtId="0" fontId="40" fillId="0" borderId="72" xfId="0" applyFont="1" applyBorder="1" applyAlignment="1">
      <alignment horizontal="center" vertical="center" wrapText="1"/>
    </xf>
    <xf numFmtId="0" fontId="40" fillId="0" borderId="0" xfId="0" applyFont="1" applyAlignment="1">
      <alignment horizontal="center" vertical="center" wrapText="1"/>
    </xf>
    <xf numFmtId="0" fontId="40" fillId="0" borderId="11" xfId="0" applyFont="1" applyBorder="1" applyAlignment="1">
      <alignment horizontal="center" vertical="center" wrapText="1"/>
    </xf>
    <xf numFmtId="0" fontId="40" fillId="0" borderId="74" xfId="0" applyFont="1" applyBorder="1" applyAlignment="1">
      <alignment horizontal="center" vertical="center" wrapText="1"/>
    </xf>
    <xf numFmtId="0" fontId="40" fillId="0" borderId="13" xfId="0" applyFont="1" applyBorder="1" applyAlignment="1">
      <alignment horizontal="center" vertical="center" wrapText="1"/>
    </xf>
    <xf numFmtId="0" fontId="40" fillId="0" borderId="14" xfId="0" applyFont="1" applyBorder="1" applyAlignment="1">
      <alignment horizontal="center" vertical="center" wrapText="1"/>
    </xf>
    <xf numFmtId="0" fontId="40" fillId="0" borderId="9" xfId="0" applyFont="1" applyBorder="1" applyAlignment="1">
      <alignment horizontal="left" vertical="center" wrapText="1"/>
    </xf>
    <xf numFmtId="0" fontId="40" fillId="0" borderId="77" xfId="0" applyFont="1" applyBorder="1" applyAlignment="1">
      <alignment horizontal="left" vertical="center" wrapText="1"/>
    </xf>
    <xf numFmtId="0" fontId="40" fillId="0" borderId="0" xfId="0" applyFont="1" applyAlignment="1">
      <alignment horizontal="left" vertical="center" wrapText="1"/>
    </xf>
    <xf numFmtId="0" fontId="40" fillId="0" borderId="73" xfId="0" applyFont="1" applyBorder="1" applyAlignment="1">
      <alignment horizontal="left" vertical="center" wrapText="1"/>
    </xf>
    <xf numFmtId="0" fontId="40" fillId="0" borderId="13" xfId="0" applyFont="1" applyBorder="1" applyAlignment="1">
      <alignment horizontal="left" vertical="center" wrapText="1"/>
    </xf>
    <xf numFmtId="0" fontId="40" fillId="0" borderId="75" xfId="0" applyFont="1" applyBorder="1" applyAlignment="1">
      <alignment horizontal="left" vertical="center" wrapText="1"/>
    </xf>
    <xf numFmtId="0" fontId="97" fillId="0" borderId="10" xfId="0" applyFont="1" applyBorder="1" applyAlignment="1">
      <alignment horizontal="left" vertical="center" wrapText="1"/>
    </xf>
    <xf numFmtId="0" fontId="97" fillId="0" borderId="0" xfId="0" applyFont="1" applyAlignment="1">
      <alignment horizontal="left" vertical="center" wrapText="1"/>
    </xf>
    <xf numFmtId="0" fontId="97" fillId="0" borderId="12" xfId="0" applyFont="1" applyBorder="1" applyAlignment="1">
      <alignment horizontal="left" vertical="center" wrapText="1"/>
    </xf>
    <xf numFmtId="0" fontId="97" fillId="0" borderId="13" xfId="0" applyFont="1" applyBorder="1" applyAlignment="1">
      <alignment horizontal="left" vertical="center" wrapText="1"/>
    </xf>
    <xf numFmtId="0" fontId="97" fillId="0" borderId="7" xfId="0" applyFont="1" applyBorder="1" applyAlignment="1">
      <alignment horizontal="right" vertical="center" wrapText="1"/>
    </xf>
    <xf numFmtId="0" fontId="97" fillId="0" borderId="9" xfId="0" applyFont="1" applyBorder="1" applyAlignment="1">
      <alignment horizontal="right" vertical="center" wrapText="1"/>
    </xf>
    <xf numFmtId="0" fontId="97" fillId="0" borderId="10" xfId="0" applyFont="1" applyBorder="1" applyAlignment="1">
      <alignment horizontal="right" vertical="center" wrapText="1"/>
    </xf>
    <xf numFmtId="0" fontId="97" fillId="0" borderId="0" xfId="0" applyFont="1" applyAlignment="1">
      <alignment horizontal="right" vertical="center" wrapText="1"/>
    </xf>
    <xf numFmtId="0" fontId="40" fillId="0" borderId="78" xfId="0" applyFont="1" applyBorder="1" applyAlignment="1">
      <alignment horizontal="center" vertical="center" wrapText="1"/>
    </xf>
    <xf numFmtId="0" fontId="40" fillId="0" borderId="79" xfId="0" applyFont="1" applyBorder="1" applyAlignment="1">
      <alignment horizontal="center" vertical="center" wrapText="1"/>
    </xf>
    <xf numFmtId="0" fontId="40" fillId="0" borderId="99" xfId="0" applyFont="1" applyBorder="1" applyAlignment="1">
      <alignment horizontal="center" vertical="center" wrapText="1"/>
    </xf>
    <xf numFmtId="0" fontId="40" fillId="0" borderId="9" xfId="0" applyFont="1" applyBorder="1" applyAlignment="1">
      <alignment horizontal="left"/>
    </xf>
    <xf numFmtId="0" fontId="40" fillId="0" borderId="77" xfId="0" applyFont="1" applyBorder="1" applyAlignment="1">
      <alignment horizontal="left"/>
    </xf>
    <xf numFmtId="0" fontId="40" fillId="0" borderId="0" xfId="0" applyFont="1" applyAlignment="1">
      <alignment horizontal="left"/>
    </xf>
    <xf numFmtId="0" fontId="40" fillId="0" borderId="73" xfId="0" applyFont="1" applyBorder="1" applyAlignment="1">
      <alignment horizontal="left"/>
    </xf>
    <xf numFmtId="0" fontId="40" fillId="0" borderId="0" xfId="0" applyFont="1" applyAlignment="1">
      <alignment horizontal="left" wrapText="1"/>
    </xf>
    <xf numFmtId="0" fontId="40" fillId="0" borderId="73" xfId="0" applyFont="1" applyBorder="1" applyAlignment="1">
      <alignment horizontal="left" wrapText="1"/>
    </xf>
    <xf numFmtId="0" fontId="97" fillId="0" borderId="0" xfId="0" applyFont="1" applyAlignment="1">
      <alignment horizontal="left" vertical="top" wrapText="1"/>
    </xf>
    <xf numFmtId="0" fontId="97" fillId="0" borderId="73" xfId="0" applyFont="1" applyBorder="1" applyAlignment="1">
      <alignment horizontal="left" vertical="top" wrapText="1"/>
    </xf>
    <xf numFmtId="0" fontId="97" fillId="0" borderId="79" xfId="0" applyFont="1" applyBorder="1" applyAlignment="1">
      <alignment horizontal="left" vertical="top" wrapText="1"/>
    </xf>
    <xf numFmtId="0" fontId="97" fillId="0" borderId="80" xfId="0" applyFont="1" applyBorder="1" applyAlignment="1">
      <alignment horizontal="left" vertical="top" wrapText="1"/>
    </xf>
    <xf numFmtId="0" fontId="40" fillId="3" borderId="0" xfId="0" applyFont="1" applyFill="1" applyAlignment="1">
      <alignment horizontal="center" vertical="center"/>
    </xf>
    <xf numFmtId="0" fontId="40" fillId="3" borderId="73" xfId="0" applyFont="1" applyFill="1" applyBorder="1" applyAlignment="1">
      <alignment horizontal="center" vertical="center"/>
    </xf>
    <xf numFmtId="0" fontId="40" fillId="3" borderId="0" xfId="0" applyFont="1" applyFill="1" applyAlignment="1">
      <alignment horizontal="center" vertical="center" shrinkToFit="1"/>
    </xf>
    <xf numFmtId="0" fontId="63" fillId="3" borderId="0" xfId="0" applyFont="1" applyFill="1" applyAlignment="1">
      <alignment horizontal="center" vertical="center" shrinkToFit="1"/>
    </xf>
    <xf numFmtId="167" fontId="40" fillId="0" borderId="0" xfId="0" applyNumberFormat="1" applyFont="1" applyAlignment="1">
      <alignment horizontal="center" vertical="center"/>
    </xf>
    <xf numFmtId="0" fontId="40" fillId="0" borderId="0" xfId="0" applyFont="1" applyAlignment="1">
      <alignment horizontal="left" vertical="center"/>
    </xf>
    <xf numFmtId="0" fontId="40" fillId="0" borderId="0" xfId="0" applyFont="1" applyAlignment="1">
      <alignment horizontal="center" vertical="center"/>
    </xf>
    <xf numFmtId="0" fontId="100" fillId="0" borderId="0" xfId="0" applyFont="1" applyAlignment="1">
      <alignment horizontal="center" vertical="center"/>
    </xf>
    <xf numFmtId="0" fontId="99" fillId="0" borderId="13" xfId="0" applyFont="1" applyBorder="1" applyAlignment="1">
      <alignment horizontal="center" vertical="center"/>
    </xf>
    <xf numFmtId="173" fontId="62" fillId="0" borderId="70" xfId="0" applyNumberFormat="1" applyFont="1" applyBorder="1" applyAlignment="1">
      <alignment horizontal="right" vertical="center"/>
    </xf>
    <xf numFmtId="173" fontId="62" fillId="0" borderId="71" xfId="0" applyNumberFormat="1" applyFont="1" applyBorder="1" applyAlignment="1">
      <alignment horizontal="right" vertical="center"/>
    </xf>
    <xf numFmtId="0" fontId="79" fillId="3" borderId="0" xfId="3" applyFont="1" applyFill="1" applyAlignment="1">
      <alignment horizontal="center" vertical="center"/>
    </xf>
    <xf numFmtId="0" fontId="75" fillId="3" borderId="12" xfId="3" applyFont="1" applyFill="1" applyBorder="1" applyAlignment="1">
      <alignment horizontal="left"/>
    </xf>
    <xf numFmtId="0" fontId="75" fillId="3" borderId="13" xfId="3" applyFont="1" applyFill="1" applyBorder="1" applyAlignment="1">
      <alignment horizontal="left"/>
    </xf>
    <xf numFmtId="0" fontId="78" fillId="3" borderId="10" xfId="3" applyFont="1" applyFill="1" applyBorder="1" applyAlignment="1">
      <alignment horizontal="center" vertical="center"/>
    </xf>
    <xf numFmtId="0" fontId="78" fillId="3" borderId="0" xfId="3" applyFont="1" applyFill="1" applyAlignment="1">
      <alignment horizontal="center" vertical="center"/>
    </xf>
    <xf numFmtId="0" fontId="75" fillId="0" borderId="0" xfId="3" applyFont="1" applyAlignment="1">
      <alignment horizontal="left" vertical="center"/>
    </xf>
    <xf numFmtId="0" fontId="78" fillId="3" borderId="12" xfId="3" applyFont="1" applyFill="1" applyBorder="1" applyAlignment="1">
      <alignment horizontal="center" vertical="center"/>
    </xf>
    <xf numFmtId="0" fontId="78" fillId="3" borderId="13" xfId="3" applyFont="1" applyFill="1" applyBorder="1" applyAlignment="1">
      <alignment horizontal="center" vertical="center"/>
    </xf>
    <xf numFmtId="0" fontId="90" fillId="3" borderId="4" xfId="3" applyFont="1" applyFill="1" applyBorder="1" applyAlignment="1">
      <alignment horizontal="left" vertical="center" indent="1"/>
    </xf>
    <xf numFmtId="0" fontId="90" fillId="3" borderId="5" xfId="3" applyFont="1" applyFill="1" applyBorder="1" applyAlignment="1">
      <alignment horizontal="left" vertical="center" indent="1"/>
    </xf>
    <xf numFmtId="0" fontId="78" fillId="3" borderId="2" xfId="3" applyFont="1" applyFill="1" applyBorder="1" applyAlignment="1">
      <alignment horizontal="center" vertical="center"/>
    </xf>
    <xf numFmtId="0" fontId="78" fillId="3" borderId="3" xfId="3" applyFont="1" applyFill="1" applyBorder="1" applyAlignment="1">
      <alignment horizontal="center" vertical="center"/>
    </xf>
    <xf numFmtId="0" fontId="78" fillId="3" borderId="7" xfId="3" applyFont="1" applyFill="1" applyBorder="1" applyAlignment="1">
      <alignment horizontal="center" vertical="center"/>
    </xf>
    <xf numFmtId="0" fontId="78" fillId="3" borderId="9" xfId="3" applyFont="1" applyFill="1" applyBorder="1" applyAlignment="1">
      <alignment horizontal="center" vertical="center"/>
    </xf>
    <xf numFmtId="0" fontId="78" fillId="3" borderId="8" xfId="3" applyFont="1" applyFill="1" applyBorder="1" applyAlignment="1">
      <alignment horizontal="center" vertical="center"/>
    </xf>
    <xf numFmtId="0" fontId="78" fillId="3" borderId="14" xfId="3" applyFont="1" applyFill="1" applyBorder="1" applyAlignment="1">
      <alignment horizontal="center" vertical="center"/>
    </xf>
    <xf numFmtId="0" fontId="78" fillId="3" borderId="13" xfId="3" applyFont="1" applyFill="1" applyBorder="1" applyAlignment="1">
      <alignment horizontal="right" vertical="center" shrinkToFit="1"/>
    </xf>
    <xf numFmtId="0" fontId="78" fillId="3" borderId="14" xfId="3" applyFont="1" applyFill="1" applyBorder="1" applyAlignment="1">
      <alignment horizontal="right" vertical="center" shrinkToFit="1"/>
    </xf>
    <xf numFmtId="0" fontId="91" fillId="3" borderId="12" xfId="3" applyFont="1" applyFill="1" applyBorder="1" applyAlignment="1">
      <alignment horizontal="center" vertical="center" shrinkToFit="1"/>
    </xf>
    <xf numFmtId="0" fontId="91" fillId="3" borderId="13" xfId="3" applyFont="1" applyFill="1" applyBorder="1" applyAlignment="1">
      <alignment horizontal="center" vertical="center" shrinkToFit="1"/>
    </xf>
    <xf numFmtId="0" fontId="91" fillId="3" borderId="14" xfId="3" applyFont="1" applyFill="1" applyBorder="1" applyAlignment="1">
      <alignment horizontal="center" vertical="center" shrinkToFit="1"/>
    </xf>
    <xf numFmtId="0" fontId="81" fillId="3" borderId="7" xfId="3" applyFont="1" applyFill="1" applyBorder="1" applyAlignment="1">
      <alignment horizontal="center" vertical="center"/>
    </xf>
    <xf numFmtId="0" fontId="81" fillId="3" borderId="9" xfId="3" applyFont="1" applyFill="1" applyBorder="1" applyAlignment="1">
      <alignment horizontal="center" vertical="center"/>
    </xf>
    <xf numFmtId="0" fontId="81" fillId="3" borderId="8" xfId="3" applyFont="1" applyFill="1" applyBorder="1" applyAlignment="1">
      <alignment horizontal="center" vertical="center"/>
    </xf>
    <xf numFmtId="0" fontId="81" fillId="3" borderId="7" xfId="3" applyFont="1" applyFill="1" applyBorder="1" applyAlignment="1">
      <alignment horizontal="center" vertical="center" shrinkToFit="1"/>
    </xf>
    <xf numFmtId="0" fontId="81" fillId="3" borderId="9" xfId="3" applyFont="1" applyFill="1" applyBorder="1" applyAlignment="1">
      <alignment horizontal="center" vertical="center" shrinkToFit="1"/>
    </xf>
    <xf numFmtId="0" fontId="81" fillId="3" borderId="8" xfId="3" applyFont="1" applyFill="1" applyBorder="1" applyAlignment="1">
      <alignment horizontal="center" vertical="center" shrinkToFit="1"/>
    </xf>
    <xf numFmtId="0" fontId="78" fillId="3" borderId="0" xfId="3" applyFont="1" applyFill="1" applyAlignment="1">
      <alignment horizontal="left" vertical="center" shrinkToFit="1"/>
    </xf>
    <xf numFmtId="0" fontId="78" fillId="3" borderId="13" xfId="3" applyFont="1" applyFill="1" applyBorder="1" applyAlignment="1">
      <alignment horizontal="left" vertical="center"/>
    </xf>
    <xf numFmtId="0" fontId="78" fillId="3" borderId="14" xfId="3" applyFont="1" applyFill="1" applyBorder="1" applyAlignment="1">
      <alignment horizontal="left" vertical="center"/>
    </xf>
    <xf numFmtId="0" fontId="78" fillId="3" borderId="11" xfId="3" applyFont="1" applyFill="1" applyBorder="1" applyAlignment="1">
      <alignment horizontal="left" vertical="center" shrinkToFit="1"/>
    </xf>
    <xf numFmtId="0" fontId="14" fillId="0" borderId="4" xfId="0" applyFont="1" applyBorder="1" applyAlignment="1">
      <alignment horizontal="center" vertical="center" shrinkToFit="1"/>
    </xf>
    <xf numFmtId="0" fontId="14" fillId="0" borderId="5" xfId="0" applyFont="1" applyBorder="1" applyAlignment="1">
      <alignment horizontal="center" vertical="center" shrinkToFit="1"/>
    </xf>
    <xf numFmtId="0" fontId="14" fillId="0" borderId="6" xfId="0" applyFont="1" applyBorder="1" applyAlignment="1">
      <alignment horizontal="center" vertical="center" shrinkToFit="1"/>
    </xf>
    <xf numFmtId="0" fontId="13" fillId="0" borderId="4" xfId="0" applyFont="1" applyBorder="1" applyAlignment="1">
      <alignment horizontal="center" vertical="center" shrinkToFit="1"/>
    </xf>
    <xf numFmtId="0" fontId="13" fillId="0" borderId="5" xfId="0" applyFont="1" applyBorder="1" applyAlignment="1">
      <alignment horizontal="center" vertical="center" shrinkToFit="1"/>
    </xf>
    <xf numFmtId="0" fontId="13" fillId="0" borderId="6" xfId="0" applyFont="1" applyBorder="1" applyAlignment="1">
      <alignment horizontal="center" vertical="center" shrinkToFit="1"/>
    </xf>
    <xf numFmtId="0" fontId="14" fillId="0" borderId="1" xfId="0" applyFont="1" applyBorder="1" applyAlignment="1">
      <alignment horizontal="center" vertical="center" shrinkToFit="1"/>
    </xf>
    <xf numFmtId="0" fontId="13" fillId="0" borderId="1" xfId="0" applyFont="1" applyBorder="1" applyAlignment="1">
      <alignment horizontal="center" vertical="center" shrinkToFit="1"/>
    </xf>
    <xf numFmtId="14" fontId="42" fillId="2" borderId="0" xfId="0" applyNumberFormat="1" applyFont="1" applyFill="1" applyAlignment="1">
      <alignment horizontal="center" vertical="center" shrinkToFit="1"/>
    </xf>
    <xf numFmtId="175" fontId="42" fillId="2" borderId="0" xfId="0" applyNumberFormat="1" applyFont="1" applyFill="1" applyAlignment="1">
      <alignment horizontal="center" vertical="center" shrinkToFit="1"/>
    </xf>
    <xf numFmtId="0" fontId="13" fillId="0" borderId="1" xfId="0" applyFont="1" applyBorder="1" applyAlignment="1">
      <alignment horizontal="center" vertical="center"/>
    </xf>
    <xf numFmtId="0" fontId="58" fillId="0" borderId="1" xfId="0" applyFont="1" applyBorder="1" applyAlignment="1">
      <alignment horizontal="center" vertical="center" shrinkToFit="1"/>
    </xf>
    <xf numFmtId="0" fontId="18" fillId="0" borderId="1" xfId="0" applyFont="1" applyBorder="1" applyAlignment="1">
      <alignment horizontal="center" vertical="center"/>
    </xf>
    <xf numFmtId="0" fontId="43" fillId="12" borderId="0" xfId="0" applyFont="1" applyFill="1" applyAlignment="1">
      <alignment horizontal="center" vertical="center"/>
    </xf>
    <xf numFmtId="0" fontId="13" fillId="0" borderId="4" xfId="0" applyFont="1" applyBorder="1" applyAlignment="1">
      <alignment horizontal="center" vertical="center"/>
    </xf>
    <xf numFmtId="0" fontId="13" fillId="0" borderId="5" xfId="0" applyFont="1" applyBorder="1" applyAlignment="1">
      <alignment horizontal="center" vertical="center"/>
    </xf>
    <xf numFmtId="0" fontId="13" fillId="0" borderId="6" xfId="0" applyFont="1" applyBorder="1" applyAlignment="1">
      <alignment horizontal="center" vertical="center"/>
    </xf>
  </cellXfs>
  <cellStyles count="5">
    <cellStyle name="Hipervínculo" xfId="2" builtinId="8"/>
    <cellStyle name="Normal" xfId="0" builtinId="0"/>
    <cellStyle name="Normal 2" xfId="3" xr:uid="{F1078FB8-B2B0-4C0C-A5B0-788A49C6ADE3}"/>
    <cellStyle name="Normal 3" xfId="4" xr:uid="{00398D71-28D4-4A67-9BB0-6FC27774A7E6}"/>
    <cellStyle name="標準 2" xfId="1" xr:uid="{00000000-0005-0000-0000-000002000000}"/>
  </cellStyles>
  <dxfs count="134">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明朝"/>
        <family val="1"/>
        <charset val="128"/>
        <scheme val="none"/>
      </font>
      <alignment horizontal="center"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游明朝"/>
        <family val="1"/>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游明朝"/>
        <family val="1"/>
        <charset val="128"/>
        <scheme val="none"/>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9"/>
        <color auto="1"/>
        <name val="游明朝"/>
        <family val="1"/>
        <charset val="128"/>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color theme="0"/>
      </font>
    </dxf>
    <dxf>
      <font>
        <color theme="5"/>
      </font>
      <fill>
        <patternFill>
          <bgColor theme="9" tint="0.39994506668294322"/>
        </patternFill>
      </fill>
    </dxf>
    <dxf>
      <font>
        <color theme="3"/>
      </font>
      <fill>
        <patternFill>
          <bgColor theme="3" tint="0.79998168889431442"/>
        </patternFill>
      </fill>
    </dxf>
    <dxf>
      <font>
        <color theme="5"/>
      </font>
      <fill>
        <patternFill>
          <bgColor theme="9" tint="0.39994506668294322"/>
        </patternFill>
      </fill>
    </dxf>
    <dxf>
      <font>
        <color theme="3"/>
      </font>
      <fill>
        <patternFill>
          <bgColor theme="3" tint="0.79998168889431442"/>
        </patternFill>
      </fill>
    </dxf>
    <dxf>
      <font>
        <color theme="5"/>
      </font>
      <fill>
        <patternFill>
          <bgColor theme="9" tint="0.39994506668294322"/>
        </patternFill>
      </fill>
    </dxf>
    <dxf>
      <font>
        <color theme="3"/>
      </font>
      <fill>
        <patternFill>
          <bgColor theme="3" tint="0.79998168889431442"/>
        </patternFill>
      </fill>
    </dxf>
    <dxf>
      <font>
        <color theme="5"/>
      </font>
      <fill>
        <patternFill>
          <bgColor theme="9" tint="0.39994506668294322"/>
        </patternFill>
      </fill>
    </dxf>
    <dxf>
      <font>
        <color theme="3"/>
      </font>
      <fill>
        <patternFill>
          <bgColor theme="3" tint="0.79998168889431442"/>
        </patternFill>
      </fill>
    </dxf>
    <dxf>
      <fill>
        <patternFill>
          <bgColor rgb="FFFF0000"/>
        </patternFill>
      </fill>
    </dxf>
    <dxf>
      <fill>
        <patternFill>
          <bgColor rgb="FFFF0000"/>
        </patternFill>
      </fill>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numFmt numFmtId="167" formatCode="yyyy&quot;年&quot;m&quot;月&quot;d&quot;日&quo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rgb="FF002060"/>
        <name val="BIZ UD明朝 Medium"/>
        <family val="1"/>
        <charset val="128"/>
        <scheme val="none"/>
      </font>
      <numFmt numFmtId="167" formatCode="yyyy&quot;年&quot;m&quot;月&quot;d&quot;日&quot;;@"/>
      <fill>
        <patternFill patternType="solid">
          <fgColor indexed="64"/>
          <bgColor rgb="FF92D050"/>
        </patternFill>
      </fill>
      <alignment horizontal="center" vertical="center" textRotation="0" wrapText="0" indent="0" justifyLastLine="0" shrinkToFit="0" readingOrder="0"/>
    </dxf>
    <dxf>
      <font>
        <strike val="0"/>
        <outline val="0"/>
        <shadow val="0"/>
        <u val="none"/>
        <vertAlign val="baseline"/>
        <sz val="10"/>
        <color theme="1"/>
        <name val="BIZ UD明朝 Medium"/>
        <family val="1"/>
        <charset val="128"/>
        <scheme val="none"/>
      </font>
      <fill>
        <patternFill patternType="solid">
          <fgColor indexed="64"/>
          <bgColor theme="9" tint="0.59999389629810485"/>
        </patternFill>
      </fill>
    </dxf>
    <dxf>
      <font>
        <b val="0"/>
        <i val="0"/>
        <strike val="0"/>
        <condense val="0"/>
        <extend val="0"/>
        <outline val="0"/>
        <shadow val="0"/>
        <u val="none"/>
        <vertAlign val="baseline"/>
        <sz val="10"/>
        <color theme="1"/>
        <name val="BIZ UD明朝 Medium"/>
        <family val="1"/>
        <charset val="128"/>
        <scheme val="none"/>
      </font>
      <numFmt numFmtId="165" formatCode="[$-F800]dddd\,\ mmmm\ dd\,\ yyyy"/>
      <fill>
        <patternFill>
          <fgColor indexed="64"/>
          <bgColor rgb="FF00B0F0"/>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BIZ UD明朝 Medium"/>
        <family val="1"/>
        <charset val="128"/>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BIZ UD明朝 Medium"/>
        <family val="1"/>
        <charset val="128"/>
        <scheme val="none"/>
      </font>
      <fill>
        <patternFill patternType="solid">
          <fgColor indexed="64"/>
          <bgColor rgb="FFFFFF00"/>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HGS明朝B"/>
        <family val="1"/>
        <charset val="128"/>
        <scheme val="none"/>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HGS明朝B"/>
        <family val="1"/>
        <charset val="128"/>
        <scheme val="none"/>
      </font>
      <numFmt numFmtId="165" formatCode="[$-F800]dddd\,\ mmmm\ dd\,\ yyyy"/>
      <fill>
        <patternFill patternType="solid">
          <fgColor indexed="64"/>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HGS明朝B"/>
        <family val="1"/>
        <charset val="128"/>
        <scheme val="none"/>
      </font>
      <numFmt numFmtId="167" formatCode="yyyy&quot;年&quot;m&quot;月&quot;d&quot;日&quot;;@"/>
      <fill>
        <patternFill patternType="solid">
          <fgColor indexed="64"/>
          <bgColor theme="6" tint="0.5999938962981048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numFmt numFmtId="165" formatCode="[$-F800]dddd\,\ mmmm\ dd\,\ yyyy"/>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numFmt numFmtId="0" formatCode="General"/>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dxf>
    <dxf>
      <font>
        <b val="0"/>
        <i val="0"/>
        <strike val="0"/>
        <condense val="0"/>
        <extend val="0"/>
        <outline val="0"/>
        <shadow val="0"/>
        <u val="none"/>
        <vertAlign val="baseline"/>
        <sz val="11"/>
        <color theme="1"/>
        <name val="HGS明朝B"/>
        <family val="1"/>
        <charset val="128"/>
        <scheme val="none"/>
      </font>
      <alignment horizontal="center" vertical="center" textRotation="0" wrapText="0" indent="0" justifyLastLine="0" shrinkToFit="0" readingOrder="0"/>
    </dxf>
    <dxf>
      <fill>
        <patternFill>
          <bgColor rgb="FFFF0000"/>
        </patternFill>
      </fill>
    </dxf>
    <dxf>
      <numFmt numFmtId="167" formatCode="yyyy&quot;年&quot;m&quot;月&quot;d&quot;日&quo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numFmt numFmtId="0" formatCode="General"/>
    </dxf>
    <dxf>
      <font>
        <strike val="0"/>
        <outline val="0"/>
        <shadow val="0"/>
        <u val="none"/>
        <vertAlign val="baseline"/>
        <name val="游明朝"/>
        <family val="1"/>
        <charset val="128"/>
        <scheme val="none"/>
      </font>
    </dxf>
    <dxf>
      <font>
        <strike val="0"/>
        <outline val="0"/>
        <shadow val="0"/>
        <u val="none"/>
        <vertAlign val="baseline"/>
        <name val="游明朝"/>
        <family val="1"/>
        <charset val="128"/>
        <scheme val="none"/>
      </font>
    </dxf>
  </dxfs>
  <tableStyles count="1" defaultTableStyle="TableStyleMedium2" defaultPivotStyle="PivotStyleLight16">
    <tableStyle name="Estilo de tabla 1" pivot="0" count="0" xr9:uid="{186E644E-CAC2-4CEC-9657-A93E26073D61}"/>
  </tableStyles>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5.emf"/></Relationships>
</file>

<file path=xl/drawings/_rels/drawing5.xml.rels><?xml version="1.0" encoding="UTF-8" standalone="yes"?>
<Relationships xmlns="http://schemas.openxmlformats.org/package/2006/relationships"><Relationship Id="rId1" Type="http://schemas.openxmlformats.org/officeDocument/2006/relationships/image" Target="../media/image6.emf"/></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7.x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16</xdr:col>
      <xdr:colOff>628650</xdr:colOff>
      <xdr:row>3</xdr:row>
      <xdr:rowOff>123825</xdr:rowOff>
    </xdr:from>
    <xdr:to>
      <xdr:col>17</xdr:col>
      <xdr:colOff>847725</xdr:colOff>
      <xdr:row>5</xdr:row>
      <xdr:rowOff>0</xdr:rowOff>
    </xdr:to>
    <xdr:sp macro="" textlink="">
      <xdr:nvSpPr>
        <xdr:cNvPr id="2" name="CommandButton1" hidden="1">
          <a:extLst>
            <a:ext uri="{63B3BB69-23CF-44E3-9099-C40C66FF867C}">
              <a14:compatExt xmlns:a14="http://schemas.microsoft.com/office/drawing/2010/main" spid="_x0000_s23554"/>
            </a:ext>
            <a:ext uri="{FF2B5EF4-FFF2-40B4-BE49-F238E27FC236}">
              <a16:creationId xmlns:a16="http://schemas.microsoft.com/office/drawing/2014/main" id="{DB5104E9-0CA7-45B8-93F2-803581A208D6}"/>
            </a:ext>
          </a:extLst>
        </xdr:cNvPr>
        <xdr:cNvSpPr/>
      </xdr:nvSpPr>
      <xdr:spPr bwMode="auto">
        <a:xfrm>
          <a:off x="13382625" y="676275"/>
          <a:ext cx="105727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17</xdr:col>
      <xdr:colOff>409575</xdr:colOff>
      <xdr:row>3</xdr:row>
      <xdr:rowOff>85725</xdr:rowOff>
    </xdr:from>
    <xdr:to>
      <xdr:col>17</xdr:col>
      <xdr:colOff>1504950</xdr:colOff>
      <xdr:row>4</xdr:row>
      <xdr:rowOff>180975</xdr:rowOff>
    </xdr:to>
    <xdr:sp macro="" textlink="">
      <xdr:nvSpPr>
        <xdr:cNvPr id="3" name="CommandButton1" hidden="1">
          <a:extLst>
            <a:ext uri="{63B3BB69-23CF-44E3-9099-C40C66FF867C}">
              <a14:compatExt xmlns:a14="http://schemas.microsoft.com/office/drawing/2010/main" spid="_x0000_s13313"/>
            </a:ext>
            <a:ext uri="{FF2B5EF4-FFF2-40B4-BE49-F238E27FC236}">
              <a16:creationId xmlns:a16="http://schemas.microsoft.com/office/drawing/2014/main" id="{B1853DCD-CF3C-40EE-B857-7C5570B8AC8B}"/>
            </a:ext>
          </a:extLst>
        </xdr:cNvPr>
        <xdr:cNvSpPr/>
      </xdr:nvSpPr>
      <xdr:spPr bwMode="auto">
        <a:xfrm>
          <a:off x="14001750" y="638175"/>
          <a:ext cx="10953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15</xdr:col>
          <xdr:colOff>971550</xdr:colOff>
          <xdr:row>3</xdr:row>
          <xdr:rowOff>123825</xdr:rowOff>
        </xdr:from>
        <xdr:to>
          <xdr:col>16</xdr:col>
          <xdr:colOff>828675</xdr:colOff>
          <xdr:row>4</xdr:row>
          <xdr:rowOff>190500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2</a:t>
              </a:r>
            </a:p>
          </xdr:txBody>
        </xdr:sp>
        <xdr:clientData fPrintsWithSheet="0"/>
      </xdr:twoCellAnchor>
    </mc:Choice>
    <mc:Fallback/>
  </mc:AlternateContent>
  <xdr:twoCellAnchor editAs="oneCell">
    <xdr:from>
      <xdr:col>17</xdr:col>
      <xdr:colOff>409575</xdr:colOff>
      <xdr:row>3</xdr:row>
      <xdr:rowOff>85725</xdr:rowOff>
    </xdr:from>
    <xdr:to>
      <xdr:col>17</xdr:col>
      <xdr:colOff>1504950</xdr:colOff>
      <xdr:row>4</xdr:row>
      <xdr:rowOff>180975</xdr:rowOff>
    </xdr:to>
    <xdr:pic>
      <xdr:nvPicPr>
        <xdr:cNvPr id="4" name="CommandButton1">
          <a:extLst>
            <a:ext uri="{FF2B5EF4-FFF2-40B4-BE49-F238E27FC236}">
              <a16:creationId xmlns:a16="http://schemas.microsoft.com/office/drawing/2014/main" id="{EFFFD755-9B84-43F1-BDDB-49A0E3B43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01750" y="638175"/>
          <a:ext cx="10953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9525</xdr:colOff>
          <xdr:row>11</xdr:row>
          <xdr:rowOff>19050</xdr:rowOff>
        </xdr:from>
        <xdr:to>
          <xdr:col>16</xdr:col>
          <xdr:colOff>123825</xdr:colOff>
          <xdr:row>13</xdr:row>
          <xdr:rowOff>9525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限定なし</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76200</xdr:colOff>
          <xdr:row>13</xdr:row>
          <xdr:rowOff>0</xdr:rowOff>
        </xdr:from>
        <xdr:to>
          <xdr:col>12</xdr:col>
          <xdr:colOff>57150</xdr:colOff>
          <xdr:row>14</xdr:row>
          <xdr:rowOff>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付与される権限なし</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0</xdr:rowOff>
        </xdr:from>
        <xdr:to>
          <xdr:col>19</xdr:col>
          <xdr:colOff>114300</xdr:colOff>
          <xdr:row>14</xdr:row>
          <xdr:rowOff>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付与される権限あり</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0</xdr:rowOff>
        </xdr:from>
        <xdr:to>
          <xdr:col>14</xdr:col>
          <xdr:colOff>276225</xdr:colOff>
          <xdr:row>13</xdr:row>
          <xdr:rowOff>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協定対象派遣労働者に限定</a:t>
              </a:r>
            </a:p>
          </xdr:txBody>
        </xdr:sp>
        <xdr:clientData/>
      </xdr:twoCellAnchor>
    </mc:Choice>
    <mc:Fallback/>
  </mc:AlternateContent>
  <xdr:twoCellAnchor editAs="oneCell">
    <xdr:from>
      <xdr:col>30</xdr:col>
      <xdr:colOff>190500</xdr:colOff>
      <xdr:row>8</xdr:row>
      <xdr:rowOff>114300</xdr:rowOff>
    </xdr:from>
    <xdr:to>
      <xdr:col>32</xdr:col>
      <xdr:colOff>0</xdr:colOff>
      <xdr:row>10</xdr:row>
      <xdr:rowOff>76200</xdr:rowOff>
    </xdr:to>
    <xdr:sp macro="" textlink="">
      <xdr:nvSpPr>
        <xdr:cNvPr id="9226" name="Imprimir" hidden="1">
          <a:extLst>
            <a:ext uri="{63B3BB69-23CF-44E3-9099-C40C66FF867C}">
              <a14:compatExt xmlns:a14="http://schemas.microsoft.com/office/drawing/2010/main" spid="_x0000_s9226"/>
            </a:ext>
            <a:ext uri="{FF2B5EF4-FFF2-40B4-BE49-F238E27FC236}">
              <a16:creationId xmlns:a16="http://schemas.microsoft.com/office/drawing/2014/main" id="{00000000-0008-0000-0400-00000A2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29</xdr:col>
      <xdr:colOff>1085850</xdr:colOff>
      <xdr:row>8</xdr:row>
      <xdr:rowOff>57150</xdr:rowOff>
    </xdr:from>
    <xdr:to>
      <xdr:col>31</xdr:col>
      <xdr:colOff>552450</xdr:colOff>
      <xdr:row>10</xdr:row>
      <xdr:rowOff>19050</xdr:rowOff>
    </xdr:to>
    <xdr:pic macro="[0]!ImpresiondeDaicho25_5_8">
      <xdr:nvPicPr>
        <xdr:cNvPr id="2" name="Imprimir">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53675" y="1866900"/>
          <a:ext cx="154305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twoCellAnchor editAs="oneCell">
    <xdr:from>
      <xdr:col>29</xdr:col>
      <xdr:colOff>1104900</xdr:colOff>
      <xdr:row>20</xdr:row>
      <xdr:rowOff>0</xdr:rowOff>
    </xdr:from>
    <xdr:to>
      <xdr:col>31</xdr:col>
      <xdr:colOff>695325</xdr:colOff>
      <xdr:row>24</xdr:row>
      <xdr:rowOff>9525</xdr:rowOff>
    </xdr:to>
    <xdr:sp macro="" textlink="">
      <xdr:nvSpPr>
        <xdr:cNvPr id="9232" name="CommandButton1" hidden="1">
          <a:extLst>
            <a:ext uri="{63B3BB69-23CF-44E3-9099-C40C66FF867C}">
              <a14:compatExt xmlns:a14="http://schemas.microsoft.com/office/drawing/2010/main" spid="_x0000_s9232"/>
            </a:ext>
            <a:ext uri="{FF2B5EF4-FFF2-40B4-BE49-F238E27FC236}">
              <a16:creationId xmlns:a16="http://schemas.microsoft.com/office/drawing/2014/main" id="{00000000-0008-0000-0400-0000102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40</xdr:col>
      <xdr:colOff>114300</xdr:colOff>
      <xdr:row>4</xdr:row>
      <xdr:rowOff>0</xdr:rowOff>
    </xdr:from>
    <xdr:to>
      <xdr:col>49</xdr:col>
      <xdr:colOff>57150</xdr:colOff>
      <xdr:row>6</xdr:row>
      <xdr:rowOff>104775</xdr:rowOff>
    </xdr:to>
    <xdr:sp macro="" textlink="">
      <xdr:nvSpPr>
        <xdr:cNvPr id="11266" name="CommandButton1" hidden="1">
          <a:extLst>
            <a:ext uri="{63B3BB69-23CF-44E3-9099-C40C66FF867C}">
              <a14:compatExt xmlns:a14="http://schemas.microsoft.com/office/drawing/2010/main" spid="_x0000_s11266"/>
            </a:ext>
            <a:ext uri="{FF2B5EF4-FFF2-40B4-BE49-F238E27FC236}">
              <a16:creationId xmlns:a16="http://schemas.microsoft.com/office/drawing/2014/main" id="{00000000-0008-0000-0800-0000022C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50</xdr:col>
      <xdr:colOff>0</xdr:colOff>
      <xdr:row>4</xdr:row>
      <xdr:rowOff>9525</xdr:rowOff>
    </xdr:from>
    <xdr:to>
      <xdr:col>58</xdr:col>
      <xdr:colOff>28575</xdr:colOff>
      <xdr:row>6</xdr:row>
      <xdr:rowOff>114300</xdr:rowOff>
    </xdr:to>
    <xdr:sp macro="" textlink="">
      <xdr:nvSpPr>
        <xdr:cNvPr id="11267" name="CommandButton2" hidden="1">
          <a:extLst>
            <a:ext uri="{63B3BB69-23CF-44E3-9099-C40C66FF867C}">
              <a14:compatExt xmlns:a14="http://schemas.microsoft.com/office/drawing/2010/main"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39</xdr:col>
      <xdr:colOff>66675</xdr:colOff>
      <xdr:row>3</xdr:row>
      <xdr:rowOff>95250</xdr:rowOff>
    </xdr:from>
    <xdr:to>
      <xdr:col>46</xdr:col>
      <xdr:colOff>57150</xdr:colOff>
      <xdr:row>6</xdr:row>
      <xdr:rowOff>9525</xdr:rowOff>
    </xdr:to>
    <xdr:sp macro="" textlink="">
      <xdr:nvSpPr>
        <xdr:cNvPr id="10242" name="CommandButton1" hidden="1">
          <a:extLst>
            <a:ext uri="{63B3BB69-23CF-44E3-9099-C40C66FF867C}">
              <a14:compatExt xmlns:a14="http://schemas.microsoft.com/office/drawing/2010/main"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47</xdr:col>
      <xdr:colOff>57150</xdr:colOff>
      <xdr:row>3</xdr:row>
      <xdr:rowOff>85725</xdr:rowOff>
    </xdr:from>
    <xdr:to>
      <xdr:col>54</xdr:col>
      <xdr:colOff>47625</xdr:colOff>
      <xdr:row>6</xdr:row>
      <xdr:rowOff>0</xdr:rowOff>
    </xdr:to>
    <xdr:sp macro="" textlink="">
      <xdr:nvSpPr>
        <xdr:cNvPr id="10243" name="CommandButton2" hidden="1">
          <a:extLst>
            <a:ext uri="{63B3BB69-23CF-44E3-9099-C40C66FF867C}">
              <a14:compatExt xmlns:a14="http://schemas.microsoft.com/office/drawing/2010/main" spid="_x0000_s10243"/>
            </a:ext>
            <a:ext uri="{FF2B5EF4-FFF2-40B4-BE49-F238E27FC236}">
              <a16:creationId xmlns:a16="http://schemas.microsoft.com/office/drawing/2014/main" id="{00000000-0008-0000-0800-0000032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39</xdr:col>
          <xdr:colOff>85725</xdr:colOff>
          <xdr:row>1</xdr:row>
          <xdr:rowOff>47625</xdr:rowOff>
        </xdr:from>
        <xdr:to>
          <xdr:col>45</xdr:col>
          <xdr:colOff>76200</xdr:colOff>
          <xdr:row>3</xdr:row>
          <xdr:rowOff>19050</xdr:rowOff>
        </xdr:to>
        <xdr:sp macro="" textlink="">
          <xdr:nvSpPr>
            <xdr:cNvPr id="30721" name="Button 4" hidden="1">
              <a:extLst>
                <a:ext uri="{63B3BB69-23CF-44E3-9099-C40C66FF867C}">
                  <a14:compatExt spid="_x0000_s30721"/>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twoCellAnchor editAs="oneCell">
    <xdr:from>
      <xdr:col>39</xdr:col>
      <xdr:colOff>66675</xdr:colOff>
      <xdr:row>3</xdr:row>
      <xdr:rowOff>95250</xdr:rowOff>
    </xdr:from>
    <xdr:to>
      <xdr:col>46</xdr:col>
      <xdr:colOff>57150</xdr:colOff>
      <xdr:row>6</xdr:row>
      <xdr:rowOff>9525</xdr:rowOff>
    </xdr:to>
    <xdr:pic>
      <xdr:nvPicPr>
        <xdr:cNvPr id="2" name="CommandButton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2525" y="552450"/>
          <a:ext cx="8572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twoCellAnchor editAs="oneCell">
    <xdr:from>
      <xdr:col>47</xdr:col>
      <xdr:colOff>57150</xdr:colOff>
      <xdr:row>3</xdr:row>
      <xdr:rowOff>85725</xdr:rowOff>
    </xdr:from>
    <xdr:to>
      <xdr:col>54</xdr:col>
      <xdr:colOff>47625</xdr:colOff>
      <xdr:row>6</xdr:row>
      <xdr:rowOff>0</xdr:rowOff>
    </xdr:to>
    <xdr:pic>
      <xdr:nvPicPr>
        <xdr:cNvPr id="3" name="CommandButton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43600" y="542925"/>
          <a:ext cx="8572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25</xdr:col>
      <xdr:colOff>171450</xdr:colOff>
      <xdr:row>70</xdr:row>
      <xdr:rowOff>76200</xdr:rowOff>
    </xdr:from>
    <xdr:to>
      <xdr:col>29</xdr:col>
      <xdr:colOff>209549</xdr:colOff>
      <xdr:row>71</xdr:row>
      <xdr:rowOff>152400</xdr:rowOff>
    </xdr:to>
    <xdr:sp macro="" textlink="">
      <xdr:nvSpPr>
        <xdr:cNvPr id="6" name="正方形/長方形 9">
          <a:extLst>
            <a:ext uri="{FF2B5EF4-FFF2-40B4-BE49-F238E27FC236}">
              <a16:creationId xmlns:a16="http://schemas.microsoft.com/office/drawing/2014/main" id="{00000000-0008-0000-0900-000006000000}"/>
            </a:ext>
          </a:extLst>
        </xdr:cNvPr>
        <xdr:cNvSpPr/>
      </xdr:nvSpPr>
      <xdr:spPr>
        <a:xfrm>
          <a:off x="6705600" y="10925175"/>
          <a:ext cx="828674" cy="238125"/>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endParaRPr lang="ja-JP" altLang="ja-JP" sz="1100">
            <a:solidFill>
              <a:schemeClr val="dk1"/>
            </a:solidFill>
            <a:effectLst/>
            <a:latin typeface="+mn-lt"/>
            <a:ea typeface="+mn-ea"/>
            <a:cs typeface="+mn-cs"/>
          </a:endParaRPr>
        </a:p>
        <a:p>
          <a:pPr algn="l"/>
          <a:endParaRPr kumimoji="1" lang="ja-JP" altLang="en-US" sz="1100"/>
        </a:p>
      </xdr:txBody>
    </xdr:sp>
    <xdr:clientData/>
  </xdr:twoCellAnchor>
  <xdr:twoCellAnchor editAs="oneCell">
    <xdr:from>
      <xdr:col>20</xdr:col>
      <xdr:colOff>152400</xdr:colOff>
      <xdr:row>1</xdr:row>
      <xdr:rowOff>123825</xdr:rowOff>
    </xdr:from>
    <xdr:to>
      <xdr:col>24</xdr:col>
      <xdr:colOff>142875</xdr:colOff>
      <xdr:row>5</xdr:row>
      <xdr:rowOff>0</xdr:rowOff>
    </xdr:to>
    <xdr:sp macro="" textlink="">
      <xdr:nvSpPr>
        <xdr:cNvPr id="12289" name="CommandButton1" hidden="1">
          <a:extLst>
            <a:ext uri="{63B3BB69-23CF-44E3-9099-C40C66FF867C}">
              <a14:compatExt xmlns:a14="http://schemas.microsoft.com/office/drawing/2010/main"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21</xdr:col>
      <xdr:colOff>209550</xdr:colOff>
      <xdr:row>2</xdr:row>
      <xdr:rowOff>0</xdr:rowOff>
    </xdr:from>
    <xdr:to>
      <xdr:col>25</xdr:col>
      <xdr:colOff>238125</xdr:colOff>
      <xdr:row>4</xdr:row>
      <xdr:rowOff>66675</xdr:rowOff>
    </xdr:to>
    <xdr:sp macro="" textlink="">
      <xdr:nvSpPr>
        <xdr:cNvPr id="11265" name="CommandButton1" hidden="1">
          <a:extLst>
            <a:ext uri="{63B3BB69-23CF-44E3-9099-C40C66FF867C}">
              <a14:compatExt xmlns:a14="http://schemas.microsoft.com/office/drawing/2010/main"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18</xdr:col>
          <xdr:colOff>171450</xdr:colOff>
          <xdr:row>1</xdr:row>
          <xdr:rowOff>123825</xdr:rowOff>
        </xdr:from>
        <xdr:to>
          <xdr:col>21</xdr:col>
          <xdr:colOff>57150</xdr:colOff>
          <xdr:row>3</xdr:row>
          <xdr:rowOff>133350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B00-0000022C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2</a:t>
              </a:r>
            </a:p>
          </xdr:txBody>
        </xdr:sp>
        <xdr:clientData fPrintsWithSheet="0"/>
      </xdr:twoCellAnchor>
    </mc:Choice>
    <mc:Fallback/>
  </mc:AlternateContent>
  <xdr:twoCellAnchor editAs="oneCell">
    <xdr:from>
      <xdr:col>21</xdr:col>
      <xdr:colOff>209550</xdr:colOff>
      <xdr:row>2</xdr:row>
      <xdr:rowOff>0</xdr:rowOff>
    </xdr:from>
    <xdr:to>
      <xdr:col>25</xdr:col>
      <xdr:colOff>238125</xdr:colOff>
      <xdr:row>4</xdr:row>
      <xdr:rowOff>66675</xdr:rowOff>
    </xdr:to>
    <xdr:pic>
      <xdr:nvPicPr>
        <xdr:cNvPr id="2" name="CommandButton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219075"/>
          <a:ext cx="10953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23</xdr:col>
      <xdr:colOff>19050</xdr:colOff>
      <xdr:row>2</xdr:row>
      <xdr:rowOff>66675</xdr:rowOff>
    </xdr:from>
    <xdr:to>
      <xdr:col>26</xdr:col>
      <xdr:colOff>209550</xdr:colOff>
      <xdr:row>3</xdr:row>
      <xdr:rowOff>257175</xdr:rowOff>
    </xdr:to>
    <xdr:sp macro="" textlink="">
      <xdr:nvSpPr>
        <xdr:cNvPr id="13313" name="CommandButton1" hidden="1">
          <a:extLst>
            <a:ext uri="{63B3BB69-23CF-44E3-9099-C40C66FF867C}">
              <a14:compatExt xmlns:a14="http://schemas.microsoft.com/office/drawing/2010/main" spid="_x0000_s13313"/>
            </a:ext>
            <a:ext uri="{FF2B5EF4-FFF2-40B4-BE49-F238E27FC236}">
              <a16:creationId xmlns:a16="http://schemas.microsoft.com/office/drawing/2014/main" id="{00000000-0008-0000-0A00-0000013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22</xdr:col>
      <xdr:colOff>123825</xdr:colOff>
      <xdr:row>2</xdr:row>
      <xdr:rowOff>47625</xdr:rowOff>
    </xdr:from>
    <xdr:to>
      <xdr:col>26</xdr:col>
      <xdr:colOff>76200</xdr:colOff>
      <xdr:row>3</xdr:row>
      <xdr:rowOff>219075</xdr:rowOff>
    </xdr:to>
    <xdr:sp macro="" textlink="">
      <xdr:nvSpPr>
        <xdr:cNvPr id="12289" name="CommandButton1" hidden="1">
          <a:extLst>
            <a:ext uri="{63B3BB69-23CF-44E3-9099-C40C66FF867C}">
              <a14:compatExt xmlns:a14="http://schemas.microsoft.com/office/drawing/2010/main"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23</xdr:col>
          <xdr:colOff>28575</xdr:colOff>
          <xdr:row>4</xdr:row>
          <xdr:rowOff>66675</xdr:rowOff>
        </xdr:from>
        <xdr:to>
          <xdr:col>26</xdr:col>
          <xdr:colOff>57150</xdr:colOff>
          <xdr:row>5</xdr:row>
          <xdr:rowOff>133350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C00-00000230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2</a:t>
              </a:r>
            </a:p>
          </xdr:txBody>
        </xdr:sp>
        <xdr:clientData fPrintsWithSheet="0"/>
      </xdr:twoCellAnchor>
    </mc:Choice>
    <mc:Fallback/>
  </mc:AlternateContent>
  <xdr:twoCellAnchor editAs="oneCell">
    <xdr:from>
      <xdr:col>22</xdr:col>
      <xdr:colOff>123825</xdr:colOff>
      <xdr:row>2</xdr:row>
      <xdr:rowOff>47625</xdr:rowOff>
    </xdr:from>
    <xdr:to>
      <xdr:col>26</xdr:col>
      <xdr:colOff>76200</xdr:colOff>
      <xdr:row>3</xdr:row>
      <xdr:rowOff>219075</xdr:rowOff>
    </xdr:to>
    <xdr:pic>
      <xdr:nvPicPr>
        <xdr:cNvPr id="2" name="CommandButton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29375" y="371475"/>
          <a:ext cx="10953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16</xdr:col>
      <xdr:colOff>628650</xdr:colOff>
      <xdr:row>3</xdr:row>
      <xdr:rowOff>123825</xdr:rowOff>
    </xdr:from>
    <xdr:to>
      <xdr:col>17</xdr:col>
      <xdr:colOff>847725</xdr:colOff>
      <xdr:row>5</xdr:row>
      <xdr:rowOff>0</xdr:rowOff>
    </xdr:to>
    <xdr:sp macro="" textlink="">
      <xdr:nvSpPr>
        <xdr:cNvPr id="23554" name="CommandButton1" hidden="1">
          <a:extLst>
            <a:ext uri="{63B3BB69-23CF-44E3-9099-C40C66FF867C}">
              <a14:compatExt xmlns:a14="http://schemas.microsoft.com/office/drawing/2010/main" spid="_x0000_s23554"/>
            </a:ext>
            <a:ext uri="{FF2B5EF4-FFF2-40B4-BE49-F238E27FC236}">
              <a16:creationId xmlns:a16="http://schemas.microsoft.com/office/drawing/2014/main" id="{00000000-0008-0000-0B00-0000025C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xdr:twoCellAnchor editAs="oneCell">
    <xdr:from>
      <xdr:col>17</xdr:col>
      <xdr:colOff>409575</xdr:colOff>
      <xdr:row>3</xdr:row>
      <xdr:rowOff>85725</xdr:rowOff>
    </xdr:from>
    <xdr:to>
      <xdr:col>17</xdr:col>
      <xdr:colOff>1504950</xdr:colOff>
      <xdr:row>4</xdr:row>
      <xdr:rowOff>180975</xdr:rowOff>
    </xdr:to>
    <xdr:sp macro="" textlink="">
      <xdr:nvSpPr>
        <xdr:cNvPr id="13313" name="CommandButton1" hidden="1">
          <a:extLst>
            <a:ext uri="{63B3BB69-23CF-44E3-9099-C40C66FF867C}">
              <a14:compatExt xmlns:a14="http://schemas.microsoft.com/office/drawing/2010/main"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15</xdr:col>
          <xdr:colOff>971550</xdr:colOff>
          <xdr:row>3</xdr:row>
          <xdr:rowOff>123825</xdr:rowOff>
        </xdr:from>
        <xdr:to>
          <xdr:col>16</xdr:col>
          <xdr:colOff>828675</xdr:colOff>
          <xdr:row>4</xdr:row>
          <xdr:rowOff>190500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D00-00000234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2</a:t>
              </a:r>
            </a:p>
          </xdr:txBody>
        </xdr:sp>
        <xdr:clientData fPrintsWithSheet="0"/>
      </xdr:twoCellAnchor>
    </mc:Choice>
    <mc:Fallback/>
  </mc:AlternateContent>
  <xdr:twoCellAnchor editAs="oneCell">
    <xdr:from>
      <xdr:col>17</xdr:col>
      <xdr:colOff>409575</xdr:colOff>
      <xdr:row>3</xdr:row>
      <xdr:rowOff>85725</xdr:rowOff>
    </xdr:from>
    <xdr:to>
      <xdr:col>17</xdr:col>
      <xdr:colOff>1504950</xdr:colOff>
      <xdr:row>4</xdr:row>
      <xdr:rowOff>180975</xdr:rowOff>
    </xdr:to>
    <xdr:pic>
      <xdr:nvPicPr>
        <xdr:cNvPr id="2" name="CommandButton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01750" y="638175"/>
          <a:ext cx="10953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18</xdr:col>
      <xdr:colOff>9525</xdr:colOff>
      <xdr:row>1</xdr:row>
      <xdr:rowOff>142875</xdr:rowOff>
    </xdr:from>
    <xdr:to>
      <xdr:col>21</xdr:col>
      <xdr:colOff>247650</xdr:colOff>
      <xdr:row>2</xdr:row>
      <xdr:rowOff>304800</xdr:rowOff>
    </xdr:to>
    <xdr:sp macro="" textlink="">
      <xdr:nvSpPr>
        <xdr:cNvPr id="23553" name="CommandButton1" hidden="1">
          <a:extLst>
            <a:ext uri="{63B3BB69-23CF-44E3-9099-C40C66FF867C}">
              <a14:compatExt xmlns:a14="http://schemas.microsoft.com/office/drawing/2010/main" spid="_x0000_s23553"/>
            </a:ext>
            <a:ext uri="{FF2B5EF4-FFF2-40B4-BE49-F238E27FC236}">
              <a16:creationId xmlns:a16="http://schemas.microsoft.com/office/drawing/2014/main" id="{00000000-0008-0000-0C00-0000015C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PrintsWithSheet="0"/>
  </xdr:twoCellAnchor>
  <mc:AlternateContent xmlns:mc="http://schemas.openxmlformats.org/markup-compatibility/2006">
    <mc:Choice xmlns:a14="http://schemas.microsoft.com/office/drawing/2010/main" Requires="a14">
      <xdr:twoCellAnchor>
        <xdr:from>
          <xdr:col>18</xdr:col>
          <xdr:colOff>85725</xdr:colOff>
          <xdr:row>2</xdr:row>
          <xdr:rowOff>390525</xdr:rowOff>
        </xdr:from>
        <xdr:to>
          <xdr:col>21</xdr:col>
          <xdr:colOff>209550</xdr:colOff>
          <xdr:row>3</xdr:row>
          <xdr:rowOff>219075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2</a:t>
              </a:r>
            </a:p>
          </xdr:txBody>
        </xdr:sp>
        <xdr:clientData fPrintsWithSheet="0"/>
      </xdr:twoCellAnchor>
    </mc:Choice>
    <mc:Fallback/>
  </mc:AlternateContent>
  <xdr:twoCellAnchor editAs="oneCell">
    <xdr:from>
      <xdr:col>18</xdr:col>
      <xdr:colOff>9525</xdr:colOff>
      <xdr:row>1</xdr:row>
      <xdr:rowOff>142875</xdr:rowOff>
    </xdr:from>
    <xdr:to>
      <xdr:col>21</xdr:col>
      <xdr:colOff>247650</xdr:colOff>
      <xdr:row>2</xdr:row>
      <xdr:rowOff>304800</xdr:rowOff>
    </xdr:to>
    <xdr:pic>
      <xdr:nvPicPr>
        <xdr:cNvPr id="2" name="CommandButton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3025" y="314325"/>
          <a:ext cx="109537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fPrintsWithSheet="0"/>
  </xdr:twoCellAnchor>
</xdr:wsDr>
</file>

<file path=xl/persons/person.xml><?xml version="1.0" encoding="utf-8"?>
<personList xmlns="http://schemas.microsoft.com/office/spreadsheetml/2018/threadedcomments" xmlns:x="http://schemas.openxmlformats.org/spreadsheetml/2006/main">
  <person displayName="Kenji Kaneshrio" id="{27470F58-02C5-4D1B-9A32-088C097710ED}" userId="57dc0148a7fd1f98"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00000000-0016-0000-0100-000000000000}" autoFormatId="20" applyNumberFormats="0" applyBorderFormats="0" applyFontFormats="0" applyPatternFormats="0" applyAlignmentFormats="0" applyWidthHeightFormats="0">
  <queryTableRefresh nextId="64">
    <queryTableFields count="42">
      <queryTableField id="1" name="現在" tableColumnId="1"/>
      <queryTableField id="2" name="社員№" tableColumnId="2"/>
      <queryTableField id="3" name="派遣先ID" tableColumnId="3"/>
      <queryTableField id="4" name="派遣先" tableColumnId="4"/>
      <queryTableField id="5" name="配属先" tableColumnId="5"/>
      <queryTableField id="35" name="配属ライン" tableColumnId="35"/>
      <queryTableField id="46" name="仕事内容" tableColumnId="40"/>
      <queryTableField id="6" name="氏名" tableColumnId="6"/>
      <queryTableField id="7" name="カナ" tableColumnId="7"/>
      <queryTableField id="8" name="性別" tableColumnId="8"/>
      <queryTableField id="9" name="国籍" tableColumnId="9"/>
      <queryTableField id="10" name="生年月日" tableColumnId="10"/>
      <queryTableField id="11" name="年齢" tableColumnId="11"/>
      <queryTableField id="12" name="時給" tableColumnId="12"/>
      <queryTableField id="13" name="時給改定" tableColumnId="13"/>
      <queryTableField id="14" name="請求単価" tableColumnId="14"/>
      <queryTableField id="15" name="請求改定" tableColumnId="15"/>
      <queryTableField id="16" name="差額利益" tableColumnId="16"/>
      <queryTableField id="38" name="標準報酬" tableColumnId="36"/>
      <queryTableField id="39" name="健康保険" tableColumnId="37"/>
      <queryTableField id="40" name="介護保険" tableColumnId="38"/>
      <queryTableField id="41" name="厚生年金" tableColumnId="39"/>
      <queryTableField id="17" name="ビザ期限" tableColumnId="17"/>
      <queryTableField id="18" name="ｱﾗｰﾄ(ﾋﾞｻﾞ更新)" tableColumnId="18"/>
      <queryTableField id="19" name="ビザ種類" tableColumnId="19"/>
      <queryTableField id="20" name="〒" tableColumnId="20"/>
      <queryTableField id="21" name="住所" tableColumnId="21"/>
      <queryTableField id="22" name="ｱﾊﾟｰﾄ" tableColumnId="22"/>
      <queryTableField id="23" name="入居" tableColumnId="23"/>
      <queryTableField id="24" name="入社日" tableColumnId="24"/>
      <queryTableField id="25" name="退社日" tableColumnId="25"/>
      <queryTableField id="26" name="退去" tableColumnId="26"/>
      <queryTableField id="27" name="社保加入" tableColumnId="27"/>
      <queryTableField id="33" name="入社依頼" tableColumnId="33"/>
      <queryTableField id="34" name="備考" tableColumnId="34"/>
      <queryTableField id="48" name="現入社" tableColumnId="41"/>
      <queryTableField id="54" name="免許種類" tableColumnId="42"/>
      <queryTableField id="55" name="免許期限" tableColumnId="43"/>
      <queryTableField id="58" name="通勤方法" tableColumnId="44"/>
      <queryTableField id="59" name="任意保険期限" tableColumnId="45"/>
      <queryTableField id="62" name="日本語検定" tableColumnId="28"/>
      <queryTableField id="53" name="キャリアアップ5年目" tableColumnId="4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6515AA-AD48-42EB-9D15-983C962A24B4}" name="DBGenzai" displayName="DBGenzai" ref="A1:AP1066" tableType="queryTable" totalsRowShown="0" headerRowDxfId="133" dataDxfId="132">
  <autoFilter ref="A1:AP1066" xr:uid="{716515AA-AD48-42EB-9D15-983C962A24B4}">
    <filterColumn colId="0">
      <filters>
        <filter val="在職中"/>
      </filters>
    </filterColumn>
    <filterColumn colId="3">
      <filters>
        <filter val="高雄工業 本社"/>
        <filter val="高雄工業 海南第一"/>
        <filter val="高雄工業 海南第二"/>
        <filter val="高雄工業 静岡"/>
      </filters>
    </filterColumn>
  </autoFilter>
  <sortState xmlns:xlrd2="http://schemas.microsoft.com/office/spreadsheetml/2017/richdata2" ref="A18:AP1047">
    <sortCondition ref="F1:F1066"/>
  </sortState>
  <tableColumns count="42">
    <tableColumn id="1" xr3:uid="{373E8AFA-BEB4-4A93-A57C-D662C4ECEF83}" uniqueName="1" name="現在" queryTableFieldId="1" dataDxfId="131"/>
    <tableColumn id="2" xr3:uid="{10AA7B44-B6AF-4C32-9BBC-F83191515B74}" uniqueName="2" name="社員№" queryTableFieldId="2" dataDxfId="130"/>
    <tableColumn id="3" xr3:uid="{423DAB9B-0C60-4223-81FB-68D2CE6CEF26}" uniqueName="3" name="派遣先ID" queryTableFieldId="3" dataDxfId="129"/>
    <tableColumn id="4" xr3:uid="{80ED6C1A-8FB8-44B6-B296-BD3F2900FAE7}" uniqueName="4" name="派遣先" queryTableFieldId="4" dataDxfId="128"/>
    <tableColumn id="5" xr3:uid="{70B6CFE3-806D-43C5-9EC7-B34A37DFC9BD}" uniqueName="5" name="配属先" queryTableFieldId="5" dataDxfId="127"/>
    <tableColumn id="35" xr3:uid="{E83C365D-4824-44B2-B762-5BD948301C65}" uniqueName="35" name="配属ライン" queryTableFieldId="35" dataDxfId="126"/>
    <tableColumn id="40" xr3:uid="{D8A82362-250F-4CF2-A91A-350833A93472}" uniqueName="40" name="仕事内容" queryTableFieldId="46"/>
    <tableColumn id="6" xr3:uid="{A3B6E8B4-981A-4A3B-8337-2A4D75EF0620}" uniqueName="6" name="氏名" queryTableFieldId="6" dataDxfId="125"/>
    <tableColumn id="7" xr3:uid="{D7E58A20-BDBA-4C2C-95D2-6208E5E80A9A}" uniqueName="7" name="カナ" queryTableFieldId="7" dataDxfId="124"/>
    <tableColumn id="8" xr3:uid="{1EEEB3B1-5724-4ADB-A537-08256F95E3CA}" uniqueName="8" name="性別" queryTableFieldId="8" dataDxfId="123"/>
    <tableColumn id="9" xr3:uid="{7D3C8F74-464A-4879-BDD1-D9E1E1772F9E}" uniqueName="9" name="国籍" queryTableFieldId="9" dataDxfId="122"/>
    <tableColumn id="10" xr3:uid="{21F0D5AB-F6AC-4741-94F7-543C53FB69FC}" uniqueName="10" name="生年月日" queryTableFieldId="10" dataDxfId="121"/>
    <tableColumn id="11" xr3:uid="{CFBE6883-5DDD-4B78-B222-137CCAF210A3}" uniqueName="11" name="年齢" queryTableFieldId="11" dataDxfId="120"/>
    <tableColumn id="12" xr3:uid="{7A24B9BF-1304-4093-8A50-9F4520F8F4DC}" uniqueName="12" name="時給" queryTableFieldId="12" dataDxfId="119"/>
    <tableColumn id="13" xr3:uid="{FC3BCBE0-CDC8-42A8-9D9B-D1424788A0DC}" uniqueName="13" name="時給改定" queryTableFieldId="13" dataDxfId="118"/>
    <tableColumn id="14" xr3:uid="{B97F3193-6A62-4467-8DC6-E46CB6074235}" uniqueName="14" name="請求単価" queryTableFieldId="14" dataDxfId="117"/>
    <tableColumn id="15" xr3:uid="{4CC9244E-C796-4511-A1E8-EEE9F9BB31AC}" uniqueName="15" name="請求改定" queryTableFieldId="15" dataDxfId="116"/>
    <tableColumn id="16" xr3:uid="{0932FD57-6A44-48A2-8683-AE2CB1919992}" uniqueName="16" name="差額利益" queryTableFieldId="16" dataDxfId="115"/>
    <tableColumn id="36" xr3:uid="{7D2CE4AB-075D-4A8A-BD13-19013EA20299}" uniqueName="36" name="標準報酬" queryTableFieldId="38"/>
    <tableColumn id="37" xr3:uid="{E0AC03DD-D4DC-436E-B81D-6FF902882717}" uniqueName="37" name="健康保険" queryTableFieldId="39"/>
    <tableColumn id="38" xr3:uid="{0A059548-C6ED-4571-B3F3-668A8AC616C1}" uniqueName="38" name="介護保険" queryTableFieldId="40"/>
    <tableColumn id="39" xr3:uid="{D12B13F2-B894-4D72-A349-7CEC7AAD66B3}" uniqueName="39" name="厚生年金" queryTableFieldId="41"/>
    <tableColumn id="17" xr3:uid="{BB67E685-24A2-41DC-A95B-891A7EF88609}" uniqueName="17" name="ビザ期限" queryTableFieldId="17" dataDxfId="114"/>
    <tableColumn id="18" xr3:uid="{8EE07767-BBA0-4E6B-863D-103CD64655AA}" uniqueName="18" name="ｱﾗｰﾄ(ﾋﾞｻﾞ更新)" queryTableFieldId="18" dataDxfId="113"/>
    <tableColumn id="19" xr3:uid="{AA575F33-8295-4FCF-8450-3417C1ABDDF2}" uniqueName="19" name="ビザ種類" queryTableFieldId="19" dataDxfId="112"/>
    <tableColumn id="20" xr3:uid="{EB8AA645-0064-4647-8022-603E494A2258}" uniqueName="20" name="〒" queryTableFieldId="20" dataDxfId="111"/>
    <tableColumn id="21" xr3:uid="{5B153002-76DE-4E5B-865F-F4CC001A9BC8}" uniqueName="21" name="住所" queryTableFieldId="21" dataDxfId="110"/>
    <tableColumn id="22" xr3:uid="{AB3AF698-54ED-4E11-AF9B-0BFCB1C60EEC}" uniqueName="22" name="ｱﾊﾟｰﾄ" queryTableFieldId="22" dataDxfId="109"/>
    <tableColumn id="23" xr3:uid="{85DA3633-C480-48AF-9087-234402E6D371}" uniqueName="23" name="入居" queryTableFieldId="23" dataDxfId="108"/>
    <tableColumn id="24" xr3:uid="{61EEB9CA-28A5-4202-BCD0-9B8FFF94E748}" uniqueName="24" name="入社日" queryTableFieldId="24" dataDxfId="107"/>
    <tableColumn id="25" xr3:uid="{B30B9E6F-FD49-44D2-BACE-1F50D9B126A2}" uniqueName="25" name="退社日" queryTableFieldId="25" dataDxfId="106"/>
    <tableColumn id="26" xr3:uid="{0C3E4852-052C-48CE-B01B-A751D5F57D0C}" uniqueName="26" name="退去" queryTableFieldId="26" dataDxfId="105"/>
    <tableColumn id="27" xr3:uid="{2F5472CA-88BB-40F8-B730-6D6DE16FF521}" uniqueName="27" name="社保加入" queryTableFieldId="27" dataDxfId="104"/>
    <tableColumn id="33" xr3:uid="{C591B18C-457C-415F-9834-9B783C52A65C}" uniqueName="33" name="入社依頼" queryTableFieldId="33" dataDxfId="103"/>
    <tableColumn id="34" xr3:uid="{AD81329F-8FE5-4E74-BFD4-F206F06E2951}" uniqueName="34" name="備考" queryTableFieldId="34" dataDxfId="102"/>
    <tableColumn id="41" xr3:uid="{7A283B8C-15BE-4EB8-A9BF-242D8C17614C}" uniqueName="41" name="現入社" queryTableFieldId="48" dataDxfId="101"/>
    <tableColumn id="42" xr3:uid="{85481759-BD01-410D-8403-7DE09A5278E4}" uniqueName="42" name="免許種類" queryTableFieldId="54"/>
    <tableColumn id="43" xr3:uid="{B4021BDA-67FD-4955-ACCA-CAD87E2DF9EE}" uniqueName="43" name="免許期限" queryTableFieldId="55"/>
    <tableColumn id="44" xr3:uid="{E0D8DB8A-D1FB-40E8-B94D-18172F60318D}" uniqueName="44" name="通勤方法" queryTableFieldId="58"/>
    <tableColumn id="45" xr3:uid="{D9DFDC37-CCD6-41BE-8EAF-2850C4E0E136}" uniqueName="45" name="任意保険期限" queryTableFieldId="59"/>
    <tableColumn id="28" xr3:uid="{C145291F-BC5E-425D-8D4C-EBDF0265A0FD}" uniqueName="28" name="日本語検定" queryTableFieldId="62"/>
    <tableColumn id="46" xr3:uid="{9DC6D3DC-F8D2-4336-B279-33C803F7373A}" uniqueName="46" name="キャリアアップ5年目" queryTableFieldId="5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5C740A-09B4-4B60-95AF-DB81CF590BAE}" name="TablaTransfor" displayName="TablaTransfor" ref="B2:AC198" totalsRowShown="0" headerRowDxfId="99" dataDxfId="98">
  <autoFilter ref="B2:AC198" xr:uid="{F25C740A-09B4-4B60-95AF-DB81CF590BAE}">
    <filterColumn colId="2">
      <filters>
        <filter val="在職中"/>
      </filters>
    </filterColumn>
  </autoFilter>
  <sortState xmlns:xlrd2="http://schemas.microsoft.com/office/spreadsheetml/2017/richdata2" ref="B16:AC169">
    <sortCondition ref="J3:J198"/>
    <sortCondition ref="R3:R198"/>
  </sortState>
  <tableColumns count="28">
    <tableColumn id="1" xr3:uid="{5B08BFD2-1344-470A-96E9-458CB84E70AA}" name="№" dataDxfId="97"/>
    <tableColumn id="2" xr3:uid="{37FBF9B6-E340-43CC-A36B-5CFBCE75DD4E}" name="社員№" dataDxfId="96">
      <calculatedColumnFormula>_xlfn.XLOOKUP($F$1&amp;B3,Filtro!B:B,Filtro!D:D,"",0,1)</calculatedColumnFormula>
    </tableColumn>
    <tableColumn id="3" xr3:uid="{A84A1A9F-E9E7-49C0-86A9-2B97BBB0AC38}" name="現在" dataDxfId="95">
      <calculatedColumnFormula>_xlfn.XLOOKUP($F$1&amp;B3,Filtro!B:B,Filtro!C:C,"",0,1)</calculatedColumnFormula>
    </tableColumn>
    <tableColumn id="4" xr3:uid="{B6E87202-D2D5-4820-8478-917E0E91FA56}" name="派遣先ID" dataDxfId="94">
      <calculatedColumnFormula>_xlfn.XLOOKUP($F$1&amp;B3,Filtro!B:B,Filtro!E:E,"",0,1)</calculatedColumnFormula>
    </tableColumn>
    <tableColumn id="6" xr3:uid="{1079E918-40B2-440D-9237-D8A40350E583}" name="配属先" dataDxfId="93">
      <calculatedColumnFormula>_xlfn.XLOOKUP($F$1&amp;B3,Filtro!B:B,Filtro!G:G,"",0,1)</calculatedColumnFormula>
    </tableColumn>
    <tableColumn id="5" xr3:uid="{B0FB4BD1-0D00-4107-A428-83A055D3A640}" name="配属先1" dataDxfId="92">
      <calculatedColumnFormula>MID(TablaTransfor[[#This Row],[配属先]],1,8)</calculatedColumnFormula>
    </tableColumn>
    <tableColumn id="21" xr3:uid="{6EBB27A7-2678-414E-83C0-4F5D4B4D30CA}" name="配属先2" dataDxfId="91">
      <calculatedColumnFormula>MID(TablaTransfor[[#This Row],[配属先]],9,6)</calculatedColumnFormula>
    </tableColumn>
    <tableColumn id="24" xr3:uid="{9C13F905-5FAE-4E53-A775-F95FA4F9A633}" name="仕事内容" dataDxfId="90">
      <calculatedColumnFormula>_xlfn.XLOOKUP($C3,DBGenzai[社員№],DBGenzai[仕事内容],"",0,1)</calculatedColumnFormula>
    </tableColumn>
    <tableColumn id="25" xr3:uid="{06DCCDCF-0181-41AA-9498-95B10AFA9ED5}" name="ライン" dataDxfId="89">
      <calculatedColumnFormula>_xlfn.XLOOKUP($F$1&amp;B3,Filtro!B:B,Filtro!H:H,"",0,1)</calculatedColumnFormula>
    </tableColumn>
    <tableColumn id="7" xr3:uid="{93D01BAA-7BD1-487E-991D-57230DA8480E}" name="氏名" dataDxfId="88">
      <calculatedColumnFormula>_xlfn.XLOOKUP($F$1&amp;B3,Filtro!B:B,Filtro!J:J,"",0,1)</calculatedColumnFormula>
    </tableColumn>
    <tableColumn id="8" xr3:uid="{F44536C3-0498-4B1C-8A37-DC349E951640}" name="カナ" dataDxfId="87">
      <calculatedColumnFormula>IF(TablaTransfor[[#This Row],[氏名]]="","",IF(TablaTransfor[[#This Row],[氏名]]&lt;"0","記号",IF(NOT(EXACT(UPPER(TablaTransfor[[#This Row],[氏名]]),LOWER(TablaTransfor[[#This Row],[氏名]]))),_xlfn.XLOOKUP($C3,DBGenzai[社員№],DBGenzai[カナ],"",0,1),_xlfn.XLOOKUP($C3,DBGenzai[社員№],DBGenzai[氏名],"",0,1))))</calculatedColumnFormula>
    </tableColumn>
    <tableColumn id="9" xr3:uid="{220BC3E5-CC2C-45D8-A41F-9D51D6E913DF}" name="性別" dataDxfId="86">
      <calculatedColumnFormula>_xlfn.XLOOKUP($C3,DBGenzai[社員№],DBGenzai[性別],"",0,1)</calculatedColumnFormula>
    </tableColumn>
    <tableColumn id="10" xr3:uid="{BB453834-37D2-4599-8CD1-E7EFA30886A4}" name="国籍" dataDxfId="85">
      <calculatedColumnFormula>_xlfn.XLOOKUP($C3,DBGenzai[社員№],DBGenzai[国籍],"",0,1)</calculatedColumnFormula>
    </tableColumn>
    <tableColumn id="11" xr3:uid="{8D0DEF9E-E42F-4A9A-A7CF-C23C74124B0F}" name="生年月日" dataDxfId="84">
      <calculatedColumnFormula>_xlfn.XLOOKUP($C3,DBGenzai[社員№],DBGenzai[生年月日],"",0,1)</calculatedColumnFormula>
    </tableColumn>
    <tableColumn id="12" xr3:uid="{69167C42-F294-4970-80C4-030B73DF5119}" name="年齢" dataDxfId="83">
      <calculatedColumnFormula>_xlfn.XLOOKUP($F$1&amp;B3,Filtro!B:B,Filtro!O:O,"",0,1)</calculatedColumnFormula>
    </tableColumn>
    <tableColumn id="13" xr3:uid="{3540F52A-E0FF-4A69-8151-F18A42743D69}" name="時給" dataDxfId="82">
      <calculatedColumnFormula>_xlfn.XLOOKUP($F$1&amp;B3,Filtro!B:B,Filtro!P:P,"",0,1)</calculatedColumnFormula>
    </tableColumn>
    <tableColumn id="26" xr3:uid="{0C82AB72-5475-4BCB-8A47-8215D5C8F3A4}" name="単価" dataDxfId="81">
      <calculatedColumnFormula>_xlfn.XLOOKUP($F$1&amp;B3,Filtro!B:B,Filtro!R:R,"",0,1)</calculatedColumnFormula>
    </tableColumn>
    <tableColumn id="14" xr3:uid="{F95F7E9D-8BF2-41C3-91EF-0F77C0D286E4}" name="〒" dataDxfId="80">
      <calculatedColumnFormula>_xlfn.XLOOKUP($C3,DBGenzai[社員№],DBGenzai[〒],"",0,1)</calculatedColumnFormula>
    </tableColumn>
    <tableColumn id="15" xr3:uid="{C438FF0F-6029-45E8-BD68-9E534BC3797A}" name="住所" dataDxfId="79">
      <calculatedColumnFormula>_xlfn.XLOOKUP($C3,DBGenzai[社員№],DBGenzai[住所],"",0,1)</calculatedColumnFormula>
    </tableColumn>
    <tableColumn id="16" xr3:uid="{89B3A2BC-6AF8-483C-8B61-680EAB3295A3}" name="ｱﾊﾟｰﾄ" dataDxfId="78">
      <calculatedColumnFormula>_xlfn.XLOOKUP($C3,DBGenzai[社員№],DBGenzai[ｱﾊﾟｰﾄ],"",0,1)</calculatedColumnFormula>
    </tableColumn>
    <tableColumn id="17" xr3:uid="{B16AAE90-CE72-4506-A155-1D599D07EEB0}" name="入居" dataDxfId="77">
      <calculatedColumnFormula>_xlfn.XLOOKUP($C3,DBGenzai[社員№],DBGenzai[入居],"",0,1)</calculatedColumnFormula>
    </tableColumn>
    <tableColumn id="18" xr3:uid="{6E597D23-ABFF-4D2E-A8EC-F978E4825D49}" name="入社日" dataDxfId="76">
      <calculatedColumnFormula>_xlfn.XLOOKUP($F$1&amp;B3,Filtro!B:B,Filtro!AF:AF,"",0,1)</calculatedColumnFormula>
    </tableColumn>
    <tableColumn id="19" xr3:uid="{2CD8C1B2-70D3-4714-B9C5-54894424C5E9}" name="退社日" dataDxfId="75">
      <calculatedColumnFormula>_xlfn.XLOOKUP($C3,DBGenzai[社員№],DBGenzai[退社日],"",0,1)</calculatedColumnFormula>
    </tableColumn>
    <tableColumn id="20" xr3:uid="{4347BAB6-EF11-4C65-B818-F42E42B45CF4}" name="退去" dataDxfId="74">
      <calculatedColumnFormula>_xlfn.XLOOKUP($C3,DBGenzai[社員№],DBGenzai[退去],"",0,1)</calculatedColumnFormula>
    </tableColumn>
    <tableColumn id="23" xr3:uid="{E9C09D82-24EF-4B39-A079-EA3ECC08AD1C}" name="備考" dataDxfId="73">
      <calculatedColumnFormula>_xlfn.XLOOKUP($C3,DBGenzai[社員№],DBGenzai[備考],"",0,1)</calculatedColumnFormula>
    </tableColumn>
    <tableColumn id="28" xr3:uid="{329880ED-6CF8-439A-B484-2539C903BFAF}" name="現入社" dataDxfId="72">
      <calculatedColumnFormula>_xlfn.XLOOKUP($F$1&amp;B3,Filtro!B:B,Filtro!AL:AL,"",0,1)</calculatedColumnFormula>
    </tableColumn>
    <tableColumn id="22" xr3:uid="{1FBB9BF7-A454-40AC-AAAC-2875EF6F2B7E}" name="unicosC" dataDxfId="71"/>
    <tableColumn id="27" xr3:uid="{23571A80-33EE-4558-A76E-AC05763D8976}" name="unicosF" dataDxfId="7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A00955C-19BA-4C22-A3F8-012F0B208C53}" name="TBKaishaInfo" displayName="TBKaishaInfo" ref="A1:AQ112" totalsRowShown="0" headerRowDxfId="69" dataDxfId="68">
  <autoFilter ref="A1:AQ112" xr:uid="{0A00955C-19BA-4C22-A3F8-012F0B208C53}"/>
  <tableColumns count="43">
    <tableColumn id="1" xr3:uid="{65303E7E-675C-4F74-B54C-37A9510CFF8A}" name="派遣先" dataDxfId="67"/>
    <tableColumn id="2" xr3:uid="{C842C9E9-E190-4BF5-8F30-1338E31879F5}" name="派遣先住所" dataDxfId="66"/>
    <tableColumn id="3" xr3:uid="{AD922A52-C216-47CC-8034-BA756A5D09B4}" name="派遣先電話" dataDxfId="65"/>
    <tableColumn id="4" xr3:uid="{47F9DC1A-C78A-470B-BDC9-4B833BFC0C36}" name="派遣先責任者部署" dataDxfId="64"/>
    <tableColumn id="5" xr3:uid="{E115E49D-5A47-47DC-9520-BC707A8B70DF}" name="派遣先責任者名" dataDxfId="63"/>
    <tableColumn id="6" xr3:uid="{464D1B6A-068F-4891-97BC-0665AB876EDE}" name="派遣先責任者電話" dataDxfId="62"/>
    <tableColumn id="7" xr3:uid="{BBB47617-CEE3-4B03-AAE8-206871C51B09}" name="工場名" dataDxfId="61"/>
    <tableColumn id="8" xr3:uid="{472A5930-6417-4D91-AF73-062272058DEB}" name="工場住所" dataDxfId="60"/>
    <tableColumn id="32" xr3:uid="{09E13028-BF0B-4083-96C9-38E54672182F}" name="工場電話" dataDxfId="59"/>
    <tableColumn id="9" xr3:uid="{1A30404C-3759-4737-A4CA-A8FD9C117325}" name="配属先" dataDxfId="58"/>
    <tableColumn id="10" xr3:uid="{A1E30408-FF6A-4985-AA74-0172D62E2403}" name="ライン" dataDxfId="57"/>
    <tableColumn id="11" xr3:uid="{A153C47C-8541-4D34-A666-6651E7A29E31}" name="指示命令者部署" dataDxfId="56"/>
    <tableColumn id="12" xr3:uid="{CD01B163-F367-404A-B80A-644950BBF4BF}" name="指示命令者名" dataDxfId="55"/>
    <tableColumn id="13" xr3:uid="{550E7495-27D0-4ED6-8F44-03F505272D2F}" name="指示命令者電話" dataDxfId="54"/>
    <tableColumn id="14" xr3:uid="{01B3B47E-B71D-41B7-93A6-E686BE7CA3E4}" name="仕事内容" dataDxfId="53"/>
    <tableColumn id="15" xr3:uid="{71F9C1A6-9AEB-4121-82A8-023AE623A20B}" name="時給単価" dataDxfId="52"/>
    <tableColumn id="17" xr3:uid="{22B119DD-0D00-4757-9C29-1236C225A3D0}" name="派遣先：苦情処理：部署" dataDxfId="51"/>
    <tableColumn id="18" xr3:uid="{C999D8C4-D71D-4237-9076-5B16CC25317F}" name="派遣先：苦情処理：名" dataDxfId="50"/>
    <tableColumn id="19" xr3:uid="{9F4FEE69-2C3C-4223-BC46-338925CBFA8E}" name="派遣先：苦情処理：電話" dataDxfId="49"/>
    <tableColumn id="20" xr3:uid="{AA8431A7-3AB3-43EC-8EAF-8C09FF8348D6}" name="派遣元責任者部署" dataDxfId="48"/>
    <tableColumn id="21" xr3:uid="{C6C0B307-716C-4F02-9C4D-56B0E8454F3B}" name="派遣元責任者名" dataDxfId="47"/>
    <tableColumn id="22" xr3:uid="{2D1ADFBE-1595-4490-A58C-E6F31502CDC7}" name="派遣元責任者電話" dataDxfId="46"/>
    <tableColumn id="23" xr3:uid="{17486C7E-4722-4153-877D-0A1F3BA782DB}" name="派遣元：苦情処理：部署" dataDxfId="45"/>
    <tableColumn id="24" xr3:uid="{570F9D5E-B315-4EF1-8ABA-2A94977B2D97}" name="派遣元：苦情処理：名" dataDxfId="44"/>
    <tableColumn id="25" xr3:uid="{B7F1ED81-0001-4979-BABE-47607DE8ADB4}" name="派遣元：苦情処理：電話" dataDxfId="43"/>
    <tableColumn id="26" xr3:uid="{2A980E95-5C61-4C3F-82AF-43A9940F9916}" name="就業時間" dataDxfId="42"/>
    <tableColumn id="27" xr3:uid="{4262D41B-0D69-4396-8664-B131BB9E4488}" name="休憩時間" dataDxfId="41"/>
    <tableColumn id="28" xr3:uid="{34ADF0E3-C9DC-470F-84DF-949295661AA8}" name="締日" dataDxfId="40"/>
    <tableColumn id="29" xr3:uid="{895B44C1-3304-4466-B3F4-AB925FDBAE42}" name="支払日" dataDxfId="39"/>
    <tableColumn id="30" xr3:uid="{7EBBC37B-6C90-4136-B41B-3F220E8F057F}" name="振込先" dataDxfId="38"/>
    <tableColumn id="31" xr3:uid="{40885B05-1B2D-47C0-B61F-EA84C8532D16}" name="就業日" dataDxfId="37"/>
    <tableColumn id="36" xr3:uid="{588F028E-63FF-44EE-9391-872D90387CB6}" name="まで" dataDxfId="36"/>
    <tableColumn id="34" xr3:uid="{446C0179-6C9E-4CC5-9124-031B04F2B005}" name="抵触日" dataDxfId="35"/>
    <tableColumn id="16" xr3:uid="{85BF2B81-7800-4E55-922A-E06DFC1D0D98}" name="カレンダー" dataDxfId="34"/>
    <tableColumn id="33" xr3:uid="{5C401DE6-BBA2-4A22-9FB6-DD1740738EA9}" name="就業日外労働" dataDxfId="33"/>
    <tableColumn id="35" xr3:uid="{0DE6508E-304D-41DF-93DD-5BEFB18CE5E1}" name="時間外労働" dataDxfId="32"/>
    <tableColumn id="37" xr3:uid="{9DBBD97B-C2D7-4D85-80D7-2FF09ED8B3C8}" name="時間単位" dataDxfId="31"/>
    <tableColumn id="38" xr3:uid="{FAFFB642-C6BF-43E7-84FE-278582E05CE8}" name="作業者締め日" dataDxfId="30"/>
    <tableColumn id="39" xr3:uid="{E7245EA2-94EA-4EFF-BE34-D8B388410941}" name="作業者支払日" dataDxfId="29"/>
    <tableColumn id="40" xr3:uid="{C2878223-CC40-46AC-8F7E-3BE154C677A2}" name="作業者カレンダー" dataDxfId="28"/>
    <tableColumn id="41" xr3:uid="{2D586CC2-D02F-4D10-92E0-BBF8F1118C5A}" name="仕事内容2" dataDxfId="27"/>
    <tableColumn id="42" xr3:uid="{D9C94156-7144-4F0E-930C-DEA94ADE7E92}" name="当該協定期間" dataDxfId="26"/>
    <tableColumn id="43" xr3:uid="{9415E197-4997-46FE-9220-5C40099E7CA3}" name="説明者" dataDxfId="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12EC7A7-1A0C-4165-9CD2-65FEA03BCB66}" name="TablaTsuchichou" displayName="TablaTsuchichou" ref="J8:R57" totalsRowShown="0" headerRowDxfId="13" dataDxfId="11" headerRowBorderDxfId="12" tableBorderDxfId="10" totalsRowBorderDxfId="9" headerRowCellStyle="標準 2" dataCellStyle="標準 2">
  <autoFilter ref="J8:R57" xr:uid="{E12EC7A7-1A0C-4165-9CD2-65FEA03BCB66}"/>
  <tableColumns count="9">
    <tableColumn id="1" xr3:uid="{6EEA6267-2BF8-41E3-BE34-2238009F882A}" name="No" dataDxfId="8">
      <calculatedColumnFormula>IF(K9="","",J8+1)</calculatedColumnFormula>
    </tableColumn>
    <tableColumn id="2" xr3:uid="{B0EC634C-02CD-4547-8DBE-6057A3130A18}" name="氏名" dataDxfId="7">
      <calculatedColumnFormula>_xlfn.XLOOKUP($C9,DBGenzai[社員№],DBGenzai[カナ],"",0,1)</calculatedColumnFormula>
    </tableColumn>
    <tableColumn id="3" xr3:uid="{7599A9AE-DD54-4AE0-BD21-67A517F17D94}" name="性別" dataDxfId="6" dataCellStyle="標準 2">
      <calculatedColumnFormula>_xlfn.XLOOKUP($C9,DBGenzai[社員№],DBGenzai[性別],"",0,1)</calculatedColumnFormula>
    </tableColumn>
    <tableColumn id="4" xr3:uid="{F379310A-2F96-4D7F-8689-3C1B135E1884}" name="年齢" dataDxfId="5" dataCellStyle="標準 2">
      <calculatedColumnFormula>IF(F9="","",IF(F9&lt;=18,"18未満(     )歳",IF(F9&lt;=60,"60歳未満","60歳以上")))</calculatedColumnFormula>
    </tableColumn>
    <tableColumn id="5" xr3:uid="{3BA12313-FCF8-4B61-8F4F-7D52B7247BF0}" name="雇用保険" dataDxfId="4" dataCellStyle="標準 2">
      <calculatedColumnFormula>IF($K9="","","加入")</calculatedColumnFormula>
    </tableColumn>
    <tableColumn id="6" xr3:uid="{1502706C-8E63-438D-9528-2AC72C1933FC}" name="健康保険" dataDxfId="3" dataCellStyle="標準 2">
      <calculatedColumnFormula>IF($K9="","","加入")</calculatedColumnFormula>
    </tableColumn>
    <tableColumn id="7" xr3:uid="{64EBD306-3B86-4673-9066-848C3F3EC0EE}" name="厚生年金保険" dataDxfId="2" dataCellStyle="標準 2">
      <calculatedColumnFormula>IF($K9="","","加入")</calculatedColumnFormula>
    </tableColumn>
    <tableColumn id="8" xr3:uid="{EEAEEEBD-C770-4BDF-9CE8-13E8D59325C8}" name="雇用期間" dataDxfId="1" dataCellStyle="標準 2">
      <calculatedColumnFormula>IF($K9="","","有期雇用（3ヵ月）")</calculatedColumnFormula>
    </tableColumn>
    <tableColumn id="9" xr3:uid="{C3DCA399-BE7A-4831-8B2B-81296F26212F}" name="待遇決定方式" dataDxfId="0" dataCellStyle="標準 2">
      <calculatedColumnFormula>IF($K9="","","協定対象派遣労働者(労使協定式方式)")</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I1" dT="2023-07-06T01:58:22.16" personId="{27470F58-02C5-4D1B-9A32-088C097710ED}" id="{5460ACD1-3D2B-49A5-B530-7E15C93DD92F}">
    <text xml:space="preserve">No se porque hay esto……
</text>
  </threadedComment>
  <threadedComment ref="AI1" dT="2023-07-06T02:01:37.67" personId="{27470F58-02C5-4D1B-9A32-088C097710ED}" id="{012DE563-1227-4AB8-BC98-5E59EDC0290E}" parentId="{5460ACD1-3D2B-49A5-B530-7E15C93DD92F}">
    <text>Tengo quue ver en 'TB! La fecha que comienza</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s>
</file>

<file path=xl/webextensions/webextension1.xml><?xml version="1.0" encoding="utf-8"?>
<we:webextension xmlns:we="http://schemas.microsoft.com/office/webextensions/webextension/2010/11" id="{2447F401-C682-4835-992D-6B8B6260DB3B}">
  <we:reference id="wa200007447" version="1.0.0.0" store="ja-JP" storeType="OMEX"/>
  <we:alternateReferences>
    <we:reference id="wa200007447" version="1.0.0.0" store="wa200007447"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7A970833-69F0-43EF-ACD3-58243AE4BFD9}">
  <we:reference id="wa200005502" version="1.0.0.11" store="ja-JP" storeType="OMEX"/>
  <we:alternateReferences>
    <we:reference id="wa200005502" version="1.0.0.11" store="wa200005502" storeType="OMEX"/>
  </we:alternateReferences>
  <we:properties>
    <we:property name="docId" value="&quot;oCDlvs14Aq0Wek00LqJw-&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427D8-420D-4F64-8274-82E8DB6D3F9A}">
  <sheetPr codeName="Hoja16">
    <tabColor rgb="FF00B050"/>
  </sheetPr>
  <dimension ref="A1:U67"/>
  <sheetViews>
    <sheetView view="pageBreakPreview" zoomScale="96" zoomScaleNormal="100" zoomScaleSheetLayoutView="96" workbookViewId="0">
      <selection activeCell="D24" sqref="D24:I24"/>
    </sheetView>
  </sheetViews>
  <sheetFormatPr defaultColWidth="11.02734375" defaultRowHeight="15"/>
  <cols>
    <col min="1" max="1" width="12.64453125" style="202" customWidth="1"/>
    <col min="2" max="2" width="6.1875" style="202" customWidth="1"/>
    <col min="3" max="3" width="2.6875" style="202" customWidth="1"/>
    <col min="4" max="4" width="7.93359375" style="202" customWidth="1"/>
    <col min="5" max="7" width="11.02734375" style="202"/>
    <col min="8" max="8" width="13.98828125" style="202" customWidth="1"/>
    <col min="9" max="9" width="24.34765625" style="202" customWidth="1"/>
    <col min="10" max="10" width="3.2265625" style="202" customWidth="1"/>
    <col min="11" max="11" width="5.109375" style="202" customWidth="1"/>
    <col min="12" max="12" width="10.35546875" style="202" customWidth="1"/>
    <col min="13" max="13" width="2.6875" style="202" customWidth="1"/>
    <col min="14" max="14" width="14.9296875" style="202" customWidth="1"/>
    <col min="15" max="15" width="14.390625" style="202" customWidth="1"/>
    <col min="16" max="16" width="15.6015625" style="202" customWidth="1"/>
    <col min="17" max="17" width="11.02734375" style="202"/>
    <col min="18" max="18" width="29.59375" style="202" customWidth="1"/>
    <col min="19" max="19" width="2.95703125" style="267" customWidth="1"/>
    <col min="20" max="16384" width="11.02734375" style="202"/>
  </cols>
  <sheetData>
    <row r="1" spans="1:20" ht="15.75" thickBot="1">
      <c r="A1" s="267">
        <v>5</v>
      </c>
      <c r="B1" s="267">
        <f ca="1">_xlfn.XLOOKUP(C4,DBGenzai[カナ],DBGenzai[現入社],"",0,1)</f>
        <v>45139</v>
      </c>
      <c r="S1" s="267">
        <v>3</v>
      </c>
    </row>
    <row r="2" spans="1:20">
      <c r="A2" s="461" t="s">
        <v>1850</v>
      </c>
      <c r="B2" s="462"/>
      <c r="C2" s="462"/>
      <c r="D2" s="462"/>
      <c r="E2" s="462"/>
      <c r="F2" s="462"/>
      <c r="G2" s="462"/>
      <c r="H2" s="462"/>
      <c r="I2" s="463"/>
      <c r="J2" s="201"/>
      <c r="K2" s="461" t="s">
        <v>1776</v>
      </c>
      <c r="L2" s="462"/>
      <c r="M2" s="462"/>
      <c r="N2" s="462"/>
      <c r="O2" s="462"/>
      <c r="P2" s="462"/>
      <c r="Q2" s="462"/>
      <c r="R2" s="463"/>
      <c r="S2" s="267">
        <v>4</v>
      </c>
    </row>
    <row r="3" spans="1:20" ht="15.75" thickBot="1">
      <c r="A3" s="464"/>
      <c r="B3" s="465"/>
      <c r="C3" s="466"/>
      <c r="D3" s="466"/>
      <c r="E3" s="466"/>
      <c r="F3" s="466"/>
      <c r="G3" s="466"/>
      <c r="H3" s="466"/>
      <c r="I3" s="467"/>
      <c r="J3" s="201"/>
      <c r="K3" s="464"/>
      <c r="L3" s="465"/>
      <c r="M3" s="465"/>
      <c r="N3" s="465"/>
      <c r="O3" s="465"/>
      <c r="P3" s="465"/>
      <c r="Q3" s="465"/>
      <c r="R3" s="468"/>
    </row>
    <row r="4" spans="1:20" ht="18.75" customHeight="1">
      <c r="A4" s="469" t="s">
        <v>1777</v>
      </c>
      <c r="B4" s="470"/>
      <c r="C4" s="471" t="str">
        <f ca="1">VLOOKUP(A1,通知書Genzai!I9:Q66,2,TRUE)</f>
        <v>グエン　ヴァン　クイ</v>
      </c>
      <c r="D4" s="471"/>
      <c r="E4" s="471"/>
      <c r="F4" s="471"/>
      <c r="G4" s="471"/>
      <c r="H4" s="471"/>
      <c r="I4" s="472"/>
      <c r="J4" s="203"/>
      <c r="K4" s="204"/>
      <c r="L4" s="205"/>
      <c r="M4" s="205"/>
      <c r="N4" s="205"/>
      <c r="O4" s="206"/>
      <c r="P4" s="206"/>
      <c r="R4" s="207"/>
    </row>
    <row r="5" spans="1:20" ht="18.75" customHeight="1" thickBot="1">
      <c r="A5" s="450" t="s">
        <v>1778</v>
      </c>
      <c r="B5" s="451"/>
      <c r="C5" s="452" t="str">
        <f ca="1">_xlfn.XLOOKUP(C4,DBGenzai[カナ],DBGenzai[氏名],"",0,-1)</f>
        <v>NGUYEN VAN QUY</v>
      </c>
      <c r="D5" s="452"/>
      <c r="E5" s="452"/>
      <c r="F5" s="452"/>
      <c r="G5" s="452"/>
      <c r="H5" s="452"/>
      <c r="I5" s="453"/>
      <c r="J5" s="208"/>
      <c r="K5" s="473" t="str">
        <f ca="1">_xlfn.XLOOKUP(C4,DBGenzai[カナ],DBGenzai[カナ],"",0,-1)</f>
        <v>グエン　ヴァン　クイ</v>
      </c>
      <c r="L5" s="474"/>
      <c r="M5" s="474"/>
      <c r="N5" s="474"/>
      <c r="O5" s="205" t="s">
        <v>1779</v>
      </c>
      <c r="P5" s="205"/>
      <c r="R5" s="207"/>
    </row>
    <row r="6" spans="1:20" ht="18.75" customHeight="1" thickTop="1" thickBot="1">
      <c r="A6" s="450" t="s">
        <v>1780</v>
      </c>
      <c r="B6" s="451"/>
      <c r="C6" s="452" t="str" cm="1">
        <f t="array" aca="1" ref="C6" ca="1">_xlfn.XLOOKUP(C4,DBGenzai[カナ],DBGenzai[住所]&amp;DBGenzai[ｱﾊﾟｰﾄ],"",0,-1)</f>
        <v>愛知県弥富市鯏浦町西前新田119-1ﾗｲﾌｺｱ119　301号</v>
      </c>
      <c r="D6" s="452"/>
      <c r="E6" s="452"/>
      <c r="F6" s="452"/>
      <c r="G6" s="452"/>
      <c r="H6" s="452"/>
      <c r="I6" s="453"/>
      <c r="J6" s="209"/>
      <c r="K6" s="268"/>
      <c r="L6" s="203"/>
      <c r="M6" s="212"/>
      <c r="N6" s="212"/>
      <c r="O6" s="212"/>
      <c r="P6" s="212"/>
      <c r="Q6" s="212"/>
      <c r="R6" s="269"/>
    </row>
    <row r="7" spans="1:20" ht="18.75" customHeight="1">
      <c r="A7" s="450" t="s">
        <v>1781</v>
      </c>
      <c r="B7" s="451"/>
      <c r="C7" s="454">
        <f ca="1">_xlfn.XLOOKUP(C4,DBGenzai[カナ],DBGenzai[生年月日],"",0,-1)</f>
        <v>37213</v>
      </c>
      <c r="D7" s="455"/>
      <c r="E7" s="455"/>
      <c r="F7" s="455"/>
      <c r="G7" s="210"/>
      <c r="H7" s="210"/>
      <c r="I7" s="211"/>
      <c r="J7" s="212"/>
      <c r="K7" s="456" t="s">
        <v>1846</v>
      </c>
      <c r="L7" s="457"/>
      <c r="M7" s="270"/>
      <c r="N7" s="460" t="s">
        <v>1888</v>
      </c>
      <c r="O7" s="460"/>
      <c r="P7" s="493"/>
      <c r="Q7" s="493"/>
      <c r="R7" s="271"/>
    </row>
    <row r="8" spans="1:20" ht="18.75" customHeight="1" thickBot="1">
      <c r="A8" s="494" t="s">
        <v>1783</v>
      </c>
      <c r="B8" s="495"/>
      <c r="C8" s="496" t="str">
        <f ca="1">_xlfn.XLOOKUP(C4,DBGenzai[カナ],DBGenzai[性別],"",0,-1)</f>
        <v>男</v>
      </c>
      <c r="D8" s="497"/>
      <c r="E8" s="497"/>
      <c r="F8" s="213"/>
      <c r="G8" s="214"/>
      <c r="H8" s="214"/>
      <c r="I8" s="215"/>
      <c r="J8" s="212"/>
      <c r="K8" s="458"/>
      <c r="L8" s="459"/>
      <c r="M8" s="428"/>
      <c r="N8" s="429" t="s">
        <v>2528</v>
      </c>
      <c r="O8" s="429"/>
      <c r="P8" s="430"/>
      <c r="Q8" s="498" cm="1">
        <f t="array" aca="1" ref="Q8" ca="1">_xlfn.XLOOKUP($I$12&amp;$G$12,TBKaishaInfo[ライン]&amp;TBKaishaInfo[工場名],TBKaishaInfo[当該協定期間],0,0,1)</f>
        <v>45747</v>
      </c>
      <c r="R8" s="499"/>
      <c r="T8" s="316" t="s">
        <v>2529</v>
      </c>
    </row>
    <row r="9" spans="1:20" ht="18.75" customHeight="1" thickBot="1">
      <c r="A9" s="216"/>
      <c r="B9" s="216"/>
      <c r="C9" s="217"/>
      <c r="D9" s="217"/>
      <c r="E9" s="217"/>
      <c r="F9" s="500" t="s">
        <v>1841</v>
      </c>
      <c r="G9" s="500"/>
      <c r="H9" s="500"/>
      <c r="I9" s="500"/>
      <c r="J9" s="212"/>
      <c r="K9" s="501" t="s">
        <v>1782</v>
      </c>
      <c r="L9" s="502"/>
      <c r="M9" s="373"/>
      <c r="N9" s="503">
        <f>C10</f>
        <v>45464</v>
      </c>
      <c r="O9" s="503"/>
      <c r="P9" s="504">
        <f>G10</f>
        <v>45646</v>
      </c>
      <c r="Q9" s="504"/>
      <c r="R9" s="374"/>
    </row>
    <row r="10" spans="1:20" ht="17.100000000000001" customHeight="1">
      <c r="A10" s="475" t="s">
        <v>1784</v>
      </c>
      <c r="B10" s="476"/>
      <c r="C10" s="479">
        <v>45464</v>
      </c>
      <c r="D10" s="480"/>
      <c r="E10" s="480"/>
      <c r="F10" s="483" t="s">
        <v>733</v>
      </c>
      <c r="G10" s="485">
        <v>45646</v>
      </c>
      <c r="H10" s="485"/>
      <c r="I10" s="265"/>
      <c r="J10" s="219"/>
      <c r="K10" s="487" t="s">
        <v>2045</v>
      </c>
      <c r="L10" s="488"/>
      <c r="M10" s="375"/>
      <c r="N10" s="491">
        <f>個別契約書X!Q6+1</f>
        <v>46296</v>
      </c>
      <c r="O10" s="491"/>
      <c r="P10" s="376"/>
      <c r="Q10" s="377"/>
      <c r="R10" s="374"/>
      <c r="T10" s="316" t="s">
        <v>2530</v>
      </c>
    </row>
    <row r="11" spans="1:20" ht="17.100000000000001" customHeight="1">
      <c r="A11" s="477"/>
      <c r="B11" s="478"/>
      <c r="C11" s="481"/>
      <c r="D11" s="482"/>
      <c r="E11" s="482"/>
      <c r="F11" s="484"/>
      <c r="G11" s="486"/>
      <c r="H11" s="486"/>
      <c r="I11" s="266"/>
      <c r="J11" s="219"/>
      <c r="K11" s="489"/>
      <c r="L11" s="490"/>
      <c r="M11" s="218"/>
      <c r="N11" s="492"/>
      <c r="O11" s="492"/>
      <c r="P11" s="378"/>
      <c r="Q11" s="379"/>
      <c r="R11" s="431"/>
      <c r="T11" s="316" t="s">
        <v>2531</v>
      </c>
    </row>
    <row r="12" spans="1:20" ht="17.100000000000001" customHeight="1">
      <c r="A12" s="521" t="s">
        <v>1786</v>
      </c>
      <c r="B12" s="528"/>
      <c r="C12" s="514" t="s">
        <v>1787</v>
      </c>
      <c r="D12" s="529"/>
      <c r="E12" s="525" t="str" cm="1">
        <f t="array" aca="1" ref="E12" ca="1">_xlfn.XLOOKUP(H12&amp;I12,TBKaishaInfo[配属先]&amp;TBKaishaInfo[ライン],TBKaishaInfo[派遣先])</f>
        <v>高雄工業株式会社</v>
      </c>
      <c r="F12" s="525"/>
      <c r="G12" s="222" t="str" cm="1">
        <f t="array" aca="1" ref="G12" ca="1">_xlfn.XLOOKUP(H12&amp;I12,TBKaishaInfo[配属先]&amp;TBKaishaInfo[ライン],TBKaishaInfo[工場名])</f>
        <v>本社工場</v>
      </c>
      <c r="H12" s="333" t="str">
        <f ca="1">_xlfn.XLOOKUP(I12,TBKaishaInfo[ライン],TBKaishaInfo[配属先])</f>
        <v>製作課</v>
      </c>
      <c r="I12" s="427" t="str">
        <f ca="1">_xlfn.XLOOKUP(C4,TablaTransfor[カナ],TablaTransfor[ライン],"",0,1)</f>
        <v>Fライン</v>
      </c>
      <c r="J12" s="223"/>
      <c r="K12" s="487" t="s">
        <v>2046</v>
      </c>
      <c r="L12" s="488"/>
      <c r="M12" s="373"/>
      <c r="N12" s="491" cm="1">
        <f t="array" aca="1" ref="N12" ca="1">IF(_xlfn.XLOOKUP(C4,DBGenzai[カナ],DATE(YEAR(DBGenzai[現入社])+3,MONTH(DBGenzai[現入社]),DAY(DBGenzai[現入社])-1),"",0,1)+1&gt;=NOW(),_xlfn.XLOOKUP(C4,DBGenzai[カナ],DATE(YEAR(DBGenzai[現入社])+3,MONTH(DBGenzai[現入社]),DAY(DBGenzai[現入社])-1),"",0,1)+1,"無期雇用")</f>
        <v>46235</v>
      </c>
      <c r="O12" s="491"/>
      <c r="P12" s="530" t="s">
        <v>2047</v>
      </c>
      <c r="Q12" s="530"/>
      <c r="R12" s="531"/>
    </row>
    <row r="13" spans="1:20" ht="17.100000000000001" customHeight="1">
      <c r="A13" s="518"/>
      <c r="B13" s="508"/>
      <c r="C13" s="514" t="s">
        <v>1789</v>
      </c>
      <c r="D13" s="529"/>
      <c r="E13" s="534" t="str" cm="1">
        <f t="array" aca="1" ref="E13" ca="1">_xlfn.XLOOKUP(E12&amp;H12&amp;I12,TBKaishaInfo[派遣先]&amp;TBKaishaInfo[配属先]&amp;TBKaishaInfo[ライン],TBKaishaInfo[工場住所],"",0,1)</f>
        <v>愛知県弥富市楠三丁目13番地2</v>
      </c>
      <c r="F13" s="534"/>
      <c r="G13" s="534"/>
      <c r="H13" s="534"/>
      <c r="I13" s="535"/>
      <c r="J13" s="225"/>
      <c r="K13" s="489"/>
      <c r="L13" s="490"/>
      <c r="M13" s="372"/>
      <c r="N13" s="492"/>
      <c r="O13" s="492"/>
      <c r="P13" s="532"/>
      <c r="Q13" s="532"/>
      <c r="R13" s="533"/>
    </row>
    <row r="14" spans="1:20" ht="17.100000000000001" customHeight="1" thickBot="1">
      <c r="A14" s="523"/>
      <c r="B14" s="510"/>
      <c r="C14" s="514" t="s">
        <v>1790</v>
      </c>
      <c r="D14" s="529"/>
      <c r="E14" s="226" t="str" cm="1">
        <f t="array" aca="1" ref="E14" ca="1">_xlfn.XLOOKUP(E12&amp;H12&amp;I12,TBKaishaInfo[派遣先]&amp;TBKaishaInfo[配属先]&amp;TBKaishaInfo[ライン],TBKaishaInfo[工場電話],"",0,1)</f>
        <v>0567-68-8110</v>
      </c>
      <c r="F14" s="226"/>
      <c r="G14" s="226"/>
      <c r="H14" s="226"/>
      <c r="I14" s="227"/>
      <c r="J14" s="228"/>
      <c r="K14" s="521" t="s">
        <v>1785</v>
      </c>
      <c r="L14" s="522"/>
      <c r="M14" s="220"/>
      <c r="N14" s="505" t="str" cm="1">
        <f t="array" aca="1" ref="N14" ca="1">_xlfn.XLOOKUP(E12&amp;G12,TBKaishaInfo[派遣先]&amp;TBKaishaInfo[工場名],TBKaishaInfo[派遣元責任者部署]&amp;" "&amp;TBKaishaInfo[派遣元責任者名],"",0)</f>
        <v>営業部 取締役 ブウ　ティ　サウ</v>
      </c>
      <c r="O14" s="505"/>
      <c r="P14" s="505"/>
      <c r="Q14" s="507" t="str" cm="1">
        <f t="array" aca="1" ref="Q14" ca="1">"電話番号：　"&amp;_xlfn.XLOOKUP(E12&amp;G12,TBKaishaInfo[派遣先]&amp;TBKaishaInfo[工場名],TBKaishaInfo[派遣元責任者電話])</f>
        <v>電話番号：　052-938-8840</v>
      </c>
      <c r="R14" s="508"/>
    </row>
    <row r="15" spans="1:20" ht="17.100000000000001" customHeight="1">
      <c r="A15" s="511" t="s">
        <v>1844</v>
      </c>
      <c r="B15" s="512"/>
      <c r="C15" s="513"/>
      <c r="D15" s="516" t="str" cm="1">
        <f t="array" aca="1" ref="D15" ca="1">_xlfn.XLOOKUP($I$12,TBKaishaInfo[ライン],TBKaishaInfo[配属先]&amp;" "&amp;TBKaishaInfo[指示命令者部署],"",0,1)</f>
        <v xml:space="preserve">製作課 </v>
      </c>
      <c r="E15" s="516"/>
      <c r="F15" s="516"/>
      <c r="G15" s="516"/>
      <c r="H15" s="516"/>
      <c r="I15" s="517"/>
      <c r="J15" s="230"/>
      <c r="K15" s="523"/>
      <c r="L15" s="524"/>
      <c r="M15" s="221"/>
      <c r="N15" s="506"/>
      <c r="O15" s="506"/>
      <c r="P15" s="506"/>
      <c r="Q15" s="509"/>
      <c r="R15" s="510"/>
    </row>
    <row r="16" spans="1:20" ht="17.100000000000001" customHeight="1">
      <c r="A16" s="518" t="s">
        <v>709</v>
      </c>
      <c r="B16" s="508"/>
      <c r="C16" s="514"/>
      <c r="D16" s="519" t="s">
        <v>1842</v>
      </c>
      <c r="E16" s="519"/>
      <c r="F16" s="519"/>
      <c r="G16" s="519"/>
      <c r="H16" s="519"/>
      <c r="I16" s="520"/>
      <c r="J16" s="209"/>
      <c r="K16" s="521" t="s">
        <v>1788</v>
      </c>
      <c r="L16" s="522"/>
      <c r="M16" s="224"/>
      <c r="N16" s="525" t="str" cm="1">
        <f t="array" aca="1" ref="N16" ca="1">_xlfn.XLOOKUP(E12&amp;G12&amp;I12,TBKaishaInfo[派遣先]&amp;TBKaishaInfo[工場名]&amp;TBKaishaInfo[ライン],TBKaishaInfo[派遣先責任者部署]&amp;" "&amp;TBKaishaInfo[派遣先責任者名],"",0)</f>
        <v>愛知事業所 副工場長　服部晃昌</v>
      </c>
      <c r="O16" s="525"/>
      <c r="P16" s="525"/>
      <c r="Q16" s="527" t="str" cm="1">
        <f t="array" aca="1" ref="Q16" ca="1">"電話番号：　"&amp;_xlfn.XLOOKUP(E12&amp;G12,TBKaishaInfo[派遣先]&amp;TBKaishaInfo[工場名],TBKaishaInfo[派遣先責任者電話])</f>
        <v>電話番号：　0567-68-8110</v>
      </c>
      <c r="R16" s="528"/>
    </row>
    <row r="17" spans="1:21" ht="17.100000000000001" customHeight="1" thickBot="1">
      <c r="A17" s="523" t="s">
        <v>1843</v>
      </c>
      <c r="B17" s="510"/>
      <c r="C17" s="515"/>
      <c r="D17" s="543" t="str">
        <f ca="1">_xlfn.XLOOKUP(C4,TablaTransfor[カナ],TablaTransfor[仕事内容],"",0,1)</f>
        <v>CVJ部品短軸品の施削加工、NCプログラム修正</v>
      </c>
      <c r="E17" s="543"/>
      <c r="F17" s="543"/>
      <c r="G17" s="543"/>
      <c r="H17" s="543"/>
      <c r="I17" s="544"/>
      <c r="J17" s="209"/>
      <c r="K17" s="523"/>
      <c r="L17" s="524"/>
      <c r="M17" s="221"/>
      <c r="N17" s="526"/>
      <c r="O17" s="526"/>
      <c r="P17" s="526"/>
      <c r="Q17" s="509"/>
      <c r="R17" s="510"/>
    </row>
    <row r="18" spans="1:21" ht="15" customHeight="1">
      <c r="A18" s="545" t="s">
        <v>1792</v>
      </c>
      <c r="B18" s="546"/>
      <c r="C18" s="274"/>
      <c r="D18" s="307" t="s">
        <v>1793</v>
      </c>
      <c r="E18" s="550" t="str">
        <f>個別契約書X!H18</f>
        <v>昼勤：7時00分～15時30分　夜勤：19時00分～3時30分</v>
      </c>
      <c r="F18" s="550"/>
      <c r="G18" s="550"/>
      <c r="H18" s="550"/>
      <c r="I18" s="551"/>
      <c r="J18" s="234"/>
      <c r="K18" s="521" t="s">
        <v>1791</v>
      </c>
      <c r="L18" s="522"/>
      <c r="M18" s="229"/>
      <c r="N18" s="527" t="s">
        <v>1839</v>
      </c>
      <c r="O18" s="536" t="str" cm="1">
        <f t="array" aca="1" ref="O18" ca="1">_xlfn.XLOOKUP(E12&amp;G12,TBKaishaInfo[派遣先]&amp;TBKaishaInfo[工場名],TBKaishaInfo[派遣元責任者部署]&amp;" "&amp;TBKaishaInfo[派遣元：苦情処理：名],"",0)</f>
        <v>営業部 取締役部長 中山　欣英</v>
      </c>
      <c r="P18" s="536"/>
      <c r="Q18" s="527" t="str" cm="1">
        <f t="array" aca="1" ref="Q18" ca="1">"電話番号：　"&amp;_xlfn.XLOOKUP(E12&amp;G12,TBKaishaInfo[派遣先]&amp;TBKaishaInfo[工場名],TBKaishaInfo[派遣先：苦情処理：電話])</f>
        <v>電話番号：　0567-68-8110</v>
      </c>
      <c r="R18" s="528"/>
    </row>
    <row r="19" spans="1:21" ht="15" customHeight="1">
      <c r="A19" s="547"/>
      <c r="B19" s="548"/>
      <c r="C19" s="235"/>
      <c r="D19" s="334" t="s">
        <v>1795</v>
      </c>
      <c r="E19" s="538" t="str">
        <f>個別契約書X!H22</f>
        <v>昼勤：11時00分～11時45分 まで    夜勤：23時00分～23時45分　まで　（45分）</v>
      </c>
      <c r="F19" s="538"/>
      <c r="G19" s="538"/>
      <c r="H19" s="538"/>
      <c r="I19" s="539"/>
      <c r="J19" s="236"/>
      <c r="K19" s="518"/>
      <c r="L19" s="552"/>
      <c r="M19" s="221"/>
      <c r="N19" s="553"/>
      <c r="O19" s="537"/>
      <c r="P19" s="537"/>
      <c r="Q19" s="509"/>
      <c r="R19" s="510"/>
    </row>
    <row r="20" spans="1:21" ht="17.100000000000001" customHeight="1">
      <c r="A20" s="547"/>
      <c r="B20" s="548"/>
      <c r="C20" s="235"/>
      <c r="D20" s="334"/>
      <c r="E20" s="540"/>
      <c r="F20" s="540"/>
      <c r="G20" s="540"/>
      <c r="H20" s="540"/>
      <c r="I20" s="541"/>
      <c r="J20" s="236"/>
      <c r="K20" s="518"/>
      <c r="L20" s="552"/>
      <c r="M20" s="231"/>
      <c r="N20" s="542" t="s">
        <v>1840</v>
      </c>
      <c r="O20" s="542" t="str" cm="1">
        <f t="array" aca="1" ref="O20" ca="1">_xlfn.XLOOKUP(E12&amp;G12&amp;I12,TBKaishaInfo[派遣先]&amp;TBKaishaInfo[工場名]&amp;TBKaishaInfo[ライン],TBKaishaInfo[派遣先：苦情処理：部署]&amp;" "&amp;TBKaishaInfo[派遣先：苦情処理：名],"",0)</f>
        <v>人事広報管理部 部長　山田　茂</v>
      </c>
      <c r="P20" s="542"/>
      <c r="Q20" s="527" t="str" cm="1">
        <f t="array" aca="1" ref="Q20" ca="1">"電話番号：　"&amp;_xlfn.XLOOKUP(E12&amp;G12,TBKaishaInfo[派遣先]&amp;TBKaishaInfo[工場名],TBKaishaInfo[派遣元：苦情処理：電話])</f>
        <v>電話番号：　052-938-8840</v>
      </c>
      <c r="R20" s="528"/>
    </row>
    <row r="21" spans="1:21" ht="17.100000000000001" customHeight="1">
      <c r="A21" s="547"/>
      <c r="B21" s="548"/>
      <c r="C21" s="235"/>
      <c r="D21" s="334"/>
      <c r="E21" s="540"/>
      <c r="F21" s="540"/>
      <c r="G21" s="540"/>
      <c r="H21" s="540"/>
      <c r="I21" s="541"/>
      <c r="J21" s="236"/>
      <c r="K21" s="518"/>
      <c r="L21" s="552"/>
      <c r="M21" s="232"/>
      <c r="N21" s="509"/>
      <c r="O21" s="509"/>
      <c r="P21" s="509"/>
      <c r="Q21" s="509"/>
      <c r="R21" s="510"/>
    </row>
    <row r="22" spans="1:21" ht="17.100000000000001" customHeight="1">
      <c r="A22" s="547"/>
      <c r="B22" s="548"/>
      <c r="C22" s="235"/>
      <c r="I22" s="207"/>
      <c r="J22" s="236"/>
      <c r="K22" s="518"/>
      <c r="L22" s="552"/>
      <c r="M22" s="221"/>
      <c r="N22" s="554" t="s">
        <v>1794</v>
      </c>
      <c r="O22" s="554"/>
      <c r="P22" s="554"/>
      <c r="Q22" s="554"/>
      <c r="R22" s="555"/>
    </row>
    <row r="23" spans="1:21" ht="17.100000000000001" customHeight="1">
      <c r="A23" s="547"/>
      <c r="B23" s="548"/>
      <c r="C23" s="235"/>
      <c r="D23" s="540" t="s">
        <v>1796</v>
      </c>
      <c r="E23" s="540"/>
      <c r="F23" s="540"/>
      <c r="G23" s="540"/>
      <c r="H23" s="540"/>
      <c r="I23" s="541"/>
      <c r="J23" s="236"/>
      <c r="K23" s="518"/>
      <c r="L23" s="552"/>
      <c r="M23" s="221"/>
      <c r="N23" s="556"/>
      <c r="O23" s="556"/>
      <c r="P23" s="556"/>
      <c r="Q23" s="556"/>
      <c r="R23" s="557"/>
    </row>
    <row r="24" spans="1:21" ht="17.100000000000001" customHeight="1">
      <c r="A24" s="477"/>
      <c r="B24" s="549"/>
      <c r="C24" s="237"/>
      <c r="D24" s="505" t="s">
        <v>1797</v>
      </c>
      <c r="E24" s="505"/>
      <c r="F24" s="505"/>
      <c r="G24" s="505"/>
      <c r="H24" s="505"/>
      <c r="I24" s="560"/>
      <c r="J24" s="236"/>
      <c r="K24" s="518"/>
      <c r="L24" s="552"/>
      <c r="M24" s="221"/>
      <c r="N24" s="556"/>
      <c r="O24" s="556"/>
      <c r="P24" s="556"/>
      <c r="Q24" s="556"/>
      <c r="R24" s="557"/>
    </row>
    <row r="25" spans="1:21" ht="17.100000000000001" customHeight="1">
      <c r="A25" s="521" t="s">
        <v>2533</v>
      </c>
      <c r="B25" s="527"/>
      <c r="C25" s="239"/>
      <c r="D25" s="573" t="str">
        <f ca="1">_xlfn.XLOOKUP(I12,TBKaishaInfo[ライン],TBKaishaInfo[作業者カレンダー])</f>
        <v>土曜日・日曜日・年末年始（12月30日～1月7日)・GW(4月28日～5月5日)・夏季休暇（8月11日～8月18日)</v>
      </c>
      <c r="E25" s="573"/>
      <c r="F25" s="573"/>
      <c r="G25" s="573"/>
      <c r="H25" s="573"/>
      <c r="I25" s="574"/>
      <c r="J25" s="236"/>
      <c r="K25" s="518"/>
      <c r="L25" s="552"/>
      <c r="M25" s="221"/>
      <c r="N25" s="556"/>
      <c r="O25" s="556"/>
      <c r="P25" s="556"/>
      <c r="Q25" s="556"/>
      <c r="R25" s="557"/>
    </row>
    <row r="26" spans="1:21" ht="15" customHeight="1">
      <c r="A26" s="523"/>
      <c r="B26" s="509"/>
      <c r="C26" s="237"/>
      <c r="D26" s="506"/>
      <c r="E26" s="506"/>
      <c r="F26" s="506"/>
      <c r="G26" s="506"/>
      <c r="H26" s="506"/>
      <c r="I26" s="565"/>
      <c r="J26" s="223"/>
      <c r="K26" s="518"/>
      <c r="L26" s="552"/>
      <c r="M26" s="221"/>
      <c r="N26" s="556"/>
      <c r="O26" s="556"/>
      <c r="P26" s="556"/>
      <c r="Q26" s="556"/>
      <c r="R26" s="557"/>
    </row>
    <row r="27" spans="1:21" ht="17.25" customHeight="1">
      <c r="A27" s="545" t="s">
        <v>1799</v>
      </c>
      <c r="B27" s="546"/>
      <c r="C27" s="240"/>
      <c r="D27" s="575" t="s">
        <v>1800</v>
      </c>
      <c r="E27" s="575"/>
      <c r="F27" s="575"/>
      <c r="G27" s="575"/>
      <c r="H27" s="575"/>
      <c r="I27" s="576"/>
      <c r="J27" s="222"/>
      <c r="K27" s="518"/>
      <c r="L27" s="552"/>
      <c r="M27" s="221"/>
      <c r="N27" s="556"/>
      <c r="O27" s="556"/>
      <c r="P27" s="556"/>
      <c r="Q27" s="556"/>
      <c r="R27" s="557"/>
    </row>
    <row r="28" spans="1:21" ht="17.25" customHeight="1">
      <c r="A28" s="477"/>
      <c r="B28" s="549"/>
      <c r="C28" s="244"/>
      <c r="D28" s="577"/>
      <c r="E28" s="577"/>
      <c r="F28" s="577"/>
      <c r="G28" s="577"/>
      <c r="H28" s="577"/>
      <c r="I28" s="578"/>
      <c r="J28" s="222"/>
      <c r="K28" s="523"/>
      <c r="L28" s="524"/>
      <c r="M28" s="238"/>
      <c r="N28" s="558"/>
      <c r="O28" s="558"/>
      <c r="P28" s="558"/>
      <c r="Q28" s="558"/>
      <c r="R28" s="559"/>
      <c r="U28" s="316"/>
    </row>
    <row r="29" spans="1:21" ht="17.25" customHeight="1">
      <c r="A29" s="579" t="s">
        <v>1801</v>
      </c>
      <c r="B29" s="580"/>
      <c r="C29" s="245"/>
      <c r="D29" s="246" t="s">
        <v>1802</v>
      </c>
      <c r="E29" s="247" t="s">
        <v>1803</v>
      </c>
      <c r="F29" s="248">
        <f ca="1">_xlfn.XLOOKUP(C4,DBGenzai[カナ],DBGenzai[時給],"",0,-1)</f>
        <v>1310</v>
      </c>
      <c r="G29" s="249" t="s">
        <v>1804</v>
      </c>
      <c r="H29" s="241"/>
      <c r="I29" s="242"/>
      <c r="J29" s="228"/>
      <c r="K29" s="585" t="s">
        <v>323</v>
      </c>
      <c r="L29" s="586"/>
      <c r="M29" s="238"/>
      <c r="N29" s="587" t="str" cm="1">
        <f t="array" aca="1" ref="N29" ca="1">_xlfn.XLOOKUP($I$12,TBKaishaInfo[ライン],TBKaishaInfo[配属先]&amp;" "&amp;TBKaishaInfo[指示命令者部署]&amp;" "&amp;TBKaishaInfo[指示命令者名],"",0,1)</f>
        <v>製作課  係長　山本　絋平</v>
      </c>
      <c r="O29" s="587"/>
      <c r="P29" s="587"/>
      <c r="Q29" s="587"/>
      <c r="R29" s="588"/>
    </row>
    <row r="30" spans="1:21" ht="17.25" customHeight="1">
      <c r="A30" s="581"/>
      <c r="B30" s="582"/>
      <c r="C30" s="235"/>
      <c r="D30" s="505" t="s">
        <v>1805</v>
      </c>
      <c r="E30" s="505"/>
      <c r="F30" s="505"/>
      <c r="G30" s="505"/>
      <c r="H30" s="505"/>
      <c r="I30" s="560"/>
      <c r="J30" s="228"/>
      <c r="K30" s="521" t="s">
        <v>1798</v>
      </c>
      <c r="L30" s="522"/>
      <c r="M30" s="224"/>
      <c r="N30" s="589" t="s">
        <v>2074</v>
      </c>
      <c r="O30" s="590"/>
      <c r="P30" s="590"/>
      <c r="Q30" s="590"/>
      <c r="R30" s="591"/>
    </row>
    <row r="31" spans="1:21" ht="15" customHeight="1">
      <c r="A31" s="581"/>
      <c r="B31" s="582"/>
      <c r="C31" s="235"/>
      <c r="D31" s="505" t="s">
        <v>1808</v>
      </c>
      <c r="E31" s="505"/>
      <c r="F31" s="505"/>
      <c r="G31" s="505"/>
      <c r="H31" s="505"/>
      <c r="I31" s="560"/>
      <c r="J31" s="228"/>
      <c r="K31" s="518"/>
      <c r="L31" s="552"/>
      <c r="M31" s="243"/>
      <c r="N31" s="561" t="s">
        <v>2071</v>
      </c>
      <c r="O31" s="561"/>
      <c r="P31" s="561"/>
      <c r="Q31" s="561"/>
      <c r="R31" s="562"/>
    </row>
    <row r="32" spans="1:21" ht="15" customHeight="1">
      <c r="A32" s="581"/>
      <c r="B32" s="582"/>
      <c r="C32" s="235"/>
      <c r="D32" s="519" t="str" cm="1">
        <f t="array" aca="1" ref="D32" ca="1">"４．賃金締切及び支払日・・・・当月"&amp;_xlfn.XLOOKUP($I$12&amp;G12,TBKaishaInfo[ライン]&amp;TBKaishaInfo[工場名],TBKaishaInfo[作業者締め日],"",0,1)&amp;"締切　　翌月"&amp;_xlfn.XLOOKUP($I$12,TBKaishaInfo[ライン],TBKaishaInfo[作業者支払日],"",0,1)&amp;"支払日"</f>
        <v>４．賃金締切及び支払日・・・・当月１５日締切　　翌月１５日支払日</v>
      </c>
      <c r="E32" s="519"/>
      <c r="F32" s="519"/>
      <c r="G32" s="519"/>
      <c r="H32" s="519"/>
      <c r="I32" s="520"/>
      <c r="J32" s="222"/>
      <c r="K32" s="518"/>
      <c r="L32" s="552"/>
      <c r="M32" s="221"/>
      <c r="N32" s="563" t="s">
        <v>1889</v>
      </c>
      <c r="O32" s="563"/>
      <c r="P32" s="563"/>
      <c r="Q32" s="563"/>
      <c r="R32" s="564"/>
    </row>
    <row r="33" spans="1:18" ht="15" customHeight="1">
      <c r="A33" s="581"/>
      <c r="B33" s="582"/>
      <c r="C33" s="235"/>
      <c r="D33" s="505" t="s">
        <v>1809</v>
      </c>
      <c r="E33" s="505"/>
      <c r="F33" s="505"/>
      <c r="G33" s="505"/>
      <c r="H33" s="505"/>
      <c r="I33" s="560"/>
      <c r="J33" s="222"/>
      <c r="K33" s="523"/>
      <c r="L33" s="524"/>
      <c r="M33" s="232"/>
      <c r="N33" s="506"/>
      <c r="O33" s="506"/>
      <c r="P33" s="506"/>
      <c r="Q33" s="506"/>
      <c r="R33" s="565"/>
    </row>
    <row r="34" spans="1:18" ht="15" customHeight="1">
      <c r="A34" s="583"/>
      <c r="B34" s="584"/>
      <c r="C34" s="308"/>
      <c r="D34" s="526" t="str">
        <f>IF($C$10&lt;DATE(2023,4,1),"","６. 月６０時間以内（ ２５）％　　月６０時間超 （ ５０）％")</f>
        <v>６. 月６０時間以内（ ２５）％　　月６０時間超 （ ５０）％</v>
      </c>
      <c r="E34" s="526"/>
      <c r="F34" s="526"/>
      <c r="G34" s="526"/>
      <c r="H34" s="526"/>
      <c r="I34" s="566"/>
      <c r="J34" s="222"/>
      <c r="K34" s="521" t="s">
        <v>1806</v>
      </c>
      <c r="L34" s="522"/>
      <c r="M34" s="250"/>
      <c r="N34" s="567" t="s">
        <v>1807</v>
      </c>
      <c r="O34" s="567"/>
      <c r="P34" s="567"/>
      <c r="Q34" s="567"/>
      <c r="R34" s="568"/>
    </row>
    <row r="35" spans="1:18" ht="15" customHeight="1">
      <c r="A35" s="597" t="s">
        <v>1810</v>
      </c>
      <c r="B35" s="598"/>
      <c r="C35" s="252"/>
      <c r="D35" s="601" t="s">
        <v>1811</v>
      </c>
      <c r="E35" s="601"/>
      <c r="F35" s="601"/>
      <c r="G35" s="601"/>
      <c r="H35" s="601"/>
      <c r="I35" s="602"/>
      <c r="J35" s="222"/>
      <c r="K35" s="518"/>
      <c r="L35" s="552"/>
      <c r="M35" s="251"/>
      <c r="N35" s="569"/>
      <c r="O35" s="569"/>
      <c r="P35" s="569"/>
      <c r="Q35" s="569"/>
      <c r="R35" s="570"/>
    </row>
    <row r="36" spans="1:18" ht="15" customHeight="1">
      <c r="A36" s="599"/>
      <c r="B36" s="600"/>
      <c r="C36" s="252"/>
      <c r="D36" s="603" t="s">
        <v>1812</v>
      </c>
      <c r="E36" s="603"/>
      <c r="F36" s="603"/>
      <c r="G36" s="603"/>
      <c r="H36" s="603"/>
      <c r="I36" s="604"/>
      <c r="J36" s="222"/>
      <c r="K36" s="518"/>
      <c r="L36" s="552"/>
      <c r="M36" s="251"/>
      <c r="N36" s="569"/>
      <c r="O36" s="569"/>
      <c r="P36" s="569"/>
      <c r="Q36" s="569"/>
      <c r="R36" s="570"/>
    </row>
    <row r="37" spans="1:18" ht="15" customHeight="1">
      <c r="A37" s="599"/>
      <c r="B37" s="600"/>
      <c r="C37" s="252"/>
      <c r="D37" s="603" t="s">
        <v>1813</v>
      </c>
      <c r="E37" s="603"/>
      <c r="F37" s="603"/>
      <c r="G37" s="603"/>
      <c r="H37" s="603"/>
      <c r="I37" s="604"/>
      <c r="J37" s="212"/>
      <c r="K37" s="518"/>
      <c r="L37" s="552"/>
      <c r="M37" s="251"/>
      <c r="N37" s="569"/>
      <c r="O37" s="569"/>
      <c r="P37" s="569"/>
      <c r="Q37" s="569"/>
      <c r="R37" s="570"/>
    </row>
    <row r="38" spans="1:18" ht="15" customHeight="1">
      <c r="A38" s="599"/>
      <c r="B38" s="600"/>
      <c r="C38" s="252"/>
      <c r="D38" s="601" t="s">
        <v>1816</v>
      </c>
      <c r="E38" s="601"/>
      <c r="F38" s="601"/>
      <c r="G38" s="601"/>
      <c r="H38" s="601"/>
      <c r="I38" s="602"/>
      <c r="J38" s="228"/>
      <c r="K38" s="518"/>
      <c r="L38" s="552"/>
      <c r="M38" s="251"/>
      <c r="N38" s="569"/>
      <c r="O38" s="569"/>
      <c r="P38" s="569"/>
      <c r="Q38" s="569"/>
      <c r="R38" s="570"/>
    </row>
    <row r="39" spans="1:18" ht="15" customHeight="1">
      <c r="A39" s="521" t="s">
        <v>1817</v>
      </c>
      <c r="B39" s="527"/>
      <c r="C39" s="253"/>
      <c r="D39" s="605" t="s">
        <v>1837</v>
      </c>
      <c r="E39" s="605"/>
      <c r="F39" s="605"/>
      <c r="G39" s="605"/>
      <c r="H39" s="605"/>
      <c r="I39" s="606"/>
      <c r="J39" s="203"/>
      <c r="K39" s="518"/>
      <c r="L39" s="552"/>
      <c r="M39" s="251"/>
      <c r="N39" s="569"/>
      <c r="O39" s="569"/>
      <c r="P39" s="569"/>
      <c r="Q39" s="569"/>
      <c r="R39" s="570"/>
    </row>
    <row r="40" spans="1:18" ht="15" customHeight="1">
      <c r="A40" s="518"/>
      <c r="B40" s="507"/>
      <c r="C40" s="252"/>
      <c r="D40" s="601" t="s">
        <v>1838</v>
      </c>
      <c r="E40" s="601"/>
      <c r="F40" s="601"/>
      <c r="G40" s="601"/>
      <c r="H40" s="601"/>
      <c r="I40" s="602"/>
      <c r="J40" s="203"/>
      <c r="K40" s="523"/>
      <c r="L40" s="524"/>
      <c r="M40" s="251"/>
      <c r="N40" s="571"/>
      <c r="O40" s="571"/>
      <c r="P40" s="571"/>
      <c r="Q40" s="571"/>
      <c r="R40" s="572"/>
    </row>
    <row r="41" spans="1:18" ht="12.95" customHeight="1">
      <c r="A41" s="518"/>
      <c r="B41" s="507"/>
      <c r="C41" s="252"/>
      <c r="D41" s="540" t="s">
        <v>1819</v>
      </c>
      <c r="E41" s="540"/>
      <c r="F41" s="540"/>
      <c r="G41" s="540"/>
      <c r="H41" s="540"/>
      <c r="I41" s="541"/>
      <c r="J41" s="203"/>
      <c r="K41" s="521" t="s">
        <v>1814</v>
      </c>
      <c r="L41" s="522"/>
      <c r="M41" s="224"/>
      <c r="N41" s="611" t="s">
        <v>1815</v>
      </c>
      <c r="O41" s="611"/>
      <c r="P41" s="611"/>
      <c r="Q41" s="611"/>
      <c r="R41" s="612"/>
    </row>
    <row r="42" spans="1:18" ht="12.95" customHeight="1">
      <c r="A42" s="518"/>
      <c r="B42" s="507"/>
      <c r="C42" s="252"/>
      <c r="D42" s="540"/>
      <c r="E42" s="540"/>
      <c r="F42" s="540"/>
      <c r="G42" s="540"/>
      <c r="H42" s="540"/>
      <c r="I42" s="541"/>
      <c r="J42" s="203"/>
      <c r="K42" s="523"/>
      <c r="L42" s="524"/>
      <c r="M42" s="232"/>
      <c r="N42" s="613"/>
      <c r="O42" s="613"/>
      <c r="P42" s="613"/>
      <c r="Q42" s="613"/>
      <c r="R42" s="614"/>
    </row>
    <row r="43" spans="1:18" ht="12.95" customHeight="1">
      <c r="A43" s="518"/>
      <c r="B43" s="507"/>
      <c r="C43" s="252"/>
      <c r="D43" s="540"/>
      <c r="E43" s="540"/>
      <c r="F43" s="540"/>
      <c r="G43" s="540"/>
      <c r="H43" s="540"/>
      <c r="I43" s="541"/>
      <c r="J43" s="226"/>
      <c r="K43" s="521" t="s">
        <v>1818</v>
      </c>
      <c r="L43" s="522"/>
      <c r="M43" s="224"/>
      <c r="N43" s="573" t="s">
        <v>1978</v>
      </c>
      <c r="O43" s="573"/>
      <c r="P43" s="573"/>
      <c r="Q43" s="573"/>
      <c r="R43" s="574"/>
    </row>
    <row r="44" spans="1:18" ht="15" customHeight="1">
      <c r="A44" s="523"/>
      <c r="B44" s="509"/>
      <c r="C44" s="256"/>
      <c r="D44" s="577" t="s">
        <v>1822</v>
      </c>
      <c r="E44" s="577"/>
      <c r="F44" s="577"/>
      <c r="G44" s="577"/>
      <c r="H44" s="577"/>
      <c r="I44" s="578"/>
      <c r="J44" s="226"/>
      <c r="K44" s="523"/>
      <c r="L44" s="524"/>
      <c r="M44" s="221"/>
      <c r="N44" s="506"/>
      <c r="O44" s="506"/>
      <c r="P44" s="506"/>
      <c r="Q44" s="506"/>
      <c r="R44" s="565"/>
    </row>
    <row r="45" spans="1:18" ht="15" customHeight="1">
      <c r="A45" s="518" t="s">
        <v>1824</v>
      </c>
      <c r="B45" s="507"/>
      <c r="C45" s="252"/>
      <c r="D45" s="505" t="s">
        <v>1825</v>
      </c>
      <c r="E45" s="505"/>
      <c r="F45" s="505"/>
      <c r="G45" s="505"/>
      <c r="H45" s="505"/>
      <c r="I45" s="560"/>
      <c r="J45" s="226"/>
      <c r="K45" s="545" t="s">
        <v>1820</v>
      </c>
      <c r="L45" s="594"/>
      <c r="M45" s="254"/>
      <c r="N45" s="575" t="s">
        <v>1821</v>
      </c>
      <c r="O45" s="575"/>
      <c r="P45" s="575"/>
      <c r="Q45" s="575"/>
      <c r="R45" s="576"/>
    </row>
    <row r="46" spans="1:18" ht="15" customHeight="1">
      <c r="A46" s="518"/>
      <c r="B46" s="507"/>
      <c r="C46" s="257"/>
      <c r="D46" s="505" t="s">
        <v>1890</v>
      </c>
      <c r="E46" s="505"/>
      <c r="F46" s="505"/>
      <c r="G46" s="505"/>
      <c r="H46" s="505"/>
      <c r="I46" s="560"/>
      <c r="J46" s="212"/>
      <c r="K46" s="547"/>
      <c r="L46" s="595"/>
      <c r="M46" s="255"/>
      <c r="N46" s="540"/>
      <c r="O46" s="540"/>
      <c r="P46" s="540"/>
      <c r="Q46" s="540"/>
      <c r="R46" s="541"/>
    </row>
    <row r="47" spans="1:18" ht="15" customHeight="1">
      <c r="A47" s="518"/>
      <c r="B47" s="507"/>
      <c r="C47" s="252"/>
      <c r="D47" s="505" t="s">
        <v>1826</v>
      </c>
      <c r="E47" s="505"/>
      <c r="F47" s="505"/>
      <c r="G47" s="505"/>
      <c r="H47" s="505"/>
      <c r="I47" s="560"/>
      <c r="J47" s="212"/>
      <c r="K47" s="477"/>
      <c r="L47" s="596"/>
      <c r="M47" s="273"/>
      <c r="N47" s="577"/>
      <c r="O47" s="577"/>
      <c r="P47" s="577"/>
      <c r="Q47" s="577"/>
      <c r="R47" s="578"/>
    </row>
    <row r="48" spans="1:18" ht="15" customHeight="1">
      <c r="A48" s="518"/>
      <c r="B48" s="507"/>
      <c r="C48" s="258"/>
      <c r="D48" s="505" t="s">
        <v>1827</v>
      </c>
      <c r="E48" s="505"/>
      <c r="F48" s="505"/>
      <c r="G48" s="505"/>
      <c r="H48" s="505"/>
      <c r="I48" s="560"/>
      <c r="J48" s="212"/>
      <c r="K48" s="585" t="s">
        <v>1823</v>
      </c>
      <c r="L48" s="586"/>
      <c r="M48" s="272"/>
      <c r="N48" s="607" t="s">
        <v>1848</v>
      </c>
      <c r="O48" s="607"/>
      <c r="P48" s="607"/>
      <c r="Q48" s="607"/>
      <c r="R48" s="608"/>
    </row>
    <row r="49" spans="1:18" ht="15" customHeight="1">
      <c r="A49" s="518"/>
      <c r="B49" s="507"/>
      <c r="C49" s="258"/>
      <c r="D49" s="505" t="s">
        <v>1830</v>
      </c>
      <c r="E49" s="505"/>
      <c r="F49" s="505"/>
      <c r="G49" s="505"/>
      <c r="H49" s="505"/>
      <c r="I49" s="560"/>
      <c r="J49" s="203"/>
      <c r="K49" s="258"/>
      <c r="L49" s="609">
        <f>C10</f>
        <v>45464</v>
      </c>
      <c r="M49" s="610"/>
      <c r="N49" s="610"/>
      <c r="O49" s="228"/>
      <c r="P49" s="228"/>
      <c r="Q49" s="228"/>
      <c r="R49" s="233"/>
    </row>
    <row r="50" spans="1:18" ht="15" customHeight="1">
      <c r="A50" s="518"/>
      <c r="B50" s="507"/>
      <c r="C50" s="258"/>
      <c r="D50" s="505" t="s">
        <v>1832</v>
      </c>
      <c r="E50" s="505"/>
      <c r="F50" s="505"/>
      <c r="G50" s="505"/>
      <c r="H50" s="505"/>
      <c r="I50" s="560"/>
      <c r="J50" s="223"/>
      <c r="K50" s="258"/>
      <c r="L50" s="228" t="s">
        <v>1828</v>
      </c>
      <c r="M50" s="228"/>
      <c r="N50" s="228"/>
      <c r="O50" s="228"/>
      <c r="P50" s="228" t="s">
        <v>1829</v>
      </c>
      <c r="Q50" s="228"/>
      <c r="R50" s="233"/>
    </row>
    <row r="51" spans="1:18" ht="15" customHeight="1">
      <c r="A51" s="518"/>
      <c r="B51" s="507"/>
      <c r="C51" s="258"/>
      <c r="D51" s="505" t="s">
        <v>1833</v>
      </c>
      <c r="E51" s="505"/>
      <c r="F51" s="505"/>
      <c r="G51" s="505"/>
      <c r="H51" s="505"/>
      <c r="I51" s="560"/>
      <c r="J51" s="203"/>
      <c r="K51" s="258"/>
      <c r="L51" s="620" t="str">
        <f>IF($L$49&lt;=DATE(2023,8,1),"愛知県名古屋市北区西味鋺1丁目５１１水野ビル201","愛知県名古屋市東区徳川2-18-18")</f>
        <v>愛知県名古屋市東区徳川2-18-18</v>
      </c>
      <c r="M51" s="620"/>
      <c r="N51" s="620"/>
      <c r="O51" s="620"/>
      <c r="P51" s="259" t="s">
        <v>1831</v>
      </c>
      <c r="Q51" s="260"/>
      <c r="R51" s="261"/>
    </row>
    <row r="52" spans="1:18" ht="15" customHeight="1">
      <c r="A52" s="518"/>
      <c r="B52" s="507"/>
      <c r="C52" s="258"/>
      <c r="D52" s="534" t="s">
        <v>1835</v>
      </c>
      <c r="E52" s="534"/>
      <c r="F52" s="534"/>
      <c r="G52" s="534"/>
      <c r="H52" s="534"/>
      <c r="I52" s="535"/>
      <c r="J52" s="228"/>
      <c r="K52" s="258"/>
      <c r="L52" s="540" t="s">
        <v>1834</v>
      </c>
      <c r="M52" s="540"/>
      <c r="N52" s="540"/>
      <c r="O52" s="228"/>
      <c r="R52" s="207"/>
    </row>
    <row r="53" spans="1:18" ht="15" customHeight="1">
      <c r="A53" s="518"/>
      <c r="B53" s="507"/>
      <c r="C53" s="258"/>
      <c r="D53" s="534" t="s">
        <v>1836</v>
      </c>
      <c r="E53" s="534"/>
      <c r="F53" s="534"/>
      <c r="G53" s="534"/>
      <c r="H53" s="534"/>
      <c r="I53" s="535"/>
      <c r="J53" s="236"/>
      <c r="K53" s="258"/>
      <c r="L53" s="430" t="s">
        <v>1847</v>
      </c>
      <c r="O53" s="228"/>
      <c r="P53" s="228"/>
      <c r="Q53" s="228"/>
      <c r="R53" s="233"/>
    </row>
    <row r="54" spans="1:18" ht="15" customHeight="1" thickBot="1">
      <c r="A54" s="592"/>
      <c r="B54" s="593"/>
      <c r="C54" s="263"/>
      <c r="D54" s="615" t="s">
        <v>1891</v>
      </c>
      <c r="E54" s="615"/>
      <c r="F54" s="615"/>
      <c r="G54" s="615"/>
      <c r="H54" s="615"/>
      <c r="I54" s="616"/>
      <c r="J54" s="262"/>
      <c r="K54" s="263"/>
      <c r="L54" s="617"/>
      <c r="M54" s="617"/>
      <c r="N54" s="617"/>
      <c r="O54" s="264"/>
      <c r="P54" s="618" t="str" cm="1">
        <f t="array" aca="1" ref="P54" ca="1">"説明者："&amp; _xlfn.XLOOKUP(E12&amp;I12,TBKaishaInfo[派遣先]&amp;TBKaishaInfo[ライン],TBKaishaInfo[説明者],"",0,1)</f>
        <v>説明者：</v>
      </c>
      <c r="Q54" s="618"/>
      <c r="R54" s="619"/>
    </row>
    <row r="59" spans="1:18" ht="15" customHeight="1"/>
    <row r="60" spans="1:18">
      <c r="C60" s="203"/>
      <c r="D60" s="203"/>
      <c r="E60" s="203"/>
      <c r="F60" s="203"/>
      <c r="G60" s="203"/>
      <c r="H60" s="203"/>
      <c r="I60" s="203"/>
    </row>
    <row r="62" spans="1:18" ht="15" customHeight="1"/>
    <row r="64" spans="1:18">
      <c r="J64" s="203"/>
    </row>
    <row r="65" ht="15" customHeight="1"/>
    <row r="67" ht="15" customHeight="1"/>
  </sheetData>
  <mergeCells count="116">
    <mergeCell ref="D44:I44"/>
    <mergeCell ref="D54:I54"/>
    <mergeCell ref="L54:N54"/>
    <mergeCell ref="P54:R54"/>
    <mergeCell ref="D50:I50"/>
    <mergeCell ref="D51:I51"/>
    <mergeCell ref="L51:O51"/>
    <mergeCell ref="D52:I52"/>
    <mergeCell ref="L52:N52"/>
    <mergeCell ref="D53:I53"/>
    <mergeCell ref="A45:B54"/>
    <mergeCell ref="D45:I45"/>
    <mergeCell ref="K45:L47"/>
    <mergeCell ref="N45:R47"/>
    <mergeCell ref="D46:I46"/>
    <mergeCell ref="A35:B38"/>
    <mergeCell ref="D35:I35"/>
    <mergeCell ref="D36:I36"/>
    <mergeCell ref="D37:I37"/>
    <mergeCell ref="D38:I38"/>
    <mergeCell ref="A39:B44"/>
    <mergeCell ref="D39:I39"/>
    <mergeCell ref="D40:I40"/>
    <mergeCell ref="D41:I43"/>
    <mergeCell ref="D47:I47"/>
    <mergeCell ref="D48:I48"/>
    <mergeCell ref="K48:L48"/>
    <mergeCell ref="N48:R48"/>
    <mergeCell ref="D49:I49"/>
    <mergeCell ref="L49:N49"/>
    <mergeCell ref="K41:L42"/>
    <mergeCell ref="N41:R42"/>
    <mergeCell ref="K43:L44"/>
    <mergeCell ref="N43:R44"/>
    <mergeCell ref="N31:R31"/>
    <mergeCell ref="D32:I32"/>
    <mergeCell ref="N32:R33"/>
    <mergeCell ref="D33:I33"/>
    <mergeCell ref="D34:I34"/>
    <mergeCell ref="K34:L40"/>
    <mergeCell ref="N34:R40"/>
    <mergeCell ref="D25:I26"/>
    <mergeCell ref="A27:B28"/>
    <mergeCell ref="D27:I28"/>
    <mergeCell ref="A29:B34"/>
    <mergeCell ref="K29:L29"/>
    <mergeCell ref="N29:R29"/>
    <mergeCell ref="D30:I30"/>
    <mergeCell ref="K30:L33"/>
    <mergeCell ref="N30:R30"/>
    <mergeCell ref="D31:I31"/>
    <mergeCell ref="O18:P19"/>
    <mergeCell ref="Q18:R19"/>
    <mergeCell ref="E19:I19"/>
    <mergeCell ref="E20:I20"/>
    <mergeCell ref="N20:N21"/>
    <mergeCell ref="O20:P21"/>
    <mergeCell ref="Q20:R21"/>
    <mergeCell ref="E21:I21"/>
    <mergeCell ref="A17:B17"/>
    <mergeCell ref="D17:I17"/>
    <mergeCell ref="A18:B24"/>
    <mergeCell ref="E18:I18"/>
    <mergeCell ref="K18:L28"/>
    <mergeCell ref="N18:N19"/>
    <mergeCell ref="N22:R28"/>
    <mergeCell ref="D23:I23"/>
    <mergeCell ref="D24:I24"/>
    <mergeCell ref="A25:B26"/>
    <mergeCell ref="N14:P15"/>
    <mergeCell ref="Q14:R15"/>
    <mergeCell ref="A15:B15"/>
    <mergeCell ref="C15:C17"/>
    <mergeCell ref="D15:I15"/>
    <mergeCell ref="A16:B16"/>
    <mergeCell ref="D16:I16"/>
    <mergeCell ref="K16:L17"/>
    <mergeCell ref="N16:P17"/>
    <mergeCell ref="Q16:R17"/>
    <mergeCell ref="A12:B14"/>
    <mergeCell ref="C12:D12"/>
    <mergeCell ref="E12:F12"/>
    <mergeCell ref="K12:L13"/>
    <mergeCell ref="N12:O13"/>
    <mergeCell ref="P12:R13"/>
    <mergeCell ref="C13:D13"/>
    <mergeCell ref="E13:I13"/>
    <mergeCell ref="C14:D14"/>
    <mergeCell ref="K14:L15"/>
    <mergeCell ref="A10:B11"/>
    <mergeCell ref="C10:E11"/>
    <mergeCell ref="F10:F11"/>
    <mergeCell ref="G10:H11"/>
    <mergeCell ref="K10:L11"/>
    <mergeCell ref="N10:O11"/>
    <mergeCell ref="P7:Q7"/>
    <mergeCell ref="A8:B8"/>
    <mergeCell ref="C8:E8"/>
    <mergeCell ref="Q8:R8"/>
    <mergeCell ref="F9:I9"/>
    <mergeCell ref="K9:L9"/>
    <mergeCell ref="N9:O9"/>
    <mergeCell ref="P9:Q9"/>
    <mergeCell ref="A6:B6"/>
    <mergeCell ref="C6:I6"/>
    <mergeCell ref="A7:B7"/>
    <mergeCell ref="C7:F7"/>
    <mergeCell ref="K7:L8"/>
    <mergeCell ref="N7:O7"/>
    <mergeCell ref="A2:I3"/>
    <mergeCell ref="K2:R3"/>
    <mergeCell ref="A4:B4"/>
    <mergeCell ref="C4:I4"/>
    <mergeCell ref="A5:B5"/>
    <mergeCell ref="C5:I5"/>
    <mergeCell ref="K5:N5"/>
  </mergeCells>
  <phoneticPr fontId="1"/>
  <pageMargins left="0.19685039370078741" right="0" top="0.39370078740157483" bottom="0" header="0.31496062992125984" footer="0.31496062992125984"/>
  <pageSetup paperSize="9" scale="7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Keiyakusho">
                <anchor moveWithCells="1" sizeWithCells="1">
                  <from>
                    <xdr:col>15</xdr:col>
                    <xdr:colOff>971550</xdr:colOff>
                    <xdr:row>3</xdr:row>
                    <xdr:rowOff>123825</xdr:rowOff>
                  </from>
                  <to>
                    <xdr:col>16</xdr:col>
                    <xdr:colOff>828675</xdr:colOff>
                    <xdr:row>4</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62E79-1FD7-4459-BAA7-A043C4D8C755}">
  <sheetPr codeName="Hoja1">
    <tabColor theme="1"/>
  </sheetPr>
  <dimension ref="A1:AY1066"/>
  <sheetViews>
    <sheetView view="pageBreakPreview" zoomScale="60" zoomScaleNormal="100" workbookViewId="0">
      <selection activeCell="G1" sqref="G1"/>
    </sheetView>
  </sheetViews>
  <sheetFormatPr defaultColWidth="11.43359375" defaultRowHeight="18"/>
  <cols>
    <col min="1" max="1" width="9.55078125" style="1" bestFit="1" customWidth="1"/>
    <col min="2" max="2" width="11.97265625" style="1" bestFit="1" customWidth="1"/>
    <col min="3" max="3" width="14.796875" style="1" bestFit="1" customWidth="1"/>
    <col min="4" max="4" width="26.36328125" style="1" bestFit="1" customWidth="1"/>
    <col min="5" max="5" width="71.16015625" style="1" bestFit="1" customWidth="1"/>
    <col min="6" max="6" width="32.28515625" style="1" bestFit="1" customWidth="1"/>
    <col min="7" max="7" width="80.98046875" style="1" bestFit="1" customWidth="1"/>
    <col min="8" max="8" width="44.390625" style="1" hidden="1" customWidth="1"/>
    <col min="9" max="9" width="44.9296875" style="1" bestFit="1" customWidth="1"/>
    <col min="10" max="11" width="9.81640625" style="1" bestFit="1" customWidth="1"/>
    <col min="12" max="12" width="14.125" style="1" bestFit="1" customWidth="1"/>
    <col min="13" max="13" width="9.81640625" style="1" hidden="1" customWidth="1"/>
    <col min="14" max="14" width="9.81640625" style="1" bestFit="1" customWidth="1"/>
    <col min="15" max="15" width="17.3515625" style="1" hidden="1" customWidth="1"/>
    <col min="16" max="16" width="14.125" style="1" bestFit="1" customWidth="1"/>
    <col min="17" max="17" width="57.3046875" style="81" hidden="1" customWidth="1"/>
    <col min="18" max="22" width="14.125" style="81" hidden="1" customWidth="1"/>
    <col min="23" max="23" width="13.5859375" style="81" hidden="1" customWidth="1"/>
    <col min="24" max="24" width="21.7890625" style="81" hidden="1" customWidth="1"/>
    <col min="25" max="25" width="26.6328125" style="81" hidden="1" customWidth="1"/>
    <col min="26" max="26" width="10.35546875" style="81" hidden="1" customWidth="1"/>
    <col min="27" max="27" width="45.73828125" style="81" hidden="1" customWidth="1"/>
    <col min="28" max="28" width="35.37890625" style="81" hidden="1" customWidth="1"/>
    <col min="29" max="29" width="9.81640625" style="81" hidden="1" customWidth="1"/>
    <col min="30" max="30" width="11.97265625" style="1" bestFit="1" customWidth="1"/>
    <col min="31" max="31" width="11.97265625" style="81" hidden="1" customWidth="1"/>
    <col min="32" max="32" width="9.81640625" style="81" hidden="1" customWidth="1"/>
    <col min="33" max="34" width="14.125" style="81" hidden="1" customWidth="1"/>
    <col min="35" max="35" width="80.98046875" style="81" bestFit="1" customWidth="1"/>
    <col min="36" max="36" width="17.21875" style="81" bestFit="1" customWidth="1"/>
    <col min="37" max="39" width="14.125" style="81" hidden="1" customWidth="1"/>
    <col min="40" max="40" width="18.4296875" style="1" hidden="1" customWidth="1"/>
    <col min="41" max="41" width="16.140625" style="437" hidden="1" customWidth="1"/>
    <col min="42" max="42" width="80.98046875" style="437" hidden="1" customWidth="1"/>
    <col min="43" max="45" width="11.703125" style="1" bestFit="1" customWidth="1"/>
    <col min="46" max="46" width="16.140625" style="1" bestFit="1" customWidth="1"/>
    <col min="47" max="47" width="21.38671875" style="1" bestFit="1" customWidth="1"/>
    <col min="48" max="49" width="20.984375" style="1" bestFit="1" customWidth="1"/>
    <col min="50" max="51" width="21.38671875" style="1" bestFit="1" customWidth="1"/>
    <col min="52" max="16384" width="11.43359375" style="1"/>
  </cols>
  <sheetData>
    <row r="1" spans="1:42">
      <c r="A1" s="1" t="s">
        <v>20</v>
      </c>
      <c r="B1" s="1" t="s">
        <v>21</v>
      </c>
      <c r="C1" s="1" t="s">
        <v>22</v>
      </c>
      <c r="D1" s="1" t="s">
        <v>23</v>
      </c>
      <c r="E1" s="1" t="s">
        <v>24</v>
      </c>
      <c r="F1" s="1" t="s">
        <v>370</v>
      </c>
      <c r="G1" s="1" t="s">
        <v>1084</v>
      </c>
      <c r="H1" s="1" t="s">
        <v>25</v>
      </c>
      <c r="I1" s="1" t="s">
        <v>26</v>
      </c>
      <c r="J1" s="1" t="s">
        <v>27</v>
      </c>
      <c r="K1" s="1" t="s">
        <v>28</v>
      </c>
      <c r="L1" s="1" t="s">
        <v>29</v>
      </c>
      <c r="M1" s="1" t="s">
        <v>30</v>
      </c>
      <c r="N1" s="1" t="s">
        <v>31</v>
      </c>
      <c r="O1" s="1" t="s">
        <v>32</v>
      </c>
      <c r="P1" s="1" t="s">
        <v>33</v>
      </c>
      <c r="Q1" s="81" t="s">
        <v>34</v>
      </c>
      <c r="R1" s="81" t="s">
        <v>35</v>
      </c>
      <c r="S1" s="81" t="s">
        <v>809</v>
      </c>
      <c r="T1" s="81" t="s">
        <v>810</v>
      </c>
      <c r="U1" s="81" t="s">
        <v>811</v>
      </c>
      <c r="V1" s="81" t="s">
        <v>812</v>
      </c>
      <c r="W1" s="81" t="s">
        <v>36</v>
      </c>
      <c r="X1" s="81" t="s">
        <v>37</v>
      </c>
      <c r="Y1" s="81" t="s">
        <v>38</v>
      </c>
      <c r="Z1" s="81" t="s">
        <v>39</v>
      </c>
      <c r="AA1" s="81" t="s">
        <v>40</v>
      </c>
      <c r="AB1" s="81" t="s">
        <v>41</v>
      </c>
      <c r="AC1" s="81" t="s">
        <v>42</v>
      </c>
      <c r="AD1" s="1" t="s">
        <v>43</v>
      </c>
      <c r="AE1" s="81" t="s">
        <v>44</v>
      </c>
      <c r="AF1" s="81" t="s">
        <v>45</v>
      </c>
      <c r="AG1" s="81" t="s">
        <v>46</v>
      </c>
      <c r="AH1" s="81" t="s">
        <v>47</v>
      </c>
      <c r="AI1" s="81" t="s">
        <v>48</v>
      </c>
      <c r="AJ1" s="31" t="s">
        <v>1702</v>
      </c>
      <c r="AK1" t="s">
        <v>2421</v>
      </c>
      <c r="AL1" t="s">
        <v>2422</v>
      </c>
      <c r="AM1" t="s">
        <v>2463</v>
      </c>
      <c r="AN1" s="1" t="s">
        <v>2464</v>
      </c>
      <c r="AO1" t="s">
        <v>4161</v>
      </c>
      <c r="AP1" s="1" t="s">
        <v>1703</v>
      </c>
    </row>
    <row r="2" spans="1:42" hidden="1">
      <c r="A2" s="1" t="s">
        <v>2542</v>
      </c>
      <c r="B2" s="1">
        <v>200805</v>
      </c>
      <c r="D2" s="1" t="s">
        <v>813</v>
      </c>
      <c r="F2"/>
      <c r="G2"/>
      <c r="H2" s="1" t="s">
        <v>2543</v>
      </c>
      <c r="I2" s="1" t="s">
        <v>2544</v>
      </c>
      <c r="J2" s="1" t="s">
        <v>17</v>
      </c>
      <c r="K2" s="1" t="s">
        <v>50</v>
      </c>
      <c r="L2" s="1">
        <v>34359</v>
      </c>
      <c r="M2" s="1">
        <v>31</v>
      </c>
      <c r="N2" s="1">
        <v>1300</v>
      </c>
      <c r="O2" s="1" t="s">
        <v>2545</v>
      </c>
      <c r="P2" s="1">
        <v>1750</v>
      </c>
      <c r="Q2" s="1"/>
      <c r="R2" s="1">
        <v>450</v>
      </c>
      <c r="S2"/>
      <c r="T2" t="s">
        <v>55</v>
      </c>
      <c r="U2" t="s">
        <v>814</v>
      </c>
      <c r="V2" t="s">
        <v>55</v>
      </c>
      <c r="W2" s="1">
        <v>44697</v>
      </c>
      <c r="X2" s="1" t="s">
        <v>55</v>
      </c>
      <c r="Y2" s="1" t="s">
        <v>51</v>
      </c>
      <c r="Z2" s="1" t="s">
        <v>52</v>
      </c>
      <c r="AA2" s="1" t="s">
        <v>2546</v>
      </c>
      <c r="AB2" s="1" t="s">
        <v>594</v>
      </c>
      <c r="AC2" s="1">
        <v>44060</v>
      </c>
      <c r="AD2" s="1">
        <v>44061</v>
      </c>
      <c r="AE2" s="1">
        <v>44317</v>
      </c>
      <c r="AF2" s="1"/>
      <c r="AG2" s="1" t="s">
        <v>54</v>
      </c>
      <c r="AH2" s="1"/>
      <c r="AI2" s="1"/>
      <c r="AJ2" s="31">
        <v>44061</v>
      </c>
      <c r="AK2"/>
      <c r="AL2">
        <v>45447</v>
      </c>
      <c r="AM2"/>
      <c r="AN2">
        <v>45528</v>
      </c>
      <c r="AO2"/>
      <c r="AP2"/>
    </row>
    <row r="3" spans="1:42" hidden="1">
      <c r="A3" s="1" t="s">
        <v>2542</v>
      </c>
      <c r="B3" s="1">
        <v>200801</v>
      </c>
      <c r="D3" s="1" t="s">
        <v>813</v>
      </c>
      <c r="F3"/>
      <c r="G3"/>
      <c r="H3" s="1" t="s">
        <v>2547</v>
      </c>
      <c r="I3" s="1" t="s">
        <v>2548</v>
      </c>
      <c r="J3" s="1" t="s">
        <v>18</v>
      </c>
      <c r="K3" s="1" t="s">
        <v>50</v>
      </c>
      <c r="L3" s="1">
        <v>32431</v>
      </c>
      <c r="M3" s="1">
        <v>37</v>
      </c>
      <c r="N3" s="1">
        <v>1250</v>
      </c>
      <c r="O3" s="1" t="s">
        <v>2545</v>
      </c>
      <c r="P3" s="1">
        <v>1750</v>
      </c>
      <c r="Q3" s="1" t="s">
        <v>2549</v>
      </c>
      <c r="R3" s="1">
        <v>500</v>
      </c>
      <c r="S3"/>
      <c r="T3" t="s">
        <v>55</v>
      </c>
      <c r="U3" t="s">
        <v>814</v>
      </c>
      <c r="V3" t="s">
        <v>55</v>
      </c>
      <c r="W3" s="1">
        <v>44848</v>
      </c>
      <c r="X3" s="1" t="s">
        <v>55</v>
      </c>
      <c r="Y3" s="1" t="s">
        <v>51</v>
      </c>
      <c r="Z3" s="1" t="s">
        <v>52</v>
      </c>
      <c r="AA3" s="1" t="s">
        <v>2546</v>
      </c>
      <c r="AB3" s="1" t="s">
        <v>124</v>
      </c>
      <c r="AC3" s="1">
        <v>44060</v>
      </c>
      <c r="AD3" s="1">
        <v>44064</v>
      </c>
      <c r="AE3" s="1">
        <v>44286</v>
      </c>
      <c r="AF3" s="1">
        <v>44289</v>
      </c>
      <c r="AG3" s="1" t="s">
        <v>54</v>
      </c>
      <c r="AH3" s="1"/>
      <c r="AI3" s="1"/>
      <c r="AJ3" s="31">
        <v>44064</v>
      </c>
      <c r="AK3"/>
      <c r="AL3"/>
      <c r="AM3"/>
      <c r="AN3"/>
      <c r="AO3"/>
      <c r="AP3"/>
    </row>
    <row r="4" spans="1:42" hidden="1">
      <c r="A4" s="1" t="s">
        <v>2542</v>
      </c>
      <c r="B4" s="1">
        <v>200802</v>
      </c>
      <c r="D4" s="1" t="s">
        <v>813</v>
      </c>
      <c r="F4"/>
      <c r="G4"/>
      <c r="H4" s="1" t="s">
        <v>2550</v>
      </c>
      <c r="I4" s="1" t="s">
        <v>2551</v>
      </c>
      <c r="J4" s="1" t="s">
        <v>18</v>
      </c>
      <c r="K4" s="1" t="s">
        <v>50</v>
      </c>
      <c r="L4" s="1">
        <v>34212</v>
      </c>
      <c r="M4" s="1">
        <v>32</v>
      </c>
      <c r="N4" s="1">
        <v>1200</v>
      </c>
      <c r="P4" s="1">
        <v>1750</v>
      </c>
      <c r="Q4" s="1">
        <v>550</v>
      </c>
      <c r="R4" s="1">
        <v>550</v>
      </c>
      <c r="S4"/>
      <c r="T4" t="s">
        <v>55</v>
      </c>
      <c r="U4" t="s">
        <v>814</v>
      </c>
      <c r="V4" t="s">
        <v>55</v>
      </c>
      <c r="W4" s="1">
        <v>44332</v>
      </c>
      <c r="X4" s="1" t="s">
        <v>55</v>
      </c>
      <c r="Y4" s="1" t="s">
        <v>51</v>
      </c>
      <c r="Z4" s="1" t="s">
        <v>52</v>
      </c>
      <c r="AA4" s="1" t="s">
        <v>2546</v>
      </c>
      <c r="AB4" s="1" t="s">
        <v>124</v>
      </c>
      <c r="AC4" s="1">
        <v>44062</v>
      </c>
      <c r="AD4" s="1">
        <v>44064</v>
      </c>
      <c r="AE4" s="1">
        <v>44092</v>
      </c>
      <c r="AF4" s="1">
        <v>44093</v>
      </c>
      <c r="AG4" s="1"/>
      <c r="AH4" s="1"/>
      <c r="AI4" s="1"/>
      <c r="AJ4" s="31">
        <v>44064</v>
      </c>
      <c r="AK4"/>
      <c r="AL4"/>
      <c r="AM4"/>
      <c r="AN4"/>
      <c r="AO4"/>
      <c r="AP4"/>
    </row>
    <row r="5" spans="1:42" hidden="1">
      <c r="A5" s="1" t="s">
        <v>2542</v>
      </c>
      <c r="B5" s="1">
        <v>200803</v>
      </c>
      <c r="C5" s="1">
        <v>8210005</v>
      </c>
      <c r="D5" s="1" t="s">
        <v>815</v>
      </c>
      <c r="E5" s="1" t="s">
        <v>2552</v>
      </c>
      <c r="F5"/>
      <c r="G5"/>
      <c r="H5" s="1" t="s">
        <v>398</v>
      </c>
      <c r="I5" s="1" t="s">
        <v>399</v>
      </c>
      <c r="J5" s="1" t="s">
        <v>18</v>
      </c>
      <c r="K5" s="1" t="s">
        <v>50</v>
      </c>
      <c r="L5" s="1">
        <v>34939</v>
      </c>
      <c r="M5" s="1">
        <v>30</v>
      </c>
      <c r="N5" s="1">
        <v>1400</v>
      </c>
      <c r="O5" s="1" t="s">
        <v>2553</v>
      </c>
      <c r="P5" s="1">
        <v>1990</v>
      </c>
      <c r="Q5" s="1"/>
      <c r="R5" s="1">
        <v>590</v>
      </c>
      <c r="S5"/>
      <c r="T5" t="s">
        <v>55</v>
      </c>
      <c r="U5" t="s">
        <v>814</v>
      </c>
      <c r="V5" t="s">
        <v>55</v>
      </c>
      <c r="W5" s="1">
        <v>44988</v>
      </c>
      <c r="X5" s="1" t="s">
        <v>55</v>
      </c>
      <c r="Y5" s="1" t="s">
        <v>51</v>
      </c>
      <c r="Z5" s="1" t="s">
        <v>529</v>
      </c>
      <c r="AA5" s="1" t="s">
        <v>2554</v>
      </c>
      <c r="AB5" s="1" t="s">
        <v>401</v>
      </c>
      <c r="AC5" s="1" t="s">
        <v>53</v>
      </c>
      <c r="AD5" s="1">
        <v>44064</v>
      </c>
      <c r="AE5" s="1">
        <v>44923</v>
      </c>
      <c r="AF5" s="1">
        <v>44619</v>
      </c>
      <c r="AG5" s="1" t="s">
        <v>54</v>
      </c>
      <c r="AH5" s="1" t="s">
        <v>54</v>
      </c>
      <c r="AI5" s="1" t="s">
        <v>2555</v>
      </c>
      <c r="AJ5" s="31">
        <v>44064</v>
      </c>
      <c r="AK5"/>
      <c r="AL5"/>
      <c r="AM5"/>
      <c r="AN5"/>
      <c r="AO5"/>
      <c r="AP5"/>
    </row>
    <row r="6" spans="1:42" hidden="1">
      <c r="A6" s="1" t="s">
        <v>2542</v>
      </c>
      <c r="B6" s="1">
        <v>200804</v>
      </c>
      <c r="D6" s="1" t="s">
        <v>813</v>
      </c>
      <c r="G6"/>
      <c r="H6" s="1" t="s">
        <v>2556</v>
      </c>
      <c r="I6" s="1" t="s">
        <v>2557</v>
      </c>
      <c r="J6" s="1" t="s">
        <v>18</v>
      </c>
      <c r="K6" s="1" t="s">
        <v>50</v>
      </c>
      <c r="L6" s="1">
        <v>33172</v>
      </c>
      <c r="M6" s="1">
        <v>35</v>
      </c>
      <c r="N6" s="1">
        <v>1300</v>
      </c>
      <c r="O6" s="1" t="s">
        <v>2545</v>
      </c>
      <c r="P6" s="1">
        <v>1750</v>
      </c>
      <c r="Q6" s="1" t="s">
        <v>2549</v>
      </c>
      <c r="R6" s="1">
        <v>450</v>
      </c>
      <c r="S6"/>
      <c r="T6" t="s">
        <v>55</v>
      </c>
      <c r="U6" t="s">
        <v>814</v>
      </c>
      <c r="V6" t="s">
        <v>55</v>
      </c>
      <c r="W6" s="1">
        <v>44528</v>
      </c>
      <c r="X6" s="1" t="s">
        <v>55</v>
      </c>
      <c r="Y6" s="1" t="s">
        <v>51</v>
      </c>
      <c r="Z6" s="1" t="s">
        <v>52</v>
      </c>
      <c r="AA6" s="1" t="s">
        <v>2546</v>
      </c>
      <c r="AB6" s="1" t="s">
        <v>594</v>
      </c>
      <c r="AC6" s="1">
        <v>44060</v>
      </c>
      <c r="AD6" s="1">
        <v>44064</v>
      </c>
      <c r="AE6" s="1">
        <v>44317</v>
      </c>
      <c r="AF6" s="1"/>
      <c r="AG6" s="1" t="s">
        <v>54</v>
      </c>
      <c r="AH6" s="1"/>
      <c r="AI6" s="1"/>
      <c r="AJ6" s="31">
        <v>44064</v>
      </c>
      <c r="AK6"/>
      <c r="AL6"/>
      <c r="AM6"/>
      <c r="AN6"/>
      <c r="AO6"/>
      <c r="AP6"/>
    </row>
    <row r="7" spans="1:42" hidden="1">
      <c r="A7" s="1" t="s">
        <v>2542</v>
      </c>
      <c r="B7" s="1">
        <v>200806</v>
      </c>
      <c r="C7" s="1">
        <v>45</v>
      </c>
      <c r="D7" s="1" t="s">
        <v>813</v>
      </c>
      <c r="E7" s="1" t="s">
        <v>1268</v>
      </c>
      <c r="F7" t="s">
        <v>1269</v>
      </c>
      <c r="G7" t="s">
        <v>1266</v>
      </c>
      <c r="H7" s="1" t="s">
        <v>2558</v>
      </c>
      <c r="I7" s="1" t="s">
        <v>2559</v>
      </c>
      <c r="J7" s="1" t="s">
        <v>18</v>
      </c>
      <c r="K7" s="1" t="s">
        <v>50</v>
      </c>
      <c r="L7" s="1">
        <v>33037</v>
      </c>
      <c r="M7" s="1">
        <v>35</v>
      </c>
      <c r="N7" s="1">
        <v>1450</v>
      </c>
      <c r="P7" s="1">
        <v>1950</v>
      </c>
      <c r="Q7" s="1" t="s">
        <v>2560</v>
      </c>
      <c r="R7" s="1">
        <v>500</v>
      </c>
      <c r="S7">
        <v>320000</v>
      </c>
      <c r="T7">
        <v>16048</v>
      </c>
      <c r="U7" t="s">
        <v>814</v>
      </c>
      <c r="V7">
        <v>29280</v>
      </c>
      <c r="W7" s="1">
        <v>45606</v>
      </c>
      <c r="X7" s="1" t="s">
        <v>55</v>
      </c>
      <c r="Y7" s="1" t="s">
        <v>51</v>
      </c>
      <c r="Z7" s="1" t="s">
        <v>52</v>
      </c>
      <c r="AA7" s="1" t="s">
        <v>2561</v>
      </c>
      <c r="AB7" s="1" t="s">
        <v>2562</v>
      </c>
      <c r="AC7" s="1" t="s">
        <v>53</v>
      </c>
      <c r="AD7" s="1">
        <v>44064</v>
      </c>
      <c r="AE7" s="1">
        <v>45398</v>
      </c>
      <c r="AF7" s="1"/>
      <c r="AG7" s="1" t="s">
        <v>54</v>
      </c>
      <c r="AH7" s="1" t="s">
        <v>54</v>
      </c>
      <c r="AI7" s="1"/>
      <c r="AJ7" s="31">
        <v>44064</v>
      </c>
      <c r="AK7"/>
      <c r="AL7"/>
      <c r="AM7"/>
      <c r="AN7"/>
      <c r="AO7"/>
      <c r="AP7"/>
    </row>
    <row r="8" spans="1:42" hidden="1">
      <c r="A8" s="1" t="s">
        <v>49</v>
      </c>
      <c r="B8" s="1">
        <v>200901</v>
      </c>
      <c r="C8" s="1">
        <v>46</v>
      </c>
      <c r="D8" s="1" t="s">
        <v>813</v>
      </c>
      <c r="E8" s="1" t="s">
        <v>1268</v>
      </c>
      <c r="F8" t="s">
        <v>1269</v>
      </c>
      <c r="G8" t="s">
        <v>1266</v>
      </c>
      <c r="H8" s="1" t="s">
        <v>56</v>
      </c>
      <c r="I8" s="1" t="s">
        <v>57</v>
      </c>
      <c r="J8" s="1" t="s">
        <v>18</v>
      </c>
      <c r="K8" s="1" t="s">
        <v>50</v>
      </c>
      <c r="L8" s="1">
        <v>34765</v>
      </c>
      <c r="M8" s="1">
        <v>30</v>
      </c>
      <c r="N8" s="1">
        <v>1350</v>
      </c>
      <c r="O8" s="1" t="s">
        <v>58</v>
      </c>
      <c r="P8" s="1">
        <v>1800</v>
      </c>
      <c r="Q8" s="1"/>
      <c r="R8" s="1">
        <v>450</v>
      </c>
      <c r="S8">
        <v>240000</v>
      </c>
      <c r="T8">
        <v>12036</v>
      </c>
      <c r="U8" t="s">
        <v>814</v>
      </c>
      <c r="V8">
        <v>21960</v>
      </c>
      <c r="W8" s="1">
        <v>47364</v>
      </c>
      <c r="X8" s="1" t="s">
        <v>55</v>
      </c>
      <c r="Y8" s="1" t="s">
        <v>51</v>
      </c>
      <c r="Z8" s="1" t="s">
        <v>52</v>
      </c>
      <c r="AA8" s="1" t="s">
        <v>816</v>
      </c>
      <c r="AB8" s="1" t="s">
        <v>59</v>
      </c>
      <c r="AC8" s="1">
        <v>44136</v>
      </c>
      <c r="AD8" s="1">
        <v>44083</v>
      </c>
      <c r="AE8" s="1"/>
      <c r="AF8" s="1"/>
      <c r="AG8" s="1" t="s">
        <v>54</v>
      </c>
      <c r="AH8" s="1" t="s">
        <v>54</v>
      </c>
      <c r="AI8" s="1"/>
      <c r="AJ8" s="31">
        <v>44083</v>
      </c>
      <c r="AK8"/>
      <c r="AL8"/>
      <c r="AM8"/>
      <c r="AN8"/>
      <c r="AO8"/>
      <c r="AP8"/>
    </row>
    <row r="9" spans="1:42" hidden="1">
      <c r="A9" s="1" t="s">
        <v>2542</v>
      </c>
      <c r="B9" s="1">
        <v>200902</v>
      </c>
      <c r="D9" s="1" t="s">
        <v>813</v>
      </c>
      <c r="F9"/>
      <c r="G9"/>
      <c r="H9" s="1" t="s">
        <v>2563</v>
      </c>
      <c r="I9" s="1" t="s">
        <v>2564</v>
      </c>
      <c r="J9" s="1" t="s">
        <v>18</v>
      </c>
      <c r="K9" s="1" t="s">
        <v>50</v>
      </c>
      <c r="L9" s="1">
        <v>33125</v>
      </c>
      <c r="M9" s="1">
        <v>35</v>
      </c>
      <c r="N9" s="1">
        <v>1350</v>
      </c>
      <c r="O9" s="1" t="s">
        <v>2565</v>
      </c>
      <c r="P9" s="1">
        <v>1800</v>
      </c>
      <c r="Q9" s="1" t="s">
        <v>2549</v>
      </c>
      <c r="R9" s="1">
        <v>450</v>
      </c>
      <c r="S9"/>
      <c r="T9" t="s">
        <v>55</v>
      </c>
      <c r="U9" t="s">
        <v>814</v>
      </c>
      <c r="V9" t="s">
        <v>55</v>
      </c>
      <c r="W9" s="1">
        <v>450</v>
      </c>
      <c r="X9" s="1" t="s">
        <v>55</v>
      </c>
      <c r="Y9" s="1" t="s">
        <v>51</v>
      </c>
      <c r="Z9" s="1" t="s">
        <v>52</v>
      </c>
      <c r="AA9" s="1" t="s">
        <v>2546</v>
      </c>
      <c r="AB9" s="1" t="s">
        <v>124</v>
      </c>
      <c r="AC9" s="1">
        <v>44094</v>
      </c>
      <c r="AD9" s="1">
        <v>44095</v>
      </c>
      <c r="AE9" s="1">
        <v>44540</v>
      </c>
      <c r="AF9" s="1"/>
      <c r="AG9" s="1">
        <v>44166</v>
      </c>
      <c r="AH9" s="1"/>
      <c r="AI9" s="1"/>
      <c r="AJ9" s="31">
        <v>44095</v>
      </c>
      <c r="AK9"/>
      <c r="AL9"/>
      <c r="AM9"/>
      <c r="AN9"/>
      <c r="AO9"/>
      <c r="AP9"/>
    </row>
    <row r="10" spans="1:42" hidden="1">
      <c r="A10" s="1" t="s">
        <v>2542</v>
      </c>
      <c r="B10" s="1">
        <v>201001</v>
      </c>
      <c r="C10" s="1">
        <v>108</v>
      </c>
      <c r="D10" s="1" t="s">
        <v>61</v>
      </c>
      <c r="F10"/>
      <c r="G10"/>
      <c r="H10" s="1" t="s">
        <v>1991</v>
      </c>
      <c r="I10" s="1" t="s">
        <v>1992</v>
      </c>
      <c r="J10" s="1" t="s">
        <v>18</v>
      </c>
      <c r="K10" s="1" t="s">
        <v>50</v>
      </c>
      <c r="L10" s="1">
        <v>33380</v>
      </c>
      <c r="M10" s="1">
        <v>34</v>
      </c>
      <c r="N10" s="1">
        <v>1350</v>
      </c>
      <c r="O10" s="1" t="s">
        <v>2566</v>
      </c>
      <c r="P10" s="1">
        <v>1750</v>
      </c>
      <c r="Q10" s="1"/>
      <c r="R10" s="1">
        <v>400</v>
      </c>
      <c r="S10">
        <v>220000</v>
      </c>
      <c r="T10">
        <v>11033</v>
      </c>
      <c r="U10" t="s">
        <v>814</v>
      </c>
      <c r="V10">
        <v>20130</v>
      </c>
      <c r="W10" s="1">
        <v>45541</v>
      </c>
      <c r="X10" s="1" t="s">
        <v>55</v>
      </c>
      <c r="Y10" s="1" t="s">
        <v>51</v>
      </c>
      <c r="Z10" s="1" t="s">
        <v>2567</v>
      </c>
      <c r="AA10" s="1" t="s">
        <v>3882</v>
      </c>
      <c r="AB10" s="1" t="s">
        <v>2568</v>
      </c>
      <c r="AC10" s="1" t="s">
        <v>53</v>
      </c>
      <c r="AD10" s="1">
        <v>44130</v>
      </c>
      <c r="AE10" s="1">
        <v>45226</v>
      </c>
      <c r="AF10" s="1"/>
      <c r="AG10" s="1">
        <v>44197</v>
      </c>
      <c r="AH10" s="1" t="s">
        <v>54</v>
      </c>
      <c r="AI10" s="1" t="s">
        <v>2569</v>
      </c>
      <c r="AJ10" s="31">
        <v>44130</v>
      </c>
      <c r="AK10"/>
      <c r="AL10"/>
      <c r="AM10"/>
      <c r="AN10"/>
      <c r="AO10"/>
      <c r="AP10"/>
    </row>
    <row r="11" spans="1:42" hidden="1">
      <c r="A11" s="1" t="s">
        <v>2542</v>
      </c>
      <c r="B11" s="1">
        <v>201002</v>
      </c>
      <c r="C11" s="1">
        <v>9330002</v>
      </c>
      <c r="D11" s="1" t="s">
        <v>402</v>
      </c>
      <c r="E11" s="1" t="s">
        <v>1341</v>
      </c>
      <c r="F11" t="s">
        <v>1531</v>
      </c>
      <c r="G11" t="s">
        <v>1351</v>
      </c>
      <c r="H11" s="1" t="s">
        <v>2574</v>
      </c>
      <c r="I11" s="1" t="s">
        <v>403</v>
      </c>
      <c r="J11" s="1" t="s">
        <v>18</v>
      </c>
      <c r="K11" s="1" t="s">
        <v>404</v>
      </c>
      <c r="L11" s="1">
        <v>24193</v>
      </c>
      <c r="M11" s="1">
        <v>59</v>
      </c>
      <c r="N11" s="1">
        <v>1400</v>
      </c>
      <c r="O11" s="1" t="s">
        <v>405</v>
      </c>
      <c r="P11" s="1">
        <v>1872</v>
      </c>
      <c r="Q11" s="1"/>
      <c r="R11" s="1">
        <v>472</v>
      </c>
      <c r="S11">
        <v>320000</v>
      </c>
      <c r="T11">
        <v>16048</v>
      </c>
      <c r="U11">
        <v>2544</v>
      </c>
      <c r="V11">
        <v>29280</v>
      </c>
      <c r="W11" s="1" t="s">
        <v>60</v>
      </c>
      <c r="X11" s="1" t="s">
        <v>55</v>
      </c>
      <c r="Y11" s="1" t="s">
        <v>60</v>
      </c>
      <c r="Z11" s="1" t="s">
        <v>406</v>
      </c>
      <c r="AA11" s="1" t="s">
        <v>407</v>
      </c>
      <c r="AB11" s="1" t="s">
        <v>408</v>
      </c>
      <c r="AC11" s="1" t="s">
        <v>53</v>
      </c>
      <c r="AD11" s="1">
        <v>44130</v>
      </c>
      <c r="AE11" s="1">
        <v>45615</v>
      </c>
      <c r="AF11" s="1"/>
      <c r="AG11" s="1">
        <v>44166</v>
      </c>
      <c r="AH11" s="1" t="s">
        <v>54</v>
      </c>
      <c r="AI11" s="1"/>
      <c r="AJ11" s="31">
        <v>44130</v>
      </c>
      <c r="AK11"/>
      <c r="AL11"/>
      <c r="AM11"/>
      <c r="AN11"/>
      <c r="AO11"/>
      <c r="AP11"/>
    </row>
    <row r="12" spans="1:42" hidden="1">
      <c r="A12" s="1" t="s">
        <v>2542</v>
      </c>
      <c r="B12" s="1">
        <v>201003</v>
      </c>
      <c r="D12" s="1" t="s">
        <v>402</v>
      </c>
      <c r="F12"/>
      <c r="G12"/>
      <c r="H12" s="1" t="s">
        <v>2570</v>
      </c>
      <c r="I12" s="1" t="s">
        <v>2570</v>
      </c>
      <c r="J12" s="1" t="s">
        <v>18</v>
      </c>
      <c r="K12" s="1" t="s">
        <v>404</v>
      </c>
      <c r="L12" s="1">
        <v>26893</v>
      </c>
      <c r="M12" s="1">
        <v>52</v>
      </c>
      <c r="N12" s="1">
        <v>1350</v>
      </c>
      <c r="P12" s="1">
        <v>1872</v>
      </c>
      <c r="Q12" s="1"/>
      <c r="R12" s="1">
        <v>522</v>
      </c>
      <c r="S12"/>
      <c r="T12" t="s">
        <v>55</v>
      </c>
      <c r="U12" t="s">
        <v>814</v>
      </c>
      <c r="V12" t="s">
        <v>55</v>
      </c>
      <c r="W12" s="1" t="s">
        <v>60</v>
      </c>
      <c r="X12" s="1" t="s">
        <v>55</v>
      </c>
      <c r="Y12" s="1" t="s">
        <v>4162</v>
      </c>
      <c r="Z12" s="1" t="s">
        <v>2571</v>
      </c>
      <c r="AA12" s="1" t="s">
        <v>2572</v>
      </c>
      <c r="AB12" s="1" t="s">
        <v>2573</v>
      </c>
      <c r="AC12" s="1" t="s">
        <v>53</v>
      </c>
      <c r="AD12" s="1">
        <v>44130</v>
      </c>
      <c r="AE12" s="1">
        <v>44469</v>
      </c>
      <c r="AF12" s="1"/>
      <c r="AG12" s="1" t="s">
        <v>54</v>
      </c>
      <c r="AH12" s="1"/>
      <c r="AI12" s="1"/>
      <c r="AJ12" s="31">
        <v>44130</v>
      </c>
      <c r="AK12"/>
      <c r="AL12"/>
      <c r="AM12"/>
      <c r="AN12"/>
      <c r="AO12"/>
      <c r="AP12"/>
    </row>
    <row r="13" spans="1:42" hidden="1">
      <c r="A13" s="1" t="s">
        <v>2542</v>
      </c>
      <c r="B13" s="1">
        <v>201101</v>
      </c>
      <c r="D13" s="1" t="s">
        <v>75</v>
      </c>
      <c r="E13" s="1" t="s">
        <v>3934</v>
      </c>
      <c r="F13"/>
      <c r="G13"/>
      <c r="H13" s="1" t="s">
        <v>2575</v>
      </c>
      <c r="I13" s="1" t="s">
        <v>2576</v>
      </c>
      <c r="J13" s="1" t="s">
        <v>18</v>
      </c>
      <c r="K13" s="1" t="s">
        <v>137</v>
      </c>
      <c r="L13" s="1">
        <v>30431</v>
      </c>
      <c r="M13" s="1">
        <v>42</v>
      </c>
      <c r="N13" s="1">
        <v>1200</v>
      </c>
      <c r="O13" s="1" t="s">
        <v>539</v>
      </c>
      <c r="P13" s="1">
        <v>1700</v>
      </c>
      <c r="Q13" s="1">
        <v>500</v>
      </c>
      <c r="R13" s="1">
        <v>500</v>
      </c>
      <c r="S13"/>
      <c r="T13" t="s">
        <v>55</v>
      </c>
      <c r="U13" t="s">
        <v>814</v>
      </c>
      <c r="V13" t="s">
        <v>55</v>
      </c>
      <c r="W13" s="1" t="s">
        <v>2577</v>
      </c>
      <c r="X13" s="1" t="s">
        <v>55</v>
      </c>
      <c r="Y13" s="1"/>
      <c r="Z13" s="1" t="s">
        <v>4267</v>
      </c>
      <c r="AA13" s="1" t="s">
        <v>2578</v>
      </c>
      <c r="AB13" s="1"/>
      <c r="AC13" s="1" t="s">
        <v>53</v>
      </c>
      <c r="AD13" s="1">
        <v>44144</v>
      </c>
      <c r="AE13" s="1">
        <v>44211</v>
      </c>
      <c r="AF13" s="1"/>
      <c r="AG13" s="1" t="s">
        <v>2579</v>
      </c>
      <c r="AH13" s="1"/>
      <c r="AI13" s="1"/>
      <c r="AJ13" s="31">
        <v>44144</v>
      </c>
      <c r="AK13"/>
      <c r="AL13"/>
      <c r="AM13"/>
      <c r="AN13"/>
      <c r="AO13"/>
      <c r="AP13"/>
    </row>
    <row r="14" spans="1:42" hidden="1">
      <c r="A14" s="1" t="s">
        <v>2542</v>
      </c>
      <c r="B14" s="1">
        <v>201102</v>
      </c>
      <c r="D14" s="1" t="s">
        <v>62</v>
      </c>
      <c r="E14" s="1" t="s">
        <v>3935</v>
      </c>
      <c r="F14"/>
      <c r="G14"/>
      <c r="H14" s="1" t="s">
        <v>2580</v>
      </c>
      <c r="I14" s="1" t="s">
        <v>2580</v>
      </c>
      <c r="J14" s="1" t="s">
        <v>18</v>
      </c>
      <c r="K14" s="1" t="s">
        <v>404</v>
      </c>
      <c r="L14" s="1">
        <v>29783</v>
      </c>
      <c r="M14" s="1">
        <v>44</v>
      </c>
      <c r="N14" s="1">
        <v>1300</v>
      </c>
      <c r="P14" s="1">
        <v>1650</v>
      </c>
      <c r="Q14" s="1"/>
      <c r="R14" s="1">
        <v>350</v>
      </c>
      <c r="S14"/>
      <c r="T14" t="s">
        <v>55</v>
      </c>
      <c r="U14" t="s">
        <v>814</v>
      </c>
      <c r="V14" t="s">
        <v>55</v>
      </c>
      <c r="W14" s="1" t="s">
        <v>540</v>
      </c>
      <c r="X14" s="1" t="s">
        <v>55</v>
      </c>
      <c r="Y14" s="1" t="s">
        <v>540</v>
      </c>
      <c r="Z14" s="1" t="s">
        <v>67</v>
      </c>
      <c r="AA14" s="1" t="s">
        <v>2581</v>
      </c>
      <c r="AB14" s="1" t="s">
        <v>2582</v>
      </c>
      <c r="AC14" s="1">
        <v>44144</v>
      </c>
      <c r="AD14" s="1">
        <v>44146</v>
      </c>
      <c r="AE14" s="1">
        <v>44316</v>
      </c>
      <c r="AF14" s="1">
        <v>44317</v>
      </c>
      <c r="AG14" s="1">
        <v>44197</v>
      </c>
      <c r="AH14" s="1"/>
      <c r="AI14" s="1"/>
      <c r="AJ14" s="31">
        <v>44146</v>
      </c>
      <c r="AK14"/>
      <c r="AL14"/>
      <c r="AM14"/>
      <c r="AN14"/>
      <c r="AO14"/>
      <c r="AP14"/>
    </row>
    <row r="15" spans="1:42" hidden="1">
      <c r="A15" s="1" t="s">
        <v>2542</v>
      </c>
      <c r="B15" s="1">
        <v>201103</v>
      </c>
      <c r="D15" s="1" t="s">
        <v>62</v>
      </c>
      <c r="E15" s="1" t="s">
        <v>3935</v>
      </c>
      <c r="F15"/>
      <c r="G15"/>
      <c r="H15" s="1" t="s">
        <v>2583</v>
      </c>
      <c r="I15" s="1" t="s">
        <v>2584</v>
      </c>
      <c r="J15" s="1" t="s">
        <v>18</v>
      </c>
      <c r="K15" s="1" t="s">
        <v>50</v>
      </c>
      <c r="L15" s="1">
        <v>30103</v>
      </c>
      <c r="M15" s="1">
        <v>43</v>
      </c>
      <c r="N15" s="1">
        <v>1200</v>
      </c>
      <c r="P15" s="1">
        <v>1600</v>
      </c>
      <c r="Q15" s="1">
        <v>400</v>
      </c>
      <c r="R15" s="1">
        <v>400</v>
      </c>
      <c r="S15"/>
      <c r="T15" t="s">
        <v>55</v>
      </c>
      <c r="U15" t="s">
        <v>814</v>
      </c>
      <c r="V15" t="s">
        <v>55</v>
      </c>
      <c r="W15" s="1">
        <v>45014</v>
      </c>
      <c r="X15" s="1" t="s">
        <v>55</v>
      </c>
      <c r="Y15" s="1" t="s">
        <v>51</v>
      </c>
      <c r="Z15" s="1" t="s">
        <v>1442</v>
      </c>
      <c r="AA15" s="1" t="s">
        <v>2585</v>
      </c>
      <c r="AB15" s="1" t="s">
        <v>2586</v>
      </c>
      <c r="AC15" s="1" t="s">
        <v>53</v>
      </c>
      <c r="AD15" s="1">
        <v>44151</v>
      </c>
      <c r="AE15" s="1">
        <v>44164</v>
      </c>
      <c r="AF15" s="1"/>
      <c r="AG15" s="1" t="s">
        <v>2579</v>
      </c>
      <c r="AH15" s="1"/>
      <c r="AI15" s="1"/>
      <c r="AJ15" s="31">
        <v>44151</v>
      </c>
      <c r="AK15"/>
      <c r="AL15"/>
      <c r="AM15"/>
      <c r="AN15"/>
      <c r="AO15"/>
      <c r="AP15"/>
    </row>
    <row r="16" spans="1:42" hidden="1">
      <c r="A16" s="1" t="s">
        <v>2542</v>
      </c>
      <c r="B16" s="1">
        <v>201104</v>
      </c>
      <c r="D16" s="1" t="s">
        <v>414</v>
      </c>
      <c r="E16" s="1" t="s">
        <v>1065</v>
      </c>
      <c r="F16" t="s">
        <v>1083</v>
      </c>
      <c r="G16" t="s">
        <v>1068</v>
      </c>
      <c r="H16" s="1" t="s">
        <v>2587</v>
      </c>
      <c r="I16" s="1" t="s">
        <v>2588</v>
      </c>
      <c r="J16" s="1" t="s">
        <v>18</v>
      </c>
      <c r="K16" s="1" t="s">
        <v>50</v>
      </c>
      <c r="L16" s="1">
        <v>34711</v>
      </c>
      <c r="M16" s="1">
        <v>30</v>
      </c>
      <c r="N16" s="1">
        <v>1200</v>
      </c>
      <c r="O16" s="1" t="s">
        <v>539</v>
      </c>
      <c r="P16" s="1">
        <v>1600</v>
      </c>
      <c r="Q16" s="1">
        <v>400</v>
      </c>
      <c r="R16" s="1">
        <v>400</v>
      </c>
      <c r="S16"/>
      <c r="T16" t="s">
        <v>55</v>
      </c>
      <c r="U16" t="s">
        <v>814</v>
      </c>
      <c r="V16" t="s">
        <v>55</v>
      </c>
      <c r="W16" s="1">
        <v>44370</v>
      </c>
      <c r="X16" s="1" t="s">
        <v>55</v>
      </c>
      <c r="Y16" s="1" t="s">
        <v>51</v>
      </c>
      <c r="Z16" s="1" t="s">
        <v>551</v>
      </c>
      <c r="AA16" s="1" t="s">
        <v>552</v>
      </c>
      <c r="AB16" s="1" t="s">
        <v>553</v>
      </c>
      <c r="AC16" s="1">
        <v>44152</v>
      </c>
      <c r="AD16" s="1">
        <v>44153</v>
      </c>
      <c r="AE16" s="1">
        <v>44175</v>
      </c>
      <c r="AF16" s="1">
        <v>44206</v>
      </c>
      <c r="AG16" s="1" t="s">
        <v>2589</v>
      </c>
      <c r="AH16" s="1"/>
      <c r="AI16" s="1"/>
      <c r="AJ16" s="31">
        <v>44153</v>
      </c>
      <c r="AK16"/>
      <c r="AL16"/>
      <c r="AM16"/>
      <c r="AN16"/>
      <c r="AO16"/>
      <c r="AP16"/>
    </row>
    <row r="17" spans="1:42" hidden="1">
      <c r="A17" s="1" t="s">
        <v>2542</v>
      </c>
      <c r="B17" s="1">
        <v>201105</v>
      </c>
      <c r="D17" s="1" t="s">
        <v>414</v>
      </c>
      <c r="E17" s="1" t="s">
        <v>1065</v>
      </c>
      <c r="F17" t="s">
        <v>1083</v>
      </c>
      <c r="G17" t="s">
        <v>1068</v>
      </c>
      <c r="H17" s="1" t="s">
        <v>2590</v>
      </c>
      <c r="I17" s="1" t="s">
        <v>2591</v>
      </c>
      <c r="J17" s="1" t="s">
        <v>18</v>
      </c>
      <c r="K17" s="1" t="s">
        <v>50</v>
      </c>
      <c r="L17" s="1">
        <v>33794</v>
      </c>
      <c r="M17" s="1">
        <v>33</v>
      </c>
      <c r="N17" s="1">
        <v>1250</v>
      </c>
      <c r="P17" s="1">
        <v>1650</v>
      </c>
      <c r="Q17" s="1" t="s">
        <v>412</v>
      </c>
      <c r="R17" s="1">
        <v>400</v>
      </c>
      <c r="S17"/>
      <c r="T17" t="s">
        <v>55</v>
      </c>
      <c r="U17" t="s">
        <v>814</v>
      </c>
      <c r="V17" t="s">
        <v>55</v>
      </c>
      <c r="W17" s="1">
        <v>45197</v>
      </c>
      <c r="X17" s="1" t="s">
        <v>55</v>
      </c>
      <c r="Y17" s="1" t="s">
        <v>51</v>
      </c>
      <c r="Z17" s="1" t="s">
        <v>2592</v>
      </c>
      <c r="AA17" s="1" t="s">
        <v>2593</v>
      </c>
      <c r="AB17" s="1" t="s">
        <v>2594</v>
      </c>
      <c r="AC17" s="1">
        <v>44153</v>
      </c>
      <c r="AD17" s="1">
        <v>44154</v>
      </c>
      <c r="AE17" s="1">
        <v>44464</v>
      </c>
      <c r="AF17" s="1">
        <v>44464</v>
      </c>
      <c r="AG17" s="1">
        <v>44197</v>
      </c>
      <c r="AH17" s="1"/>
      <c r="AI17" s="1"/>
      <c r="AJ17" s="31">
        <v>44154</v>
      </c>
      <c r="AK17"/>
      <c r="AL17"/>
      <c r="AM17"/>
      <c r="AN17"/>
      <c r="AO17"/>
      <c r="AP17"/>
    </row>
    <row r="18" spans="1:42">
      <c r="A18" s="1" t="s">
        <v>49</v>
      </c>
      <c r="B18" s="1">
        <v>231103</v>
      </c>
      <c r="C18" s="1">
        <v>212045</v>
      </c>
      <c r="D18" s="1" t="s">
        <v>75</v>
      </c>
      <c r="E18" s="1" t="s">
        <v>3934</v>
      </c>
      <c r="F18" t="s">
        <v>738</v>
      </c>
      <c r="G18" t="s">
        <v>1461</v>
      </c>
      <c r="H18" s="1" t="s">
        <v>1558</v>
      </c>
      <c r="I18" s="1" t="s">
        <v>1559</v>
      </c>
      <c r="J18" s="1" t="s">
        <v>18</v>
      </c>
      <c r="K18" s="1" t="s">
        <v>50</v>
      </c>
      <c r="L18" s="1">
        <v>36831</v>
      </c>
      <c r="M18" s="1">
        <v>25</v>
      </c>
      <c r="N18" s="1">
        <v>1300</v>
      </c>
      <c r="P18" s="1">
        <v>1680</v>
      </c>
      <c r="Q18" s="1"/>
      <c r="R18" s="1">
        <v>380</v>
      </c>
      <c r="S18">
        <v>240000</v>
      </c>
      <c r="T18">
        <v>12036</v>
      </c>
      <c r="U18" t="s">
        <v>814</v>
      </c>
      <c r="V18">
        <v>21960</v>
      </c>
      <c r="W18" s="1">
        <v>47058</v>
      </c>
      <c r="X18" s="1" t="s">
        <v>55</v>
      </c>
      <c r="Y18" s="1" t="s">
        <v>51</v>
      </c>
      <c r="Z18" s="1" t="s">
        <v>1591</v>
      </c>
      <c r="AA18" s="1" t="s">
        <v>1592</v>
      </c>
      <c r="AB18" s="1" t="s">
        <v>1593</v>
      </c>
      <c r="AC18" s="1">
        <v>45226</v>
      </c>
      <c r="AD18" s="1">
        <v>45231</v>
      </c>
      <c r="AE18" s="1"/>
      <c r="AF18" s="1"/>
      <c r="AG18" s="1" t="s">
        <v>1589</v>
      </c>
      <c r="AH18" s="1" t="s">
        <v>1590</v>
      </c>
      <c r="AI18" s="1"/>
      <c r="AJ18" s="31">
        <v>45231</v>
      </c>
      <c r="AK18"/>
      <c r="AL18"/>
      <c r="AM18"/>
      <c r="AN18"/>
      <c r="AO18" t="s">
        <v>4165</v>
      </c>
      <c r="AP18"/>
    </row>
    <row r="19" spans="1:42" hidden="1">
      <c r="A19" s="1" t="s">
        <v>2542</v>
      </c>
      <c r="B19" s="1">
        <v>201201</v>
      </c>
      <c r="D19" s="1" t="s">
        <v>414</v>
      </c>
      <c r="E19" s="1" t="s">
        <v>1065</v>
      </c>
      <c r="F19" t="s">
        <v>1083</v>
      </c>
      <c r="G19" t="s">
        <v>1068</v>
      </c>
      <c r="H19" s="1" t="s">
        <v>2595</v>
      </c>
      <c r="I19" s="1" t="s">
        <v>2596</v>
      </c>
      <c r="J19" s="1" t="s">
        <v>18</v>
      </c>
      <c r="K19" s="1" t="s">
        <v>137</v>
      </c>
      <c r="L19" s="1">
        <v>25491</v>
      </c>
      <c r="M19" s="1">
        <v>56</v>
      </c>
      <c r="N19" s="1">
        <v>1200</v>
      </c>
      <c r="O19" s="1" t="s">
        <v>2597</v>
      </c>
      <c r="P19" s="1">
        <v>1650</v>
      </c>
      <c r="Q19" s="1"/>
      <c r="R19" s="1">
        <v>450</v>
      </c>
      <c r="S19"/>
      <c r="T19" t="s">
        <v>55</v>
      </c>
      <c r="U19" t="s">
        <v>814</v>
      </c>
      <c r="V19" t="s">
        <v>55</v>
      </c>
      <c r="W19" s="1"/>
      <c r="X19" s="1" t="s">
        <v>55</v>
      </c>
      <c r="Y19" s="1"/>
      <c r="Z19" s="1" t="s">
        <v>91</v>
      </c>
      <c r="AA19" s="1" t="s">
        <v>2598</v>
      </c>
      <c r="AB19" s="1" t="s">
        <v>2599</v>
      </c>
      <c r="AC19" s="1">
        <v>44165</v>
      </c>
      <c r="AD19" s="1">
        <v>44166</v>
      </c>
      <c r="AE19" s="1">
        <v>44573</v>
      </c>
      <c r="AF19" s="1"/>
      <c r="AG19" s="1">
        <v>44287</v>
      </c>
      <c r="AH19" s="1"/>
      <c r="AI19" s="1"/>
      <c r="AJ19" s="31">
        <v>44166</v>
      </c>
      <c r="AK19"/>
      <c r="AL19"/>
      <c r="AM19"/>
      <c r="AN19"/>
      <c r="AO19"/>
      <c r="AP19"/>
    </row>
    <row r="20" spans="1:42" hidden="1">
      <c r="A20" s="1" t="s">
        <v>2542</v>
      </c>
      <c r="B20" s="1">
        <v>201202</v>
      </c>
      <c r="C20" s="1">
        <v>8210023</v>
      </c>
      <c r="D20" s="1" t="s">
        <v>818</v>
      </c>
      <c r="E20" s="1" t="s">
        <v>819</v>
      </c>
      <c r="F20" t="s">
        <v>819</v>
      </c>
      <c r="G20"/>
      <c r="H20" s="1" t="s">
        <v>409</v>
      </c>
      <c r="I20" s="1" t="s">
        <v>410</v>
      </c>
      <c r="J20" s="1" t="s">
        <v>18</v>
      </c>
      <c r="K20" s="1" t="s">
        <v>50</v>
      </c>
      <c r="L20" s="1">
        <v>35115</v>
      </c>
      <c r="M20" s="1">
        <v>29</v>
      </c>
      <c r="N20" s="1">
        <v>1400</v>
      </c>
      <c r="O20" s="1" t="s">
        <v>411</v>
      </c>
      <c r="P20" s="1">
        <v>1990</v>
      </c>
      <c r="Q20" s="1" t="s">
        <v>412</v>
      </c>
      <c r="R20" s="1">
        <v>590</v>
      </c>
      <c r="S20">
        <v>380000</v>
      </c>
      <c r="T20">
        <v>19057</v>
      </c>
      <c r="U20" t="s">
        <v>814</v>
      </c>
      <c r="V20">
        <v>34770</v>
      </c>
      <c r="W20" s="1">
        <v>46659</v>
      </c>
      <c r="X20" s="1" t="s">
        <v>55</v>
      </c>
      <c r="Y20" s="1" t="s">
        <v>51</v>
      </c>
      <c r="Z20" s="1" t="s">
        <v>1753</v>
      </c>
      <c r="AA20" s="1" t="s">
        <v>2158</v>
      </c>
      <c r="AB20" s="1" t="s">
        <v>2159</v>
      </c>
      <c r="AC20" s="1">
        <v>44164</v>
      </c>
      <c r="AD20" s="1">
        <v>44166</v>
      </c>
      <c r="AE20" s="1">
        <v>45701</v>
      </c>
      <c r="AF20" s="1"/>
      <c r="AG20" s="1">
        <v>44228</v>
      </c>
      <c r="AH20" s="1" t="s">
        <v>54</v>
      </c>
      <c r="AI20" s="1" t="s">
        <v>413</v>
      </c>
      <c r="AJ20" s="31">
        <v>44166</v>
      </c>
      <c r="AK20" t="s">
        <v>2423</v>
      </c>
      <c r="AL20" t="s">
        <v>2604</v>
      </c>
      <c r="AM20" t="s">
        <v>2423</v>
      </c>
      <c r="AN20">
        <v>46590</v>
      </c>
      <c r="AO20"/>
      <c r="AP20"/>
    </row>
    <row r="21" spans="1:42" hidden="1">
      <c r="A21" s="1" t="s">
        <v>2542</v>
      </c>
      <c r="B21" s="1">
        <v>201203</v>
      </c>
      <c r="D21" s="1" t="s">
        <v>402</v>
      </c>
      <c r="F21"/>
      <c r="G21"/>
      <c r="H21" s="1" t="s">
        <v>2600</v>
      </c>
      <c r="I21" s="1" t="s">
        <v>2600</v>
      </c>
      <c r="J21" s="1" t="s">
        <v>18</v>
      </c>
      <c r="K21" s="1" t="s">
        <v>404</v>
      </c>
      <c r="L21" s="1">
        <v>27276</v>
      </c>
      <c r="M21" s="1">
        <v>51</v>
      </c>
      <c r="N21" s="1">
        <v>1300</v>
      </c>
      <c r="P21" s="1">
        <v>1872</v>
      </c>
      <c r="Q21" s="1">
        <v>572</v>
      </c>
      <c r="R21" s="1">
        <v>572</v>
      </c>
      <c r="S21"/>
      <c r="T21" t="s">
        <v>55</v>
      </c>
      <c r="U21" t="s">
        <v>814</v>
      </c>
      <c r="V21" t="s">
        <v>55</v>
      </c>
      <c r="W21" s="1">
        <v>45436</v>
      </c>
      <c r="X21" s="1" t="s">
        <v>55</v>
      </c>
      <c r="Y21" s="1" t="s">
        <v>540</v>
      </c>
      <c r="Z21" s="1" t="s">
        <v>2601</v>
      </c>
      <c r="AA21" s="1" t="s">
        <v>2602</v>
      </c>
      <c r="AB21" s="1" t="s">
        <v>2603</v>
      </c>
      <c r="AC21" s="1" t="s">
        <v>53</v>
      </c>
      <c r="AD21" s="1">
        <v>44166</v>
      </c>
      <c r="AE21" s="1">
        <v>44424</v>
      </c>
      <c r="AF21" s="1"/>
      <c r="AG21" s="1">
        <v>44228</v>
      </c>
      <c r="AH21" s="1"/>
      <c r="AI21" s="1"/>
      <c r="AJ21" s="31">
        <v>44166</v>
      </c>
      <c r="AK21"/>
      <c r="AL21"/>
      <c r="AM21"/>
      <c r="AN21"/>
      <c r="AO21"/>
      <c r="AP21"/>
    </row>
    <row r="22" spans="1:42" hidden="1">
      <c r="A22" s="1" t="s">
        <v>2542</v>
      </c>
      <c r="B22" s="1">
        <v>201204</v>
      </c>
      <c r="D22" s="1" t="s">
        <v>414</v>
      </c>
      <c r="E22" s="1" t="s">
        <v>1065</v>
      </c>
      <c r="F22" t="s">
        <v>1083</v>
      </c>
      <c r="G22" t="s">
        <v>1068</v>
      </c>
      <c r="H22" s="1" t="s">
        <v>415</v>
      </c>
      <c r="I22" s="1" t="s">
        <v>416</v>
      </c>
      <c r="J22" s="1" t="s">
        <v>18</v>
      </c>
      <c r="K22" s="1" t="s">
        <v>50</v>
      </c>
      <c r="L22" s="1">
        <v>33003</v>
      </c>
      <c r="M22" s="1">
        <v>35</v>
      </c>
      <c r="N22" s="1">
        <v>1300</v>
      </c>
      <c r="O22" s="1">
        <v>0.5</v>
      </c>
      <c r="P22" s="1">
        <v>1650</v>
      </c>
      <c r="Q22" s="1" t="s">
        <v>412</v>
      </c>
      <c r="R22" s="1">
        <v>350</v>
      </c>
      <c r="S22">
        <v>300000</v>
      </c>
      <c r="T22">
        <v>15045</v>
      </c>
      <c r="U22" t="s">
        <v>814</v>
      </c>
      <c r="V22">
        <v>27450</v>
      </c>
      <c r="W22" s="1">
        <v>47139</v>
      </c>
      <c r="X22" s="1" t="s">
        <v>55</v>
      </c>
      <c r="Y22" s="1" t="s">
        <v>51</v>
      </c>
      <c r="Z22" s="1" t="s">
        <v>502</v>
      </c>
      <c r="AA22" s="1" t="s">
        <v>820</v>
      </c>
      <c r="AB22" s="1" t="s">
        <v>821</v>
      </c>
      <c r="AC22" s="1" t="s">
        <v>53</v>
      </c>
      <c r="AD22" s="1">
        <v>44166</v>
      </c>
      <c r="AE22" s="1">
        <v>45408</v>
      </c>
      <c r="AF22" s="1"/>
      <c r="AG22" s="1">
        <v>44228</v>
      </c>
      <c r="AH22" s="1" t="s">
        <v>54</v>
      </c>
      <c r="AI22" s="1"/>
      <c r="AJ22" s="31">
        <v>44166</v>
      </c>
      <c r="AK22"/>
      <c r="AL22"/>
      <c r="AM22"/>
      <c r="AN22"/>
      <c r="AO22"/>
      <c r="AP22"/>
    </row>
    <row r="23" spans="1:42" hidden="1">
      <c r="A23" s="1" t="s">
        <v>2542</v>
      </c>
      <c r="B23" s="1">
        <v>201205</v>
      </c>
      <c r="D23" s="1" t="s">
        <v>62</v>
      </c>
      <c r="E23" s="1" t="s">
        <v>3935</v>
      </c>
      <c r="F23"/>
      <c r="G23"/>
      <c r="H23" s="1" t="s">
        <v>2605</v>
      </c>
      <c r="I23" s="1" t="s">
        <v>2606</v>
      </c>
      <c r="J23" s="1" t="s">
        <v>18</v>
      </c>
      <c r="K23" s="1" t="s">
        <v>50</v>
      </c>
      <c r="L23" s="1">
        <v>34020</v>
      </c>
      <c r="M23" s="1">
        <v>32</v>
      </c>
      <c r="N23" s="1">
        <v>1250</v>
      </c>
      <c r="P23" s="1">
        <v>1600</v>
      </c>
      <c r="Q23" s="1"/>
      <c r="R23" s="1">
        <v>350</v>
      </c>
      <c r="S23"/>
      <c r="T23" t="s">
        <v>55</v>
      </c>
      <c r="U23" t="s">
        <v>814</v>
      </c>
      <c r="V23" t="s">
        <v>55</v>
      </c>
      <c r="W23" s="1">
        <v>44734</v>
      </c>
      <c r="X23" s="1" t="s">
        <v>55</v>
      </c>
      <c r="Y23" s="1" t="s">
        <v>51</v>
      </c>
      <c r="Z23" s="1" t="s">
        <v>80</v>
      </c>
      <c r="AA23" s="1" t="s">
        <v>81</v>
      </c>
      <c r="AB23" s="1" t="s">
        <v>82</v>
      </c>
      <c r="AC23" s="1">
        <v>44166</v>
      </c>
      <c r="AD23" s="1">
        <v>44167</v>
      </c>
      <c r="AE23" s="1">
        <v>44463</v>
      </c>
      <c r="AF23" s="1">
        <v>44464</v>
      </c>
      <c r="AG23" s="1">
        <v>44197</v>
      </c>
      <c r="AH23" s="1"/>
      <c r="AI23" s="1"/>
      <c r="AJ23" s="31">
        <v>44167</v>
      </c>
      <c r="AK23"/>
      <c r="AL23"/>
      <c r="AM23"/>
      <c r="AN23"/>
      <c r="AO23"/>
      <c r="AP23"/>
    </row>
    <row r="24" spans="1:42" hidden="1">
      <c r="A24" s="1" t="s">
        <v>2542</v>
      </c>
      <c r="B24" s="1">
        <v>201209</v>
      </c>
      <c r="D24" s="1" t="s">
        <v>414</v>
      </c>
      <c r="E24" s="1" t="s">
        <v>1065</v>
      </c>
      <c r="F24" t="s">
        <v>1083</v>
      </c>
      <c r="G24" t="s">
        <v>1068</v>
      </c>
      <c r="H24" s="1" t="s">
        <v>2607</v>
      </c>
      <c r="I24" s="1" t="s">
        <v>3937</v>
      </c>
      <c r="J24" s="1" t="s">
        <v>18</v>
      </c>
      <c r="K24" s="1" t="s">
        <v>50</v>
      </c>
      <c r="L24" s="1">
        <v>34529</v>
      </c>
      <c r="M24" s="1">
        <v>31</v>
      </c>
      <c r="N24" s="1">
        <v>1200</v>
      </c>
      <c r="P24" s="1">
        <v>1600</v>
      </c>
      <c r="Q24" s="1">
        <v>400</v>
      </c>
      <c r="R24" s="1">
        <v>400</v>
      </c>
      <c r="S24"/>
      <c r="T24" t="s">
        <v>55</v>
      </c>
      <c r="U24" t="s">
        <v>814</v>
      </c>
      <c r="V24" t="s">
        <v>55</v>
      </c>
      <c r="W24" s="1">
        <v>44518</v>
      </c>
      <c r="X24" s="1" t="s">
        <v>55</v>
      </c>
      <c r="Y24" s="1" t="s">
        <v>51</v>
      </c>
      <c r="Z24" s="1" t="s">
        <v>551</v>
      </c>
      <c r="AA24" s="1" t="s">
        <v>552</v>
      </c>
      <c r="AB24" s="1" t="s">
        <v>553</v>
      </c>
      <c r="AC24" s="1">
        <v>44175</v>
      </c>
      <c r="AD24" s="1">
        <v>44175</v>
      </c>
      <c r="AE24" s="1">
        <v>44187</v>
      </c>
      <c r="AF24" s="1">
        <v>44219</v>
      </c>
      <c r="AG24" s="1"/>
      <c r="AH24" s="1"/>
      <c r="AI24" s="1"/>
      <c r="AJ24" s="31">
        <v>44175</v>
      </c>
      <c r="AK24"/>
      <c r="AL24"/>
      <c r="AM24"/>
      <c r="AN24"/>
      <c r="AO24"/>
      <c r="AP24"/>
    </row>
    <row r="25" spans="1:42" hidden="1">
      <c r="A25" s="1" t="s">
        <v>2542</v>
      </c>
      <c r="B25" s="1">
        <v>201210</v>
      </c>
      <c r="D25" s="1" t="s">
        <v>75</v>
      </c>
      <c r="E25" s="1" t="s">
        <v>3934</v>
      </c>
      <c r="G25"/>
      <c r="H25" s="1" t="s">
        <v>2608</v>
      </c>
      <c r="I25" s="1" t="s">
        <v>2609</v>
      </c>
      <c r="J25" s="1" t="s">
        <v>18</v>
      </c>
      <c r="K25" s="1" t="s">
        <v>404</v>
      </c>
      <c r="L25" s="1">
        <v>25114</v>
      </c>
      <c r="M25" s="1">
        <v>57</v>
      </c>
      <c r="N25" s="1">
        <v>1200</v>
      </c>
      <c r="P25" s="1">
        <v>1650</v>
      </c>
      <c r="Q25" s="1">
        <v>450</v>
      </c>
      <c r="R25" s="1">
        <v>450</v>
      </c>
      <c r="S25"/>
      <c r="T25" t="s">
        <v>55</v>
      </c>
      <c r="U25" t="s">
        <v>814</v>
      </c>
      <c r="V25" t="s">
        <v>55</v>
      </c>
      <c r="W25" s="1">
        <v>45322</v>
      </c>
      <c r="X25" s="1" t="s">
        <v>55</v>
      </c>
      <c r="Y25" s="1" t="s">
        <v>60</v>
      </c>
      <c r="Z25" s="1" t="s">
        <v>4268</v>
      </c>
      <c r="AA25" s="1" t="s">
        <v>2610</v>
      </c>
      <c r="AB25" s="1" t="s">
        <v>2611</v>
      </c>
      <c r="AC25" s="1" t="s">
        <v>53</v>
      </c>
      <c r="AD25" s="1">
        <v>44179</v>
      </c>
      <c r="AE25" s="1">
        <v>44180</v>
      </c>
      <c r="AF25" s="1"/>
      <c r="AG25" s="1" t="s">
        <v>2612</v>
      </c>
      <c r="AH25" s="1"/>
      <c r="AI25" s="1"/>
      <c r="AJ25" s="31">
        <v>44179</v>
      </c>
      <c r="AK25"/>
      <c r="AL25"/>
      <c r="AM25"/>
      <c r="AN25"/>
      <c r="AO25"/>
      <c r="AP25"/>
    </row>
    <row r="26" spans="1:42" hidden="1">
      <c r="A26" s="1" t="s">
        <v>2542</v>
      </c>
      <c r="B26" s="1">
        <v>201206</v>
      </c>
      <c r="D26" s="1" t="s">
        <v>62</v>
      </c>
      <c r="E26" s="1" t="s">
        <v>3935</v>
      </c>
      <c r="F26"/>
      <c r="G26"/>
      <c r="H26" s="1" t="s">
        <v>2613</v>
      </c>
      <c r="I26" s="1" t="s">
        <v>2614</v>
      </c>
      <c r="J26" s="1" t="s">
        <v>18</v>
      </c>
      <c r="K26" s="1" t="s">
        <v>50</v>
      </c>
      <c r="L26" s="1">
        <v>34801</v>
      </c>
      <c r="M26" s="1">
        <v>30</v>
      </c>
      <c r="N26" s="1">
        <v>1250</v>
      </c>
      <c r="P26" s="1">
        <v>1600</v>
      </c>
      <c r="Q26" s="1"/>
      <c r="R26" s="1">
        <v>350</v>
      </c>
      <c r="S26"/>
      <c r="T26" t="s">
        <v>55</v>
      </c>
      <c r="U26" t="s">
        <v>814</v>
      </c>
      <c r="V26" t="s">
        <v>55</v>
      </c>
      <c r="W26" s="1">
        <v>45162</v>
      </c>
      <c r="X26" s="1" t="s">
        <v>55</v>
      </c>
      <c r="Y26" s="1" t="s">
        <v>51</v>
      </c>
      <c r="Z26" s="1" t="s">
        <v>80</v>
      </c>
      <c r="AA26" s="1" t="s">
        <v>81</v>
      </c>
      <c r="AB26" s="1" t="s">
        <v>82</v>
      </c>
      <c r="AC26" s="1">
        <v>44186</v>
      </c>
      <c r="AD26" s="1">
        <v>44187</v>
      </c>
      <c r="AE26" s="1">
        <v>44456</v>
      </c>
      <c r="AF26" s="1">
        <v>44456</v>
      </c>
      <c r="AG26" s="1">
        <v>44228</v>
      </c>
      <c r="AH26" s="1"/>
      <c r="AI26" s="1"/>
      <c r="AJ26" s="31">
        <v>44187</v>
      </c>
      <c r="AK26"/>
      <c r="AL26"/>
      <c r="AM26"/>
      <c r="AN26"/>
      <c r="AO26"/>
      <c r="AP26"/>
    </row>
    <row r="27" spans="1:42" hidden="1">
      <c r="A27" s="1" t="s">
        <v>2542</v>
      </c>
      <c r="B27" s="1">
        <v>201207</v>
      </c>
      <c r="C27" s="1">
        <v>242001</v>
      </c>
      <c r="D27" s="1" t="s">
        <v>69</v>
      </c>
      <c r="E27" s="1" t="s">
        <v>310</v>
      </c>
      <c r="F27" t="s">
        <v>2003</v>
      </c>
      <c r="G27"/>
      <c r="H27" s="1" t="s">
        <v>2615</v>
      </c>
      <c r="I27" s="1" t="s">
        <v>2616</v>
      </c>
      <c r="J27" s="1" t="s">
        <v>18</v>
      </c>
      <c r="K27" s="1" t="s">
        <v>50</v>
      </c>
      <c r="L27" s="1">
        <v>32467</v>
      </c>
      <c r="M27" s="1">
        <v>37</v>
      </c>
      <c r="N27" s="1">
        <v>1410</v>
      </c>
      <c r="O27" s="1" t="s">
        <v>70</v>
      </c>
      <c r="P27" s="1">
        <v>1780</v>
      </c>
      <c r="Q27" s="1" t="s">
        <v>71</v>
      </c>
      <c r="R27" s="1">
        <v>370</v>
      </c>
      <c r="S27"/>
      <c r="T27" t="s">
        <v>55</v>
      </c>
      <c r="U27" t="s">
        <v>814</v>
      </c>
      <c r="V27" t="s">
        <v>55</v>
      </c>
      <c r="W27" s="1">
        <v>45167</v>
      </c>
      <c r="X27" s="1" t="s">
        <v>55</v>
      </c>
      <c r="Y27" s="1" t="s">
        <v>51</v>
      </c>
      <c r="Z27" s="1" t="s">
        <v>72</v>
      </c>
      <c r="AA27" s="1" t="s">
        <v>73</v>
      </c>
      <c r="AB27" s="1" t="s">
        <v>74</v>
      </c>
      <c r="AC27" s="1">
        <v>44186</v>
      </c>
      <c r="AD27" s="1">
        <v>44189</v>
      </c>
      <c r="AE27" s="1">
        <v>44875</v>
      </c>
      <c r="AF27" s="1"/>
      <c r="AG27" s="1">
        <v>44228</v>
      </c>
      <c r="AH27" s="1" t="s">
        <v>54</v>
      </c>
      <c r="AI27" s="1"/>
      <c r="AJ27" s="31">
        <v>44189</v>
      </c>
      <c r="AK27"/>
      <c r="AL27"/>
      <c r="AM27"/>
      <c r="AN27"/>
      <c r="AO27"/>
      <c r="AP27"/>
    </row>
    <row r="28" spans="1:42" hidden="1">
      <c r="A28" s="1" t="s">
        <v>2542</v>
      </c>
      <c r="B28" s="1">
        <v>201208</v>
      </c>
      <c r="C28" s="1">
        <v>242002</v>
      </c>
      <c r="D28" s="1" t="s">
        <v>69</v>
      </c>
      <c r="E28" s="1" t="s">
        <v>306</v>
      </c>
      <c r="F28" t="s">
        <v>390</v>
      </c>
      <c r="G28" t="s">
        <v>1085</v>
      </c>
      <c r="H28" s="1" t="s">
        <v>2617</v>
      </c>
      <c r="I28" s="1" t="s">
        <v>2618</v>
      </c>
      <c r="J28" s="1" t="s">
        <v>18</v>
      </c>
      <c r="K28" s="1" t="s">
        <v>50</v>
      </c>
      <c r="L28" s="1">
        <v>30917</v>
      </c>
      <c r="M28" s="1">
        <v>41</v>
      </c>
      <c r="N28" s="1">
        <v>1400</v>
      </c>
      <c r="O28" s="1" t="s">
        <v>70</v>
      </c>
      <c r="P28" s="1">
        <v>1790</v>
      </c>
      <c r="Q28" s="1" t="s">
        <v>71</v>
      </c>
      <c r="R28" s="1">
        <v>390</v>
      </c>
      <c r="S28">
        <v>320000</v>
      </c>
      <c r="T28">
        <v>16048</v>
      </c>
      <c r="U28">
        <v>2544</v>
      </c>
      <c r="V28">
        <v>29280</v>
      </c>
      <c r="W28" s="1">
        <v>45258</v>
      </c>
      <c r="X28" s="1" t="s">
        <v>55</v>
      </c>
      <c r="Y28" s="1" t="s">
        <v>51</v>
      </c>
      <c r="Z28" s="1" t="s">
        <v>2619</v>
      </c>
      <c r="AA28" s="1" t="s">
        <v>2620</v>
      </c>
      <c r="AB28" s="1" t="s">
        <v>2621</v>
      </c>
      <c r="AC28" s="1" t="s">
        <v>53</v>
      </c>
      <c r="AD28" s="1">
        <v>44189</v>
      </c>
      <c r="AE28" s="1">
        <v>45114</v>
      </c>
      <c r="AF28" s="1"/>
      <c r="AG28" s="1">
        <v>44228</v>
      </c>
      <c r="AH28" s="1" t="s">
        <v>54</v>
      </c>
      <c r="AI28" s="1"/>
      <c r="AJ28" s="31">
        <v>44189</v>
      </c>
      <c r="AK28"/>
      <c r="AL28"/>
      <c r="AM28"/>
      <c r="AN28"/>
      <c r="AO28"/>
      <c r="AP28"/>
    </row>
    <row r="29" spans="1:42" hidden="1">
      <c r="A29" s="1" t="s">
        <v>2542</v>
      </c>
      <c r="B29" s="1">
        <v>210101</v>
      </c>
      <c r="D29" s="1" t="s">
        <v>75</v>
      </c>
      <c r="E29" s="1" t="s">
        <v>3934</v>
      </c>
      <c r="F29"/>
      <c r="G29"/>
      <c r="H29" s="1" t="s">
        <v>2622</v>
      </c>
      <c r="I29" s="1" t="s">
        <v>2623</v>
      </c>
      <c r="J29" s="1" t="s">
        <v>18</v>
      </c>
      <c r="K29" s="1" t="s">
        <v>50</v>
      </c>
      <c r="L29" s="1">
        <v>34673</v>
      </c>
      <c r="M29" s="1">
        <v>30</v>
      </c>
      <c r="N29" s="1">
        <v>1300</v>
      </c>
      <c r="P29" s="1">
        <v>1600</v>
      </c>
      <c r="Q29" s="1"/>
      <c r="R29" s="1">
        <v>300</v>
      </c>
      <c r="S29"/>
      <c r="T29" t="s">
        <v>55</v>
      </c>
      <c r="U29" t="s">
        <v>814</v>
      </c>
      <c r="V29" t="s">
        <v>55</v>
      </c>
      <c r="W29" s="1">
        <v>45157</v>
      </c>
      <c r="X29" s="1" t="s">
        <v>55</v>
      </c>
      <c r="Y29" s="1" t="s">
        <v>51</v>
      </c>
      <c r="Z29" s="1" t="s">
        <v>67</v>
      </c>
      <c r="AA29" s="1" t="s">
        <v>209</v>
      </c>
      <c r="AB29" s="1" t="s">
        <v>595</v>
      </c>
      <c r="AC29" s="1">
        <v>44193</v>
      </c>
      <c r="AD29" s="1">
        <v>44201</v>
      </c>
      <c r="AE29" s="1">
        <v>44415</v>
      </c>
      <c r="AF29" s="1"/>
      <c r="AG29" s="1">
        <v>44256</v>
      </c>
      <c r="AH29" s="1"/>
      <c r="AI29" s="1"/>
      <c r="AJ29" s="31">
        <v>44201</v>
      </c>
      <c r="AK29"/>
      <c r="AL29"/>
      <c r="AM29"/>
      <c r="AN29"/>
      <c r="AO29"/>
      <c r="AP29"/>
    </row>
    <row r="30" spans="1:42" hidden="1">
      <c r="A30" s="1" t="s">
        <v>2542</v>
      </c>
      <c r="B30" s="1">
        <v>210102</v>
      </c>
      <c r="C30" s="1">
        <v>212004</v>
      </c>
      <c r="D30" s="1" t="s">
        <v>75</v>
      </c>
      <c r="E30" s="1" t="s">
        <v>3934</v>
      </c>
      <c r="F30" t="s">
        <v>736</v>
      </c>
      <c r="G30"/>
      <c r="H30" s="1" t="s">
        <v>2624</v>
      </c>
      <c r="I30" s="1" t="s">
        <v>2625</v>
      </c>
      <c r="J30" s="1" t="s">
        <v>18</v>
      </c>
      <c r="K30" s="1" t="s">
        <v>50</v>
      </c>
      <c r="L30" s="1">
        <v>34018</v>
      </c>
      <c r="M30" s="1">
        <v>32</v>
      </c>
      <c r="N30" s="1">
        <v>1400</v>
      </c>
      <c r="P30" s="1">
        <v>1770</v>
      </c>
      <c r="Q30" s="1" t="s">
        <v>71</v>
      </c>
      <c r="R30" s="1">
        <v>370</v>
      </c>
      <c r="S30"/>
      <c r="T30" t="s">
        <v>55</v>
      </c>
      <c r="U30" t="s">
        <v>814</v>
      </c>
      <c r="V30" t="s">
        <v>55</v>
      </c>
      <c r="W30" s="1">
        <v>45157</v>
      </c>
      <c r="X30" s="1" t="s">
        <v>55</v>
      </c>
      <c r="Y30" s="1" t="s">
        <v>51</v>
      </c>
      <c r="Z30" s="1" t="s">
        <v>67</v>
      </c>
      <c r="AA30" s="1" t="s">
        <v>77</v>
      </c>
      <c r="AB30" s="1" t="s">
        <v>2582</v>
      </c>
      <c r="AC30" s="1">
        <v>44193</v>
      </c>
      <c r="AD30" s="1">
        <v>44201</v>
      </c>
      <c r="AE30" s="1">
        <v>44860</v>
      </c>
      <c r="AF30" s="1"/>
      <c r="AG30" s="1">
        <v>44256</v>
      </c>
      <c r="AH30" s="1" t="s">
        <v>54</v>
      </c>
      <c r="AI30" s="1"/>
      <c r="AJ30" s="31">
        <v>44201</v>
      </c>
      <c r="AK30"/>
      <c r="AL30"/>
      <c r="AM30"/>
      <c r="AN30"/>
      <c r="AO30"/>
      <c r="AP30"/>
    </row>
    <row r="31" spans="1:42" hidden="1">
      <c r="A31" s="1" t="s">
        <v>2542</v>
      </c>
      <c r="B31" s="1">
        <v>210103</v>
      </c>
      <c r="D31" s="1" t="s">
        <v>83</v>
      </c>
      <c r="F31"/>
      <c r="G31"/>
      <c r="H31" s="1" t="s">
        <v>2626</v>
      </c>
      <c r="I31" s="1" t="s">
        <v>2627</v>
      </c>
      <c r="J31" s="1" t="s">
        <v>18</v>
      </c>
      <c r="K31" s="1" t="s">
        <v>50</v>
      </c>
      <c r="L31" s="1">
        <v>33850</v>
      </c>
      <c r="M31" s="1">
        <v>33</v>
      </c>
      <c r="N31" s="1">
        <v>1250</v>
      </c>
      <c r="P31" s="1">
        <v>1750</v>
      </c>
      <c r="Q31" s="1"/>
      <c r="R31" s="1">
        <v>500</v>
      </c>
      <c r="S31"/>
      <c r="T31" t="s">
        <v>55</v>
      </c>
      <c r="U31" t="s">
        <v>814</v>
      </c>
      <c r="V31" t="s">
        <v>55</v>
      </c>
      <c r="W31" s="1">
        <v>45178</v>
      </c>
      <c r="X31" s="1" t="s">
        <v>55</v>
      </c>
      <c r="Y31" s="1" t="s">
        <v>51</v>
      </c>
      <c r="Z31" s="1" t="s">
        <v>110</v>
      </c>
      <c r="AA31" s="1" t="s">
        <v>122</v>
      </c>
      <c r="AB31" s="1" t="s">
        <v>252</v>
      </c>
      <c r="AC31" s="1">
        <v>44443</v>
      </c>
      <c r="AD31" s="1">
        <v>44201</v>
      </c>
      <c r="AE31" s="1">
        <v>44499</v>
      </c>
      <c r="AF31" s="1"/>
      <c r="AG31" s="1">
        <v>44256</v>
      </c>
      <c r="AH31" s="1"/>
      <c r="AI31" s="1"/>
      <c r="AJ31" s="31">
        <v>44201</v>
      </c>
      <c r="AK31"/>
      <c r="AL31"/>
      <c r="AM31"/>
      <c r="AN31"/>
      <c r="AO31"/>
      <c r="AP31"/>
    </row>
    <row r="32" spans="1:42" hidden="1">
      <c r="A32" s="1" t="s">
        <v>2542</v>
      </c>
      <c r="B32" s="1">
        <v>210104</v>
      </c>
      <c r="D32" s="1" t="s">
        <v>62</v>
      </c>
      <c r="E32" s="1" t="s">
        <v>3935</v>
      </c>
      <c r="F32"/>
      <c r="G32"/>
      <c r="H32" s="1" t="s">
        <v>2628</v>
      </c>
      <c r="I32" s="1" t="s">
        <v>2629</v>
      </c>
      <c r="J32" s="1" t="s">
        <v>18</v>
      </c>
      <c r="K32" s="1" t="s">
        <v>404</v>
      </c>
      <c r="L32" s="1">
        <v>23635</v>
      </c>
      <c r="M32" s="1">
        <v>61</v>
      </c>
      <c r="N32" s="1">
        <v>1300</v>
      </c>
      <c r="O32" s="1" t="s">
        <v>2630</v>
      </c>
      <c r="P32" s="1">
        <v>1650</v>
      </c>
      <c r="Q32" s="1"/>
      <c r="R32" s="1">
        <v>350</v>
      </c>
      <c r="S32"/>
      <c r="T32" t="s">
        <v>55</v>
      </c>
      <c r="U32" t="s">
        <v>814</v>
      </c>
      <c r="V32" t="s">
        <v>55</v>
      </c>
      <c r="W32" s="1">
        <v>45873</v>
      </c>
      <c r="X32" s="1" t="s">
        <v>55</v>
      </c>
      <c r="Y32" s="1" t="s">
        <v>2631</v>
      </c>
      <c r="Z32" s="1" t="s">
        <v>67</v>
      </c>
      <c r="AA32" s="1" t="s">
        <v>68</v>
      </c>
      <c r="AB32" s="1" t="s">
        <v>3877</v>
      </c>
      <c r="AC32" s="1">
        <v>44194</v>
      </c>
      <c r="AD32" s="1">
        <v>44201</v>
      </c>
      <c r="AE32" s="1">
        <v>44274</v>
      </c>
      <c r="AF32" s="1">
        <v>44276</v>
      </c>
      <c r="AG32" s="1">
        <v>44287</v>
      </c>
      <c r="AH32" s="1"/>
      <c r="AI32" s="1"/>
      <c r="AJ32" s="31">
        <v>44201</v>
      </c>
      <c r="AK32"/>
      <c r="AL32"/>
      <c r="AM32"/>
      <c r="AN32"/>
      <c r="AO32"/>
      <c r="AP32"/>
    </row>
    <row r="33" spans="1:42" hidden="1">
      <c r="A33" s="1" t="s">
        <v>2542</v>
      </c>
      <c r="B33" s="1">
        <v>210105</v>
      </c>
      <c r="D33" s="1" t="s">
        <v>414</v>
      </c>
      <c r="E33" s="1" t="s">
        <v>1065</v>
      </c>
      <c r="F33" t="s">
        <v>1083</v>
      </c>
      <c r="G33" t="s">
        <v>1068</v>
      </c>
      <c r="H33" s="1" t="s">
        <v>2635</v>
      </c>
      <c r="I33" s="1" t="s">
        <v>2636</v>
      </c>
      <c r="J33" s="1" t="s">
        <v>18</v>
      </c>
      <c r="K33" s="1" t="s">
        <v>50</v>
      </c>
      <c r="L33" s="1">
        <v>35053</v>
      </c>
      <c r="M33" s="1">
        <v>29</v>
      </c>
      <c r="N33" s="1">
        <v>1250</v>
      </c>
      <c r="P33" s="1">
        <v>1600</v>
      </c>
      <c r="Q33" s="1"/>
      <c r="R33" s="1">
        <v>350</v>
      </c>
      <c r="S33"/>
      <c r="T33" t="s">
        <v>55</v>
      </c>
      <c r="U33" t="s">
        <v>814</v>
      </c>
      <c r="V33" t="s">
        <v>55</v>
      </c>
      <c r="W33" s="1">
        <v>44990</v>
      </c>
      <c r="X33" s="1" t="s">
        <v>55</v>
      </c>
      <c r="Y33" s="1" t="s">
        <v>51</v>
      </c>
      <c r="Z33" s="1" t="s">
        <v>551</v>
      </c>
      <c r="AA33" s="1" t="s">
        <v>552</v>
      </c>
      <c r="AB33" s="1" t="s">
        <v>553</v>
      </c>
      <c r="AC33" s="1">
        <v>44201</v>
      </c>
      <c r="AD33" s="1">
        <v>44202</v>
      </c>
      <c r="AE33" s="1">
        <v>44309</v>
      </c>
      <c r="AF33" s="1"/>
      <c r="AG33" s="1">
        <v>44256</v>
      </c>
      <c r="AH33" s="1"/>
      <c r="AI33" s="1"/>
      <c r="AJ33" s="31">
        <v>44202</v>
      </c>
      <c r="AK33"/>
      <c r="AL33"/>
      <c r="AM33"/>
      <c r="AN33"/>
      <c r="AO33"/>
      <c r="AP33"/>
    </row>
    <row r="34" spans="1:42" hidden="1">
      <c r="A34" s="1" t="s">
        <v>49</v>
      </c>
      <c r="B34" s="1">
        <v>210106</v>
      </c>
      <c r="C34" s="1">
        <v>8210004</v>
      </c>
      <c r="D34" s="1" t="s">
        <v>815</v>
      </c>
      <c r="E34" s="1" t="s">
        <v>1533</v>
      </c>
      <c r="F34" s="1" t="s">
        <v>1533</v>
      </c>
      <c r="G34"/>
      <c r="H34" s="1" t="s">
        <v>420</v>
      </c>
      <c r="I34" s="1" t="s">
        <v>421</v>
      </c>
      <c r="J34" s="1" t="s">
        <v>18</v>
      </c>
      <c r="K34" s="1" t="s">
        <v>50</v>
      </c>
      <c r="L34" s="1">
        <v>32739</v>
      </c>
      <c r="M34" s="1">
        <v>36</v>
      </c>
      <c r="N34" s="1">
        <v>1555</v>
      </c>
      <c r="O34" s="1" t="s">
        <v>417</v>
      </c>
      <c r="P34" s="1">
        <v>2225</v>
      </c>
      <c r="Q34" s="1"/>
      <c r="R34" s="1">
        <v>670</v>
      </c>
      <c r="S34">
        <v>320000</v>
      </c>
      <c r="T34">
        <v>16048</v>
      </c>
      <c r="U34" t="s">
        <v>814</v>
      </c>
      <c r="V34">
        <v>29280</v>
      </c>
      <c r="W34" s="1">
        <v>47564</v>
      </c>
      <c r="X34" s="1" t="s">
        <v>55</v>
      </c>
      <c r="Y34" s="1" t="s">
        <v>51</v>
      </c>
      <c r="Z34" s="1" t="s">
        <v>529</v>
      </c>
      <c r="AA34" s="1" t="s">
        <v>2554</v>
      </c>
      <c r="AB34" s="1" t="s">
        <v>422</v>
      </c>
      <c r="AC34" s="1" t="s">
        <v>53</v>
      </c>
      <c r="AD34" s="1">
        <v>44202</v>
      </c>
      <c r="AE34" s="1"/>
      <c r="AF34" s="1"/>
      <c r="AG34" s="1">
        <v>44197</v>
      </c>
      <c r="AH34" s="1" t="s">
        <v>54</v>
      </c>
      <c r="AI34" s="1"/>
      <c r="AJ34" s="31">
        <v>44202</v>
      </c>
      <c r="AK34" t="s">
        <v>2423</v>
      </c>
      <c r="AL34">
        <v>45554</v>
      </c>
      <c r="AM34" t="s">
        <v>2423</v>
      </c>
      <c r="AN34">
        <v>46368</v>
      </c>
      <c r="AO34"/>
      <c r="AP34"/>
    </row>
    <row r="35" spans="1:42" hidden="1">
      <c r="A35" s="1" t="s">
        <v>2542</v>
      </c>
      <c r="B35" s="1">
        <v>210107</v>
      </c>
      <c r="C35" s="1">
        <v>8210003</v>
      </c>
      <c r="D35" s="1" t="s">
        <v>818</v>
      </c>
      <c r="E35" s="1" t="s">
        <v>2637</v>
      </c>
      <c r="G35"/>
      <c r="H35" s="1" t="s">
        <v>418</v>
      </c>
      <c r="I35" s="1" t="s">
        <v>419</v>
      </c>
      <c r="J35" s="1" t="s">
        <v>18</v>
      </c>
      <c r="K35" s="1" t="s">
        <v>50</v>
      </c>
      <c r="L35" s="1">
        <v>33227</v>
      </c>
      <c r="M35" s="1">
        <v>34</v>
      </c>
      <c r="N35" s="1">
        <v>1430</v>
      </c>
      <c r="O35" s="1" t="s">
        <v>417</v>
      </c>
      <c r="P35" s="1">
        <v>2020</v>
      </c>
      <c r="Q35" s="1"/>
      <c r="R35" s="1">
        <v>590</v>
      </c>
      <c r="S35"/>
      <c r="T35" t="s">
        <v>55</v>
      </c>
      <c r="U35" t="s">
        <v>814</v>
      </c>
      <c r="V35" t="s">
        <v>55</v>
      </c>
      <c r="W35" s="1">
        <v>45443</v>
      </c>
      <c r="X35" s="1" t="s">
        <v>55</v>
      </c>
      <c r="Y35" s="1" t="s">
        <v>51</v>
      </c>
      <c r="Z35" s="1" t="s">
        <v>2638</v>
      </c>
      <c r="AA35" s="1" t="s">
        <v>2639</v>
      </c>
      <c r="AB35" s="1" t="s">
        <v>2640</v>
      </c>
      <c r="AC35" s="1">
        <v>44255</v>
      </c>
      <c r="AD35" s="1">
        <v>44202</v>
      </c>
      <c r="AE35" s="1">
        <v>44911</v>
      </c>
      <c r="AF35" s="1"/>
      <c r="AG35" s="1">
        <v>44197</v>
      </c>
      <c r="AH35" s="1" t="s">
        <v>54</v>
      </c>
      <c r="AI35" s="1"/>
      <c r="AJ35" s="31">
        <v>44202</v>
      </c>
      <c r="AK35"/>
      <c r="AL35"/>
      <c r="AM35"/>
      <c r="AN35"/>
      <c r="AO35"/>
      <c r="AP35"/>
    </row>
    <row r="36" spans="1:42" hidden="1">
      <c r="A36" s="1" t="s">
        <v>2542</v>
      </c>
      <c r="B36" s="1">
        <v>210108</v>
      </c>
      <c r="C36" s="1">
        <v>8210001</v>
      </c>
      <c r="D36" s="1" t="s">
        <v>818</v>
      </c>
      <c r="E36" s="1" t="s">
        <v>819</v>
      </c>
      <c r="F36" s="1" t="s">
        <v>819</v>
      </c>
      <c r="G36"/>
      <c r="H36" s="1" t="s">
        <v>2632</v>
      </c>
      <c r="I36" s="1" t="s">
        <v>2633</v>
      </c>
      <c r="J36" s="1" t="s">
        <v>18</v>
      </c>
      <c r="K36" s="1" t="s">
        <v>50</v>
      </c>
      <c r="L36" s="1">
        <v>33896</v>
      </c>
      <c r="M36" s="1">
        <v>33</v>
      </c>
      <c r="N36" s="1">
        <v>1430</v>
      </c>
      <c r="O36" s="1" t="s">
        <v>417</v>
      </c>
      <c r="P36" s="1">
        <v>2020</v>
      </c>
      <c r="Q36" s="1"/>
      <c r="R36" s="1">
        <v>590</v>
      </c>
      <c r="S36">
        <v>360000</v>
      </c>
      <c r="T36">
        <v>18054</v>
      </c>
      <c r="U36" t="s">
        <v>814</v>
      </c>
      <c r="V36">
        <v>32940</v>
      </c>
      <c r="W36" s="1">
        <v>47267</v>
      </c>
      <c r="X36" s="1" t="s">
        <v>55</v>
      </c>
      <c r="Y36" s="1" t="s">
        <v>51</v>
      </c>
      <c r="Z36" s="1" t="s">
        <v>529</v>
      </c>
      <c r="AA36" s="1" t="s">
        <v>2554</v>
      </c>
      <c r="AB36" s="1" t="s">
        <v>2634</v>
      </c>
      <c r="AC36" s="1" t="s">
        <v>53</v>
      </c>
      <c r="AD36" s="1">
        <v>44202</v>
      </c>
      <c r="AE36" s="1">
        <v>45470</v>
      </c>
      <c r="AF36" s="1"/>
      <c r="AG36" s="1">
        <v>44197</v>
      </c>
      <c r="AH36" s="1" t="s">
        <v>54</v>
      </c>
      <c r="AI36" s="1"/>
      <c r="AJ36" s="31">
        <v>44202</v>
      </c>
      <c r="AK36"/>
      <c r="AL36"/>
      <c r="AM36"/>
      <c r="AN36"/>
      <c r="AO36"/>
      <c r="AP36"/>
    </row>
    <row r="37" spans="1:42" hidden="1">
      <c r="A37" s="1" t="s">
        <v>2542</v>
      </c>
      <c r="B37" s="1">
        <v>210109</v>
      </c>
      <c r="C37" s="1">
        <v>8210002</v>
      </c>
      <c r="D37" s="1" t="s">
        <v>818</v>
      </c>
      <c r="E37" s="1" t="s">
        <v>2641</v>
      </c>
      <c r="F37"/>
      <c r="G37"/>
      <c r="H37" s="1" t="s">
        <v>2642</v>
      </c>
      <c r="I37" s="1" t="s">
        <v>2643</v>
      </c>
      <c r="J37" s="1" t="s">
        <v>18</v>
      </c>
      <c r="K37" s="1" t="s">
        <v>50</v>
      </c>
      <c r="L37" s="1">
        <v>33410</v>
      </c>
      <c r="M37" s="1">
        <v>34</v>
      </c>
      <c r="N37" s="1">
        <v>1460</v>
      </c>
      <c r="O37" s="1" t="s">
        <v>2644</v>
      </c>
      <c r="P37" s="1">
        <v>2050</v>
      </c>
      <c r="Q37" s="1"/>
      <c r="R37" s="1">
        <v>590</v>
      </c>
      <c r="S37"/>
      <c r="T37" t="s">
        <v>55</v>
      </c>
      <c r="U37" t="s">
        <v>814</v>
      </c>
      <c r="V37" t="s">
        <v>55</v>
      </c>
      <c r="W37" s="1">
        <v>45822</v>
      </c>
      <c r="X37" s="1" t="s">
        <v>55</v>
      </c>
      <c r="Y37" s="1" t="s">
        <v>51</v>
      </c>
      <c r="Z37" s="1" t="s">
        <v>2638</v>
      </c>
      <c r="AA37" s="1" t="s">
        <v>2645</v>
      </c>
      <c r="AB37" s="1" t="s">
        <v>2646</v>
      </c>
      <c r="AC37" s="1">
        <v>44682</v>
      </c>
      <c r="AD37" s="1">
        <v>44202</v>
      </c>
      <c r="AE37" s="1">
        <v>44803</v>
      </c>
      <c r="AF37" s="1"/>
      <c r="AG37" s="1">
        <v>44197</v>
      </c>
      <c r="AH37" s="1" t="s">
        <v>54</v>
      </c>
      <c r="AI37" s="1"/>
      <c r="AJ37" s="31">
        <v>44202</v>
      </c>
      <c r="AK37"/>
      <c r="AL37"/>
      <c r="AM37"/>
      <c r="AN37"/>
      <c r="AO37"/>
      <c r="AP37"/>
    </row>
    <row r="38" spans="1:42" hidden="1">
      <c r="A38" s="1" t="s">
        <v>2542</v>
      </c>
      <c r="B38" s="1">
        <v>210110</v>
      </c>
      <c r="C38" s="1">
        <v>222008</v>
      </c>
      <c r="D38" s="1" t="s">
        <v>62</v>
      </c>
      <c r="E38" s="1" t="s">
        <v>3935</v>
      </c>
      <c r="F38" t="s">
        <v>2465</v>
      </c>
      <c r="G38" t="s">
        <v>3936</v>
      </c>
      <c r="H38" s="1" t="s">
        <v>78</v>
      </c>
      <c r="I38" s="1" t="s">
        <v>79</v>
      </c>
      <c r="J38" s="1" t="s">
        <v>18</v>
      </c>
      <c r="K38" s="1" t="s">
        <v>50</v>
      </c>
      <c r="L38" s="1">
        <v>34363</v>
      </c>
      <c r="M38" s="1">
        <v>31</v>
      </c>
      <c r="N38" s="1">
        <v>1410</v>
      </c>
      <c r="O38" s="1" t="s">
        <v>70</v>
      </c>
      <c r="P38" s="1">
        <v>1820</v>
      </c>
      <c r="Q38" s="1" t="s">
        <v>71</v>
      </c>
      <c r="R38" s="1">
        <v>410</v>
      </c>
      <c r="S38">
        <v>320000</v>
      </c>
      <c r="T38">
        <v>16048</v>
      </c>
      <c r="U38" t="s">
        <v>814</v>
      </c>
      <c r="V38">
        <v>29280</v>
      </c>
      <c r="W38" s="1">
        <v>46696</v>
      </c>
      <c r="X38" s="1" t="s">
        <v>55</v>
      </c>
      <c r="Y38" s="1" t="s">
        <v>51</v>
      </c>
      <c r="Z38" s="1" t="s">
        <v>91</v>
      </c>
      <c r="AA38" s="1" t="s">
        <v>167</v>
      </c>
      <c r="AB38" s="1" t="s">
        <v>160</v>
      </c>
      <c r="AC38" s="1">
        <v>45291</v>
      </c>
      <c r="AD38" s="1">
        <v>44204</v>
      </c>
      <c r="AE38" s="1">
        <v>45845</v>
      </c>
      <c r="AF38" s="1"/>
      <c r="AG38" s="1">
        <v>44256</v>
      </c>
      <c r="AH38" s="1" t="s">
        <v>54</v>
      </c>
      <c r="AI38" s="1"/>
      <c r="AJ38" s="31">
        <v>44204</v>
      </c>
      <c r="AK38"/>
      <c r="AL38"/>
      <c r="AM38"/>
      <c r="AN38"/>
      <c r="AO38" t="s">
        <v>4165</v>
      </c>
      <c r="AP38"/>
    </row>
    <row r="39" spans="1:42" hidden="1">
      <c r="A39" s="1" t="s">
        <v>2542</v>
      </c>
      <c r="B39" s="1">
        <v>210111</v>
      </c>
      <c r="D39" s="1" t="s">
        <v>69</v>
      </c>
      <c r="F39"/>
      <c r="G39"/>
      <c r="H39" s="1" t="s">
        <v>2651</v>
      </c>
      <c r="I39" s="1" t="s">
        <v>2652</v>
      </c>
      <c r="J39" s="1" t="s">
        <v>18</v>
      </c>
      <c r="K39" s="1" t="s">
        <v>50</v>
      </c>
      <c r="L39" s="1">
        <v>35358</v>
      </c>
      <c r="M39" s="1">
        <v>29</v>
      </c>
      <c r="N39" s="1">
        <v>1200</v>
      </c>
      <c r="P39" s="1">
        <v>1600</v>
      </c>
      <c r="Q39" s="1"/>
      <c r="R39" s="1">
        <v>400</v>
      </c>
      <c r="S39"/>
      <c r="T39" t="s">
        <v>55</v>
      </c>
      <c r="U39" t="s">
        <v>814</v>
      </c>
      <c r="V39" t="s">
        <v>55</v>
      </c>
      <c r="W39" s="1">
        <v>45267</v>
      </c>
      <c r="X39" s="1" t="s">
        <v>55</v>
      </c>
      <c r="Y39" s="1" t="s">
        <v>51</v>
      </c>
      <c r="Z39" s="1" t="s">
        <v>493</v>
      </c>
      <c r="AA39" s="1" t="s">
        <v>494</v>
      </c>
      <c r="AB39" s="1" t="s">
        <v>495</v>
      </c>
      <c r="AC39" s="1">
        <v>44202</v>
      </c>
      <c r="AD39" s="1">
        <v>44207</v>
      </c>
      <c r="AE39" s="1">
        <v>44295</v>
      </c>
      <c r="AF39" s="1">
        <v>44296</v>
      </c>
      <c r="AG39" s="1">
        <v>44256</v>
      </c>
      <c r="AH39" s="1"/>
      <c r="AI39" s="1"/>
      <c r="AJ39" s="31">
        <v>44207</v>
      </c>
      <c r="AK39"/>
      <c r="AL39"/>
      <c r="AM39"/>
      <c r="AN39"/>
      <c r="AO39"/>
      <c r="AP39"/>
    </row>
    <row r="40" spans="1:42" hidden="1">
      <c r="A40" s="1" t="s">
        <v>2542</v>
      </c>
      <c r="B40" s="1">
        <v>210113</v>
      </c>
      <c r="C40" s="1">
        <v>242004</v>
      </c>
      <c r="D40" s="1" t="s">
        <v>69</v>
      </c>
      <c r="E40" s="1" t="s">
        <v>306</v>
      </c>
      <c r="F40"/>
      <c r="G40"/>
      <c r="H40" s="1" t="s">
        <v>2649</v>
      </c>
      <c r="I40" s="1" t="s">
        <v>2650</v>
      </c>
      <c r="J40" s="1" t="s">
        <v>18</v>
      </c>
      <c r="K40" s="1" t="s">
        <v>50</v>
      </c>
      <c r="L40" s="1">
        <v>35776</v>
      </c>
      <c r="M40" s="1">
        <v>27</v>
      </c>
      <c r="N40" s="1">
        <v>1400</v>
      </c>
      <c r="O40" s="1" t="s">
        <v>70</v>
      </c>
      <c r="P40" s="1">
        <v>1770</v>
      </c>
      <c r="Q40" s="1" t="s">
        <v>71</v>
      </c>
      <c r="R40" s="1">
        <v>370</v>
      </c>
      <c r="S40"/>
      <c r="T40" t="s">
        <v>55</v>
      </c>
      <c r="U40" t="s">
        <v>814</v>
      </c>
      <c r="V40" t="s">
        <v>55</v>
      </c>
      <c r="W40" s="1">
        <v>45085</v>
      </c>
      <c r="X40" s="1" t="s">
        <v>55</v>
      </c>
      <c r="Y40" s="1" t="s">
        <v>51</v>
      </c>
      <c r="Z40" s="1" t="s">
        <v>72</v>
      </c>
      <c r="AA40" s="1" t="s">
        <v>423</v>
      </c>
      <c r="AB40" s="1" t="s">
        <v>424</v>
      </c>
      <c r="AC40" s="1">
        <v>44202</v>
      </c>
      <c r="AD40" s="1">
        <v>44207</v>
      </c>
      <c r="AE40" s="1">
        <v>44783</v>
      </c>
      <c r="AF40" s="1"/>
      <c r="AG40" s="1">
        <v>44256</v>
      </c>
      <c r="AH40" s="1" t="s">
        <v>54</v>
      </c>
      <c r="AI40" s="1"/>
      <c r="AJ40" s="31">
        <v>44207</v>
      </c>
      <c r="AK40"/>
      <c r="AL40"/>
      <c r="AM40"/>
      <c r="AN40"/>
      <c r="AO40"/>
      <c r="AP40"/>
    </row>
    <row r="41" spans="1:42" hidden="1">
      <c r="A41" s="1" t="s">
        <v>2542</v>
      </c>
      <c r="B41" s="1">
        <v>210114</v>
      </c>
      <c r="C41" s="1">
        <v>242003</v>
      </c>
      <c r="D41" s="1" t="s">
        <v>69</v>
      </c>
      <c r="E41" s="1" t="s">
        <v>306</v>
      </c>
      <c r="F41"/>
      <c r="G41"/>
      <c r="H41" s="1" t="s">
        <v>2647</v>
      </c>
      <c r="I41" s="1" t="s">
        <v>2648</v>
      </c>
      <c r="J41" s="1" t="s">
        <v>18</v>
      </c>
      <c r="K41" s="1" t="s">
        <v>50</v>
      </c>
      <c r="L41" s="1">
        <v>35489</v>
      </c>
      <c r="M41" s="1">
        <v>28</v>
      </c>
      <c r="N41" s="1">
        <v>1400</v>
      </c>
      <c r="O41" s="1" t="s">
        <v>70</v>
      </c>
      <c r="P41" s="1">
        <v>1770</v>
      </c>
      <c r="Q41" s="1" t="s">
        <v>71</v>
      </c>
      <c r="R41" s="1">
        <v>370</v>
      </c>
      <c r="S41"/>
      <c r="T41" t="s">
        <v>55</v>
      </c>
      <c r="U41" t="s">
        <v>814</v>
      </c>
      <c r="V41" t="s">
        <v>55</v>
      </c>
      <c r="W41" s="1">
        <v>45167</v>
      </c>
      <c r="X41" s="1" t="s">
        <v>55</v>
      </c>
      <c r="Y41" s="1" t="s">
        <v>51</v>
      </c>
      <c r="Z41" s="1" t="s">
        <v>72</v>
      </c>
      <c r="AA41" s="1" t="s">
        <v>423</v>
      </c>
      <c r="AB41" s="1" t="s">
        <v>424</v>
      </c>
      <c r="AC41" s="1">
        <v>44202</v>
      </c>
      <c r="AD41" s="1">
        <v>44207</v>
      </c>
      <c r="AE41" s="1">
        <v>44854</v>
      </c>
      <c r="AF41" s="1"/>
      <c r="AG41" s="1">
        <v>44256</v>
      </c>
      <c r="AH41" s="1" t="s">
        <v>54</v>
      </c>
      <c r="AI41" s="1"/>
      <c r="AJ41" s="31">
        <v>44207</v>
      </c>
      <c r="AK41"/>
      <c r="AL41"/>
      <c r="AM41"/>
      <c r="AN41"/>
      <c r="AO41"/>
      <c r="AP41"/>
    </row>
    <row r="42" spans="1:42" hidden="1">
      <c r="A42" s="1" t="s">
        <v>2542</v>
      </c>
      <c r="B42" s="1">
        <v>210115</v>
      </c>
      <c r="D42" s="1" t="s">
        <v>69</v>
      </c>
      <c r="F42"/>
      <c r="G42"/>
      <c r="H42" s="1" t="s">
        <v>2653</v>
      </c>
      <c r="I42" s="1" t="s">
        <v>2654</v>
      </c>
      <c r="J42" s="1" t="s">
        <v>18</v>
      </c>
      <c r="K42" s="1" t="s">
        <v>404</v>
      </c>
      <c r="L42" s="1">
        <v>22373</v>
      </c>
      <c r="M42" s="1">
        <v>64</v>
      </c>
      <c r="N42" s="1">
        <v>1250</v>
      </c>
      <c r="P42" s="1">
        <v>1650</v>
      </c>
      <c r="Q42" s="1">
        <v>400</v>
      </c>
      <c r="R42" s="1">
        <v>400</v>
      </c>
      <c r="S42"/>
      <c r="T42" t="s">
        <v>55</v>
      </c>
      <c r="U42" t="s">
        <v>814</v>
      </c>
      <c r="V42" t="s">
        <v>55</v>
      </c>
      <c r="W42" s="1">
        <v>45277</v>
      </c>
      <c r="X42" s="1" t="s">
        <v>55</v>
      </c>
      <c r="Y42" s="1" t="s">
        <v>2631</v>
      </c>
      <c r="Z42" s="1" t="s">
        <v>470</v>
      </c>
      <c r="AA42" s="1" t="s">
        <v>576</v>
      </c>
      <c r="AB42" s="1" t="s">
        <v>577</v>
      </c>
      <c r="AC42" s="1">
        <v>44204</v>
      </c>
      <c r="AD42" s="1">
        <v>44207</v>
      </c>
      <c r="AE42" s="1">
        <v>44252</v>
      </c>
      <c r="AF42" s="1">
        <v>44254</v>
      </c>
      <c r="AG42" s="1">
        <v>44207</v>
      </c>
      <c r="AH42" s="1"/>
      <c r="AI42" s="1"/>
      <c r="AJ42" s="31">
        <v>44207</v>
      </c>
      <c r="AK42"/>
      <c r="AL42"/>
      <c r="AM42"/>
      <c r="AN42"/>
      <c r="AO42"/>
      <c r="AP42"/>
    </row>
    <row r="43" spans="1:42">
      <c r="A43" s="1" t="s">
        <v>49</v>
      </c>
      <c r="B43" s="1">
        <v>220503</v>
      </c>
      <c r="C43" s="1">
        <v>212027</v>
      </c>
      <c r="D43" s="1" t="s">
        <v>75</v>
      </c>
      <c r="E43" s="1" t="s">
        <v>3934</v>
      </c>
      <c r="F43" t="s">
        <v>736</v>
      </c>
      <c r="G43" t="s">
        <v>317</v>
      </c>
      <c r="H43" s="1" t="s">
        <v>257</v>
      </c>
      <c r="I43" s="1" t="s">
        <v>258</v>
      </c>
      <c r="J43" s="1" t="s">
        <v>18</v>
      </c>
      <c r="K43" s="1" t="s">
        <v>50</v>
      </c>
      <c r="L43" s="1">
        <v>34820</v>
      </c>
      <c r="M43" s="1">
        <v>30</v>
      </c>
      <c r="N43" s="1">
        <v>1310</v>
      </c>
      <c r="P43" s="1">
        <v>1710</v>
      </c>
      <c r="Q43" s="1"/>
      <c r="R43" s="1">
        <v>400</v>
      </c>
      <c r="S43">
        <v>240000</v>
      </c>
      <c r="T43">
        <v>12036</v>
      </c>
      <c r="U43" t="s">
        <v>814</v>
      </c>
      <c r="V43">
        <v>21960</v>
      </c>
      <c r="W43" s="1">
        <v>46536</v>
      </c>
      <c r="X43" s="1" t="s">
        <v>55</v>
      </c>
      <c r="Y43" s="1" t="s">
        <v>51</v>
      </c>
      <c r="Z43" s="1" t="s">
        <v>91</v>
      </c>
      <c r="AA43" s="1" t="s">
        <v>158</v>
      </c>
      <c r="AB43" s="1" t="s">
        <v>190</v>
      </c>
      <c r="AC43" s="1">
        <v>44678</v>
      </c>
      <c r="AD43" s="1">
        <v>44690</v>
      </c>
      <c r="AE43" s="1"/>
      <c r="AF43" s="1"/>
      <c r="AG43" s="1" t="s">
        <v>248</v>
      </c>
      <c r="AH43" s="1" t="s">
        <v>249</v>
      </c>
      <c r="AI43" s="1"/>
      <c r="AJ43" s="31">
        <v>44690</v>
      </c>
      <c r="AK43"/>
      <c r="AL43"/>
      <c r="AM43"/>
      <c r="AN43"/>
      <c r="AO43" t="s">
        <v>4165</v>
      </c>
      <c r="AP43"/>
    </row>
    <row r="44" spans="1:42" hidden="1">
      <c r="A44" s="1" t="s">
        <v>2542</v>
      </c>
      <c r="B44" s="1">
        <v>210116</v>
      </c>
      <c r="D44" s="1" t="s">
        <v>414</v>
      </c>
      <c r="E44" s="1" t="s">
        <v>1065</v>
      </c>
      <c r="F44" s="1" t="s">
        <v>1083</v>
      </c>
      <c r="G44" t="s">
        <v>1068</v>
      </c>
      <c r="H44" s="1" t="s">
        <v>430</v>
      </c>
      <c r="I44" s="1" t="s">
        <v>431</v>
      </c>
      <c r="J44" s="1" t="s">
        <v>18</v>
      </c>
      <c r="K44" s="1" t="s">
        <v>404</v>
      </c>
      <c r="L44" s="1">
        <v>16690</v>
      </c>
      <c r="M44" s="1">
        <v>80</v>
      </c>
      <c r="N44" s="1">
        <v>1250</v>
      </c>
      <c r="P44" s="1">
        <v>1650</v>
      </c>
      <c r="Q44" s="1"/>
      <c r="R44" s="1">
        <v>400</v>
      </c>
      <c r="S44">
        <v>0</v>
      </c>
      <c r="T44" t="s">
        <v>55</v>
      </c>
      <c r="U44" t="s">
        <v>814</v>
      </c>
      <c r="V44" t="s">
        <v>814</v>
      </c>
      <c r="W44" s="1">
        <v>46869</v>
      </c>
      <c r="X44" s="1" t="s">
        <v>55</v>
      </c>
      <c r="Y44" s="1" t="s">
        <v>60</v>
      </c>
      <c r="Z44" s="1" t="s">
        <v>432</v>
      </c>
      <c r="AA44" s="1" t="s">
        <v>433</v>
      </c>
      <c r="AB44" s="1" t="s">
        <v>434</v>
      </c>
      <c r="AC44" s="1" t="s">
        <v>53</v>
      </c>
      <c r="AD44" s="1">
        <v>44214</v>
      </c>
      <c r="AE44" s="1">
        <v>45638</v>
      </c>
      <c r="AF44" s="1"/>
      <c r="AG44" s="1" t="s">
        <v>435</v>
      </c>
      <c r="AH44" s="1" t="s">
        <v>54</v>
      </c>
      <c r="AI44" s="1"/>
      <c r="AJ44" s="31">
        <v>44214</v>
      </c>
      <c r="AK44"/>
      <c r="AL44"/>
      <c r="AM44"/>
      <c r="AN44"/>
      <c r="AO44"/>
      <c r="AP44"/>
    </row>
    <row r="45" spans="1:42" hidden="1">
      <c r="A45" s="1" t="s">
        <v>49</v>
      </c>
      <c r="B45" s="1">
        <v>210117</v>
      </c>
      <c r="C45" s="1">
        <v>232002</v>
      </c>
      <c r="D45" s="1" t="s">
        <v>83</v>
      </c>
      <c r="E45" s="1" t="s">
        <v>307</v>
      </c>
      <c r="F45" t="s">
        <v>2251</v>
      </c>
      <c r="G45" t="s">
        <v>2252</v>
      </c>
      <c r="H45" s="1" t="s">
        <v>84</v>
      </c>
      <c r="I45" s="1" t="s">
        <v>85</v>
      </c>
      <c r="J45" s="1" t="s">
        <v>18</v>
      </c>
      <c r="K45" s="1" t="s">
        <v>50</v>
      </c>
      <c r="L45" s="1">
        <v>33588</v>
      </c>
      <c r="M45" s="1">
        <v>33</v>
      </c>
      <c r="N45" s="1">
        <v>1410</v>
      </c>
      <c r="O45" s="1" t="s">
        <v>70</v>
      </c>
      <c r="P45" s="1">
        <v>1870</v>
      </c>
      <c r="Q45" s="1" t="s">
        <v>71</v>
      </c>
      <c r="R45" s="1">
        <v>460</v>
      </c>
      <c r="S45">
        <v>280000</v>
      </c>
      <c r="T45">
        <v>14042</v>
      </c>
      <c r="U45" t="s">
        <v>814</v>
      </c>
      <c r="V45">
        <v>25620</v>
      </c>
      <c r="W45" s="1">
        <v>46402</v>
      </c>
      <c r="X45" s="1" t="s">
        <v>55</v>
      </c>
      <c r="Y45" s="1" t="s">
        <v>51</v>
      </c>
      <c r="Z45" s="1" t="s">
        <v>86</v>
      </c>
      <c r="AA45" s="1" t="s">
        <v>87</v>
      </c>
      <c r="AB45" s="1" t="s">
        <v>88</v>
      </c>
      <c r="AC45" s="1">
        <v>44212</v>
      </c>
      <c r="AD45" s="1">
        <v>44221</v>
      </c>
      <c r="AE45" s="1"/>
      <c r="AF45" s="1"/>
      <c r="AG45" s="1">
        <v>44287</v>
      </c>
      <c r="AH45" s="1" t="s">
        <v>54</v>
      </c>
      <c r="AI45" s="1"/>
      <c r="AJ45" s="31">
        <v>44221</v>
      </c>
      <c r="AK45"/>
      <c r="AL45"/>
      <c r="AM45"/>
      <c r="AN45"/>
      <c r="AO45"/>
      <c r="AP45"/>
    </row>
    <row r="46" spans="1:42" hidden="1">
      <c r="A46" s="1" t="s">
        <v>2542</v>
      </c>
      <c r="B46" s="1">
        <v>210118</v>
      </c>
      <c r="C46" s="1">
        <v>232003</v>
      </c>
      <c r="D46" s="1" t="s">
        <v>83</v>
      </c>
      <c r="E46" s="1" t="s">
        <v>307</v>
      </c>
      <c r="F46" t="s">
        <v>2251</v>
      </c>
      <c r="G46" t="s">
        <v>2252</v>
      </c>
      <c r="H46" s="1" t="s">
        <v>89</v>
      </c>
      <c r="I46" s="1" t="s">
        <v>90</v>
      </c>
      <c r="J46" s="1" t="s">
        <v>18</v>
      </c>
      <c r="K46" s="1" t="s">
        <v>50</v>
      </c>
      <c r="L46" s="1">
        <v>33963</v>
      </c>
      <c r="M46" s="1">
        <v>32</v>
      </c>
      <c r="N46" s="1">
        <v>1410</v>
      </c>
      <c r="O46" s="1" t="s">
        <v>70</v>
      </c>
      <c r="P46" s="1">
        <v>1870</v>
      </c>
      <c r="Q46" s="1" t="s">
        <v>71</v>
      </c>
      <c r="R46" s="1">
        <v>460</v>
      </c>
      <c r="S46">
        <v>260000</v>
      </c>
      <c r="T46">
        <v>13039</v>
      </c>
      <c r="U46" t="s">
        <v>814</v>
      </c>
      <c r="V46">
        <v>23790</v>
      </c>
      <c r="W46" s="1">
        <v>46399</v>
      </c>
      <c r="X46" s="1" t="s">
        <v>55</v>
      </c>
      <c r="Y46" s="1" t="s">
        <v>51</v>
      </c>
      <c r="Z46" s="1" t="s">
        <v>86</v>
      </c>
      <c r="AA46" s="1" t="s">
        <v>87</v>
      </c>
      <c r="AB46" s="1" t="s">
        <v>88</v>
      </c>
      <c r="AC46" s="1">
        <v>44212</v>
      </c>
      <c r="AD46" s="1">
        <v>44221</v>
      </c>
      <c r="AE46" s="1">
        <v>45654</v>
      </c>
      <c r="AF46" s="1"/>
      <c r="AG46" s="1">
        <v>44287</v>
      </c>
      <c r="AH46" s="1" t="s">
        <v>54</v>
      </c>
      <c r="AI46" s="1"/>
      <c r="AJ46" s="31">
        <v>44221</v>
      </c>
      <c r="AK46"/>
      <c r="AL46"/>
      <c r="AM46"/>
      <c r="AN46"/>
      <c r="AO46"/>
      <c r="AP46"/>
    </row>
    <row r="47" spans="1:42" hidden="1">
      <c r="A47" s="1" t="s">
        <v>2542</v>
      </c>
      <c r="B47" s="1">
        <v>210119</v>
      </c>
      <c r="D47" s="1" t="s">
        <v>436</v>
      </c>
      <c r="E47" s="1" t="s">
        <v>2659</v>
      </c>
      <c r="F47"/>
      <c r="G47"/>
      <c r="H47" s="1" t="s">
        <v>2660</v>
      </c>
      <c r="I47" s="1" t="s">
        <v>2661</v>
      </c>
      <c r="J47" s="1" t="s">
        <v>18</v>
      </c>
      <c r="K47" s="1" t="s">
        <v>50</v>
      </c>
      <c r="L47" s="1">
        <v>30753</v>
      </c>
      <c r="M47" s="1">
        <v>41</v>
      </c>
      <c r="N47" s="1">
        <v>1500</v>
      </c>
      <c r="O47" s="1" t="s">
        <v>2662</v>
      </c>
      <c r="P47" s="1">
        <v>2000</v>
      </c>
      <c r="Q47" s="1" t="s">
        <v>71</v>
      </c>
      <c r="R47" s="1">
        <v>500</v>
      </c>
      <c r="S47">
        <v>320000</v>
      </c>
      <c r="T47">
        <v>16048</v>
      </c>
      <c r="U47">
        <v>2544</v>
      </c>
      <c r="V47">
        <v>29280</v>
      </c>
      <c r="W47" s="1">
        <v>46056</v>
      </c>
      <c r="X47" s="1" t="s">
        <v>55</v>
      </c>
      <c r="Y47" s="1" t="s">
        <v>51</v>
      </c>
      <c r="Z47" s="1" t="s">
        <v>437</v>
      </c>
      <c r="AA47" s="1" t="s">
        <v>438</v>
      </c>
      <c r="AB47" s="1" t="s">
        <v>439</v>
      </c>
      <c r="AC47" s="1">
        <v>44212</v>
      </c>
      <c r="AD47" s="1">
        <v>44221</v>
      </c>
      <c r="AE47" s="1">
        <v>45473</v>
      </c>
      <c r="AF47" s="1"/>
      <c r="AG47" s="1">
        <v>44228</v>
      </c>
      <c r="AH47" s="1" t="s">
        <v>54</v>
      </c>
      <c r="AI47" s="1" t="s">
        <v>2663</v>
      </c>
      <c r="AJ47" s="31">
        <v>44221</v>
      </c>
      <c r="AK47"/>
      <c r="AL47"/>
      <c r="AM47"/>
      <c r="AN47"/>
      <c r="AO47"/>
      <c r="AP47"/>
    </row>
    <row r="48" spans="1:42" hidden="1">
      <c r="A48" s="1" t="s">
        <v>2542</v>
      </c>
      <c r="B48" s="1">
        <v>210120</v>
      </c>
      <c r="C48" s="1">
        <v>232004</v>
      </c>
      <c r="D48" s="1" t="s">
        <v>83</v>
      </c>
      <c r="E48" s="1" t="s">
        <v>307</v>
      </c>
      <c r="F48" t="s">
        <v>2655</v>
      </c>
      <c r="G48" t="s">
        <v>2656</v>
      </c>
      <c r="H48" s="1" t="s">
        <v>2657</v>
      </c>
      <c r="I48" s="1" t="s">
        <v>2658</v>
      </c>
      <c r="J48" s="1" t="s">
        <v>18</v>
      </c>
      <c r="K48" s="1" t="s">
        <v>50</v>
      </c>
      <c r="L48" s="1">
        <v>34065</v>
      </c>
      <c r="M48" s="1">
        <v>32</v>
      </c>
      <c r="N48" s="1">
        <v>1410</v>
      </c>
      <c r="O48" s="1" t="s">
        <v>70</v>
      </c>
      <c r="P48" s="1">
        <v>1810</v>
      </c>
      <c r="Q48" s="1" t="s">
        <v>71</v>
      </c>
      <c r="R48" s="1">
        <v>400</v>
      </c>
      <c r="S48">
        <v>300000</v>
      </c>
      <c r="T48">
        <v>15045</v>
      </c>
      <c r="U48" t="s">
        <v>814</v>
      </c>
      <c r="V48">
        <v>27450</v>
      </c>
      <c r="W48" s="1">
        <v>46062</v>
      </c>
      <c r="X48" s="1" t="s">
        <v>55</v>
      </c>
      <c r="Y48" s="1" t="s">
        <v>51</v>
      </c>
      <c r="Z48" s="1" t="s">
        <v>110</v>
      </c>
      <c r="AA48" s="1" t="s">
        <v>113</v>
      </c>
      <c r="AB48" s="1" t="s">
        <v>372</v>
      </c>
      <c r="AC48" s="1">
        <v>45012</v>
      </c>
      <c r="AD48" s="1">
        <v>44221</v>
      </c>
      <c r="AE48" s="1">
        <v>45257</v>
      </c>
      <c r="AF48" s="1"/>
      <c r="AG48" s="1">
        <v>44287</v>
      </c>
      <c r="AH48" s="1" t="s">
        <v>54</v>
      </c>
      <c r="AI48" s="1"/>
      <c r="AJ48" s="31">
        <v>44221</v>
      </c>
      <c r="AK48"/>
      <c r="AL48"/>
      <c r="AM48"/>
      <c r="AN48"/>
      <c r="AO48"/>
      <c r="AP48"/>
    </row>
    <row r="49" spans="1:42" hidden="1">
      <c r="A49" s="1" t="s">
        <v>2542</v>
      </c>
      <c r="B49" s="1">
        <v>210121</v>
      </c>
      <c r="C49" s="1">
        <v>212006</v>
      </c>
      <c r="D49" s="1" t="s">
        <v>75</v>
      </c>
      <c r="E49" s="1" t="s">
        <v>3934</v>
      </c>
      <c r="F49" t="s">
        <v>738</v>
      </c>
      <c r="G49" t="s">
        <v>389</v>
      </c>
      <c r="H49" s="1" t="s">
        <v>2664</v>
      </c>
      <c r="I49" s="1" t="s">
        <v>2665</v>
      </c>
      <c r="J49" s="1" t="s">
        <v>18</v>
      </c>
      <c r="K49" s="1" t="s">
        <v>50</v>
      </c>
      <c r="L49" s="1">
        <v>34904</v>
      </c>
      <c r="M49" s="1">
        <v>30</v>
      </c>
      <c r="N49" s="1">
        <v>1400</v>
      </c>
      <c r="O49" s="1" t="s">
        <v>70</v>
      </c>
      <c r="P49" s="1">
        <v>1800</v>
      </c>
      <c r="Q49" s="1" t="s">
        <v>71</v>
      </c>
      <c r="R49" s="1">
        <v>400</v>
      </c>
      <c r="S49">
        <v>260000</v>
      </c>
      <c r="T49">
        <v>13039</v>
      </c>
      <c r="U49" t="s">
        <v>814</v>
      </c>
      <c r="V49">
        <v>23790</v>
      </c>
      <c r="W49" s="1">
        <v>46210</v>
      </c>
      <c r="X49" s="1" t="s">
        <v>55</v>
      </c>
      <c r="Y49" s="1" t="s">
        <v>51</v>
      </c>
      <c r="Z49" s="1" t="s">
        <v>91</v>
      </c>
      <c r="AA49" s="1" t="s">
        <v>158</v>
      </c>
      <c r="AB49" s="1" t="s">
        <v>159</v>
      </c>
      <c r="AC49" s="1">
        <v>44983</v>
      </c>
      <c r="AD49" s="1">
        <v>44222</v>
      </c>
      <c r="AE49" s="1">
        <v>45309</v>
      </c>
      <c r="AF49" s="1"/>
      <c r="AG49" s="1">
        <v>44287</v>
      </c>
      <c r="AH49" s="1" t="s">
        <v>54</v>
      </c>
      <c r="AI49" s="1"/>
      <c r="AJ49" s="31">
        <v>44222</v>
      </c>
      <c r="AK49"/>
      <c r="AL49"/>
      <c r="AM49"/>
      <c r="AN49"/>
      <c r="AO49"/>
      <c r="AP49"/>
    </row>
    <row r="50" spans="1:42" hidden="1">
      <c r="A50" s="1" t="s">
        <v>2542</v>
      </c>
      <c r="B50" s="1">
        <v>210201</v>
      </c>
      <c r="C50" s="1">
        <v>222009</v>
      </c>
      <c r="D50" s="1" t="s">
        <v>62</v>
      </c>
      <c r="E50" s="1" t="s">
        <v>3935</v>
      </c>
      <c r="F50" s="1" t="s">
        <v>2666</v>
      </c>
      <c r="G50" t="s">
        <v>391</v>
      </c>
      <c r="H50" s="1" t="s">
        <v>2667</v>
      </c>
      <c r="I50" s="1" t="s">
        <v>2668</v>
      </c>
      <c r="J50" s="1" t="s">
        <v>18</v>
      </c>
      <c r="K50" s="1" t="s">
        <v>50</v>
      </c>
      <c r="L50" s="1">
        <v>33480</v>
      </c>
      <c r="M50" s="1">
        <v>34</v>
      </c>
      <c r="N50" s="1">
        <v>1470</v>
      </c>
      <c r="O50" s="1" t="s">
        <v>2669</v>
      </c>
      <c r="P50" s="1">
        <v>1830</v>
      </c>
      <c r="Q50" s="1" t="s">
        <v>66</v>
      </c>
      <c r="R50" s="1">
        <v>360</v>
      </c>
      <c r="S50">
        <v>280000</v>
      </c>
      <c r="T50">
        <v>14042</v>
      </c>
      <c r="U50" t="s">
        <v>814</v>
      </c>
      <c r="V50">
        <v>25620</v>
      </c>
      <c r="W50" s="1">
        <v>45566</v>
      </c>
      <c r="X50" s="1" t="s">
        <v>55</v>
      </c>
      <c r="Y50" s="1" t="s">
        <v>51</v>
      </c>
      <c r="Z50" s="1" t="s">
        <v>2670</v>
      </c>
      <c r="AA50" s="1" t="s">
        <v>2671</v>
      </c>
      <c r="AB50" s="1" t="s">
        <v>2672</v>
      </c>
      <c r="AC50" s="1" t="s">
        <v>53</v>
      </c>
      <c r="AD50" s="1">
        <v>44228</v>
      </c>
      <c r="AE50" s="1">
        <v>45443</v>
      </c>
      <c r="AF50" s="1"/>
      <c r="AG50" s="1">
        <v>44287</v>
      </c>
      <c r="AH50" s="1" t="s">
        <v>54</v>
      </c>
      <c r="AI50" s="1"/>
      <c r="AJ50" s="31">
        <v>44228</v>
      </c>
      <c r="AK50"/>
      <c r="AL50"/>
      <c r="AM50"/>
      <c r="AN50"/>
      <c r="AO50"/>
      <c r="AP50"/>
    </row>
    <row r="51" spans="1:42" hidden="1">
      <c r="A51" s="1" t="s">
        <v>2542</v>
      </c>
      <c r="B51" s="1">
        <v>210202</v>
      </c>
      <c r="C51" s="1">
        <v>222010</v>
      </c>
      <c r="D51" s="1" t="s">
        <v>62</v>
      </c>
      <c r="E51" s="1" t="s">
        <v>3935</v>
      </c>
      <c r="F51" t="s">
        <v>794</v>
      </c>
      <c r="G51" t="s">
        <v>316</v>
      </c>
      <c r="H51" s="1" t="s">
        <v>2673</v>
      </c>
      <c r="I51" s="1" t="s">
        <v>2674</v>
      </c>
      <c r="J51" s="1" t="s">
        <v>18</v>
      </c>
      <c r="K51" s="1" t="s">
        <v>50</v>
      </c>
      <c r="L51" s="1">
        <v>33501</v>
      </c>
      <c r="M51" s="1">
        <v>34</v>
      </c>
      <c r="N51" s="1">
        <v>1400</v>
      </c>
      <c r="O51" s="1" t="s">
        <v>70</v>
      </c>
      <c r="P51" s="1">
        <v>1780</v>
      </c>
      <c r="Q51" s="1" t="s">
        <v>71</v>
      </c>
      <c r="R51" s="1">
        <v>380</v>
      </c>
      <c r="S51">
        <v>220000</v>
      </c>
      <c r="T51">
        <v>11033</v>
      </c>
      <c r="U51" t="s">
        <v>814</v>
      </c>
      <c r="V51">
        <v>20130</v>
      </c>
      <c r="W51" s="1">
        <v>45702</v>
      </c>
      <c r="X51" s="1" t="s">
        <v>55</v>
      </c>
      <c r="Y51" s="1" t="s">
        <v>51</v>
      </c>
      <c r="Z51" s="1" t="s">
        <v>91</v>
      </c>
      <c r="AA51" s="1" t="s">
        <v>92</v>
      </c>
      <c r="AB51" s="1" t="s">
        <v>2675</v>
      </c>
      <c r="AC51" s="1" t="s">
        <v>53</v>
      </c>
      <c r="AD51" s="1">
        <v>44228</v>
      </c>
      <c r="AE51" s="1">
        <v>45288</v>
      </c>
      <c r="AF51" s="1"/>
      <c r="AG51" s="1">
        <v>44287</v>
      </c>
      <c r="AH51" s="1" t="s">
        <v>54</v>
      </c>
      <c r="AI51" s="1"/>
      <c r="AJ51" s="31">
        <v>44228</v>
      </c>
      <c r="AK51"/>
      <c r="AL51"/>
      <c r="AM51"/>
      <c r="AN51"/>
      <c r="AO51"/>
      <c r="AP51"/>
    </row>
    <row r="52" spans="1:42" hidden="1">
      <c r="A52" s="1" t="s">
        <v>2542</v>
      </c>
      <c r="B52" s="1">
        <v>210203</v>
      </c>
      <c r="C52" s="1">
        <v>212007</v>
      </c>
      <c r="D52" s="1" t="s">
        <v>75</v>
      </c>
      <c r="E52" s="1" t="s">
        <v>3934</v>
      </c>
      <c r="F52" t="s">
        <v>739</v>
      </c>
      <c r="G52"/>
      <c r="H52" s="1" t="s">
        <v>2676</v>
      </c>
      <c r="I52" s="1" t="s">
        <v>2677</v>
      </c>
      <c r="J52" s="1" t="s">
        <v>18</v>
      </c>
      <c r="K52" s="1" t="s">
        <v>50</v>
      </c>
      <c r="L52" s="1">
        <v>35412</v>
      </c>
      <c r="M52" s="1">
        <v>28</v>
      </c>
      <c r="N52" s="1">
        <v>1400</v>
      </c>
      <c r="P52" s="1">
        <v>1780</v>
      </c>
      <c r="Q52" s="1" t="s">
        <v>71</v>
      </c>
      <c r="R52" s="1">
        <v>380</v>
      </c>
      <c r="S52"/>
      <c r="T52" t="s">
        <v>55</v>
      </c>
      <c r="U52" t="s">
        <v>814</v>
      </c>
      <c r="V52" t="s">
        <v>55</v>
      </c>
      <c r="W52" s="1">
        <v>45734</v>
      </c>
      <c r="X52" s="1" t="s">
        <v>55</v>
      </c>
      <c r="Y52" s="1" t="s">
        <v>51</v>
      </c>
      <c r="Z52" s="1" t="s">
        <v>91</v>
      </c>
      <c r="AA52" s="1" t="s">
        <v>2678</v>
      </c>
      <c r="AB52" s="1" t="s">
        <v>2679</v>
      </c>
      <c r="AC52" s="1">
        <v>44223</v>
      </c>
      <c r="AD52" s="1">
        <v>44229</v>
      </c>
      <c r="AE52" s="1">
        <v>44923</v>
      </c>
      <c r="AF52" s="1"/>
      <c r="AG52" s="1">
        <v>44287</v>
      </c>
      <c r="AH52" s="1" t="s">
        <v>54</v>
      </c>
      <c r="AI52" s="1"/>
      <c r="AJ52" s="31">
        <v>44229</v>
      </c>
      <c r="AK52"/>
      <c r="AL52"/>
      <c r="AM52"/>
      <c r="AN52"/>
      <c r="AO52"/>
      <c r="AP52"/>
    </row>
    <row r="53" spans="1:42" hidden="1">
      <c r="A53" s="1" t="s">
        <v>2542</v>
      </c>
      <c r="B53" s="1">
        <v>210204</v>
      </c>
      <c r="D53" s="1" t="s">
        <v>402</v>
      </c>
      <c r="F53"/>
      <c r="G53"/>
      <c r="H53" s="1" t="s">
        <v>2680</v>
      </c>
      <c r="I53" s="1" t="s">
        <v>2681</v>
      </c>
      <c r="J53" s="1" t="s">
        <v>18</v>
      </c>
      <c r="K53" s="1" t="s">
        <v>404</v>
      </c>
      <c r="L53" s="1">
        <v>23316</v>
      </c>
      <c r="M53" s="1">
        <v>62</v>
      </c>
      <c r="N53" s="1">
        <v>1300</v>
      </c>
      <c r="P53" s="1">
        <v>1872</v>
      </c>
      <c r="Q53" s="1"/>
      <c r="R53" s="1">
        <v>572</v>
      </c>
      <c r="S53"/>
      <c r="T53" t="s">
        <v>55</v>
      </c>
      <c r="U53" t="s">
        <v>814</v>
      </c>
      <c r="V53" t="s">
        <v>55</v>
      </c>
      <c r="W53" s="1">
        <v>44505</v>
      </c>
      <c r="X53" s="1" t="s">
        <v>55</v>
      </c>
      <c r="Y53" s="1" t="s">
        <v>2631</v>
      </c>
      <c r="Z53" s="1" t="s">
        <v>2682</v>
      </c>
      <c r="AA53" s="1" t="s">
        <v>2683</v>
      </c>
      <c r="AB53" s="1" t="s">
        <v>2684</v>
      </c>
      <c r="AC53" s="1" t="s">
        <v>53</v>
      </c>
      <c r="AD53" s="1">
        <v>44229</v>
      </c>
      <c r="AE53" s="1">
        <v>44265</v>
      </c>
      <c r="AF53" s="1"/>
      <c r="AG53" s="1">
        <v>44287</v>
      </c>
      <c r="AH53" s="1"/>
      <c r="AI53" s="1"/>
      <c r="AJ53" s="31">
        <v>44229</v>
      </c>
      <c r="AK53"/>
      <c r="AL53"/>
      <c r="AM53"/>
      <c r="AN53"/>
      <c r="AO53"/>
      <c r="AP53"/>
    </row>
    <row r="54" spans="1:42" hidden="1">
      <c r="A54" s="1" t="s">
        <v>2542</v>
      </c>
      <c r="B54" s="1">
        <v>210206</v>
      </c>
      <c r="C54" s="1">
        <v>222011</v>
      </c>
      <c r="D54" s="1" t="s">
        <v>95</v>
      </c>
      <c r="E54" s="1" t="s">
        <v>3938</v>
      </c>
      <c r="F54" t="s">
        <v>2685</v>
      </c>
      <c r="G54"/>
      <c r="H54" s="1" t="s">
        <v>2686</v>
      </c>
      <c r="I54" s="1" t="s">
        <v>2687</v>
      </c>
      <c r="J54" s="1" t="s">
        <v>18</v>
      </c>
      <c r="K54" s="1" t="s">
        <v>50</v>
      </c>
      <c r="L54" s="1">
        <v>35024</v>
      </c>
      <c r="M54" s="1">
        <v>30</v>
      </c>
      <c r="N54" s="1">
        <v>1400</v>
      </c>
      <c r="O54" s="1" t="s">
        <v>70</v>
      </c>
      <c r="P54" s="1">
        <v>1770</v>
      </c>
      <c r="Q54" s="1" t="s">
        <v>71</v>
      </c>
      <c r="R54" s="1">
        <v>370</v>
      </c>
      <c r="S54">
        <v>300000</v>
      </c>
      <c r="T54">
        <v>15045</v>
      </c>
      <c r="U54" t="s">
        <v>814</v>
      </c>
      <c r="V54">
        <v>27450</v>
      </c>
      <c r="W54" s="1">
        <v>45227</v>
      </c>
      <c r="X54" s="1" t="s">
        <v>55</v>
      </c>
      <c r="Y54" s="1" t="s">
        <v>51</v>
      </c>
      <c r="Z54" s="1" t="s">
        <v>91</v>
      </c>
      <c r="AA54" s="1" t="s">
        <v>2688</v>
      </c>
      <c r="AB54" s="1" t="s">
        <v>2689</v>
      </c>
      <c r="AC54" s="1">
        <v>44233</v>
      </c>
      <c r="AD54" s="1">
        <v>44235</v>
      </c>
      <c r="AE54" s="1">
        <v>45042</v>
      </c>
      <c r="AF54" s="1"/>
      <c r="AG54" s="1">
        <v>44287</v>
      </c>
      <c r="AH54" s="1" t="s">
        <v>54</v>
      </c>
      <c r="AI54" s="1"/>
      <c r="AJ54" s="31">
        <v>44235</v>
      </c>
      <c r="AK54"/>
      <c r="AL54"/>
      <c r="AM54"/>
      <c r="AN54"/>
      <c r="AO54"/>
      <c r="AP54"/>
    </row>
    <row r="55" spans="1:42" hidden="1">
      <c r="A55" s="1" t="s">
        <v>2542</v>
      </c>
      <c r="B55" s="1">
        <v>210205</v>
      </c>
      <c r="C55" s="1">
        <v>222012</v>
      </c>
      <c r="D55" s="1" t="s">
        <v>62</v>
      </c>
      <c r="E55" s="1" t="s">
        <v>3935</v>
      </c>
      <c r="F55" t="s">
        <v>2465</v>
      </c>
      <c r="G55" t="s">
        <v>3936</v>
      </c>
      <c r="H55" s="1" t="s">
        <v>93</v>
      </c>
      <c r="I55" s="1" t="s">
        <v>94</v>
      </c>
      <c r="J55" s="1" t="s">
        <v>18</v>
      </c>
      <c r="K55" s="1" t="s">
        <v>50</v>
      </c>
      <c r="L55" s="1">
        <v>34482</v>
      </c>
      <c r="M55" s="1">
        <v>31</v>
      </c>
      <c r="N55" s="1">
        <v>1410</v>
      </c>
      <c r="O55" s="1" t="s">
        <v>70</v>
      </c>
      <c r="P55" s="1">
        <v>1830</v>
      </c>
      <c r="Q55" s="1" t="s">
        <v>71</v>
      </c>
      <c r="R55" s="1">
        <v>420</v>
      </c>
      <c r="S55">
        <v>340000</v>
      </c>
      <c r="T55">
        <v>17051</v>
      </c>
      <c r="U55" t="s">
        <v>814</v>
      </c>
      <c r="V55">
        <v>31110</v>
      </c>
      <c r="W55" s="1">
        <v>46693</v>
      </c>
      <c r="X55" s="1" t="s">
        <v>55</v>
      </c>
      <c r="Y55" s="1" t="s">
        <v>51</v>
      </c>
      <c r="Z55" s="1" t="s">
        <v>67</v>
      </c>
      <c r="AA55" s="1" t="s">
        <v>224</v>
      </c>
      <c r="AB55" s="1" t="s">
        <v>225</v>
      </c>
      <c r="AC55" s="1">
        <v>44226</v>
      </c>
      <c r="AD55" s="1">
        <v>44235</v>
      </c>
      <c r="AE55" s="1">
        <v>45896</v>
      </c>
      <c r="AF55" s="1"/>
      <c r="AG55" s="1">
        <v>44287</v>
      </c>
      <c r="AH55" s="1" t="s">
        <v>54</v>
      </c>
      <c r="AI55" s="1"/>
      <c r="AJ55" s="31">
        <v>44235</v>
      </c>
      <c r="AK55"/>
      <c r="AL55"/>
      <c r="AM55"/>
      <c r="AN55"/>
      <c r="AO55"/>
      <c r="AP55"/>
    </row>
    <row r="56" spans="1:42" hidden="1">
      <c r="A56" s="1" t="s">
        <v>2542</v>
      </c>
      <c r="B56" s="1">
        <v>210211</v>
      </c>
      <c r="D56" s="1" t="s">
        <v>62</v>
      </c>
      <c r="E56" s="1" t="s">
        <v>3935</v>
      </c>
      <c r="F56"/>
      <c r="G56"/>
      <c r="H56" s="1" t="s">
        <v>2690</v>
      </c>
      <c r="I56" s="1" t="s">
        <v>2691</v>
      </c>
      <c r="J56" s="1" t="s">
        <v>18</v>
      </c>
      <c r="K56" s="1" t="s">
        <v>404</v>
      </c>
      <c r="L56" s="1">
        <v>28594</v>
      </c>
      <c r="M56" s="1">
        <v>47</v>
      </c>
      <c r="N56" s="1">
        <v>1300</v>
      </c>
      <c r="P56" s="1">
        <v>1650</v>
      </c>
      <c r="Q56" s="1">
        <v>350</v>
      </c>
      <c r="R56" s="1">
        <v>350</v>
      </c>
      <c r="S56"/>
      <c r="T56" t="s">
        <v>55</v>
      </c>
      <c r="U56" t="s">
        <v>814</v>
      </c>
      <c r="V56" t="s">
        <v>55</v>
      </c>
      <c r="W56" s="1">
        <v>45120</v>
      </c>
      <c r="X56" s="1" t="s">
        <v>55</v>
      </c>
      <c r="Y56" s="1" t="s">
        <v>540</v>
      </c>
      <c r="Z56" s="1" t="s">
        <v>67</v>
      </c>
      <c r="AA56" s="1" t="s">
        <v>77</v>
      </c>
      <c r="AB56" s="1" t="s">
        <v>3878</v>
      </c>
      <c r="AC56" s="1">
        <v>44236</v>
      </c>
      <c r="AD56" s="1">
        <v>44236</v>
      </c>
      <c r="AE56" s="1">
        <v>44238</v>
      </c>
      <c r="AF56" s="1"/>
      <c r="AG56" s="1">
        <v>44236</v>
      </c>
      <c r="AH56" s="1"/>
      <c r="AI56" s="1"/>
      <c r="AJ56" s="31">
        <v>44236</v>
      </c>
      <c r="AK56"/>
      <c r="AL56"/>
      <c r="AM56"/>
      <c r="AN56"/>
      <c r="AO56"/>
      <c r="AP56"/>
    </row>
    <row r="57" spans="1:42">
      <c r="A57" s="1" t="s">
        <v>49</v>
      </c>
      <c r="B57" s="1">
        <v>221102</v>
      </c>
      <c r="C57" s="1">
        <v>212032</v>
      </c>
      <c r="D57" s="1" t="s">
        <v>75</v>
      </c>
      <c r="E57" s="1" t="s">
        <v>3934</v>
      </c>
      <c r="F57" t="s">
        <v>736</v>
      </c>
      <c r="G57" t="s">
        <v>317</v>
      </c>
      <c r="H57" s="1" t="s">
        <v>789</v>
      </c>
      <c r="I57" s="1" t="s">
        <v>790</v>
      </c>
      <c r="J57" s="1" t="s">
        <v>18</v>
      </c>
      <c r="K57" s="1" t="s">
        <v>50</v>
      </c>
      <c r="L57" s="1">
        <v>34790</v>
      </c>
      <c r="M57" s="1">
        <v>30</v>
      </c>
      <c r="N57" s="1">
        <v>1310</v>
      </c>
      <c r="P57" s="1">
        <v>1710</v>
      </c>
      <c r="Q57" s="1"/>
      <c r="R57" s="1">
        <v>400</v>
      </c>
      <c r="S57">
        <v>240000</v>
      </c>
      <c r="T57">
        <v>12036</v>
      </c>
      <c r="U57" t="s">
        <v>814</v>
      </c>
      <c r="V57">
        <v>21960</v>
      </c>
      <c r="W57" s="1">
        <v>46536</v>
      </c>
      <c r="X57" s="1" t="s">
        <v>55</v>
      </c>
      <c r="Y57" s="1" t="s">
        <v>51</v>
      </c>
      <c r="Z57" s="1" t="s">
        <v>217</v>
      </c>
      <c r="AA57" s="1" t="s">
        <v>158</v>
      </c>
      <c r="AB57" s="1" t="s">
        <v>159</v>
      </c>
      <c r="AC57" s="1">
        <v>44869</v>
      </c>
      <c r="AD57" s="1">
        <v>44874</v>
      </c>
      <c r="AE57" s="1">
        <v>45989</v>
      </c>
      <c r="AF57" s="1"/>
      <c r="AG57" s="1" t="s">
        <v>788</v>
      </c>
      <c r="AH57" s="1" t="s">
        <v>787</v>
      </c>
      <c r="AI57" s="1"/>
      <c r="AJ57" s="31">
        <v>44874</v>
      </c>
      <c r="AK57"/>
      <c r="AL57"/>
      <c r="AM57"/>
      <c r="AN57"/>
      <c r="AO57" t="s">
        <v>4164</v>
      </c>
      <c r="AP57"/>
    </row>
    <row r="58" spans="1:42" hidden="1">
      <c r="A58" s="1" t="s">
        <v>2542</v>
      </c>
      <c r="B58" s="1">
        <v>210208</v>
      </c>
      <c r="C58" s="1">
        <v>212008</v>
      </c>
      <c r="D58" s="1" t="s">
        <v>75</v>
      </c>
      <c r="E58" s="1" t="s">
        <v>3934</v>
      </c>
      <c r="F58" t="s">
        <v>738</v>
      </c>
      <c r="G58" t="s">
        <v>317</v>
      </c>
      <c r="H58" s="1" t="s">
        <v>96</v>
      </c>
      <c r="I58" s="1" t="s">
        <v>97</v>
      </c>
      <c r="J58" s="1" t="s">
        <v>18</v>
      </c>
      <c r="K58" s="1" t="s">
        <v>50</v>
      </c>
      <c r="L58" s="1">
        <v>33087</v>
      </c>
      <c r="M58" s="1">
        <v>35</v>
      </c>
      <c r="N58" s="1">
        <v>1410</v>
      </c>
      <c r="P58" s="1">
        <v>1840</v>
      </c>
      <c r="Q58" s="1" t="s">
        <v>71</v>
      </c>
      <c r="R58" s="1">
        <v>430</v>
      </c>
      <c r="S58">
        <v>300000</v>
      </c>
      <c r="T58">
        <v>15045</v>
      </c>
      <c r="U58" t="s">
        <v>814</v>
      </c>
      <c r="V58">
        <v>27450</v>
      </c>
      <c r="W58" s="1">
        <v>46696</v>
      </c>
      <c r="X58" s="1" t="s">
        <v>55</v>
      </c>
      <c r="Y58" s="1" t="s">
        <v>51</v>
      </c>
      <c r="Z58" s="1" t="s">
        <v>67</v>
      </c>
      <c r="AA58" s="1" t="s">
        <v>98</v>
      </c>
      <c r="AB58" s="1" t="s">
        <v>99</v>
      </c>
      <c r="AC58" s="1">
        <v>44232</v>
      </c>
      <c r="AD58" s="1">
        <v>44243</v>
      </c>
      <c r="AE58" s="1">
        <v>45813</v>
      </c>
      <c r="AF58" s="1"/>
      <c r="AG58" s="1">
        <v>44287</v>
      </c>
      <c r="AH58" s="1" t="s">
        <v>54</v>
      </c>
      <c r="AI58" s="1"/>
      <c r="AJ58" s="31">
        <v>44243</v>
      </c>
      <c r="AK58"/>
      <c r="AL58"/>
      <c r="AM58"/>
      <c r="AN58"/>
      <c r="AO58"/>
      <c r="AP58"/>
    </row>
    <row r="59" spans="1:42" hidden="1">
      <c r="A59" s="1" t="s">
        <v>2542</v>
      </c>
      <c r="B59" s="1">
        <v>210210</v>
      </c>
      <c r="C59" s="1">
        <v>8210083</v>
      </c>
      <c r="D59" s="1" t="s">
        <v>822</v>
      </c>
      <c r="E59" s="1" t="s">
        <v>831</v>
      </c>
      <c r="F59" t="s">
        <v>831</v>
      </c>
      <c r="G59"/>
      <c r="H59" s="1" t="s">
        <v>100</v>
      </c>
      <c r="I59" s="1" t="s">
        <v>101</v>
      </c>
      <c r="J59" s="1" t="s">
        <v>18</v>
      </c>
      <c r="K59" s="1" t="s">
        <v>50</v>
      </c>
      <c r="L59" s="1">
        <v>34707</v>
      </c>
      <c r="M59" s="1">
        <v>30</v>
      </c>
      <c r="N59" s="1">
        <v>1500</v>
      </c>
      <c r="O59" s="1" t="s">
        <v>70</v>
      </c>
      <c r="P59" s="1">
        <v>2150</v>
      </c>
      <c r="Q59" s="1"/>
      <c r="R59" s="1">
        <v>650</v>
      </c>
      <c r="S59">
        <v>320000</v>
      </c>
      <c r="T59">
        <v>16048</v>
      </c>
      <c r="U59" t="s">
        <v>814</v>
      </c>
      <c r="V59">
        <v>29280</v>
      </c>
      <c r="W59" s="1">
        <v>46809</v>
      </c>
      <c r="X59" s="1" t="s">
        <v>55</v>
      </c>
      <c r="Y59" s="1" t="s">
        <v>51</v>
      </c>
      <c r="Z59" s="1" t="s">
        <v>529</v>
      </c>
      <c r="AA59" s="1" t="s">
        <v>2554</v>
      </c>
      <c r="AB59" s="1" t="s">
        <v>1993</v>
      </c>
      <c r="AC59" s="1" t="s">
        <v>53</v>
      </c>
      <c r="AD59" s="1">
        <v>44251</v>
      </c>
      <c r="AE59" s="1">
        <v>45768</v>
      </c>
      <c r="AF59" s="1"/>
      <c r="AG59" s="1">
        <v>44317</v>
      </c>
      <c r="AH59" s="1" t="s">
        <v>54</v>
      </c>
      <c r="AI59" s="1" t="s">
        <v>1534</v>
      </c>
      <c r="AJ59" s="31">
        <v>44251</v>
      </c>
      <c r="AK59" t="s">
        <v>2423</v>
      </c>
      <c r="AL59">
        <v>46061</v>
      </c>
      <c r="AM59" t="s">
        <v>2423</v>
      </c>
      <c r="AN59">
        <v>45747</v>
      </c>
      <c r="AO59"/>
      <c r="AP59"/>
    </row>
    <row r="60" spans="1:42" hidden="1">
      <c r="A60" s="1" t="s">
        <v>2542</v>
      </c>
      <c r="B60" s="1">
        <v>210301</v>
      </c>
      <c r="C60" s="1">
        <v>8210067</v>
      </c>
      <c r="D60" s="1" t="s">
        <v>815</v>
      </c>
      <c r="E60" s="1" t="s">
        <v>825</v>
      </c>
      <c r="F60" t="s">
        <v>825</v>
      </c>
      <c r="G60"/>
      <c r="H60" s="1" t="s">
        <v>105</v>
      </c>
      <c r="I60" s="1" t="s">
        <v>106</v>
      </c>
      <c r="J60" s="1" t="s">
        <v>18</v>
      </c>
      <c r="K60" s="1" t="s">
        <v>50</v>
      </c>
      <c r="L60" s="1">
        <v>34922</v>
      </c>
      <c r="M60" s="1">
        <v>30</v>
      </c>
      <c r="N60" s="1">
        <v>1400</v>
      </c>
      <c r="O60" s="1" t="s">
        <v>443</v>
      </c>
      <c r="P60" s="1">
        <v>1990</v>
      </c>
      <c r="Q60" s="1"/>
      <c r="R60" s="1">
        <v>590</v>
      </c>
      <c r="S60">
        <v>360000</v>
      </c>
      <c r="T60">
        <v>18054</v>
      </c>
      <c r="U60" t="s">
        <v>814</v>
      </c>
      <c r="V60">
        <v>32940</v>
      </c>
      <c r="W60" s="1">
        <v>46650</v>
      </c>
      <c r="X60" s="1" t="s">
        <v>55</v>
      </c>
      <c r="Y60" s="1" t="s">
        <v>51</v>
      </c>
      <c r="Z60" s="1" t="s">
        <v>529</v>
      </c>
      <c r="AA60" s="1" t="s">
        <v>2554</v>
      </c>
      <c r="AB60" s="1" t="s">
        <v>1535</v>
      </c>
      <c r="AC60" s="1" t="s">
        <v>53</v>
      </c>
      <c r="AD60" s="1">
        <v>44256</v>
      </c>
      <c r="AE60" s="1">
        <v>45680</v>
      </c>
      <c r="AF60" s="1"/>
      <c r="AG60" s="1">
        <v>44287</v>
      </c>
      <c r="AH60" s="1" t="s">
        <v>54</v>
      </c>
      <c r="AI60" s="1" t="s">
        <v>1355</v>
      </c>
      <c r="AJ60" s="31">
        <v>44256</v>
      </c>
      <c r="AK60" t="s">
        <v>2467</v>
      </c>
      <c r="AL60">
        <v>46276</v>
      </c>
      <c r="AM60" t="s">
        <v>2468</v>
      </c>
      <c r="AN60">
        <v>46342</v>
      </c>
      <c r="AO60"/>
      <c r="AP60"/>
    </row>
    <row r="61" spans="1:42" hidden="1">
      <c r="A61" s="1" t="s">
        <v>2542</v>
      </c>
      <c r="B61" s="1">
        <v>210303</v>
      </c>
      <c r="D61" s="1" t="s">
        <v>107</v>
      </c>
      <c r="F61" t="s">
        <v>2262</v>
      </c>
      <c r="G61"/>
      <c r="H61" s="1" t="s">
        <v>108</v>
      </c>
      <c r="I61" s="1" t="s">
        <v>444</v>
      </c>
      <c r="J61" s="1" t="s">
        <v>18</v>
      </c>
      <c r="K61" s="1" t="s">
        <v>50</v>
      </c>
      <c r="L61" s="1">
        <v>31860</v>
      </c>
      <c r="M61" s="1">
        <v>38</v>
      </c>
      <c r="N61" s="1">
        <v>1500</v>
      </c>
      <c r="O61" s="1" t="s">
        <v>2692</v>
      </c>
      <c r="P61" s="1">
        <v>2300</v>
      </c>
      <c r="Q61" s="1" t="s">
        <v>2693</v>
      </c>
      <c r="R61" s="1">
        <v>800</v>
      </c>
      <c r="S61"/>
      <c r="T61" t="s">
        <v>55</v>
      </c>
      <c r="U61" t="s">
        <v>814</v>
      </c>
      <c r="V61" t="s">
        <v>55</v>
      </c>
      <c r="W61" s="1">
        <v>45950</v>
      </c>
      <c r="X61" s="1" t="s">
        <v>55</v>
      </c>
      <c r="Y61" s="1" t="s">
        <v>51</v>
      </c>
      <c r="Z61" s="1" t="s">
        <v>2694</v>
      </c>
      <c r="AA61" s="1" t="s">
        <v>2695</v>
      </c>
      <c r="AB61" s="1" t="s">
        <v>2696</v>
      </c>
      <c r="AC61" s="1">
        <v>44257</v>
      </c>
      <c r="AD61" s="1">
        <v>44258</v>
      </c>
      <c r="AE61" s="1">
        <v>44668</v>
      </c>
      <c r="AF61" s="1"/>
      <c r="AG61" s="1">
        <v>44317</v>
      </c>
      <c r="AH61" s="1" t="s">
        <v>54</v>
      </c>
      <c r="AI61" s="1"/>
      <c r="AJ61" s="31">
        <v>44258</v>
      </c>
      <c r="AK61"/>
      <c r="AL61"/>
      <c r="AM61"/>
      <c r="AN61"/>
      <c r="AO61"/>
      <c r="AP61"/>
    </row>
    <row r="62" spans="1:42" hidden="1">
      <c r="A62" s="1" t="s">
        <v>2542</v>
      </c>
      <c r="B62" s="1">
        <v>210304</v>
      </c>
      <c r="C62" s="1">
        <v>83373</v>
      </c>
      <c r="D62" s="1" t="s">
        <v>687</v>
      </c>
      <c r="E62" s="1" t="s">
        <v>109</v>
      </c>
      <c r="F62"/>
      <c r="G62"/>
      <c r="H62" s="1" t="s">
        <v>2697</v>
      </c>
      <c r="I62" s="1" t="s">
        <v>2698</v>
      </c>
      <c r="J62" s="1" t="s">
        <v>18</v>
      </c>
      <c r="K62" s="1" t="s">
        <v>50</v>
      </c>
      <c r="L62" s="1">
        <v>32862</v>
      </c>
      <c r="M62" s="1">
        <v>35</v>
      </c>
      <c r="N62" s="1">
        <v>1400</v>
      </c>
      <c r="O62" s="1" t="s">
        <v>2692</v>
      </c>
      <c r="P62" s="1">
        <v>1850</v>
      </c>
      <c r="Q62" s="1" t="s">
        <v>2699</v>
      </c>
      <c r="R62" s="1">
        <v>450</v>
      </c>
      <c r="S62">
        <v>300000</v>
      </c>
      <c r="T62">
        <v>15045</v>
      </c>
      <c r="U62" t="s">
        <v>814</v>
      </c>
      <c r="V62">
        <v>27450</v>
      </c>
      <c r="W62" s="1">
        <v>46039</v>
      </c>
      <c r="X62" s="1" t="s">
        <v>55</v>
      </c>
      <c r="Y62" s="1" t="s">
        <v>51</v>
      </c>
      <c r="Z62" s="1" t="s">
        <v>117</v>
      </c>
      <c r="AA62" s="1" t="s">
        <v>2700</v>
      </c>
      <c r="AB62" s="1" t="s">
        <v>2701</v>
      </c>
      <c r="AC62" s="1" t="s">
        <v>53</v>
      </c>
      <c r="AD62" s="1">
        <v>44258</v>
      </c>
      <c r="AE62" s="1">
        <v>45399</v>
      </c>
      <c r="AF62" s="1"/>
      <c r="AG62" s="1">
        <v>44317</v>
      </c>
      <c r="AH62" s="1" t="s">
        <v>54</v>
      </c>
      <c r="AI62" s="1" t="s">
        <v>2702</v>
      </c>
      <c r="AJ62" s="31">
        <v>44258</v>
      </c>
      <c r="AK62"/>
      <c r="AL62"/>
      <c r="AM62"/>
      <c r="AN62"/>
      <c r="AO62"/>
      <c r="AP62"/>
    </row>
    <row r="63" spans="1:42" hidden="1">
      <c r="A63" s="1" t="s">
        <v>2542</v>
      </c>
      <c r="B63" s="1">
        <v>210305</v>
      </c>
      <c r="C63" s="1">
        <v>8210054</v>
      </c>
      <c r="D63" s="1" t="s">
        <v>822</v>
      </c>
      <c r="E63" s="1" t="s">
        <v>1312</v>
      </c>
      <c r="F63" t="s">
        <v>1312</v>
      </c>
      <c r="G63"/>
      <c r="H63" s="1" t="s">
        <v>2703</v>
      </c>
      <c r="I63" s="1" t="s">
        <v>2704</v>
      </c>
      <c r="J63" s="1" t="s">
        <v>18</v>
      </c>
      <c r="K63" s="1" t="s">
        <v>50</v>
      </c>
      <c r="L63" s="1">
        <v>34554</v>
      </c>
      <c r="M63" s="1">
        <v>31</v>
      </c>
      <c r="N63" s="1">
        <v>1400</v>
      </c>
      <c r="O63" s="1" t="s">
        <v>2692</v>
      </c>
      <c r="P63" s="1">
        <v>1990</v>
      </c>
      <c r="Q63" s="1" t="s">
        <v>2705</v>
      </c>
      <c r="R63" s="1">
        <v>590</v>
      </c>
      <c r="S63">
        <v>320000</v>
      </c>
      <c r="T63">
        <v>16048</v>
      </c>
      <c r="U63" t="s">
        <v>814</v>
      </c>
      <c r="V63">
        <v>29280</v>
      </c>
      <c r="W63" s="1">
        <v>45721</v>
      </c>
      <c r="X63" s="1" t="s">
        <v>55</v>
      </c>
      <c r="Y63" s="1" t="s">
        <v>51</v>
      </c>
      <c r="Z63" s="1" t="s">
        <v>1086</v>
      </c>
      <c r="AA63" s="1" t="s">
        <v>1087</v>
      </c>
      <c r="AB63" s="1" t="s">
        <v>1088</v>
      </c>
      <c r="AC63" s="1">
        <v>44931</v>
      </c>
      <c r="AD63" s="1">
        <v>44258</v>
      </c>
      <c r="AE63" s="1">
        <v>45369</v>
      </c>
      <c r="AF63" s="1"/>
      <c r="AG63" s="1">
        <v>44317</v>
      </c>
      <c r="AH63" s="1" t="s">
        <v>54</v>
      </c>
      <c r="AI63" s="1" t="s">
        <v>2706</v>
      </c>
      <c r="AJ63" s="31">
        <v>44258</v>
      </c>
      <c r="AK63"/>
      <c r="AL63"/>
      <c r="AM63"/>
      <c r="AN63"/>
      <c r="AO63"/>
      <c r="AP63"/>
    </row>
    <row r="64" spans="1:42" hidden="1">
      <c r="A64" s="1" t="s">
        <v>2542</v>
      </c>
      <c r="B64" s="1">
        <v>210302</v>
      </c>
      <c r="D64" s="1" t="s">
        <v>69</v>
      </c>
      <c r="G64"/>
      <c r="H64" s="1" t="s">
        <v>2707</v>
      </c>
      <c r="I64" s="1" t="s">
        <v>2708</v>
      </c>
      <c r="J64" s="1" t="s">
        <v>18</v>
      </c>
      <c r="K64" s="1" t="s">
        <v>50</v>
      </c>
      <c r="L64" s="1">
        <v>31006</v>
      </c>
      <c r="M64" s="1">
        <v>41</v>
      </c>
      <c r="N64" s="1">
        <v>1200</v>
      </c>
      <c r="P64" s="1">
        <v>1600</v>
      </c>
      <c r="Q64" s="1"/>
      <c r="R64" s="1">
        <v>400</v>
      </c>
      <c r="S64"/>
      <c r="T64" t="s">
        <v>55</v>
      </c>
      <c r="U64" t="s">
        <v>814</v>
      </c>
      <c r="V64" t="s">
        <v>55</v>
      </c>
      <c r="W64" s="1">
        <v>45108</v>
      </c>
      <c r="X64" s="1" t="s">
        <v>55</v>
      </c>
      <c r="Y64" s="1" t="s">
        <v>51</v>
      </c>
      <c r="Z64" s="1" t="s">
        <v>470</v>
      </c>
      <c r="AA64" s="1" t="s">
        <v>576</v>
      </c>
      <c r="AB64" s="1" t="s">
        <v>577</v>
      </c>
      <c r="AC64" s="1">
        <v>44256</v>
      </c>
      <c r="AD64" s="1">
        <v>44259</v>
      </c>
      <c r="AE64" s="1">
        <v>44266</v>
      </c>
      <c r="AF64" s="1"/>
      <c r="AG64" s="1">
        <v>44317</v>
      </c>
      <c r="AH64" s="1"/>
      <c r="AI64" s="1"/>
      <c r="AJ64" s="31">
        <v>44259</v>
      </c>
      <c r="AK64"/>
      <c r="AL64"/>
      <c r="AM64"/>
      <c r="AN64"/>
      <c r="AO64"/>
      <c r="AP64"/>
    </row>
    <row r="65" spans="1:42" hidden="1">
      <c r="A65" s="1" t="s">
        <v>2542</v>
      </c>
      <c r="B65" s="1">
        <v>210306</v>
      </c>
      <c r="C65" s="1">
        <v>232005</v>
      </c>
      <c r="D65" s="1" t="s">
        <v>83</v>
      </c>
      <c r="E65" s="1" t="s">
        <v>307</v>
      </c>
      <c r="F65" t="s">
        <v>2262</v>
      </c>
      <c r="G65"/>
      <c r="H65" s="1" t="s">
        <v>2709</v>
      </c>
      <c r="I65" s="1" t="s">
        <v>2710</v>
      </c>
      <c r="J65" s="1" t="s">
        <v>18</v>
      </c>
      <c r="K65" s="1" t="s">
        <v>50</v>
      </c>
      <c r="L65" s="1">
        <v>33294</v>
      </c>
      <c r="M65" s="1">
        <v>34</v>
      </c>
      <c r="N65" s="1">
        <v>1400</v>
      </c>
      <c r="O65" s="1" t="s">
        <v>70</v>
      </c>
      <c r="P65" s="1">
        <v>1770</v>
      </c>
      <c r="Q65" s="1" t="s">
        <v>71</v>
      </c>
      <c r="R65" s="1">
        <v>370</v>
      </c>
      <c r="S65"/>
      <c r="T65" t="s">
        <v>55</v>
      </c>
      <c r="U65" t="s">
        <v>814</v>
      </c>
      <c r="V65" t="s">
        <v>55</v>
      </c>
      <c r="W65" s="1">
        <v>45850</v>
      </c>
      <c r="X65" s="1" t="s">
        <v>55</v>
      </c>
      <c r="Y65" s="1" t="s">
        <v>51</v>
      </c>
      <c r="Z65" s="1" t="s">
        <v>110</v>
      </c>
      <c r="AA65" s="1" t="s">
        <v>111</v>
      </c>
      <c r="AB65" s="1" t="s">
        <v>112</v>
      </c>
      <c r="AC65" s="1">
        <v>44260</v>
      </c>
      <c r="AD65" s="1">
        <v>44263</v>
      </c>
      <c r="AE65" s="1">
        <v>44762</v>
      </c>
      <c r="AF65" s="1"/>
      <c r="AG65" s="1">
        <v>44317</v>
      </c>
      <c r="AH65" s="1" t="s">
        <v>54</v>
      </c>
      <c r="AI65" s="1"/>
      <c r="AJ65" s="31">
        <v>44263</v>
      </c>
      <c r="AK65"/>
      <c r="AL65"/>
      <c r="AM65"/>
      <c r="AN65"/>
      <c r="AO65"/>
      <c r="AP65"/>
    </row>
    <row r="66" spans="1:42" hidden="1">
      <c r="A66" s="1" t="s">
        <v>2542</v>
      </c>
      <c r="B66" s="1">
        <v>210307</v>
      </c>
      <c r="D66" s="1" t="s">
        <v>83</v>
      </c>
      <c r="F66"/>
      <c r="G66"/>
      <c r="H66" s="1" t="s">
        <v>2713</v>
      </c>
      <c r="I66" s="1" t="s">
        <v>2714</v>
      </c>
      <c r="J66" s="1" t="s">
        <v>17</v>
      </c>
      <c r="K66" s="1" t="s">
        <v>50</v>
      </c>
      <c r="L66" s="1">
        <v>35982</v>
      </c>
      <c r="M66" s="1">
        <v>27</v>
      </c>
      <c r="N66" s="1">
        <v>1000</v>
      </c>
      <c r="P66" s="1">
        <v>1500</v>
      </c>
      <c r="Q66" s="1"/>
      <c r="R66" s="1">
        <v>500</v>
      </c>
      <c r="S66"/>
      <c r="T66" t="s">
        <v>55</v>
      </c>
      <c r="U66" t="s">
        <v>814</v>
      </c>
      <c r="V66" t="s">
        <v>55</v>
      </c>
      <c r="W66" s="1">
        <v>44520</v>
      </c>
      <c r="X66" s="1" t="s">
        <v>55</v>
      </c>
      <c r="Y66" s="1" t="s">
        <v>121</v>
      </c>
      <c r="Z66" s="1" t="s">
        <v>110</v>
      </c>
      <c r="AA66" s="1" t="s">
        <v>111</v>
      </c>
      <c r="AB66" s="1" t="s">
        <v>112</v>
      </c>
      <c r="AC66" s="1">
        <v>44260</v>
      </c>
      <c r="AD66" s="1">
        <v>44263</v>
      </c>
      <c r="AE66" s="1">
        <v>44351</v>
      </c>
      <c r="AF66" s="1"/>
      <c r="AG66" s="1">
        <v>44317</v>
      </c>
      <c r="AH66" s="1"/>
      <c r="AI66" s="1"/>
      <c r="AJ66" s="31">
        <v>44263</v>
      </c>
      <c r="AK66"/>
      <c r="AL66"/>
      <c r="AM66"/>
      <c r="AN66"/>
      <c r="AO66"/>
      <c r="AP66"/>
    </row>
    <row r="67" spans="1:42" hidden="1">
      <c r="A67" s="1" t="s">
        <v>2542</v>
      </c>
      <c r="B67" s="1">
        <v>210308</v>
      </c>
      <c r="C67" s="1">
        <v>232006</v>
      </c>
      <c r="D67" s="1" t="s">
        <v>83</v>
      </c>
      <c r="E67" s="1" t="s">
        <v>307</v>
      </c>
      <c r="F67" s="1" t="s">
        <v>2655</v>
      </c>
      <c r="G67"/>
      <c r="H67" s="1" t="s">
        <v>2711</v>
      </c>
      <c r="I67" s="1" t="s">
        <v>2712</v>
      </c>
      <c r="J67" s="1" t="s">
        <v>18</v>
      </c>
      <c r="K67" s="1" t="s">
        <v>50</v>
      </c>
      <c r="L67" s="1">
        <v>35195</v>
      </c>
      <c r="M67" s="1">
        <v>29</v>
      </c>
      <c r="N67" s="1">
        <v>1400</v>
      </c>
      <c r="O67" s="1" t="s">
        <v>70</v>
      </c>
      <c r="P67" s="1">
        <v>1770</v>
      </c>
      <c r="Q67" s="1" t="s">
        <v>71</v>
      </c>
      <c r="R67" s="1">
        <v>370</v>
      </c>
      <c r="S67"/>
      <c r="T67" t="s">
        <v>55</v>
      </c>
      <c r="U67" t="s">
        <v>814</v>
      </c>
      <c r="V67" t="s">
        <v>55</v>
      </c>
      <c r="W67" s="1">
        <v>45217</v>
      </c>
      <c r="X67" s="1" t="s">
        <v>55</v>
      </c>
      <c r="Y67" s="1" t="s">
        <v>51</v>
      </c>
      <c r="Z67" s="1" t="s">
        <v>110</v>
      </c>
      <c r="AA67" s="1" t="s">
        <v>113</v>
      </c>
      <c r="AB67" s="1" t="s">
        <v>114</v>
      </c>
      <c r="AC67" s="1">
        <v>44409</v>
      </c>
      <c r="AD67" s="1">
        <v>44263</v>
      </c>
      <c r="AE67" s="1">
        <v>44951</v>
      </c>
      <c r="AF67" s="1">
        <v>44923</v>
      </c>
      <c r="AG67" s="1">
        <v>44317</v>
      </c>
      <c r="AH67" s="1" t="s">
        <v>54</v>
      </c>
      <c r="AI67" s="1"/>
      <c r="AJ67" s="31">
        <v>44263</v>
      </c>
      <c r="AK67"/>
      <c r="AL67"/>
      <c r="AM67"/>
      <c r="AN67"/>
      <c r="AO67"/>
      <c r="AP67"/>
    </row>
    <row r="68" spans="1:42" hidden="1">
      <c r="A68" s="1" t="s">
        <v>2542</v>
      </c>
      <c r="B68" s="1">
        <v>210309</v>
      </c>
      <c r="D68" s="1" t="s">
        <v>83</v>
      </c>
      <c r="F68"/>
      <c r="G68"/>
      <c r="H68" s="1" t="s">
        <v>2715</v>
      </c>
      <c r="I68" s="1" t="s">
        <v>2716</v>
      </c>
      <c r="J68" s="1" t="s">
        <v>18</v>
      </c>
      <c r="K68" s="1" t="s">
        <v>50</v>
      </c>
      <c r="L68" s="1">
        <v>31997</v>
      </c>
      <c r="M68" s="1">
        <v>38</v>
      </c>
      <c r="N68" s="1">
        <v>1250</v>
      </c>
      <c r="O68" s="1" t="s">
        <v>70</v>
      </c>
      <c r="P68" s="1">
        <v>1600</v>
      </c>
      <c r="Q68" s="1"/>
      <c r="R68" s="1">
        <v>350</v>
      </c>
      <c r="S68"/>
      <c r="T68" t="s">
        <v>55</v>
      </c>
      <c r="U68" t="s">
        <v>814</v>
      </c>
      <c r="V68" t="s">
        <v>55</v>
      </c>
      <c r="W68" s="1">
        <v>44610</v>
      </c>
      <c r="X68" s="1" t="s">
        <v>55</v>
      </c>
      <c r="Y68" s="1" t="s">
        <v>51</v>
      </c>
      <c r="Z68" s="1" t="s">
        <v>110</v>
      </c>
      <c r="AA68" s="1" t="s">
        <v>113</v>
      </c>
      <c r="AB68" s="1" t="s">
        <v>2717</v>
      </c>
      <c r="AC68" s="1">
        <v>44261</v>
      </c>
      <c r="AD68" s="1">
        <v>44263</v>
      </c>
      <c r="AE68" s="1">
        <v>44386</v>
      </c>
      <c r="AF68" s="1"/>
      <c r="AG68" s="1">
        <v>44317</v>
      </c>
      <c r="AH68" s="1"/>
      <c r="AI68" s="1"/>
      <c r="AJ68" s="31">
        <v>44263</v>
      </c>
      <c r="AK68"/>
      <c r="AL68"/>
      <c r="AM68"/>
      <c r="AN68"/>
      <c r="AO68"/>
      <c r="AP68"/>
    </row>
    <row r="69" spans="1:42" hidden="1">
      <c r="A69" s="1" t="s">
        <v>2542</v>
      </c>
      <c r="B69" s="1">
        <v>210310</v>
      </c>
      <c r="D69" s="1" t="s">
        <v>83</v>
      </c>
      <c r="F69"/>
      <c r="G69"/>
      <c r="H69" s="1" t="s">
        <v>2718</v>
      </c>
      <c r="I69" s="1" t="s">
        <v>2719</v>
      </c>
      <c r="J69" s="1" t="s">
        <v>18</v>
      </c>
      <c r="K69" s="1" t="s">
        <v>50</v>
      </c>
      <c r="L69" s="1">
        <v>34725</v>
      </c>
      <c r="M69" s="1">
        <v>30</v>
      </c>
      <c r="N69" s="1">
        <v>1250</v>
      </c>
      <c r="P69" s="1">
        <v>1600</v>
      </c>
      <c r="Q69" s="1"/>
      <c r="R69" s="1">
        <v>350</v>
      </c>
      <c r="S69"/>
      <c r="T69" t="s">
        <v>55</v>
      </c>
      <c r="U69" t="s">
        <v>814</v>
      </c>
      <c r="V69" t="s">
        <v>55</v>
      </c>
      <c r="W69" s="1">
        <v>45475</v>
      </c>
      <c r="X69" s="1" t="s">
        <v>55</v>
      </c>
      <c r="Y69" s="1" t="s">
        <v>51</v>
      </c>
      <c r="Z69" s="1" t="s">
        <v>110</v>
      </c>
      <c r="AA69" s="1" t="s">
        <v>111</v>
      </c>
      <c r="AB69" s="1" t="s">
        <v>252</v>
      </c>
      <c r="AC69" s="1">
        <v>44261</v>
      </c>
      <c r="AD69" s="1">
        <v>44263</v>
      </c>
      <c r="AE69" s="1">
        <v>44434</v>
      </c>
      <c r="AF69" s="1"/>
      <c r="AG69" s="1">
        <v>44317</v>
      </c>
      <c r="AH69" s="1"/>
      <c r="AI69" s="1"/>
      <c r="AJ69" s="31">
        <v>44263</v>
      </c>
      <c r="AK69"/>
      <c r="AL69"/>
      <c r="AM69"/>
      <c r="AN69"/>
      <c r="AO69"/>
      <c r="AP69"/>
    </row>
    <row r="70" spans="1:42" hidden="1">
      <c r="A70" s="1" t="s">
        <v>2542</v>
      </c>
      <c r="B70" s="1">
        <v>210311</v>
      </c>
      <c r="D70" s="1" t="s">
        <v>62</v>
      </c>
      <c r="E70" s="1" t="s">
        <v>3935</v>
      </c>
      <c r="F70"/>
      <c r="G70"/>
      <c r="H70" s="1" t="s">
        <v>2720</v>
      </c>
      <c r="I70" s="1" t="s">
        <v>2721</v>
      </c>
      <c r="J70" s="1" t="s">
        <v>18</v>
      </c>
      <c r="K70" s="1" t="s">
        <v>50</v>
      </c>
      <c r="L70" s="1">
        <v>33126</v>
      </c>
      <c r="M70" s="1">
        <v>35</v>
      </c>
      <c r="N70" s="1">
        <v>1200</v>
      </c>
      <c r="P70" s="1">
        <v>1600</v>
      </c>
      <c r="Q70" s="1"/>
      <c r="R70" s="1">
        <v>400</v>
      </c>
      <c r="S70"/>
      <c r="T70" t="s">
        <v>55</v>
      </c>
      <c r="U70" t="s">
        <v>814</v>
      </c>
      <c r="V70" t="s">
        <v>55</v>
      </c>
      <c r="W70" s="1">
        <v>44594</v>
      </c>
      <c r="X70" s="1" t="s">
        <v>55</v>
      </c>
      <c r="Y70" s="1" t="s">
        <v>51</v>
      </c>
      <c r="Z70" s="1" t="s">
        <v>91</v>
      </c>
      <c r="AA70" s="1" t="s">
        <v>2688</v>
      </c>
      <c r="AB70" s="1" t="s">
        <v>2689</v>
      </c>
      <c r="AC70" s="1">
        <v>44260</v>
      </c>
      <c r="AD70" s="1">
        <v>44264</v>
      </c>
      <c r="AE70" s="1">
        <v>44330</v>
      </c>
      <c r="AF70" s="1"/>
      <c r="AG70" s="1">
        <v>44317</v>
      </c>
      <c r="AH70" s="1"/>
      <c r="AI70" s="1"/>
      <c r="AJ70" s="31">
        <v>44264</v>
      </c>
      <c r="AK70"/>
      <c r="AL70"/>
      <c r="AM70"/>
      <c r="AN70"/>
      <c r="AO70"/>
      <c r="AP70"/>
    </row>
    <row r="71" spans="1:42" hidden="1">
      <c r="A71" s="1" t="s">
        <v>2542</v>
      </c>
      <c r="B71" s="1">
        <v>210312</v>
      </c>
      <c r="C71" s="1">
        <v>83448</v>
      </c>
      <c r="D71" s="1" t="s">
        <v>107</v>
      </c>
      <c r="E71" s="1" t="s">
        <v>2722</v>
      </c>
      <c r="F71"/>
      <c r="G71"/>
      <c r="H71" s="1" t="s">
        <v>2723</v>
      </c>
      <c r="I71" s="1" t="s">
        <v>2724</v>
      </c>
      <c r="J71" s="1" t="s">
        <v>18</v>
      </c>
      <c r="K71" s="1" t="s">
        <v>50</v>
      </c>
      <c r="L71" s="1">
        <v>33491</v>
      </c>
      <c r="M71" s="1">
        <v>34</v>
      </c>
      <c r="N71" s="1">
        <v>1500</v>
      </c>
      <c r="O71" s="1" t="s">
        <v>2692</v>
      </c>
      <c r="P71" s="1">
        <v>2300</v>
      </c>
      <c r="Q71" s="1" t="s">
        <v>2693</v>
      </c>
      <c r="R71" s="1">
        <v>800</v>
      </c>
      <c r="S71">
        <v>340000</v>
      </c>
      <c r="T71">
        <v>17051</v>
      </c>
      <c r="U71" t="s">
        <v>814</v>
      </c>
      <c r="V71">
        <v>31110</v>
      </c>
      <c r="W71" s="1">
        <v>45194</v>
      </c>
      <c r="X71" s="1" t="s">
        <v>55</v>
      </c>
      <c r="Y71" s="1" t="s">
        <v>51</v>
      </c>
      <c r="Z71" s="1" t="s">
        <v>115</v>
      </c>
      <c r="AA71" s="1" t="s">
        <v>116</v>
      </c>
      <c r="AB71" s="1" t="s">
        <v>2725</v>
      </c>
      <c r="AC71" s="1">
        <v>44408</v>
      </c>
      <c r="AD71" s="1">
        <v>44272</v>
      </c>
      <c r="AE71" s="1">
        <v>44984</v>
      </c>
      <c r="AF71" s="1"/>
      <c r="AG71" s="1">
        <v>44348</v>
      </c>
      <c r="AH71" s="1" t="s">
        <v>54</v>
      </c>
      <c r="AI71" s="1"/>
      <c r="AJ71" s="31">
        <v>44272</v>
      </c>
      <c r="AK71"/>
      <c r="AL71"/>
      <c r="AM71"/>
      <c r="AN71"/>
      <c r="AO71"/>
      <c r="AP71"/>
    </row>
    <row r="72" spans="1:42" hidden="1">
      <c r="A72" s="1" t="s">
        <v>2542</v>
      </c>
      <c r="B72" s="1">
        <v>210313</v>
      </c>
      <c r="C72" s="1">
        <v>83455</v>
      </c>
      <c r="D72" s="1" t="s">
        <v>107</v>
      </c>
      <c r="E72" s="1" t="s">
        <v>2722</v>
      </c>
      <c r="F72"/>
      <c r="G72"/>
      <c r="H72" s="1" t="s">
        <v>2726</v>
      </c>
      <c r="I72" s="1" t="s">
        <v>2727</v>
      </c>
      <c r="J72" s="1" t="s">
        <v>18</v>
      </c>
      <c r="K72" s="1" t="s">
        <v>50</v>
      </c>
      <c r="L72" s="1">
        <v>33608</v>
      </c>
      <c r="M72" s="1">
        <v>33</v>
      </c>
      <c r="N72" s="1">
        <v>1500</v>
      </c>
      <c r="O72" s="1" t="s">
        <v>2692</v>
      </c>
      <c r="P72" s="1">
        <v>2300</v>
      </c>
      <c r="Q72" s="1" t="s">
        <v>2693</v>
      </c>
      <c r="R72" s="1">
        <v>800</v>
      </c>
      <c r="S72">
        <v>300000</v>
      </c>
      <c r="T72">
        <v>15045</v>
      </c>
      <c r="U72" t="s">
        <v>814</v>
      </c>
      <c r="V72">
        <v>27450</v>
      </c>
      <c r="W72" s="1">
        <v>45360</v>
      </c>
      <c r="X72" s="1" t="s">
        <v>55</v>
      </c>
      <c r="Y72" s="1" t="s">
        <v>51</v>
      </c>
      <c r="Z72" s="1" t="s">
        <v>117</v>
      </c>
      <c r="AA72" s="1" t="s">
        <v>2728</v>
      </c>
      <c r="AB72" s="1" t="s">
        <v>2729</v>
      </c>
      <c r="AC72" s="1">
        <v>44270</v>
      </c>
      <c r="AD72" s="1">
        <v>44272</v>
      </c>
      <c r="AE72" s="1">
        <v>45015</v>
      </c>
      <c r="AF72" s="1"/>
      <c r="AG72" s="1">
        <v>44348</v>
      </c>
      <c r="AH72" s="1" t="s">
        <v>54</v>
      </c>
      <c r="AI72" s="1"/>
      <c r="AJ72" s="31">
        <v>44272</v>
      </c>
      <c r="AK72"/>
      <c r="AL72"/>
      <c r="AM72"/>
      <c r="AN72"/>
      <c r="AO72"/>
      <c r="AP72"/>
    </row>
    <row r="73" spans="1:42" hidden="1">
      <c r="A73" s="1" t="s">
        <v>2542</v>
      </c>
      <c r="B73" s="1">
        <v>210314</v>
      </c>
      <c r="D73" s="1" t="s">
        <v>95</v>
      </c>
      <c r="E73" s="1" t="s">
        <v>3938</v>
      </c>
      <c r="F73"/>
      <c r="G73"/>
      <c r="H73" s="1" t="s">
        <v>2730</v>
      </c>
      <c r="I73" s="1" t="s">
        <v>2731</v>
      </c>
      <c r="J73" s="1" t="s">
        <v>18</v>
      </c>
      <c r="K73" s="1" t="s">
        <v>50</v>
      </c>
      <c r="L73" s="1">
        <v>33870</v>
      </c>
      <c r="M73" s="1">
        <v>33</v>
      </c>
      <c r="N73" s="1">
        <v>1200</v>
      </c>
      <c r="P73" s="1">
        <v>1600</v>
      </c>
      <c r="Q73" s="1"/>
      <c r="R73" s="1">
        <v>400</v>
      </c>
      <c r="S73"/>
      <c r="T73" t="s">
        <v>55</v>
      </c>
      <c r="U73" t="s">
        <v>814</v>
      </c>
      <c r="V73" t="s">
        <v>55</v>
      </c>
      <c r="W73" s="1"/>
      <c r="X73" s="1" t="s">
        <v>55</v>
      </c>
      <c r="Y73" s="1" t="s">
        <v>51</v>
      </c>
      <c r="Z73" s="1" t="s">
        <v>91</v>
      </c>
      <c r="AA73" s="1" t="s">
        <v>2688</v>
      </c>
      <c r="AB73" s="1" t="s">
        <v>2689</v>
      </c>
      <c r="AC73" s="1">
        <v>44270</v>
      </c>
      <c r="AD73" s="1">
        <v>44274</v>
      </c>
      <c r="AE73" s="1">
        <v>44347</v>
      </c>
      <c r="AF73" s="1"/>
      <c r="AG73" s="1">
        <v>44348</v>
      </c>
      <c r="AH73" s="1"/>
      <c r="AI73" s="1"/>
      <c r="AJ73" s="31">
        <v>44274</v>
      </c>
      <c r="AK73"/>
      <c r="AL73"/>
      <c r="AM73"/>
      <c r="AN73"/>
      <c r="AO73"/>
      <c r="AP73"/>
    </row>
    <row r="74" spans="1:42" hidden="1">
      <c r="A74" s="1" t="s">
        <v>2542</v>
      </c>
      <c r="B74" s="1">
        <v>210315</v>
      </c>
      <c r="D74" s="1" t="s">
        <v>107</v>
      </c>
      <c r="F74"/>
      <c r="G74"/>
      <c r="H74" s="1" t="s">
        <v>2732</v>
      </c>
      <c r="I74" s="1" t="s">
        <v>2733</v>
      </c>
      <c r="J74" s="1" t="s">
        <v>18</v>
      </c>
      <c r="K74" s="1" t="s">
        <v>50</v>
      </c>
      <c r="L74" s="1">
        <v>33176</v>
      </c>
      <c r="M74" s="1">
        <v>35</v>
      </c>
      <c r="N74" s="1">
        <v>1500</v>
      </c>
      <c r="O74" s="1" t="s">
        <v>2692</v>
      </c>
      <c r="P74" s="1">
        <v>2300</v>
      </c>
      <c r="Q74" s="1">
        <v>800</v>
      </c>
      <c r="R74" s="1">
        <v>800</v>
      </c>
      <c r="S74"/>
      <c r="T74" t="s">
        <v>55</v>
      </c>
      <c r="U74" t="s">
        <v>814</v>
      </c>
      <c r="V74" t="s">
        <v>55</v>
      </c>
      <c r="W74" s="1">
        <v>44704</v>
      </c>
      <c r="X74" s="1" t="s">
        <v>55</v>
      </c>
      <c r="Y74" s="1" t="s">
        <v>51</v>
      </c>
      <c r="Z74" s="1" t="s">
        <v>2694</v>
      </c>
      <c r="AA74" s="1" t="s">
        <v>2695</v>
      </c>
      <c r="AB74" s="1" t="s">
        <v>2696</v>
      </c>
      <c r="AC74" s="1">
        <v>44276</v>
      </c>
      <c r="AD74" s="1">
        <v>44277</v>
      </c>
      <c r="AE74" s="1">
        <v>44520</v>
      </c>
      <c r="AF74" s="1"/>
      <c r="AG74" s="1">
        <v>44348</v>
      </c>
      <c r="AH74" s="1"/>
      <c r="AI74" s="1"/>
      <c r="AJ74" s="31">
        <v>44277</v>
      </c>
      <c r="AK74"/>
      <c r="AL74"/>
      <c r="AM74"/>
      <c r="AN74"/>
      <c r="AO74"/>
      <c r="AP74"/>
    </row>
    <row r="75" spans="1:42" hidden="1">
      <c r="A75" s="1" t="s">
        <v>2542</v>
      </c>
      <c r="B75" s="1">
        <v>210316</v>
      </c>
      <c r="D75" s="1" t="s">
        <v>95</v>
      </c>
      <c r="E75" s="1" t="s">
        <v>3938</v>
      </c>
      <c r="F75"/>
      <c r="G75"/>
      <c r="H75" s="1" t="s">
        <v>2739</v>
      </c>
      <c r="I75" s="1" t="s">
        <v>2740</v>
      </c>
      <c r="J75" s="1" t="s">
        <v>18</v>
      </c>
      <c r="K75" s="1" t="s">
        <v>404</v>
      </c>
      <c r="L75" s="1">
        <v>29519</v>
      </c>
      <c r="M75" s="1">
        <v>45</v>
      </c>
      <c r="N75" s="1">
        <v>1250</v>
      </c>
      <c r="P75" s="1">
        <v>1650</v>
      </c>
      <c r="Q75" s="1"/>
      <c r="R75" s="1">
        <v>400</v>
      </c>
      <c r="S75"/>
      <c r="T75" t="s">
        <v>55</v>
      </c>
      <c r="U75" t="s">
        <v>814</v>
      </c>
      <c r="V75" t="s">
        <v>55</v>
      </c>
      <c r="W75" s="1">
        <v>45325</v>
      </c>
      <c r="X75" s="1" t="s">
        <v>55</v>
      </c>
      <c r="Y75" s="1" t="s">
        <v>540</v>
      </c>
      <c r="Z75" s="1" t="s">
        <v>2741</v>
      </c>
      <c r="AA75" s="1" t="s">
        <v>2742</v>
      </c>
      <c r="AB75" s="1" t="s">
        <v>2743</v>
      </c>
      <c r="AC75" s="1" t="s">
        <v>53</v>
      </c>
      <c r="AD75" s="1">
        <v>44277</v>
      </c>
      <c r="AE75" s="1">
        <v>44299</v>
      </c>
      <c r="AF75" s="1"/>
      <c r="AG75" s="1">
        <v>44348</v>
      </c>
      <c r="AH75" s="1"/>
      <c r="AI75" s="1"/>
      <c r="AJ75" s="31">
        <v>44277</v>
      </c>
      <c r="AK75"/>
      <c r="AL75"/>
      <c r="AM75"/>
      <c r="AN75"/>
      <c r="AO75"/>
      <c r="AP75"/>
    </row>
    <row r="76" spans="1:42" hidden="1">
      <c r="A76" s="1" t="s">
        <v>2542</v>
      </c>
      <c r="B76" s="1">
        <v>210317</v>
      </c>
      <c r="C76" s="1">
        <v>42</v>
      </c>
      <c r="D76" s="1" t="s">
        <v>813</v>
      </c>
      <c r="E76" s="1" t="s">
        <v>1268</v>
      </c>
      <c r="F76" t="s">
        <v>1269</v>
      </c>
      <c r="G76" t="s">
        <v>1266</v>
      </c>
      <c r="H76" s="1" t="s">
        <v>2734</v>
      </c>
      <c r="I76" s="1" t="s">
        <v>2735</v>
      </c>
      <c r="J76" s="1" t="s">
        <v>18</v>
      </c>
      <c r="K76" s="1" t="s">
        <v>50</v>
      </c>
      <c r="L76" s="1">
        <v>32306</v>
      </c>
      <c r="M76" s="1">
        <v>37</v>
      </c>
      <c r="N76" s="1">
        <v>1300</v>
      </c>
      <c r="O76" s="1" t="s">
        <v>2736</v>
      </c>
      <c r="P76" s="1">
        <v>1800</v>
      </c>
      <c r="Q76" s="1"/>
      <c r="R76" s="1">
        <v>500</v>
      </c>
      <c r="S76">
        <v>240000</v>
      </c>
      <c r="T76">
        <v>12036</v>
      </c>
      <c r="U76" t="s">
        <v>814</v>
      </c>
      <c r="V76">
        <v>21960</v>
      </c>
      <c r="W76" s="1">
        <v>45285</v>
      </c>
      <c r="X76" s="1" t="s">
        <v>55</v>
      </c>
      <c r="Y76" s="1" t="s">
        <v>51</v>
      </c>
      <c r="Z76" s="1" t="s">
        <v>2737</v>
      </c>
      <c r="AA76" s="1" t="s">
        <v>2561</v>
      </c>
      <c r="AB76" s="1" t="s">
        <v>2738</v>
      </c>
      <c r="AC76" s="1" t="s">
        <v>53</v>
      </c>
      <c r="AD76" s="1">
        <v>44277</v>
      </c>
      <c r="AE76" s="1">
        <v>45127</v>
      </c>
      <c r="AF76" s="1"/>
      <c r="AG76" s="1">
        <v>44348</v>
      </c>
      <c r="AH76" s="1" t="s">
        <v>54</v>
      </c>
      <c r="AI76" s="1"/>
      <c r="AJ76" s="31">
        <v>44277</v>
      </c>
      <c r="AK76"/>
      <c r="AL76"/>
      <c r="AM76"/>
      <c r="AN76"/>
      <c r="AO76"/>
      <c r="AP76"/>
    </row>
    <row r="77" spans="1:42" hidden="1">
      <c r="A77" s="1" t="s">
        <v>2542</v>
      </c>
      <c r="B77" s="1">
        <v>210318</v>
      </c>
      <c r="C77" s="1">
        <v>242010</v>
      </c>
      <c r="D77" s="1" t="s">
        <v>69</v>
      </c>
      <c r="E77" s="1" t="s">
        <v>306</v>
      </c>
      <c r="F77" t="s">
        <v>390</v>
      </c>
      <c r="G77" t="s">
        <v>1085</v>
      </c>
      <c r="H77" s="1" t="s">
        <v>2220</v>
      </c>
      <c r="I77" s="1" t="s">
        <v>2221</v>
      </c>
      <c r="J77" s="1" t="s">
        <v>18</v>
      </c>
      <c r="K77" s="1" t="s">
        <v>50</v>
      </c>
      <c r="L77" s="1">
        <v>34467</v>
      </c>
      <c r="M77" s="1">
        <v>31</v>
      </c>
      <c r="N77" s="1">
        <v>1400</v>
      </c>
      <c r="O77" s="1" t="s">
        <v>70</v>
      </c>
      <c r="P77" s="1">
        <v>1790</v>
      </c>
      <c r="Q77" s="1" t="s">
        <v>71</v>
      </c>
      <c r="R77" s="1">
        <v>390</v>
      </c>
      <c r="S77">
        <v>260000</v>
      </c>
      <c r="T77">
        <v>13039</v>
      </c>
      <c r="U77" t="s">
        <v>814</v>
      </c>
      <c r="V77">
        <v>23790</v>
      </c>
      <c r="W77" s="1">
        <v>45598</v>
      </c>
      <c r="X77" s="1" t="s">
        <v>55</v>
      </c>
      <c r="Y77" s="1" t="s">
        <v>51</v>
      </c>
      <c r="Z77" s="1" t="s">
        <v>427</v>
      </c>
      <c r="AA77" s="1" t="s">
        <v>445</v>
      </c>
      <c r="AB77" s="1" t="s">
        <v>446</v>
      </c>
      <c r="AC77" s="1">
        <v>44273</v>
      </c>
      <c r="AD77" s="1">
        <v>44279</v>
      </c>
      <c r="AE77" s="1">
        <v>45288</v>
      </c>
      <c r="AF77" s="1"/>
      <c r="AG77" s="1">
        <v>44348</v>
      </c>
      <c r="AH77" s="1" t="s">
        <v>54</v>
      </c>
      <c r="AI77" s="1"/>
      <c r="AJ77" s="31">
        <v>44279</v>
      </c>
      <c r="AK77"/>
      <c r="AL77"/>
      <c r="AM77"/>
      <c r="AN77"/>
      <c r="AO77"/>
      <c r="AP77"/>
    </row>
    <row r="78" spans="1:42" hidden="1">
      <c r="A78" s="1" t="s">
        <v>2542</v>
      </c>
      <c r="B78" s="1">
        <v>210319</v>
      </c>
      <c r="C78" s="1">
        <v>410010</v>
      </c>
      <c r="D78" s="1" t="s">
        <v>447</v>
      </c>
      <c r="E78" s="1" t="s">
        <v>741</v>
      </c>
      <c r="F78" t="s">
        <v>2744</v>
      </c>
      <c r="G78"/>
      <c r="H78" s="1" t="s">
        <v>2745</v>
      </c>
      <c r="I78" s="1" t="s">
        <v>2746</v>
      </c>
      <c r="J78" s="1" t="s">
        <v>18</v>
      </c>
      <c r="K78" s="1" t="s">
        <v>50</v>
      </c>
      <c r="L78" s="1">
        <v>33589</v>
      </c>
      <c r="M78" s="1">
        <v>33</v>
      </c>
      <c r="N78" s="1">
        <v>1350</v>
      </c>
      <c r="O78" s="1" t="s">
        <v>2747</v>
      </c>
      <c r="P78" s="1">
        <v>1700</v>
      </c>
      <c r="Q78" s="1" t="s">
        <v>71</v>
      </c>
      <c r="R78" s="1">
        <v>350</v>
      </c>
      <c r="S78"/>
      <c r="T78" t="s">
        <v>55</v>
      </c>
      <c r="U78" t="s">
        <v>814</v>
      </c>
      <c r="V78" t="s">
        <v>55</v>
      </c>
      <c r="W78" s="1">
        <v>45257</v>
      </c>
      <c r="X78" s="1" t="s">
        <v>55</v>
      </c>
      <c r="Y78" s="1" t="s">
        <v>51</v>
      </c>
      <c r="Z78" s="1" t="s">
        <v>448</v>
      </c>
      <c r="AA78" s="1" t="s">
        <v>449</v>
      </c>
      <c r="AB78" s="1" t="s">
        <v>450</v>
      </c>
      <c r="AC78" s="1">
        <v>44280</v>
      </c>
      <c r="AD78" s="1">
        <v>44286</v>
      </c>
      <c r="AE78" s="1">
        <v>44764</v>
      </c>
      <c r="AF78" s="1"/>
      <c r="AG78" s="1">
        <v>44348</v>
      </c>
      <c r="AH78" s="1" t="s">
        <v>54</v>
      </c>
      <c r="AI78" s="1" t="s">
        <v>2748</v>
      </c>
      <c r="AJ78" s="31">
        <v>44286</v>
      </c>
      <c r="AK78"/>
      <c r="AL78"/>
      <c r="AM78"/>
      <c r="AN78"/>
      <c r="AO78"/>
      <c r="AP78"/>
    </row>
    <row r="79" spans="1:42" hidden="1">
      <c r="A79" s="1" t="s">
        <v>2542</v>
      </c>
      <c r="B79" s="1">
        <v>210401</v>
      </c>
      <c r="C79" s="1">
        <v>8210007</v>
      </c>
      <c r="D79" s="1" t="s">
        <v>823</v>
      </c>
      <c r="E79" s="1" t="s">
        <v>824</v>
      </c>
      <c r="F79" t="s">
        <v>824</v>
      </c>
      <c r="G79"/>
      <c r="H79" s="1" t="s">
        <v>2749</v>
      </c>
      <c r="I79" s="1" t="s">
        <v>2750</v>
      </c>
      <c r="J79" s="1" t="s">
        <v>18</v>
      </c>
      <c r="K79" s="1" t="s">
        <v>50</v>
      </c>
      <c r="L79" s="1">
        <v>31202</v>
      </c>
      <c r="M79" s="1">
        <v>40</v>
      </c>
      <c r="N79" s="1">
        <v>1460</v>
      </c>
      <c r="O79" s="1" t="s">
        <v>417</v>
      </c>
      <c r="P79" s="1">
        <v>2050</v>
      </c>
      <c r="Q79" s="1"/>
      <c r="R79" s="1">
        <v>590</v>
      </c>
      <c r="S79">
        <v>360000</v>
      </c>
      <c r="T79">
        <v>18054</v>
      </c>
      <c r="U79">
        <v>2862</v>
      </c>
      <c r="V79">
        <v>32940</v>
      </c>
      <c r="W79" s="1">
        <v>47213</v>
      </c>
      <c r="X79" s="1" t="s">
        <v>55</v>
      </c>
      <c r="Y79" s="1" t="s">
        <v>51</v>
      </c>
      <c r="Z79" s="1" t="s">
        <v>2751</v>
      </c>
      <c r="AA79" s="1" t="s">
        <v>2752</v>
      </c>
      <c r="AB79" s="1" t="s">
        <v>2753</v>
      </c>
      <c r="AC79" s="1" t="s">
        <v>53</v>
      </c>
      <c r="AD79" s="1">
        <v>44287</v>
      </c>
      <c r="AE79" s="1">
        <v>45495</v>
      </c>
      <c r="AF79" s="1"/>
      <c r="AG79" s="1">
        <v>44348</v>
      </c>
      <c r="AH79" s="1" t="s">
        <v>54</v>
      </c>
      <c r="AI79" s="1"/>
      <c r="AJ79" s="31">
        <v>44287</v>
      </c>
      <c r="AK79"/>
      <c r="AL79"/>
      <c r="AM79"/>
      <c r="AN79"/>
      <c r="AO79"/>
      <c r="AP79"/>
    </row>
    <row r="80" spans="1:42" hidden="1">
      <c r="A80" s="1" t="s">
        <v>2542</v>
      </c>
      <c r="B80" s="1">
        <v>210402</v>
      </c>
      <c r="D80" s="1" t="s">
        <v>823</v>
      </c>
      <c r="F80"/>
      <c r="G80"/>
      <c r="H80" s="1" t="s">
        <v>2754</v>
      </c>
      <c r="I80" s="1" t="s">
        <v>2755</v>
      </c>
      <c r="J80" s="1" t="s">
        <v>18</v>
      </c>
      <c r="K80" s="1" t="s">
        <v>50</v>
      </c>
      <c r="L80" s="1">
        <v>33004</v>
      </c>
      <c r="M80" s="1">
        <v>35</v>
      </c>
      <c r="N80" s="1">
        <v>1400</v>
      </c>
      <c r="P80" s="1">
        <v>1990</v>
      </c>
      <c r="Q80" s="1">
        <v>590</v>
      </c>
      <c r="R80" s="1">
        <v>590</v>
      </c>
      <c r="S80"/>
      <c r="T80" t="s">
        <v>55</v>
      </c>
      <c r="U80" t="s">
        <v>814</v>
      </c>
      <c r="V80" t="s">
        <v>55</v>
      </c>
      <c r="W80" s="1">
        <v>45482</v>
      </c>
      <c r="X80" s="1" t="s">
        <v>55</v>
      </c>
      <c r="Y80" s="1" t="s">
        <v>51</v>
      </c>
      <c r="Z80" s="1" t="s">
        <v>2756</v>
      </c>
      <c r="AA80" s="1" t="s">
        <v>2757</v>
      </c>
      <c r="AB80" s="1" t="s">
        <v>2758</v>
      </c>
      <c r="AC80" s="1">
        <v>44286</v>
      </c>
      <c r="AD80" s="1">
        <v>44287</v>
      </c>
      <c r="AE80" s="1">
        <v>44505</v>
      </c>
      <c r="AF80" s="1"/>
      <c r="AG80" s="1">
        <v>44348</v>
      </c>
      <c r="AH80" s="1"/>
      <c r="AI80" s="1"/>
      <c r="AJ80" s="31">
        <v>44287</v>
      </c>
      <c r="AK80"/>
      <c r="AL80"/>
      <c r="AM80"/>
      <c r="AN80"/>
      <c r="AO80"/>
      <c r="AP80"/>
    </row>
    <row r="81" spans="1:42" hidden="1">
      <c r="A81" s="1" t="s">
        <v>2542</v>
      </c>
      <c r="B81" s="1">
        <v>210403</v>
      </c>
      <c r="C81" s="1">
        <v>8210008</v>
      </c>
      <c r="D81" s="1" t="s">
        <v>818</v>
      </c>
      <c r="E81" s="1" t="s">
        <v>2637</v>
      </c>
      <c r="F81"/>
      <c r="G81"/>
      <c r="H81" s="1" t="s">
        <v>2759</v>
      </c>
      <c r="I81" s="1" t="s">
        <v>2760</v>
      </c>
      <c r="J81" s="1" t="s">
        <v>18</v>
      </c>
      <c r="K81" s="1" t="s">
        <v>50</v>
      </c>
      <c r="L81" s="1">
        <v>30126</v>
      </c>
      <c r="M81" s="1">
        <v>43</v>
      </c>
      <c r="N81" s="1">
        <v>1400</v>
      </c>
      <c r="P81" s="1">
        <v>1990</v>
      </c>
      <c r="Q81" s="1"/>
      <c r="R81" s="1">
        <v>590</v>
      </c>
      <c r="S81">
        <v>360000</v>
      </c>
      <c r="T81">
        <v>18054</v>
      </c>
      <c r="U81">
        <v>2862</v>
      </c>
      <c r="V81">
        <v>32940</v>
      </c>
      <c r="W81" s="1">
        <v>45671</v>
      </c>
      <c r="X81" s="1" t="s">
        <v>55</v>
      </c>
      <c r="Y81" s="1" t="s">
        <v>51</v>
      </c>
      <c r="Z81" s="1" t="s">
        <v>2761</v>
      </c>
      <c r="AA81" s="1" t="s">
        <v>2762</v>
      </c>
      <c r="AB81" s="1" t="s">
        <v>2763</v>
      </c>
      <c r="AC81" s="1" t="s">
        <v>53</v>
      </c>
      <c r="AD81" s="1">
        <v>44287</v>
      </c>
      <c r="AE81" s="1">
        <v>45002</v>
      </c>
      <c r="AF81" s="1"/>
      <c r="AG81" s="1">
        <v>44348</v>
      </c>
      <c r="AH81" s="1" t="s">
        <v>54</v>
      </c>
      <c r="AI81" s="1"/>
      <c r="AJ81" s="31">
        <v>44287</v>
      </c>
      <c r="AK81"/>
      <c r="AL81"/>
      <c r="AM81"/>
      <c r="AN81"/>
      <c r="AO81"/>
      <c r="AP81"/>
    </row>
    <row r="82" spans="1:42" hidden="1">
      <c r="A82" s="1" t="s">
        <v>2542</v>
      </c>
      <c r="B82" s="1">
        <v>210404</v>
      </c>
      <c r="C82" s="1">
        <v>8210010</v>
      </c>
      <c r="D82" s="1" t="s">
        <v>815</v>
      </c>
      <c r="E82" s="1" t="s">
        <v>2764</v>
      </c>
      <c r="F82"/>
      <c r="G82"/>
      <c r="H82" s="1" t="s">
        <v>454</v>
      </c>
      <c r="I82" s="1" t="s">
        <v>455</v>
      </c>
      <c r="J82" s="1" t="s">
        <v>18</v>
      </c>
      <c r="K82" s="1" t="s">
        <v>50</v>
      </c>
      <c r="L82" s="1">
        <v>34845</v>
      </c>
      <c r="M82" s="1">
        <v>30</v>
      </c>
      <c r="N82" s="1">
        <v>1500</v>
      </c>
      <c r="O82" s="1" t="s">
        <v>2765</v>
      </c>
      <c r="P82" s="1">
        <v>1990</v>
      </c>
      <c r="Q82" s="1"/>
      <c r="R82" s="1">
        <v>490</v>
      </c>
      <c r="S82"/>
      <c r="T82" t="s">
        <v>55</v>
      </c>
      <c r="U82" t="s">
        <v>814</v>
      </c>
      <c r="V82" t="s">
        <v>55</v>
      </c>
      <c r="W82" s="1">
        <v>45486</v>
      </c>
      <c r="X82" s="1" t="s">
        <v>55</v>
      </c>
      <c r="Y82" s="1" t="s">
        <v>51</v>
      </c>
      <c r="Z82" s="1" t="s">
        <v>456</v>
      </c>
      <c r="AA82" s="1" t="s">
        <v>457</v>
      </c>
      <c r="AB82" s="1" t="s">
        <v>458</v>
      </c>
      <c r="AC82" s="1">
        <v>44289</v>
      </c>
      <c r="AD82" s="1">
        <v>44291</v>
      </c>
      <c r="AE82" s="1">
        <v>44916</v>
      </c>
      <c r="AF82" s="1"/>
      <c r="AG82" s="1">
        <v>44348</v>
      </c>
      <c r="AH82" s="1" t="s">
        <v>54</v>
      </c>
      <c r="AI82" s="1"/>
      <c r="AJ82" s="31">
        <v>44291</v>
      </c>
      <c r="AK82"/>
      <c r="AL82"/>
      <c r="AM82"/>
      <c r="AN82"/>
      <c r="AO82"/>
      <c r="AP82"/>
    </row>
    <row r="83" spans="1:42" hidden="1">
      <c r="A83" s="1" t="s">
        <v>2542</v>
      </c>
      <c r="B83" s="1">
        <v>210407</v>
      </c>
      <c r="C83" s="1">
        <v>242012</v>
      </c>
      <c r="D83" s="1" t="s">
        <v>69</v>
      </c>
      <c r="E83" s="1" t="s">
        <v>306</v>
      </c>
      <c r="F83" t="s">
        <v>740</v>
      </c>
      <c r="G83" t="s">
        <v>317</v>
      </c>
      <c r="H83" s="1" t="s">
        <v>2772</v>
      </c>
      <c r="I83" s="1" t="s">
        <v>2773</v>
      </c>
      <c r="J83" s="1" t="s">
        <v>18</v>
      </c>
      <c r="K83" s="1" t="s">
        <v>50</v>
      </c>
      <c r="L83" s="1">
        <v>34528</v>
      </c>
      <c r="M83" s="1">
        <v>31</v>
      </c>
      <c r="N83" s="1">
        <v>1400</v>
      </c>
      <c r="O83" s="1" t="s">
        <v>70</v>
      </c>
      <c r="P83" s="1">
        <v>1780</v>
      </c>
      <c r="Q83" s="1" t="s">
        <v>71</v>
      </c>
      <c r="R83" s="1">
        <v>380</v>
      </c>
      <c r="S83">
        <v>260000</v>
      </c>
      <c r="T83">
        <v>13039</v>
      </c>
      <c r="U83" t="s">
        <v>814</v>
      </c>
      <c r="V83">
        <v>23790</v>
      </c>
      <c r="W83" s="1">
        <v>45620</v>
      </c>
      <c r="X83" s="1" t="s">
        <v>55</v>
      </c>
      <c r="Y83" s="1" t="s">
        <v>51</v>
      </c>
      <c r="Z83" s="1" t="s">
        <v>427</v>
      </c>
      <c r="AA83" s="1" t="s">
        <v>461</v>
      </c>
      <c r="AB83" s="1" t="s">
        <v>462</v>
      </c>
      <c r="AC83" s="1">
        <v>44284</v>
      </c>
      <c r="AD83" s="1">
        <v>44291</v>
      </c>
      <c r="AE83" s="1">
        <v>45257</v>
      </c>
      <c r="AF83" s="1"/>
      <c r="AG83" s="1">
        <v>44348</v>
      </c>
      <c r="AH83" s="1" t="s">
        <v>54</v>
      </c>
      <c r="AI83" s="1"/>
      <c r="AJ83" s="31">
        <v>44291</v>
      </c>
      <c r="AK83"/>
      <c r="AL83"/>
      <c r="AM83"/>
      <c r="AN83"/>
      <c r="AO83"/>
      <c r="AP83"/>
    </row>
    <row r="84" spans="1:42" hidden="1">
      <c r="A84" s="1" t="s">
        <v>2542</v>
      </c>
      <c r="B84" s="1">
        <v>210408</v>
      </c>
      <c r="D84" s="1" t="s">
        <v>69</v>
      </c>
      <c r="F84"/>
      <c r="G84"/>
      <c r="H84" s="1" t="s">
        <v>2774</v>
      </c>
      <c r="I84" s="1" t="s">
        <v>2775</v>
      </c>
      <c r="J84" s="1" t="s">
        <v>18</v>
      </c>
      <c r="K84" s="1" t="s">
        <v>404</v>
      </c>
      <c r="L84" s="1">
        <v>22947</v>
      </c>
      <c r="M84" s="1">
        <v>63</v>
      </c>
      <c r="N84" s="1">
        <v>1250</v>
      </c>
      <c r="O84" s="1" t="s">
        <v>70</v>
      </c>
      <c r="P84" s="1">
        <v>1750</v>
      </c>
      <c r="Q84" s="1" t="s">
        <v>71</v>
      </c>
      <c r="R84" s="1">
        <v>500</v>
      </c>
      <c r="S84"/>
      <c r="T84" t="s">
        <v>55</v>
      </c>
      <c r="U84" t="s">
        <v>814</v>
      </c>
      <c r="V84" t="s">
        <v>55</v>
      </c>
      <c r="W84" s="1">
        <v>45234</v>
      </c>
      <c r="X84" s="1" t="s">
        <v>55</v>
      </c>
      <c r="Y84" s="1" t="s">
        <v>2631</v>
      </c>
      <c r="Z84" s="1" t="s">
        <v>470</v>
      </c>
      <c r="AA84" s="1" t="s">
        <v>576</v>
      </c>
      <c r="AB84" s="1" t="s">
        <v>577</v>
      </c>
      <c r="AC84" s="1">
        <v>44288</v>
      </c>
      <c r="AD84" s="1">
        <v>44291</v>
      </c>
      <c r="AE84" s="1">
        <v>44551</v>
      </c>
      <c r="AF84" s="1"/>
      <c r="AG84" s="1">
        <v>44348</v>
      </c>
      <c r="AH84" s="1"/>
      <c r="AI84" s="1"/>
      <c r="AJ84" s="31">
        <v>44291</v>
      </c>
      <c r="AK84"/>
      <c r="AL84"/>
      <c r="AM84"/>
      <c r="AN84"/>
      <c r="AO84"/>
      <c r="AP84"/>
    </row>
    <row r="85" spans="1:42" hidden="1">
      <c r="A85" s="1" t="s">
        <v>2542</v>
      </c>
      <c r="B85" s="1">
        <v>210409</v>
      </c>
      <c r="C85" s="1">
        <v>500001</v>
      </c>
      <c r="D85" s="1" t="s">
        <v>687</v>
      </c>
      <c r="E85" s="1" t="s">
        <v>109</v>
      </c>
      <c r="F85"/>
      <c r="G85"/>
      <c r="H85" s="1" t="s">
        <v>2766</v>
      </c>
      <c r="I85" s="1" t="s">
        <v>2767</v>
      </c>
      <c r="J85" s="1" t="s">
        <v>18</v>
      </c>
      <c r="K85" s="1" t="s">
        <v>50</v>
      </c>
      <c r="L85" s="1">
        <v>34843</v>
      </c>
      <c r="M85" s="1">
        <v>30</v>
      </c>
      <c r="N85" s="1">
        <v>1400</v>
      </c>
      <c r="P85" s="1">
        <v>1850</v>
      </c>
      <c r="Q85" s="1" t="s">
        <v>2699</v>
      </c>
      <c r="R85" s="1">
        <v>450</v>
      </c>
      <c r="S85">
        <v>300000</v>
      </c>
      <c r="T85">
        <v>15045</v>
      </c>
      <c r="U85" t="s">
        <v>814</v>
      </c>
      <c r="V85">
        <v>27450</v>
      </c>
      <c r="W85" s="1">
        <v>45000</v>
      </c>
      <c r="X85" s="1" t="s">
        <v>55</v>
      </c>
      <c r="Y85" s="1" t="s">
        <v>51</v>
      </c>
      <c r="Z85" s="1" t="s">
        <v>2768</v>
      </c>
      <c r="AA85" s="1" t="s">
        <v>2769</v>
      </c>
      <c r="AB85" s="1" t="s">
        <v>2770</v>
      </c>
      <c r="AC85" s="1" t="s">
        <v>53</v>
      </c>
      <c r="AD85" s="1">
        <v>44291</v>
      </c>
      <c r="AE85" s="1">
        <v>44984</v>
      </c>
      <c r="AF85" s="1">
        <v>44671</v>
      </c>
      <c r="AG85" s="1">
        <v>44348</v>
      </c>
      <c r="AH85" s="1" t="s">
        <v>54</v>
      </c>
      <c r="AI85" s="1" t="s">
        <v>2771</v>
      </c>
      <c r="AJ85" s="31">
        <v>44291</v>
      </c>
      <c r="AK85"/>
      <c r="AL85"/>
      <c r="AM85"/>
      <c r="AN85"/>
      <c r="AO85"/>
      <c r="AP85"/>
    </row>
    <row r="86" spans="1:42">
      <c r="A86" s="1" t="s">
        <v>49</v>
      </c>
      <c r="B86" s="1">
        <v>230505</v>
      </c>
      <c r="C86" s="1">
        <v>212039</v>
      </c>
      <c r="D86" s="1" t="s">
        <v>75</v>
      </c>
      <c r="E86" s="1" t="s">
        <v>3934</v>
      </c>
      <c r="F86" t="s">
        <v>736</v>
      </c>
      <c r="G86" t="s">
        <v>317</v>
      </c>
      <c r="H86" s="1" t="s">
        <v>1137</v>
      </c>
      <c r="I86" s="1" t="s">
        <v>1138</v>
      </c>
      <c r="J86" s="1" t="s">
        <v>18</v>
      </c>
      <c r="K86" s="1" t="s">
        <v>50</v>
      </c>
      <c r="L86" s="1">
        <v>35429</v>
      </c>
      <c r="M86" s="1">
        <v>28</v>
      </c>
      <c r="N86" s="1">
        <v>1310</v>
      </c>
      <c r="P86" s="1">
        <v>1720</v>
      </c>
      <c r="Q86" s="1"/>
      <c r="R86" s="1">
        <v>410</v>
      </c>
      <c r="S86">
        <v>280000</v>
      </c>
      <c r="T86">
        <v>14042</v>
      </c>
      <c r="U86" t="s">
        <v>814</v>
      </c>
      <c r="V86">
        <v>25620</v>
      </c>
      <c r="W86" s="1">
        <v>46902</v>
      </c>
      <c r="X86" s="1" t="s">
        <v>55</v>
      </c>
      <c r="Y86" s="1" t="s">
        <v>51</v>
      </c>
      <c r="Z86" s="1" t="s">
        <v>91</v>
      </c>
      <c r="AA86" s="1" t="s">
        <v>92</v>
      </c>
      <c r="AB86" s="1" t="s">
        <v>1318</v>
      </c>
      <c r="AC86" s="1">
        <v>45056</v>
      </c>
      <c r="AD86" s="1">
        <v>45061</v>
      </c>
      <c r="AE86" s="1"/>
      <c r="AF86" s="1"/>
      <c r="AG86" s="1" t="s">
        <v>1126</v>
      </c>
      <c r="AH86" s="1" t="s">
        <v>1130</v>
      </c>
      <c r="AI86" s="1"/>
      <c r="AJ86" s="31">
        <v>45061</v>
      </c>
      <c r="AK86"/>
      <c r="AL86"/>
      <c r="AM86"/>
      <c r="AN86"/>
      <c r="AO86"/>
      <c r="AP86"/>
    </row>
    <row r="87" spans="1:42" hidden="1">
      <c r="A87" s="1" t="s">
        <v>2542</v>
      </c>
      <c r="B87" s="1">
        <v>210405</v>
      </c>
      <c r="C87" s="1">
        <v>8210009</v>
      </c>
      <c r="D87" s="1" t="s">
        <v>815</v>
      </c>
      <c r="E87" s="1" t="s">
        <v>825</v>
      </c>
      <c r="F87" t="s">
        <v>825</v>
      </c>
      <c r="G87"/>
      <c r="H87" s="1" t="s">
        <v>451</v>
      </c>
      <c r="I87" s="1" t="s">
        <v>452</v>
      </c>
      <c r="J87" s="1" t="s">
        <v>18</v>
      </c>
      <c r="K87" s="1" t="s">
        <v>50</v>
      </c>
      <c r="L87" s="1">
        <v>33072</v>
      </c>
      <c r="M87" s="1">
        <v>35</v>
      </c>
      <c r="N87" s="1">
        <v>1500</v>
      </c>
      <c r="O87" s="1" t="s">
        <v>453</v>
      </c>
      <c r="P87" s="1">
        <v>2150</v>
      </c>
      <c r="Q87" s="1"/>
      <c r="R87" s="1">
        <v>650</v>
      </c>
      <c r="S87">
        <v>360000</v>
      </c>
      <c r="T87">
        <v>18054</v>
      </c>
      <c r="U87" t="s">
        <v>814</v>
      </c>
      <c r="V87">
        <v>32940</v>
      </c>
      <c r="W87" s="1">
        <v>46545</v>
      </c>
      <c r="X87" s="1" t="s">
        <v>55</v>
      </c>
      <c r="Y87" s="1" t="s">
        <v>51</v>
      </c>
      <c r="Z87" s="1" t="s">
        <v>2265</v>
      </c>
      <c r="AA87" s="1" t="s">
        <v>2266</v>
      </c>
      <c r="AB87" s="1" t="s">
        <v>3879</v>
      </c>
      <c r="AC87" s="1" t="s">
        <v>53</v>
      </c>
      <c r="AD87" s="1">
        <v>44291</v>
      </c>
      <c r="AE87" s="1">
        <v>45905</v>
      </c>
      <c r="AF87" s="1">
        <v>44508</v>
      </c>
      <c r="AG87" s="1">
        <v>44348</v>
      </c>
      <c r="AH87" s="1" t="s">
        <v>54</v>
      </c>
      <c r="AI87" s="1"/>
      <c r="AJ87" s="31">
        <v>44291</v>
      </c>
      <c r="AK87" t="s">
        <v>2467</v>
      </c>
      <c r="AL87">
        <v>46252</v>
      </c>
      <c r="AM87" t="s">
        <v>2423</v>
      </c>
      <c r="AN87">
        <v>45702</v>
      </c>
      <c r="AO87"/>
      <c r="AP87"/>
    </row>
    <row r="88" spans="1:42" hidden="1">
      <c r="A88" s="1" t="s">
        <v>2542</v>
      </c>
      <c r="B88" s="1">
        <v>210410</v>
      </c>
      <c r="C88" s="1">
        <v>212011</v>
      </c>
      <c r="D88" s="1" t="s">
        <v>75</v>
      </c>
      <c r="E88" s="1" t="s">
        <v>3934</v>
      </c>
      <c r="F88" t="s">
        <v>2090</v>
      </c>
      <c r="G88"/>
      <c r="H88" s="1" t="s">
        <v>2776</v>
      </c>
      <c r="I88" s="1" t="s">
        <v>2777</v>
      </c>
      <c r="J88" s="1" t="s">
        <v>18</v>
      </c>
      <c r="K88" s="1" t="s">
        <v>50</v>
      </c>
      <c r="L88" s="1">
        <v>35048</v>
      </c>
      <c r="M88" s="1">
        <v>29</v>
      </c>
      <c r="N88" s="1">
        <v>1400</v>
      </c>
      <c r="O88" s="1" t="s">
        <v>70</v>
      </c>
      <c r="P88" s="1">
        <v>1770</v>
      </c>
      <c r="Q88" s="1" t="s">
        <v>71</v>
      </c>
      <c r="R88" s="1">
        <v>370</v>
      </c>
      <c r="S88"/>
      <c r="T88" t="s">
        <v>55</v>
      </c>
      <c r="U88" t="s">
        <v>814</v>
      </c>
      <c r="V88" t="s">
        <v>55</v>
      </c>
      <c r="W88" s="1">
        <v>45003</v>
      </c>
      <c r="X88" s="1" t="s">
        <v>55</v>
      </c>
      <c r="Y88" s="1" t="s">
        <v>51</v>
      </c>
      <c r="Z88" s="1" t="s">
        <v>91</v>
      </c>
      <c r="AA88" s="1" t="s">
        <v>2678</v>
      </c>
      <c r="AB88" s="1" t="s">
        <v>2679</v>
      </c>
      <c r="AC88" s="1">
        <v>44287</v>
      </c>
      <c r="AD88" s="1">
        <v>44295</v>
      </c>
      <c r="AE88" s="1">
        <v>44915</v>
      </c>
      <c r="AF88" s="1"/>
      <c r="AG88" s="1">
        <v>44348</v>
      </c>
      <c r="AH88" s="1" t="s">
        <v>54</v>
      </c>
      <c r="AI88" s="1"/>
      <c r="AJ88" s="31">
        <v>44295</v>
      </c>
      <c r="AK88"/>
      <c r="AL88"/>
      <c r="AM88"/>
      <c r="AN88"/>
      <c r="AO88"/>
      <c r="AP88"/>
    </row>
    <row r="89" spans="1:42" hidden="1">
      <c r="A89" s="1" t="s">
        <v>49</v>
      </c>
      <c r="B89" s="1">
        <v>210411</v>
      </c>
      <c r="C89" s="1">
        <v>232010</v>
      </c>
      <c r="D89" s="1" t="s">
        <v>83</v>
      </c>
      <c r="E89" s="1" t="s">
        <v>311</v>
      </c>
      <c r="F89" t="s">
        <v>2253</v>
      </c>
      <c r="G89" t="s">
        <v>364</v>
      </c>
      <c r="H89" s="1" t="s">
        <v>118</v>
      </c>
      <c r="I89" s="1" t="s">
        <v>119</v>
      </c>
      <c r="J89" s="1" t="s">
        <v>17</v>
      </c>
      <c r="K89" s="1" t="s">
        <v>50</v>
      </c>
      <c r="L89" s="1">
        <v>33193</v>
      </c>
      <c r="M89" s="1">
        <v>35</v>
      </c>
      <c r="N89" s="1">
        <v>1110</v>
      </c>
      <c r="P89" s="1">
        <v>1660</v>
      </c>
      <c r="Q89" s="1" t="s">
        <v>120</v>
      </c>
      <c r="R89" s="1">
        <v>550</v>
      </c>
      <c r="S89">
        <v>118000</v>
      </c>
      <c r="T89">
        <v>5918</v>
      </c>
      <c r="U89" t="s">
        <v>814</v>
      </c>
      <c r="V89">
        <v>10797</v>
      </c>
      <c r="W89" s="1">
        <v>46552</v>
      </c>
      <c r="X89" s="1" t="s">
        <v>55</v>
      </c>
      <c r="Y89" s="1" t="s">
        <v>121</v>
      </c>
      <c r="Z89" s="1" t="s">
        <v>1313</v>
      </c>
      <c r="AA89" s="1" t="s">
        <v>1356</v>
      </c>
      <c r="AB89" s="1"/>
      <c r="AC89" s="1" t="s">
        <v>53</v>
      </c>
      <c r="AD89" s="1">
        <v>44298</v>
      </c>
      <c r="AE89" s="1"/>
      <c r="AF89" s="1"/>
      <c r="AG89" s="1">
        <v>44348</v>
      </c>
      <c r="AH89" s="1" t="s">
        <v>54</v>
      </c>
      <c r="AI89" s="1" t="s">
        <v>1314</v>
      </c>
      <c r="AJ89" s="31">
        <v>44298</v>
      </c>
      <c r="AK89"/>
      <c r="AL89"/>
      <c r="AM89"/>
      <c r="AN89"/>
      <c r="AO89"/>
      <c r="AP89"/>
    </row>
    <row r="90" spans="1:42" hidden="1">
      <c r="A90" s="1" t="s">
        <v>2542</v>
      </c>
      <c r="B90" s="1">
        <v>210412</v>
      </c>
      <c r="D90" s="1" t="s">
        <v>815</v>
      </c>
      <c r="F90" t="s">
        <v>2655</v>
      </c>
      <c r="G90"/>
      <c r="H90" s="1" t="s">
        <v>2778</v>
      </c>
      <c r="I90" s="1" t="s">
        <v>2779</v>
      </c>
      <c r="J90" s="1" t="s">
        <v>18</v>
      </c>
      <c r="K90" s="1" t="s">
        <v>50</v>
      </c>
      <c r="L90" s="1">
        <v>30793</v>
      </c>
      <c r="M90" s="1">
        <v>41</v>
      </c>
      <c r="N90" s="1">
        <v>1400</v>
      </c>
      <c r="P90" s="1">
        <v>1990</v>
      </c>
      <c r="Q90" s="1"/>
      <c r="R90" s="1">
        <v>590</v>
      </c>
      <c r="S90"/>
      <c r="T90" t="s">
        <v>55</v>
      </c>
      <c r="U90" t="s">
        <v>814</v>
      </c>
      <c r="V90" t="s">
        <v>55</v>
      </c>
      <c r="W90" s="1">
        <v>45388</v>
      </c>
      <c r="X90" s="1" t="s">
        <v>55</v>
      </c>
      <c r="Y90" s="1" t="s">
        <v>51</v>
      </c>
      <c r="Z90" s="1" t="s">
        <v>463</v>
      </c>
      <c r="AA90" s="1" t="s">
        <v>983</v>
      </c>
      <c r="AB90" s="1" t="s">
        <v>3880</v>
      </c>
      <c r="AC90" s="1">
        <v>44369</v>
      </c>
      <c r="AD90" s="1">
        <v>44298</v>
      </c>
      <c r="AE90" s="1">
        <v>44678</v>
      </c>
      <c r="AF90" s="1">
        <v>44576</v>
      </c>
      <c r="AG90" s="1">
        <v>44348</v>
      </c>
      <c r="AH90" s="1" t="s">
        <v>54</v>
      </c>
      <c r="AI90" s="1" t="s">
        <v>2780</v>
      </c>
      <c r="AJ90" s="31">
        <v>44298</v>
      </c>
      <c r="AK90"/>
      <c r="AL90"/>
      <c r="AM90"/>
      <c r="AN90"/>
      <c r="AO90"/>
      <c r="AP90"/>
    </row>
    <row r="91" spans="1:42" hidden="1">
      <c r="A91" s="1" t="s">
        <v>2542</v>
      </c>
      <c r="B91" s="1">
        <v>210413</v>
      </c>
      <c r="D91" s="1" t="s">
        <v>69</v>
      </c>
      <c r="F91"/>
      <c r="G91"/>
      <c r="H91" s="1" t="s">
        <v>2781</v>
      </c>
      <c r="I91" s="1" t="s">
        <v>2782</v>
      </c>
      <c r="J91" s="1" t="s">
        <v>18</v>
      </c>
      <c r="K91" s="1" t="s">
        <v>50</v>
      </c>
      <c r="L91" s="1">
        <v>33521</v>
      </c>
      <c r="M91" s="1">
        <v>34</v>
      </c>
      <c r="N91" s="1">
        <v>1200</v>
      </c>
      <c r="P91" s="1">
        <v>1600</v>
      </c>
      <c r="Q91" s="1"/>
      <c r="R91" s="1">
        <v>400</v>
      </c>
      <c r="S91"/>
      <c r="T91" t="s">
        <v>55</v>
      </c>
      <c r="U91" t="s">
        <v>814</v>
      </c>
      <c r="V91" t="s">
        <v>55</v>
      </c>
      <c r="W91" s="1">
        <v>44803</v>
      </c>
      <c r="X91" s="1" t="s">
        <v>55</v>
      </c>
      <c r="Y91" s="1" t="s">
        <v>51</v>
      </c>
      <c r="Z91" s="1" t="s">
        <v>485</v>
      </c>
      <c r="AA91" s="1" t="s">
        <v>486</v>
      </c>
      <c r="AB91" s="1" t="s">
        <v>1595</v>
      </c>
      <c r="AC91" s="1">
        <v>44295</v>
      </c>
      <c r="AD91" s="1">
        <v>44299</v>
      </c>
      <c r="AE91" s="1">
        <v>44317</v>
      </c>
      <c r="AF91" s="1"/>
      <c r="AG91" s="1">
        <v>44348</v>
      </c>
      <c r="AH91" s="1"/>
      <c r="AI91" s="1"/>
      <c r="AJ91" s="31">
        <v>44299</v>
      </c>
      <c r="AK91"/>
      <c r="AL91"/>
      <c r="AM91"/>
      <c r="AN91"/>
      <c r="AO91"/>
      <c r="AP91"/>
    </row>
    <row r="92" spans="1:42" hidden="1">
      <c r="A92" s="1" t="s">
        <v>2542</v>
      </c>
      <c r="B92" s="1">
        <v>210414</v>
      </c>
      <c r="D92" s="1" t="s">
        <v>69</v>
      </c>
      <c r="F92"/>
      <c r="G92"/>
      <c r="H92" s="1" t="s">
        <v>2783</v>
      </c>
      <c r="I92" s="1" t="s">
        <v>2784</v>
      </c>
      <c r="J92" s="1" t="s">
        <v>18</v>
      </c>
      <c r="K92" s="1" t="s">
        <v>50</v>
      </c>
      <c r="L92" s="1">
        <v>33953</v>
      </c>
      <c r="M92" s="1">
        <v>32</v>
      </c>
      <c r="N92" s="1">
        <v>1200</v>
      </c>
      <c r="P92" s="1">
        <v>1600</v>
      </c>
      <c r="Q92" s="1"/>
      <c r="R92" s="1">
        <v>400</v>
      </c>
      <c r="S92"/>
      <c r="T92" t="s">
        <v>55</v>
      </c>
      <c r="U92" t="s">
        <v>814</v>
      </c>
      <c r="V92" t="s">
        <v>55</v>
      </c>
      <c r="W92" s="1"/>
      <c r="X92" s="1" t="s">
        <v>55</v>
      </c>
      <c r="Y92" s="1" t="s">
        <v>51</v>
      </c>
      <c r="Z92" s="1" t="s">
        <v>485</v>
      </c>
      <c r="AA92" s="1" t="s">
        <v>486</v>
      </c>
      <c r="AB92" s="1" t="s">
        <v>1595</v>
      </c>
      <c r="AC92" s="1">
        <v>44298</v>
      </c>
      <c r="AD92" s="1">
        <v>44299</v>
      </c>
      <c r="AE92" s="1">
        <v>44344</v>
      </c>
      <c r="AF92" s="1"/>
      <c r="AG92" s="1">
        <v>44348</v>
      </c>
      <c r="AH92" s="1"/>
      <c r="AI92" s="1"/>
      <c r="AJ92" s="31">
        <v>44299</v>
      </c>
      <c r="AK92"/>
      <c r="AL92"/>
      <c r="AM92"/>
      <c r="AN92"/>
      <c r="AO92"/>
      <c r="AP92"/>
    </row>
    <row r="93" spans="1:42" hidden="1">
      <c r="A93" s="1" t="s">
        <v>2542</v>
      </c>
      <c r="B93" s="1">
        <v>210415</v>
      </c>
      <c r="D93" s="1" t="s">
        <v>464</v>
      </c>
      <c r="E93" s="1" t="s">
        <v>465</v>
      </c>
      <c r="F93"/>
      <c r="G93"/>
      <c r="H93" s="1" t="s">
        <v>2785</v>
      </c>
      <c r="I93" s="1" t="s">
        <v>2786</v>
      </c>
      <c r="J93" s="1" t="s">
        <v>18</v>
      </c>
      <c r="K93" s="1" t="s">
        <v>50</v>
      </c>
      <c r="L93" s="1">
        <v>33411</v>
      </c>
      <c r="M93" s="1">
        <v>34</v>
      </c>
      <c r="N93" s="1">
        <v>1500</v>
      </c>
      <c r="P93" s="1">
        <v>2000</v>
      </c>
      <c r="Q93" s="1" t="s">
        <v>2787</v>
      </c>
      <c r="R93" s="1">
        <v>500</v>
      </c>
      <c r="S93"/>
      <c r="T93" t="s">
        <v>55</v>
      </c>
      <c r="U93" t="s">
        <v>814</v>
      </c>
      <c r="V93" t="s">
        <v>55</v>
      </c>
      <c r="W93" s="1">
        <v>45423</v>
      </c>
      <c r="X93" s="1" t="s">
        <v>55</v>
      </c>
      <c r="Y93" s="1" t="s">
        <v>51</v>
      </c>
      <c r="Z93" s="1" t="s">
        <v>466</v>
      </c>
      <c r="AA93" s="1" t="s">
        <v>467</v>
      </c>
      <c r="AB93" s="1" t="s">
        <v>2788</v>
      </c>
      <c r="AC93" s="1" t="s">
        <v>53</v>
      </c>
      <c r="AD93" s="1">
        <v>44301</v>
      </c>
      <c r="AE93" s="1">
        <v>44834</v>
      </c>
      <c r="AF93" s="1"/>
      <c r="AG93" s="1">
        <v>44378</v>
      </c>
      <c r="AH93" s="1" t="s">
        <v>54</v>
      </c>
      <c r="AI93" s="1"/>
      <c r="AJ93" s="31">
        <v>44301</v>
      </c>
      <c r="AK93"/>
      <c r="AL93"/>
      <c r="AM93"/>
      <c r="AN93"/>
      <c r="AO93"/>
      <c r="AP93"/>
    </row>
    <row r="94" spans="1:42" hidden="1">
      <c r="A94" s="1" t="s">
        <v>2542</v>
      </c>
      <c r="B94" s="1">
        <v>210416</v>
      </c>
      <c r="C94" s="1">
        <v>242016</v>
      </c>
      <c r="D94" s="1" t="s">
        <v>69</v>
      </c>
      <c r="E94" s="1" t="s">
        <v>306</v>
      </c>
      <c r="F94" t="s">
        <v>742</v>
      </c>
      <c r="G94" t="s">
        <v>317</v>
      </c>
      <c r="H94" s="1" t="s">
        <v>468</v>
      </c>
      <c r="I94" s="1" t="s">
        <v>469</v>
      </c>
      <c r="J94" s="1" t="s">
        <v>18</v>
      </c>
      <c r="K94" s="1" t="s">
        <v>50</v>
      </c>
      <c r="L94" s="1">
        <v>33527</v>
      </c>
      <c r="M94" s="1">
        <v>34</v>
      </c>
      <c r="N94" s="1">
        <v>1410</v>
      </c>
      <c r="P94" s="1">
        <v>1830</v>
      </c>
      <c r="Q94" s="1" t="s">
        <v>71</v>
      </c>
      <c r="R94" s="1">
        <v>420</v>
      </c>
      <c r="S94">
        <v>320000</v>
      </c>
      <c r="T94">
        <v>16048</v>
      </c>
      <c r="U94" t="s">
        <v>814</v>
      </c>
      <c r="V94">
        <v>29280</v>
      </c>
      <c r="W94" s="1">
        <v>46529</v>
      </c>
      <c r="X94" s="1" t="s">
        <v>55</v>
      </c>
      <c r="Y94" s="1" t="s">
        <v>51</v>
      </c>
      <c r="Z94" s="1" t="s">
        <v>427</v>
      </c>
      <c r="AA94" s="1" t="s">
        <v>423</v>
      </c>
      <c r="AB94" s="1" t="s">
        <v>424</v>
      </c>
      <c r="AC94" s="1">
        <v>44896</v>
      </c>
      <c r="AD94" s="1">
        <v>44305</v>
      </c>
      <c r="AE94" s="1">
        <v>45667</v>
      </c>
      <c r="AF94" s="1">
        <v>44408</v>
      </c>
      <c r="AG94" s="1">
        <v>44378</v>
      </c>
      <c r="AH94" s="1" t="s">
        <v>54</v>
      </c>
      <c r="AI94" s="1"/>
      <c r="AJ94" s="31">
        <v>44305</v>
      </c>
      <c r="AK94"/>
      <c r="AL94"/>
      <c r="AM94"/>
      <c r="AN94"/>
      <c r="AO94"/>
      <c r="AP94"/>
    </row>
    <row r="95" spans="1:42" hidden="1">
      <c r="A95" s="1" t="s">
        <v>2542</v>
      </c>
      <c r="B95" s="1">
        <v>210417</v>
      </c>
      <c r="C95" s="1">
        <v>83505</v>
      </c>
      <c r="D95" s="1" t="s">
        <v>107</v>
      </c>
      <c r="E95" s="1" t="s">
        <v>2789</v>
      </c>
      <c r="F95"/>
      <c r="G95"/>
      <c r="H95" s="1" t="s">
        <v>2790</v>
      </c>
      <c r="I95" s="1" t="s">
        <v>2791</v>
      </c>
      <c r="J95" s="1" t="s">
        <v>18</v>
      </c>
      <c r="K95" s="1" t="s">
        <v>50</v>
      </c>
      <c r="L95" s="1">
        <v>33593</v>
      </c>
      <c r="M95" s="1">
        <v>33</v>
      </c>
      <c r="N95" s="1">
        <v>1500</v>
      </c>
      <c r="O95" s="1" t="s">
        <v>2792</v>
      </c>
      <c r="P95" s="1">
        <v>2300</v>
      </c>
      <c r="Q95" s="1"/>
      <c r="R95" s="1">
        <v>800</v>
      </c>
      <c r="S95">
        <v>340000</v>
      </c>
      <c r="T95">
        <v>17051</v>
      </c>
      <c r="U95" t="s">
        <v>814</v>
      </c>
      <c r="V95">
        <v>31110</v>
      </c>
      <c r="W95" s="1">
        <v>44996</v>
      </c>
      <c r="X95" s="1" t="s">
        <v>55</v>
      </c>
      <c r="Y95" s="1" t="s">
        <v>51</v>
      </c>
      <c r="Z95" s="1" t="s">
        <v>117</v>
      </c>
      <c r="AA95" s="1" t="s">
        <v>123</v>
      </c>
      <c r="AB95" s="1" t="s">
        <v>2793</v>
      </c>
      <c r="AC95" s="1" t="s">
        <v>53</v>
      </c>
      <c r="AD95" s="1">
        <v>44306</v>
      </c>
      <c r="AE95" s="1">
        <v>45015</v>
      </c>
      <c r="AF95" s="1"/>
      <c r="AG95" s="1">
        <v>44378</v>
      </c>
      <c r="AH95" s="1" t="s">
        <v>54</v>
      </c>
      <c r="AI95" s="1"/>
      <c r="AJ95" s="31">
        <v>44306</v>
      </c>
      <c r="AK95"/>
      <c r="AL95"/>
      <c r="AM95"/>
      <c r="AN95"/>
      <c r="AO95"/>
      <c r="AP95"/>
    </row>
    <row r="96" spans="1:42" hidden="1">
      <c r="A96" s="1" t="s">
        <v>2542</v>
      </c>
      <c r="B96" s="1">
        <v>210418</v>
      </c>
      <c r="C96" s="1">
        <v>500003</v>
      </c>
      <c r="D96" s="1" t="s">
        <v>471</v>
      </c>
      <c r="E96" s="1" t="s">
        <v>472</v>
      </c>
      <c r="F96"/>
      <c r="G96"/>
      <c r="H96" s="1" t="s">
        <v>2794</v>
      </c>
      <c r="I96" s="1" t="s">
        <v>2795</v>
      </c>
      <c r="J96" s="1" t="s">
        <v>18</v>
      </c>
      <c r="K96" s="1" t="s">
        <v>50</v>
      </c>
      <c r="L96" s="1">
        <v>36040</v>
      </c>
      <c r="M96" s="1">
        <v>27</v>
      </c>
      <c r="N96" s="1">
        <v>1400</v>
      </c>
      <c r="P96" s="1">
        <v>2000</v>
      </c>
      <c r="Q96" s="1"/>
      <c r="R96" s="1">
        <v>600</v>
      </c>
      <c r="S96"/>
      <c r="T96" t="s">
        <v>55</v>
      </c>
      <c r="U96" t="s">
        <v>814</v>
      </c>
      <c r="V96" t="s">
        <v>55</v>
      </c>
      <c r="W96" s="1">
        <v>46018</v>
      </c>
      <c r="X96" s="1" t="s">
        <v>55</v>
      </c>
      <c r="Y96" s="1" t="s">
        <v>51</v>
      </c>
      <c r="Z96" s="1" t="s">
        <v>2796</v>
      </c>
      <c r="AA96" s="1" t="s">
        <v>2797</v>
      </c>
      <c r="AB96" s="1" t="s">
        <v>2798</v>
      </c>
      <c r="AC96" s="1">
        <v>44306</v>
      </c>
      <c r="AD96" s="1">
        <v>44307</v>
      </c>
      <c r="AE96" s="1">
        <v>44841</v>
      </c>
      <c r="AF96" s="1"/>
      <c r="AG96" s="1">
        <v>44378</v>
      </c>
      <c r="AH96" s="1" t="s">
        <v>54</v>
      </c>
      <c r="AI96" s="1"/>
      <c r="AJ96" s="31">
        <v>44307</v>
      </c>
      <c r="AK96"/>
      <c r="AL96"/>
      <c r="AM96"/>
      <c r="AN96"/>
      <c r="AO96"/>
      <c r="AP96"/>
    </row>
    <row r="97" spans="1:42" hidden="1">
      <c r="A97" s="1" t="s">
        <v>2542</v>
      </c>
      <c r="B97" s="1">
        <v>210419</v>
      </c>
      <c r="D97" s="1" t="s">
        <v>2799</v>
      </c>
      <c r="F97"/>
      <c r="G97"/>
      <c r="H97" s="1" t="s">
        <v>2800</v>
      </c>
      <c r="I97" s="1" t="s">
        <v>2801</v>
      </c>
      <c r="J97" s="1" t="s">
        <v>18</v>
      </c>
      <c r="K97" s="1" t="s">
        <v>50</v>
      </c>
      <c r="L97" s="1">
        <v>31537</v>
      </c>
      <c r="M97" s="1">
        <v>39</v>
      </c>
      <c r="N97" s="1">
        <v>1400</v>
      </c>
      <c r="O97" s="1" t="s">
        <v>2802</v>
      </c>
      <c r="P97" s="1">
        <v>1750</v>
      </c>
      <c r="Q97" s="1"/>
      <c r="R97" s="1">
        <v>350</v>
      </c>
      <c r="S97">
        <v>280000</v>
      </c>
      <c r="T97">
        <v>14042</v>
      </c>
      <c r="U97" t="s">
        <v>814</v>
      </c>
      <c r="V97">
        <v>25620</v>
      </c>
      <c r="W97" s="1">
        <v>45671</v>
      </c>
      <c r="X97" s="1" t="s">
        <v>55</v>
      </c>
      <c r="Y97" s="1" t="s">
        <v>51</v>
      </c>
      <c r="Z97" s="1" t="s">
        <v>2803</v>
      </c>
      <c r="AA97" s="1" t="s">
        <v>2804</v>
      </c>
      <c r="AB97" s="1" t="s">
        <v>2805</v>
      </c>
      <c r="AC97" s="1">
        <v>44305</v>
      </c>
      <c r="AD97" s="1">
        <v>44308</v>
      </c>
      <c r="AE97" s="1">
        <v>45065</v>
      </c>
      <c r="AF97" s="1"/>
      <c r="AG97" s="1">
        <v>44378</v>
      </c>
      <c r="AH97" s="1" t="s">
        <v>54</v>
      </c>
      <c r="AI97" s="1"/>
      <c r="AJ97" s="31">
        <v>44308</v>
      </c>
      <c r="AK97"/>
      <c r="AL97"/>
      <c r="AM97"/>
      <c r="AN97"/>
      <c r="AO97"/>
      <c r="AP97"/>
    </row>
    <row r="98" spans="1:42" hidden="1">
      <c r="A98" s="1" t="s">
        <v>2542</v>
      </c>
      <c r="B98" s="1">
        <v>210420</v>
      </c>
      <c r="C98" s="1">
        <v>500002</v>
      </c>
      <c r="D98" s="1" t="s">
        <v>471</v>
      </c>
      <c r="E98" s="1" t="s">
        <v>472</v>
      </c>
      <c r="F98"/>
      <c r="G98"/>
      <c r="H98" s="1" t="s">
        <v>473</v>
      </c>
      <c r="I98" s="1" t="s">
        <v>474</v>
      </c>
      <c r="J98" s="1" t="s">
        <v>18</v>
      </c>
      <c r="K98" s="1" t="s">
        <v>50</v>
      </c>
      <c r="L98" s="1">
        <v>33714</v>
      </c>
      <c r="M98" s="1">
        <v>33</v>
      </c>
      <c r="N98" s="1">
        <v>1400</v>
      </c>
      <c r="P98" s="1">
        <v>2000</v>
      </c>
      <c r="Q98" s="1"/>
      <c r="R98" s="1">
        <v>600</v>
      </c>
      <c r="S98"/>
      <c r="T98" t="s">
        <v>55</v>
      </c>
      <c r="U98" t="s">
        <v>814</v>
      </c>
      <c r="V98" t="s">
        <v>55</v>
      </c>
      <c r="W98" s="1">
        <v>44970</v>
      </c>
      <c r="X98" s="1" t="s">
        <v>55</v>
      </c>
      <c r="Y98" s="1" t="s">
        <v>51</v>
      </c>
      <c r="Z98" s="1" t="s">
        <v>2806</v>
      </c>
      <c r="AA98" s="1" t="s">
        <v>2807</v>
      </c>
      <c r="AB98" s="1" t="s">
        <v>2808</v>
      </c>
      <c r="AC98" s="1">
        <v>44311</v>
      </c>
      <c r="AD98" s="1">
        <v>44312</v>
      </c>
      <c r="AE98" s="1">
        <v>44859</v>
      </c>
      <c r="AF98" s="1"/>
      <c r="AG98" s="1">
        <v>44378</v>
      </c>
      <c r="AH98" s="1" t="s">
        <v>54</v>
      </c>
      <c r="AI98" s="1"/>
      <c r="AJ98" s="31">
        <v>44312</v>
      </c>
      <c r="AK98"/>
      <c r="AL98"/>
      <c r="AM98"/>
      <c r="AN98"/>
      <c r="AO98"/>
      <c r="AP98"/>
    </row>
    <row r="99" spans="1:42" hidden="1">
      <c r="A99" s="1" t="s">
        <v>49</v>
      </c>
      <c r="B99" s="1">
        <v>210421</v>
      </c>
      <c r="C99" s="1">
        <v>410001</v>
      </c>
      <c r="D99" s="1" t="s">
        <v>447</v>
      </c>
      <c r="E99" s="1" t="s">
        <v>1270</v>
      </c>
      <c r="F99" t="s">
        <v>1271</v>
      </c>
      <c r="G99" t="s">
        <v>1267</v>
      </c>
      <c r="H99" s="1" t="s">
        <v>475</v>
      </c>
      <c r="I99" s="1" t="s">
        <v>476</v>
      </c>
      <c r="J99" s="1" t="s">
        <v>18</v>
      </c>
      <c r="K99" s="1" t="s">
        <v>50</v>
      </c>
      <c r="L99" s="1">
        <v>34027</v>
      </c>
      <c r="M99" s="1">
        <v>32</v>
      </c>
      <c r="N99" s="1">
        <v>1350</v>
      </c>
      <c r="O99" s="1" t="s">
        <v>477</v>
      </c>
      <c r="P99" s="1">
        <v>1750</v>
      </c>
      <c r="Q99" s="1"/>
      <c r="R99" s="1">
        <v>400</v>
      </c>
      <c r="S99">
        <v>280000</v>
      </c>
      <c r="T99">
        <v>14042</v>
      </c>
      <c r="U99" t="s">
        <v>814</v>
      </c>
      <c r="V99">
        <v>25620</v>
      </c>
      <c r="W99" s="1">
        <v>46178</v>
      </c>
      <c r="X99" s="1" t="s">
        <v>55</v>
      </c>
      <c r="Y99" s="1" t="s">
        <v>51</v>
      </c>
      <c r="Z99" s="1" t="s">
        <v>448</v>
      </c>
      <c r="AA99" s="1" t="s">
        <v>4043</v>
      </c>
      <c r="AB99" s="1" t="s">
        <v>4166</v>
      </c>
      <c r="AC99" s="1" t="s">
        <v>53</v>
      </c>
      <c r="AD99" s="1">
        <v>44312</v>
      </c>
      <c r="AE99" s="1"/>
      <c r="AF99" s="1"/>
      <c r="AG99" s="1">
        <v>44378</v>
      </c>
      <c r="AH99" s="1" t="s">
        <v>54</v>
      </c>
      <c r="AI99" s="1"/>
      <c r="AJ99" s="31">
        <v>44312</v>
      </c>
      <c r="AK99"/>
      <c r="AL99"/>
      <c r="AM99"/>
      <c r="AN99"/>
      <c r="AO99"/>
      <c r="AP99"/>
    </row>
    <row r="100" spans="1:42" hidden="1">
      <c r="A100" s="1" t="s">
        <v>2542</v>
      </c>
      <c r="B100" s="1">
        <v>210422</v>
      </c>
      <c r="D100" s="1" t="s">
        <v>414</v>
      </c>
      <c r="E100" s="1" t="s">
        <v>1065</v>
      </c>
      <c r="F100" t="s">
        <v>1083</v>
      </c>
      <c r="G100" t="s">
        <v>1068</v>
      </c>
      <c r="H100" s="1" t="s">
        <v>2809</v>
      </c>
      <c r="I100" s="1" t="s">
        <v>2810</v>
      </c>
      <c r="J100" s="1" t="s">
        <v>18</v>
      </c>
      <c r="K100" s="1" t="s">
        <v>50</v>
      </c>
      <c r="L100" s="1">
        <v>32470</v>
      </c>
      <c r="M100" s="1">
        <v>37</v>
      </c>
      <c r="N100" s="1">
        <v>1300</v>
      </c>
      <c r="P100" s="1">
        <v>1650</v>
      </c>
      <c r="Q100" s="1" t="s">
        <v>412</v>
      </c>
      <c r="R100" s="1">
        <v>350</v>
      </c>
      <c r="S100"/>
      <c r="T100" t="s">
        <v>55</v>
      </c>
      <c r="U100" t="s">
        <v>814</v>
      </c>
      <c r="V100" t="s">
        <v>55</v>
      </c>
      <c r="W100" s="1">
        <v>45431</v>
      </c>
      <c r="X100" s="1" t="s">
        <v>55</v>
      </c>
      <c r="Y100" s="1" t="s">
        <v>51</v>
      </c>
      <c r="Z100" s="1" t="s">
        <v>551</v>
      </c>
      <c r="AA100" s="1" t="s">
        <v>552</v>
      </c>
      <c r="AB100" s="1" t="s">
        <v>553</v>
      </c>
      <c r="AC100" s="1">
        <v>44309</v>
      </c>
      <c r="AD100" s="1">
        <v>44312</v>
      </c>
      <c r="AE100" s="1">
        <v>44638</v>
      </c>
      <c r="AF100" s="1"/>
      <c r="AG100" s="1">
        <v>44378</v>
      </c>
      <c r="AH100" s="1"/>
      <c r="AI100" s="1"/>
      <c r="AJ100" s="31">
        <v>44312</v>
      </c>
      <c r="AK100"/>
      <c r="AL100"/>
      <c r="AM100"/>
      <c r="AN100"/>
      <c r="AO100"/>
      <c r="AP100"/>
    </row>
    <row r="101" spans="1:42" hidden="1">
      <c r="A101" s="1" t="s">
        <v>2542</v>
      </c>
      <c r="B101" s="1">
        <v>210423</v>
      </c>
      <c r="D101" s="1" t="s">
        <v>464</v>
      </c>
      <c r="E101" s="1" t="s">
        <v>465</v>
      </c>
      <c r="F101"/>
      <c r="G101"/>
      <c r="H101" s="1" t="s">
        <v>2811</v>
      </c>
      <c r="I101" s="1" t="s">
        <v>2812</v>
      </c>
      <c r="J101" s="1" t="s">
        <v>17</v>
      </c>
      <c r="K101" s="1" t="s">
        <v>50</v>
      </c>
      <c r="L101" s="1">
        <v>33340</v>
      </c>
      <c r="M101" s="1">
        <v>34</v>
      </c>
      <c r="N101" s="1">
        <v>1400</v>
      </c>
      <c r="P101" s="1">
        <v>2000</v>
      </c>
      <c r="Q101" s="1"/>
      <c r="R101" s="1">
        <v>600</v>
      </c>
      <c r="S101">
        <v>180000</v>
      </c>
      <c r="T101">
        <v>9027</v>
      </c>
      <c r="U101" t="s">
        <v>814</v>
      </c>
      <c r="V101">
        <v>16470</v>
      </c>
      <c r="W101" s="1">
        <v>45388</v>
      </c>
      <c r="X101" s="1" t="s">
        <v>55</v>
      </c>
      <c r="Y101" s="1" t="s">
        <v>51</v>
      </c>
      <c r="Z101" s="1" t="s">
        <v>466</v>
      </c>
      <c r="AA101" s="1" t="s">
        <v>467</v>
      </c>
      <c r="AB101" s="1" t="s">
        <v>2788</v>
      </c>
      <c r="AC101" s="1" t="s">
        <v>53</v>
      </c>
      <c r="AD101" s="1">
        <v>44313</v>
      </c>
      <c r="AE101" s="1">
        <v>45023</v>
      </c>
      <c r="AF101" s="1"/>
      <c r="AG101" s="1">
        <v>44378</v>
      </c>
      <c r="AH101" s="1" t="s">
        <v>54</v>
      </c>
      <c r="AI101" s="1" t="s">
        <v>2813</v>
      </c>
      <c r="AJ101" s="31">
        <v>44313</v>
      </c>
      <c r="AK101"/>
      <c r="AL101"/>
      <c r="AM101"/>
      <c r="AN101"/>
      <c r="AO101"/>
      <c r="AP101"/>
    </row>
    <row r="102" spans="1:42" hidden="1">
      <c r="A102" s="1" t="s">
        <v>2542</v>
      </c>
      <c r="B102" s="1">
        <v>210424</v>
      </c>
      <c r="D102" s="1" t="s">
        <v>464</v>
      </c>
      <c r="E102" s="1" t="s">
        <v>465</v>
      </c>
      <c r="F102"/>
      <c r="G102"/>
      <c r="H102" s="1" t="s">
        <v>479</v>
      </c>
      <c r="I102" s="1" t="s">
        <v>480</v>
      </c>
      <c r="J102" s="1" t="s">
        <v>18</v>
      </c>
      <c r="K102" s="1" t="s">
        <v>50</v>
      </c>
      <c r="L102" s="1">
        <v>32730</v>
      </c>
      <c r="M102" s="1">
        <v>36</v>
      </c>
      <c r="N102" s="1">
        <v>1450</v>
      </c>
      <c r="P102" s="1">
        <v>2100</v>
      </c>
      <c r="Q102" s="1" t="s">
        <v>1994</v>
      </c>
      <c r="R102" s="1">
        <v>650</v>
      </c>
      <c r="S102">
        <v>240000</v>
      </c>
      <c r="T102">
        <v>12036</v>
      </c>
      <c r="U102" t="s">
        <v>814</v>
      </c>
      <c r="V102">
        <v>21960</v>
      </c>
      <c r="W102" s="1">
        <v>46439</v>
      </c>
      <c r="X102" s="1" t="s">
        <v>55</v>
      </c>
      <c r="Y102" s="1" t="s">
        <v>51</v>
      </c>
      <c r="Z102" s="1" t="s">
        <v>466</v>
      </c>
      <c r="AA102" s="1" t="s">
        <v>467</v>
      </c>
      <c r="AB102" s="1" t="s">
        <v>2814</v>
      </c>
      <c r="AC102" s="1" t="s">
        <v>53</v>
      </c>
      <c r="AD102" s="1">
        <v>44313</v>
      </c>
      <c r="AE102" s="1">
        <v>45386</v>
      </c>
      <c r="AF102" s="1"/>
      <c r="AG102" s="1">
        <v>44378</v>
      </c>
      <c r="AH102" s="1" t="s">
        <v>54</v>
      </c>
      <c r="AI102" s="1"/>
      <c r="AJ102" s="31">
        <v>44313</v>
      </c>
      <c r="AK102"/>
      <c r="AL102"/>
      <c r="AM102"/>
      <c r="AN102"/>
      <c r="AO102"/>
      <c r="AP102"/>
    </row>
    <row r="103" spans="1:42" hidden="1">
      <c r="A103" s="1" t="s">
        <v>2542</v>
      </c>
      <c r="B103" s="1">
        <v>210425</v>
      </c>
      <c r="D103" s="1" t="s">
        <v>813</v>
      </c>
      <c r="G103"/>
      <c r="H103" s="1" t="s">
        <v>2815</v>
      </c>
      <c r="I103" s="1" t="s">
        <v>2816</v>
      </c>
      <c r="J103" s="1" t="s">
        <v>18</v>
      </c>
      <c r="K103" s="1" t="s">
        <v>50</v>
      </c>
      <c r="L103" s="1">
        <v>34618</v>
      </c>
      <c r="M103" s="1">
        <v>31</v>
      </c>
      <c r="N103" s="1">
        <v>1300</v>
      </c>
      <c r="P103" s="1">
        <v>1800</v>
      </c>
      <c r="Q103" s="1"/>
      <c r="R103" s="1">
        <v>500</v>
      </c>
      <c r="S103"/>
      <c r="T103" t="s">
        <v>55</v>
      </c>
      <c r="U103" t="s">
        <v>814</v>
      </c>
      <c r="V103" t="s">
        <v>55</v>
      </c>
      <c r="W103" s="1">
        <v>44937</v>
      </c>
      <c r="X103" s="1" t="s">
        <v>55</v>
      </c>
      <c r="Y103" s="1" t="s">
        <v>51</v>
      </c>
      <c r="Z103" s="1" t="s">
        <v>52</v>
      </c>
      <c r="AA103" s="1" t="s">
        <v>2546</v>
      </c>
      <c r="AB103" s="1" t="s">
        <v>59</v>
      </c>
      <c r="AC103" s="1">
        <v>44312</v>
      </c>
      <c r="AD103" s="1">
        <v>44313</v>
      </c>
      <c r="AE103" s="1">
        <v>44498</v>
      </c>
      <c r="AF103" s="1"/>
      <c r="AG103" s="1">
        <v>44378</v>
      </c>
      <c r="AH103" s="1"/>
      <c r="AI103" s="1"/>
      <c r="AJ103" s="31">
        <v>44313</v>
      </c>
      <c r="AK103"/>
      <c r="AL103"/>
      <c r="AM103"/>
      <c r="AN103"/>
      <c r="AO103"/>
      <c r="AP103"/>
    </row>
    <row r="104" spans="1:42" hidden="1">
      <c r="A104" s="1" t="s">
        <v>2542</v>
      </c>
      <c r="B104" s="1">
        <v>210426</v>
      </c>
      <c r="C104" s="1">
        <v>48</v>
      </c>
      <c r="D104" s="1" t="s">
        <v>813</v>
      </c>
      <c r="F104" t="s">
        <v>2655</v>
      </c>
      <c r="G104"/>
      <c r="H104" s="1" t="s">
        <v>2817</v>
      </c>
      <c r="I104" s="1" t="s">
        <v>2818</v>
      </c>
      <c r="J104" s="1" t="s">
        <v>18</v>
      </c>
      <c r="K104" s="1" t="s">
        <v>50</v>
      </c>
      <c r="L104" s="1">
        <v>34509</v>
      </c>
      <c r="M104" s="1">
        <v>31</v>
      </c>
      <c r="N104" s="1">
        <v>1300</v>
      </c>
      <c r="P104" s="1">
        <v>1800</v>
      </c>
      <c r="Q104" s="1"/>
      <c r="R104" s="1">
        <v>500</v>
      </c>
      <c r="S104"/>
      <c r="T104" t="s">
        <v>55</v>
      </c>
      <c r="U104" t="s">
        <v>814</v>
      </c>
      <c r="V104" t="s">
        <v>55</v>
      </c>
      <c r="W104" s="1">
        <v>45734</v>
      </c>
      <c r="X104" s="1" t="s">
        <v>55</v>
      </c>
      <c r="Y104" s="1" t="s">
        <v>51</v>
      </c>
      <c r="Z104" s="1" t="s">
        <v>52</v>
      </c>
      <c r="AA104" s="1" t="s">
        <v>2546</v>
      </c>
      <c r="AB104" s="1" t="s">
        <v>124</v>
      </c>
      <c r="AC104" s="1">
        <v>44312</v>
      </c>
      <c r="AD104" s="1">
        <v>44313</v>
      </c>
      <c r="AE104" s="1">
        <v>44712</v>
      </c>
      <c r="AF104" s="1"/>
      <c r="AG104" s="1">
        <v>44378</v>
      </c>
      <c r="AH104" s="1" t="s">
        <v>54</v>
      </c>
      <c r="AI104" s="1"/>
      <c r="AJ104" s="31">
        <v>44313</v>
      </c>
      <c r="AK104"/>
      <c r="AL104"/>
      <c r="AM104"/>
      <c r="AN104"/>
      <c r="AO104"/>
      <c r="AP104"/>
    </row>
    <row r="105" spans="1:42" hidden="1">
      <c r="A105" s="1" t="s">
        <v>2542</v>
      </c>
      <c r="B105" s="1">
        <v>210501</v>
      </c>
      <c r="C105" s="1">
        <v>232012</v>
      </c>
      <c r="D105" s="1" t="s">
        <v>83</v>
      </c>
      <c r="E105" s="1" t="s">
        <v>307</v>
      </c>
      <c r="F105" t="s">
        <v>2251</v>
      </c>
      <c r="G105" t="s">
        <v>2252</v>
      </c>
      <c r="H105" s="1" t="s">
        <v>125</v>
      </c>
      <c r="I105" s="1" t="s">
        <v>126</v>
      </c>
      <c r="J105" s="1" t="s">
        <v>18</v>
      </c>
      <c r="K105" s="1" t="s">
        <v>50</v>
      </c>
      <c r="L105" s="1">
        <v>34148</v>
      </c>
      <c r="M105" s="1">
        <v>32</v>
      </c>
      <c r="N105" s="1">
        <v>1420</v>
      </c>
      <c r="P105" s="1">
        <v>1880</v>
      </c>
      <c r="Q105" s="1" t="s">
        <v>66</v>
      </c>
      <c r="R105" s="1">
        <v>460</v>
      </c>
      <c r="S105">
        <v>280000</v>
      </c>
      <c r="T105">
        <v>14042</v>
      </c>
      <c r="U105" t="s">
        <v>814</v>
      </c>
      <c r="V105">
        <v>25620</v>
      </c>
      <c r="W105" s="1">
        <v>46276</v>
      </c>
      <c r="X105" s="1" t="s">
        <v>55</v>
      </c>
      <c r="Y105" s="1" t="s">
        <v>51</v>
      </c>
      <c r="Z105" s="1" t="s">
        <v>110</v>
      </c>
      <c r="AA105" s="1" t="s">
        <v>113</v>
      </c>
      <c r="AB105" s="1" t="s">
        <v>1316</v>
      </c>
      <c r="AC105" s="1">
        <v>44318</v>
      </c>
      <c r="AD105" s="1">
        <v>44326</v>
      </c>
      <c r="AE105" s="1">
        <v>45861</v>
      </c>
      <c r="AF105" s="1"/>
      <c r="AG105" s="1">
        <v>44378</v>
      </c>
      <c r="AH105" s="1" t="s">
        <v>54</v>
      </c>
      <c r="AI105" s="1"/>
      <c r="AJ105" s="31">
        <v>44326</v>
      </c>
      <c r="AK105"/>
      <c r="AL105"/>
      <c r="AM105"/>
      <c r="AN105"/>
      <c r="AO105"/>
      <c r="AP105"/>
    </row>
    <row r="106" spans="1:42" hidden="1">
      <c r="A106" s="1" t="s">
        <v>2542</v>
      </c>
      <c r="B106" s="1">
        <v>210502</v>
      </c>
      <c r="C106" s="1">
        <v>232011</v>
      </c>
      <c r="D106" s="1" t="s">
        <v>83</v>
      </c>
      <c r="E106" s="1" t="s">
        <v>311</v>
      </c>
      <c r="F106" t="s">
        <v>2655</v>
      </c>
      <c r="G106"/>
      <c r="H106" s="1" t="s">
        <v>2819</v>
      </c>
      <c r="I106" s="1" t="s">
        <v>2820</v>
      </c>
      <c r="J106" s="1" t="s">
        <v>17</v>
      </c>
      <c r="K106" s="1" t="s">
        <v>50</v>
      </c>
      <c r="L106" s="1">
        <v>34304</v>
      </c>
      <c r="M106" s="1">
        <v>32</v>
      </c>
      <c r="N106" s="1">
        <v>1150</v>
      </c>
      <c r="P106" s="1">
        <v>1640</v>
      </c>
      <c r="Q106" s="1" t="s">
        <v>2821</v>
      </c>
      <c r="R106" s="1">
        <v>490</v>
      </c>
      <c r="S106"/>
      <c r="T106" t="s">
        <v>55</v>
      </c>
      <c r="U106" t="s">
        <v>814</v>
      </c>
      <c r="V106" t="s">
        <v>55</v>
      </c>
      <c r="W106" s="1">
        <v>45710</v>
      </c>
      <c r="X106" s="1" t="s">
        <v>55</v>
      </c>
      <c r="Y106" s="1" t="s">
        <v>121</v>
      </c>
      <c r="Z106" s="1" t="s">
        <v>110</v>
      </c>
      <c r="AA106" s="1" t="s">
        <v>127</v>
      </c>
      <c r="AB106" s="1" t="s">
        <v>128</v>
      </c>
      <c r="AC106" s="1"/>
      <c r="AD106" s="1">
        <v>44326</v>
      </c>
      <c r="AE106" s="1">
        <v>44786</v>
      </c>
      <c r="AF106" s="1"/>
      <c r="AG106" s="1">
        <v>44378</v>
      </c>
      <c r="AH106" s="1" t="s">
        <v>54</v>
      </c>
      <c r="AI106" s="1"/>
      <c r="AJ106" s="31">
        <v>44326</v>
      </c>
      <c r="AK106"/>
      <c r="AL106"/>
      <c r="AM106"/>
      <c r="AN106"/>
      <c r="AO106"/>
      <c r="AP106"/>
    </row>
    <row r="107" spans="1:42" hidden="1">
      <c r="A107" s="1" t="s">
        <v>2542</v>
      </c>
      <c r="B107" s="1">
        <v>210503</v>
      </c>
      <c r="D107" s="1" t="s">
        <v>62</v>
      </c>
      <c r="E107" s="1" t="s">
        <v>3935</v>
      </c>
      <c r="F107"/>
      <c r="G107"/>
      <c r="H107" s="1" t="s">
        <v>2822</v>
      </c>
      <c r="I107" s="1" t="s">
        <v>2823</v>
      </c>
      <c r="J107" s="1" t="s">
        <v>17</v>
      </c>
      <c r="K107" s="1" t="s">
        <v>50</v>
      </c>
      <c r="L107" s="1">
        <v>34343</v>
      </c>
      <c r="M107" s="1">
        <v>31</v>
      </c>
      <c r="N107" s="1">
        <v>1100</v>
      </c>
      <c r="P107" s="1">
        <v>1500</v>
      </c>
      <c r="Q107" s="1"/>
      <c r="R107" s="1">
        <v>400</v>
      </c>
      <c r="S107"/>
      <c r="T107" t="s">
        <v>55</v>
      </c>
      <c r="U107" t="s">
        <v>814</v>
      </c>
      <c r="V107" t="s">
        <v>55</v>
      </c>
      <c r="W107" s="1">
        <v>44391</v>
      </c>
      <c r="X107" s="1" t="s">
        <v>55</v>
      </c>
      <c r="Y107" s="1" t="s">
        <v>121</v>
      </c>
      <c r="Z107" s="1" t="s">
        <v>91</v>
      </c>
      <c r="AA107" s="1" t="s">
        <v>2824</v>
      </c>
      <c r="AB107" s="1" t="s">
        <v>2825</v>
      </c>
      <c r="AC107" s="1" t="s">
        <v>53</v>
      </c>
      <c r="AD107" s="1">
        <v>44326</v>
      </c>
      <c r="AE107" s="1">
        <v>44377</v>
      </c>
      <c r="AF107" s="1"/>
      <c r="AG107" s="1">
        <v>44378</v>
      </c>
      <c r="AH107" s="1"/>
      <c r="AI107" s="1"/>
      <c r="AJ107" s="31">
        <v>44326</v>
      </c>
      <c r="AK107"/>
      <c r="AL107"/>
      <c r="AM107"/>
      <c r="AN107"/>
      <c r="AO107"/>
      <c r="AP107"/>
    </row>
    <row r="108" spans="1:42" hidden="1">
      <c r="A108" s="1" t="s">
        <v>2542</v>
      </c>
      <c r="B108" s="1">
        <v>210504</v>
      </c>
      <c r="D108" s="1" t="s">
        <v>62</v>
      </c>
      <c r="E108" s="1" t="s">
        <v>3935</v>
      </c>
      <c r="F108"/>
      <c r="G108"/>
      <c r="H108" s="1" t="s">
        <v>2826</v>
      </c>
      <c r="I108" s="1" t="s">
        <v>2827</v>
      </c>
      <c r="J108" s="1" t="s">
        <v>18</v>
      </c>
      <c r="K108" s="1" t="s">
        <v>404</v>
      </c>
      <c r="L108" s="1">
        <v>25308</v>
      </c>
      <c r="M108" s="1">
        <v>56</v>
      </c>
      <c r="N108" s="1">
        <v>1300</v>
      </c>
      <c r="P108" s="1">
        <v>1650</v>
      </c>
      <c r="Q108" s="1">
        <v>1650</v>
      </c>
      <c r="R108" s="1">
        <v>350</v>
      </c>
      <c r="S108"/>
      <c r="T108" t="s">
        <v>55</v>
      </c>
      <c r="U108" t="s">
        <v>814</v>
      </c>
      <c r="V108" t="s">
        <v>55</v>
      </c>
      <c r="W108" s="1">
        <v>44582</v>
      </c>
      <c r="X108" s="1" t="s">
        <v>55</v>
      </c>
      <c r="Y108" s="1" t="s">
        <v>540</v>
      </c>
      <c r="Z108" s="1" t="s">
        <v>2828</v>
      </c>
      <c r="AA108" s="1" t="s">
        <v>2829</v>
      </c>
      <c r="AB108" s="1"/>
      <c r="AC108" s="1" t="s">
        <v>53</v>
      </c>
      <c r="AD108" s="1">
        <v>44326</v>
      </c>
      <c r="AE108" s="1">
        <v>44439</v>
      </c>
      <c r="AF108" s="1"/>
      <c r="AG108" s="1">
        <v>44378</v>
      </c>
      <c r="AH108" s="1"/>
      <c r="AI108" s="1"/>
      <c r="AJ108" s="31">
        <v>44326</v>
      </c>
      <c r="AK108"/>
      <c r="AL108"/>
      <c r="AM108"/>
      <c r="AN108"/>
      <c r="AO108"/>
      <c r="AP108"/>
    </row>
    <row r="109" spans="1:42" hidden="1">
      <c r="A109" s="1" t="s">
        <v>2542</v>
      </c>
      <c r="B109" s="1">
        <v>210505</v>
      </c>
      <c r="D109" s="1" t="s">
        <v>447</v>
      </c>
      <c r="E109" s="1" t="s">
        <v>741</v>
      </c>
      <c r="F109" t="s">
        <v>2744</v>
      </c>
      <c r="G109"/>
      <c r="H109" s="1" t="s">
        <v>2830</v>
      </c>
      <c r="I109" s="1" t="s">
        <v>2831</v>
      </c>
      <c r="J109" s="1" t="s">
        <v>18</v>
      </c>
      <c r="K109" s="1" t="s">
        <v>50</v>
      </c>
      <c r="L109" s="1">
        <v>32473</v>
      </c>
      <c r="M109" s="1">
        <v>37</v>
      </c>
      <c r="N109" s="1">
        <v>1250</v>
      </c>
      <c r="P109" s="1">
        <v>1600</v>
      </c>
      <c r="Q109" s="1"/>
      <c r="R109" s="1">
        <v>350</v>
      </c>
      <c r="S109"/>
      <c r="T109" t="s">
        <v>55</v>
      </c>
      <c r="U109" t="s">
        <v>814</v>
      </c>
      <c r="V109" t="s">
        <v>55</v>
      </c>
      <c r="W109" s="1">
        <v>44954</v>
      </c>
      <c r="X109" s="1" t="s">
        <v>55</v>
      </c>
      <c r="Y109" s="1" t="s">
        <v>51</v>
      </c>
      <c r="Z109" s="1" t="s">
        <v>448</v>
      </c>
      <c r="AA109" s="1" t="s">
        <v>449</v>
      </c>
      <c r="AB109" s="1" t="s">
        <v>492</v>
      </c>
      <c r="AC109" s="1">
        <v>44314</v>
      </c>
      <c r="AD109" s="1">
        <v>44327</v>
      </c>
      <c r="AE109" s="1">
        <v>44592</v>
      </c>
      <c r="AF109" s="1"/>
      <c r="AG109" s="1">
        <v>44378</v>
      </c>
      <c r="AH109" s="1"/>
      <c r="AI109" s="1"/>
      <c r="AJ109" s="31">
        <v>44327</v>
      </c>
      <c r="AK109"/>
      <c r="AL109"/>
      <c r="AM109"/>
      <c r="AN109"/>
      <c r="AO109"/>
      <c r="AP109"/>
    </row>
    <row r="110" spans="1:42" hidden="1">
      <c r="A110" s="1" t="s">
        <v>2542</v>
      </c>
      <c r="B110" s="1">
        <v>210506</v>
      </c>
      <c r="D110" s="1" t="s">
        <v>447</v>
      </c>
      <c r="E110" s="1" t="s">
        <v>741</v>
      </c>
      <c r="F110" t="s">
        <v>2744</v>
      </c>
      <c r="G110"/>
      <c r="H110" s="1" t="s">
        <v>2832</v>
      </c>
      <c r="I110" s="1" t="s">
        <v>2833</v>
      </c>
      <c r="J110" s="1" t="s">
        <v>18</v>
      </c>
      <c r="K110" s="1" t="s">
        <v>50</v>
      </c>
      <c r="L110" s="1">
        <v>33538</v>
      </c>
      <c r="M110" s="1">
        <v>34</v>
      </c>
      <c r="N110" s="1">
        <v>1250</v>
      </c>
      <c r="P110" s="1">
        <v>1600</v>
      </c>
      <c r="Q110" s="1"/>
      <c r="R110" s="1">
        <v>350</v>
      </c>
      <c r="S110"/>
      <c r="T110" t="s">
        <v>55</v>
      </c>
      <c r="U110" t="s">
        <v>814</v>
      </c>
      <c r="V110" t="s">
        <v>55</v>
      </c>
      <c r="W110" s="1">
        <v>44520</v>
      </c>
      <c r="X110" s="1" t="s">
        <v>55</v>
      </c>
      <c r="Y110" s="1" t="s">
        <v>51</v>
      </c>
      <c r="Z110" s="1" t="s">
        <v>448</v>
      </c>
      <c r="AA110" s="1" t="s">
        <v>449</v>
      </c>
      <c r="AB110" s="1" t="s">
        <v>500</v>
      </c>
      <c r="AC110" s="1">
        <v>44314</v>
      </c>
      <c r="AD110" s="1">
        <v>44327</v>
      </c>
      <c r="AE110" s="1">
        <v>44553</v>
      </c>
      <c r="AF110" s="1"/>
      <c r="AG110" s="1">
        <v>44378</v>
      </c>
      <c r="AH110" s="1"/>
      <c r="AI110" s="1"/>
      <c r="AJ110" s="31">
        <v>44327</v>
      </c>
      <c r="AK110"/>
      <c r="AL110"/>
      <c r="AM110"/>
      <c r="AN110"/>
      <c r="AO110"/>
      <c r="AP110"/>
    </row>
    <row r="111" spans="1:42" hidden="1">
      <c r="A111" s="1" t="s">
        <v>49</v>
      </c>
      <c r="B111" s="1">
        <v>210507</v>
      </c>
      <c r="C111" s="1">
        <v>410005</v>
      </c>
      <c r="D111" s="1" t="s">
        <v>447</v>
      </c>
      <c r="E111" s="1" t="s">
        <v>1270</v>
      </c>
      <c r="F111" t="s">
        <v>1271</v>
      </c>
      <c r="G111" t="s">
        <v>1267</v>
      </c>
      <c r="H111" s="1" t="s">
        <v>481</v>
      </c>
      <c r="I111" s="1" t="s">
        <v>482</v>
      </c>
      <c r="J111" s="1" t="s">
        <v>18</v>
      </c>
      <c r="K111" s="1" t="s">
        <v>50</v>
      </c>
      <c r="L111" s="1">
        <v>31006</v>
      </c>
      <c r="M111" s="1">
        <v>41</v>
      </c>
      <c r="N111" s="1">
        <v>1350</v>
      </c>
      <c r="O111" s="1" t="s">
        <v>483</v>
      </c>
      <c r="P111" s="1">
        <v>1750</v>
      </c>
      <c r="Q111" s="1"/>
      <c r="R111" s="1">
        <v>400</v>
      </c>
      <c r="S111">
        <v>260000</v>
      </c>
      <c r="T111">
        <v>13039</v>
      </c>
      <c r="U111">
        <v>2067</v>
      </c>
      <c r="V111">
        <v>23790</v>
      </c>
      <c r="W111" s="1">
        <v>46843</v>
      </c>
      <c r="X111" s="1" t="s">
        <v>55</v>
      </c>
      <c r="Y111" s="1" t="s">
        <v>51</v>
      </c>
      <c r="Z111" s="1" t="s">
        <v>448</v>
      </c>
      <c r="AA111" s="1" t="s">
        <v>449</v>
      </c>
      <c r="AB111" s="1" t="s">
        <v>492</v>
      </c>
      <c r="AC111" s="1">
        <v>44743</v>
      </c>
      <c r="AD111" s="1">
        <v>44337</v>
      </c>
      <c r="AE111" s="1"/>
      <c r="AF111" s="1"/>
      <c r="AG111" s="1">
        <v>44409</v>
      </c>
      <c r="AH111" s="1" t="s">
        <v>54</v>
      </c>
      <c r="AI111" s="1"/>
      <c r="AJ111" s="31">
        <v>44337</v>
      </c>
      <c r="AK111"/>
      <c r="AL111"/>
      <c r="AM111"/>
      <c r="AN111"/>
      <c r="AO111"/>
      <c r="AP111"/>
    </row>
    <row r="112" spans="1:42" hidden="1">
      <c r="A112" s="1" t="s">
        <v>2542</v>
      </c>
      <c r="B112" s="1">
        <v>210508</v>
      </c>
      <c r="D112" s="1" t="s">
        <v>447</v>
      </c>
      <c r="E112" s="1" t="s">
        <v>741</v>
      </c>
      <c r="F112" t="s">
        <v>2744</v>
      </c>
      <c r="G112"/>
      <c r="H112" s="1" t="s">
        <v>2834</v>
      </c>
      <c r="I112" s="1" t="s">
        <v>2835</v>
      </c>
      <c r="J112" s="1" t="s">
        <v>18</v>
      </c>
      <c r="K112" s="1" t="s">
        <v>50</v>
      </c>
      <c r="L112" s="1">
        <v>29334</v>
      </c>
      <c r="M112" s="1">
        <v>45</v>
      </c>
      <c r="N112" s="1">
        <v>1320</v>
      </c>
      <c r="P112" s="1">
        <v>1700</v>
      </c>
      <c r="Q112" s="1"/>
      <c r="R112" s="1">
        <v>380</v>
      </c>
      <c r="S112"/>
      <c r="T112" t="s">
        <v>55</v>
      </c>
      <c r="U112" t="s">
        <v>814</v>
      </c>
      <c r="V112" t="s">
        <v>55</v>
      </c>
      <c r="W112" s="1">
        <v>45363</v>
      </c>
      <c r="X112" s="1" t="s">
        <v>55</v>
      </c>
      <c r="Y112" s="1" t="s">
        <v>51</v>
      </c>
      <c r="Z112" s="1" t="s">
        <v>448</v>
      </c>
      <c r="AA112" s="1" t="s">
        <v>449</v>
      </c>
      <c r="AB112" s="1" t="s">
        <v>484</v>
      </c>
      <c r="AC112" s="1">
        <v>44336</v>
      </c>
      <c r="AD112" s="1">
        <v>44337</v>
      </c>
      <c r="AE112" s="1">
        <v>44568</v>
      </c>
      <c r="AF112" s="1"/>
      <c r="AG112" s="1">
        <v>44409</v>
      </c>
      <c r="AH112" s="1"/>
      <c r="AI112" s="1"/>
      <c r="AJ112" s="31">
        <v>44337</v>
      </c>
      <c r="AK112"/>
      <c r="AL112"/>
      <c r="AM112"/>
      <c r="AN112"/>
      <c r="AO112"/>
      <c r="AP112"/>
    </row>
    <row r="113" spans="1:42" hidden="1">
      <c r="A113" s="1" t="s">
        <v>2542</v>
      </c>
      <c r="B113" s="1">
        <v>210509</v>
      </c>
      <c r="D113" s="1" t="s">
        <v>464</v>
      </c>
      <c r="F113"/>
      <c r="G113"/>
      <c r="H113" s="1" t="s">
        <v>2836</v>
      </c>
      <c r="I113" s="1" t="s">
        <v>2837</v>
      </c>
      <c r="J113" s="1" t="s">
        <v>18</v>
      </c>
      <c r="K113" s="1" t="s">
        <v>50</v>
      </c>
      <c r="L113" s="1">
        <v>35473</v>
      </c>
      <c r="M113" s="1">
        <v>28</v>
      </c>
      <c r="N113" s="1">
        <v>1400</v>
      </c>
      <c r="P113" s="1">
        <v>1900</v>
      </c>
      <c r="Q113" s="1"/>
      <c r="R113" s="1">
        <v>500</v>
      </c>
      <c r="S113"/>
      <c r="T113" t="s">
        <v>55</v>
      </c>
      <c r="U113" t="s">
        <v>814</v>
      </c>
      <c r="V113" t="s">
        <v>55</v>
      </c>
      <c r="W113" s="1">
        <v>45378</v>
      </c>
      <c r="X113" s="1" t="s">
        <v>55</v>
      </c>
      <c r="Y113" s="1" t="s">
        <v>51</v>
      </c>
      <c r="Z113" s="1" t="s">
        <v>489</v>
      </c>
      <c r="AA113" s="1" t="s">
        <v>490</v>
      </c>
      <c r="AB113" s="1" t="s">
        <v>491</v>
      </c>
      <c r="AC113" s="1">
        <v>44338</v>
      </c>
      <c r="AD113" s="1">
        <v>44340</v>
      </c>
      <c r="AE113" s="1">
        <v>44439</v>
      </c>
      <c r="AF113" s="1"/>
      <c r="AG113" s="1">
        <v>44409</v>
      </c>
      <c r="AH113" s="1"/>
      <c r="AI113" s="1"/>
      <c r="AJ113" s="31">
        <v>44340</v>
      </c>
      <c r="AK113"/>
      <c r="AL113"/>
      <c r="AM113"/>
      <c r="AN113"/>
      <c r="AO113"/>
      <c r="AP113"/>
    </row>
    <row r="114" spans="1:42" hidden="1">
      <c r="A114" s="1" t="s">
        <v>2542</v>
      </c>
      <c r="B114" s="1">
        <v>210510</v>
      </c>
      <c r="D114" s="1" t="s">
        <v>95</v>
      </c>
      <c r="E114" s="1" t="s">
        <v>3938</v>
      </c>
      <c r="F114"/>
      <c r="G114"/>
      <c r="H114" s="1" t="s">
        <v>2838</v>
      </c>
      <c r="I114" s="1" t="s">
        <v>2839</v>
      </c>
      <c r="J114" s="1" t="s">
        <v>18</v>
      </c>
      <c r="K114" s="1" t="s">
        <v>50</v>
      </c>
      <c r="L114" s="1">
        <v>32542</v>
      </c>
      <c r="M114" s="1">
        <v>36</v>
      </c>
      <c r="N114" s="1">
        <v>1250</v>
      </c>
      <c r="P114" s="1">
        <v>1750</v>
      </c>
      <c r="Q114" s="1"/>
      <c r="R114" s="1">
        <v>500</v>
      </c>
      <c r="S114"/>
      <c r="T114" t="s">
        <v>55</v>
      </c>
      <c r="U114" t="s">
        <v>814</v>
      </c>
      <c r="V114" t="s">
        <v>55</v>
      </c>
      <c r="W114" s="1">
        <v>44939</v>
      </c>
      <c r="X114" s="1" t="s">
        <v>55</v>
      </c>
      <c r="Y114" s="1" t="s">
        <v>51</v>
      </c>
      <c r="Z114" s="1" t="s">
        <v>182</v>
      </c>
      <c r="AA114" s="1" t="s">
        <v>183</v>
      </c>
      <c r="AB114" s="1" t="s">
        <v>184</v>
      </c>
      <c r="AC114" s="1"/>
      <c r="AD114" s="1">
        <v>44341</v>
      </c>
      <c r="AE114" s="1">
        <v>44498</v>
      </c>
      <c r="AF114" s="1"/>
      <c r="AG114" s="1">
        <v>44409</v>
      </c>
      <c r="AH114" s="1"/>
      <c r="AI114" s="1"/>
      <c r="AJ114" s="31">
        <v>44341</v>
      </c>
      <c r="AK114"/>
      <c r="AL114"/>
      <c r="AM114"/>
      <c r="AN114"/>
      <c r="AO114"/>
      <c r="AP114"/>
    </row>
    <row r="115" spans="1:42" hidden="1">
      <c r="A115" s="1" t="s">
        <v>2542</v>
      </c>
      <c r="B115" s="1">
        <v>210511</v>
      </c>
      <c r="D115" s="1" t="s">
        <v>75</v>
      </c>
      <c r="E115" s="1" t="s">
        <v>3934</v>
      </c>
      <c r="F115"/>
      <c r="G115"/>
      <c r="H115" s="1" t="s">
        <v>2840</v>
      </c>
      <c r="I115" s="1" t="s">
        <v>2841</v>
      </c>
      <c r="J115" s="1" t="s">
        <v>18</v>
      </c>
      <c r="K115" s="1" t="s">
        <v>50</v>
      </c>
      <c r="L115" s="1">
        <v>34886</v>
      </c>
      <c r="M115" s="1">
        <v>30</v>
      </c>
      <c r="N115" s="1">
        <v>1200</v>
      </c>
      <c r="P115" s="1">
        <v>1600</v>
      </c>
      <c r="Q115" s="1"/>
      <c r="R115" s="1">
        <v>400</v>
      </c>
      <c r="S115"/>
      <c r="T115" t="s">
        <v>55</v>
      </c>
      <c r="U115" t="s">
        <v>814</v>
      </c>
      <c r="V115" t="s">
        <v>55</v>
      </c>
      <c r="W115" s="1">
        <v>44987</v>
      </c>
      <c r="X115" s="1" t="s">
        <v>55</v>
      </c>
      <c r="Y115" s="1" t="s">
        <v>51</v>
      </c>
      <c r="Z115" s="1" t="s">
        <v>91</v>
      </c>
      <c r="AA115" s="1" t="s">
        <v>2688</v>
      </c>
      <c r="AB115" s="1" t="s">
        <v>2689</v>
      </c>
      <c r="AC115" s="1">
        <v>44343</v>
      </c>
      <c r="AD115" s="1">
        <v>44347</v>
      </c>
      <c r="AE115" s="1">
        <v>44357</v>
      </c>
      <c r="AF115" s="1"/>
      <c r="AG115" s="1">
        <v>44409</v>
      </c>
      <c r="AH115" s="1"/>
      <c r="AI115" s="1"/>
      <c r="AJ115" s="31">
        <v>44347</v>
      </c>
      <c r="AK115"/>
      <c r="AL115"/>
      <c r="AM115"/>
      <c r="AN115"/>
      <c r="AO115"/>
      <c r="AP115"/>
    </row>
    <row r="116" spans="1:42" hidden="1">
      <c r="A116" s="1" t="s">
        <v>2542</v>
      </c>
      <c r="B116" s="1">
        <v>210602</v>
      </c>
      <c r="C116" s="1">
        <v>232013</v>
      </c>
      <c r="D116" s="1" t="s">
        <v>83</v>
      </c>
      <c r="E116" s="1" t="s">
        <v>309</v>
      </c>
      <c r="F116" s="1" t="s">
        <v>365</v>
      </c>
      <c r="G116" t="s">
        <v>2241</v>
      </c>
      <c r="H116" s="1" t="s">
        <v>129</v>
      </c>
      <c r="I116" s="1" t="s">
        <v>130</v>
      </c>
      <c r="J116" s="1" t="s">
        <v>18</v>
      </c>
      <c r="K116" s="1" t="s">
        <v>50</v>
      </c>
      <c r="L116" s="1">
        <v>35031</v>
      </c>
      <c r="M116" s="1">
        <v>30</v>
      </c>
      <c r="N116" s="1">
        <v>1430</v>
      </c>
      <c r="O116" s="1" t="s">
        <v>70</v>
      </c>
      <c r="P116" s="1">
        <v>1860</v>
      </c>
      <c r="Q116" s="1" t="s">
        <v>71</v>
      </c>
      <c r="R116" s="1">
        <v>430</v>
      </c>
      <c r="S116">
        <v>280000</v>
      </c>
      <c r="T116">
        <v>14042</v>
      </c>
      <c r="U116" t="s">
        <v>814</v>
      </c>
      <c r="V116">
        <v>25620</v>
      </c>
      <c r="W116" s="1">
        <v>47721</v>
      </c>
      <c r="X116" s="1" t="s">
        <v>55</v>
      </c>
      <c r="Y116" s="1" t="s">
        <v>51</v>
      </c>
      <c r="Z116" s="1" t="s">
        <v>110</v>
      </c>
      <c r="AA116" s="1" t="s">
        <v>134</v>
      </c>
      <c r="AB116" s="1" t="s">
        <v>373</v>
      </c>
      <c r="AC116" s="1">
        <v>44864</v>
      </c>
      <c r="AD116" s="1">
        <v>44348</v>
      </c>
      <c r="AE116" s="1">
        <v>45982</v>
      </c>
      <c r="AF116" s="1"/>
      <c r="AG116" s="1">
        <v>44409</v>
      </c>
      <c r="AH116" s="1" t="s">
        <v>54</v>
      </c>
      <c r="AI116" s="1"/>
      <c r="AJ116" s="31">
        <v>44348</v>
      </c>
      <c r="AK116"/>
      <c r="AL116"/>
      <c r="AM116"/>
      <c r="AN116"/>
      <c r="AO116"/>
      <c r="AP116"/>
    </row>
    <row r="117" spans="1:42" hidden="1">
      <c r="A117" s="1" t="s">
        <v>2542</v>
      </c>
      <c r="B117" s="1">
        <v>210600</v>
      </c>
      <c r="D117" s="1" t="s">
        <v>464</v>
      </c>
      <c r="F117"/>
      <c r="G117"/>
      <c r="H117" s="1" t="s">
        <v>2842</v>
      </c>
      <c r="I117" s="1" t="s">
        <v>2843</v>
      </c>
      <c r="J117" s="1" t="s">
        <v>18</v>
      </c>
      <c r="K117" s="1" t="s">
        <v>404</v>
      </c>
      <c r="L117" s="1">
        <v>28900</v>
      </c>
      <c r="M117" s="1">
        <v>46</v>
      </c>
      <c r="N117" s="1">
        <v>1400</v>
      </c>
      <c r="P117" s="1">
        <v>1900</v>
      </c>
      <c r="Q117" s="1"/>
      <c r="R117" s="1">
        <v>500</v>
      </c>
      <c r="S117"/>
      <c r="T117" t="s">
        <v>55</v>
      </c>
      <c r="U117" t="s">
        <v>814</v>
      </c>
      <c r="V117" t="s">
        <v>55</v>
      </c>
      <c r="W117" s="1">
        <v>45078</v>
      </c>
      <c r="X117" s="1" t="s">
        <v>55</v>
      </c>
      <c r="Y117" s="1" t="s">
        <v>540</v>
      </c>
      <c r="Z117" s="1" t="s">
        <v>2844</v>
      </c>
      <c r="AA117" s="1" t="s">
        <v>2845</v>
      </c>
      <c r="AB117" s="1" t="s">
        <v>2846</v>
      </c>
      <c r="AC117" s="1">
        <v>44344</v>
      </c>
      <c r="AD117" s="1">
        <v>44348</v>
      </c>
      <c r="AE117" s="1">
        <v>44352</v>
      </c>
      <c r="AF117" s="1"/>
      <c r="AG117" s="1">
        <v>44409</v>
      </c>
      <c r="AH117" s="1"/>
      <c r="AI117" s="1"/>
      <c r="AJ117" s="31">
        <v>44348</v>
      </c>
      <c r="AK117"/>
      <c r="AL117"/>
      <c r="AM117"/>
      <c r="AN117"/>
      <c r="AO117"/>
      <c r="AP117"/>
    </row>
    <row r="118" spans="1:42" hidden="1">
      <c r="A118" s="1" t="s">
        <v>2542</v>
      </c>
      <c r="B118" s="1">
        <v>210601</v>
      </c>
      <c r="D118" s="1" t="s">
        <v>83</v>
      </c>
      <c r="F118"/>
      <c r="G118"/>
      <c r="H118" s="1" t="s">
        <v>2850</v>
      </c>
      <c r="I118" s="1" t="s">
        <v>2851</v>
      </c>
      <c r="J118" s="1" t="s">
        <v>18</v>
      </c>
      <c r="K118" s="1" t="s">
        <v>50</v>
      </c>
      <c r="L118" s="1">
        <v>31986</v>
      </c>
      <c r="M118" s="1">
        <v>38</v>
      </c>
      <c r="N118" s="1">
        <v>1350</v>
      </c>
      <c r="P118" s="1">
        <v>1750</v>
      </c>
      <c r="Q118" s="1"/>
      <c r="R118" s="1">
        <v>400</v>
      </c>
      <c r="S118"/>
      <c r="T118" t="s">
        <v>55</v>
      </c>
      <c r="U118" t="s">
        <v>814</v>
      </c>
      <c r="V118" t="s">
        <v>55</v>
      </c>
      <c r="W118" s="1">
        <v>45363</v>
      </c>
      <c r="X118" s="1" t="s">
        <v>55</v>
      </c>
      <c r="Y118" s="1" t="s">
        <v>51</v>
      </c>
      <c r="Z118" s="1" t="s">
        <v>110</v>
      </c>
      <c r="AA118" s="1" t="s">
        <v>131</v>
      </c>
      <c r="AB118" s="1" t="s">
        <v>2315</v>
      </c>
      <c r="AC118" s="1">
        <v>44346</v>
      </c>
      <c r="AD118" s="1">
        <v>44348</v>
      </c>
      <c r="AE118" s="1">
        <v>44525</v>
      </c>
      <c r="AF118" s="1"/>
      <c r="AG118" s="1"/>
      <c r="AH118" s="1"/>
      <c r="AI118" s="1"/>
      <c r="AJ118" s="31">
        <v>44348</v>
      </c>
      <c r="AK118"/>
      <c r="AL118"/>
      <c r="AM118"/>
      <c r="AN118"/>
      <c r="AO118"/>
      <c r="AP118"/>
    </row>
    <row r="119" spans="1:42" hidden="1">
      <c r="A119" s="1" t="s">
        <v>2542</v>
      </c>
      <c r="B119" s="1">
        <v>210618</v>
      </c>
      <c r="D119" s="1" t="s">
        <v>464</v>
      </c>
      <c r="F119"/>
      <c r="G119"/>
      <c r="H119" s="1" t="s">
        <v>2848</v>
      </c>
      <c r="I119" s="1" t="s">
        <v>2849</v>
      </c>
      <c r="J119" s="1" t="s">
        <v>17</v>
      </c>
      <c r="K119" s="1" t="s">
        <v>50</v>
      </c>
      <c r="L119" s="1">
        <v>32613</v>
      </c>
      <c r="M119" s="1">
        <v>36</v>
      </c>
      <c r="N119" s="1">
        <v>1250</v>
      </c>
      <c r="P119" s="1">
        <v>1900</v>
      </c>
      <c r="Q119" s="1"/>
      <c r="R119" s="1">
        <v>650</v>
      </c>
      <c r="S119"/>
      <c r="T119" t="s">
        <v>55</v>
      </c>
      <c r="U119" t="s">
        <v>814</v>
      </c>
      <c r="V119" t="s">
        <v>55</v>
      </c>
      <c r="W119" s="1">
        <v>44568</v>
      </c>
      <c r="X119" s="1" t="s">
        <v>55</v>
      </c>
      <c r="Y119" s="1" t="s">
        <v>540</v>
      </c>
      <c r="Z119" s="1" t="s">
        <v>2844</v>
      </c>
      <c r="AA119" s="1" t="s">
        <v>2845</v>
      </c>
      <c r="AB119" s="1" t="s">
        <v>2846</v>
      </c>
      <c r="AC119" s="1">
        <v>44344</v>
      </c>
      <c r="AD119" s="1">
        <v>44348</v>
      </c>
      <c r="AE119" s="1">
        <v>44352</v>
      </c>
      <c r="AF119" s="1"/>
      <c r="AG119" s="1">
        <v>44409</v>
      </c>
      <c r="AH119" s="1"/>
      <c r="AI119" s="1"/>
      <c r="AJ119" s="31">
        <v>44348</v>
      </c>
      <c r="AK119"/>
      <c r="AL119"/>
      <c r="AM119"/>
      <c r="AN119"/>
      <c r="AO119"/>
      <c r="AP119"/>
    </row>
    <row r="120" spans="1:42" hidden="1">
      <c r="A120" s="1" t="s">
        <v>2542</v>
      </c>
      <c r="B120" s="1">
        <v>211031</v>
      </c>
      <c r="D120" s="1" t="s">
        <v>464</v>
      </c>
      <c r="F120"/>
      <c r="G120"/>
      <c r="H120" s="1" t="s">
        <v>2847</v>
      </c>
      <c r="I120" s="1" t="s">
        <v>3076</v>
      </c>
      <c r="J120" s="1" t="s">
        <v>18</v>
      </c>
      <c r="K120" s="1" t="s">
        <v>50</v>
      </c>
      <c r="L120" s="1">
        <v>31475</v>
      </c>
      <c r="M120" s="1">
        <v>39</v>
      </c>
      <c r="N120" s="1">
        <v>1400</v>
      </c>
      <c r="P120" s="1">
        <v>1900</v>
      </c>
      <c r="Q120" s="1"/>
      <c r="R120" s="1">
        <v>500</v>
      </c>
      <c r="S120"/>
      <c r="T120" t="s">
        <v>55</v>
      </c>
      <c r="U120" t="s">
        <v>814</v>
      </c>
      <c r="V120" t="s">
        <v>55</v>
      </c>
      <c r="W120" s="1">
        <v>44644</v>
      </c>
      <c r="X120" s="1" t="s">
        <v>55</v>
      </c>
      <c r="Y120" s="1" t="s">
        <v>51</v>
      </c>
      <c r="Z120" s="1" t="s">
        <v>489</v>
      </c>
      <c r="AA120" s="1" t="s">
        <v>490</v>
      </c>
      <c r="AB120" s="1" t="s">
        <v>491</v>
      </c>
      <c r="AC120" s="1">
        <v>44346</v>
      </c>
      <c r="AD120" s="1">
        <v>44348</v>
      </c>
      <c r="AE120" s="1">
        <v>44352</v>
      </c>
      <c r="AF120" s="1"/>
      <c r="AG120" s="1">
        <v>44409</v>
      </c>
      <c r="AH120" s="1"/>
      <c r="AI120" s="1"/>
      <c r="AJ120" s="31">
        <v>44348</v>
      </c>
      <c r="AK120"/>
      <c r="AL120"/>
      <c r="AM120"/>
      <c r="AN120"/>
      <c r="AO120"/>
      <c r="AP120"/>
    </row>
    <row r="121" spans="1:42" hidden="1">
      <c r="A121" s="1" t="s">
        <v>2542</v>
      </c>
      <c r="B121" s="1">
        <v>210603</v>
      </c>
      <c r="C121" s="1">
        <v>83665</v>
      </c>
      <c r="D121" s="1" t="s">
        <v>107</v>
      </c>
      <c r="E121" s="1" t="s">
        <v>2722</v>
      </c>
      <c r="F121"/>
      <c r="G121"/>
      <c r="H121" s="1" t="s">
        <v>2852</v>
      </c>
      <c r="I121" s="1" t="s">
        <v>2853</v>
      </c>
      <c r="J121" s="1" t="s">
        <v>18</v>
      </c>
      <c r="K121" s="1" t="s">
        <v>50</v>
      </c>
      <c r="L121" s="1">
        <v>33531</v>
      </c>
      <c r="M121" s="1">
        <v>34</v>
      </c>
      <c r="N121" s="1">
        <v>1500</v>
      </c>
      <c r="O121" s="1" t="s">
        <v>2854</v>
      </c>
      <c r="P121" s="1">
        <v>2300</v>
      </c>
      <c r="Q121" s="1"/>
      <c r="R121" s="1">
        <v>800</v>
      </c>
      <c r="S121">
        <v>300000</v>
      </c>
      <c r="T121">
        <v>15045</v>
      </c>
      <c r="U121" t="s">
        <v>814</v>
      </c>
      <c r="V121">
        <v>27450</v>
      </c>
      <c r="W121" s="1">
        <v>45566</v>
      </c>
      <c r="X121" s="1" t="s">
        <v>55</v>
      </c>
      <c r="Y121" s="1" t="s">
        <v>51</v>
      </c>
      <c r="Z121" s="1" t="s">
        <v>2855</v>
      </c>
      <c r="AA121" s="1" t="s">
        <v>2856</v>
      </c>
      <c r="AB121" s="1" t="s">
        <v>2857</v>
      </c>
      <c r="AC121" s="1">
        <v>44348</v>
      </c>
      <c r="AD121" s="1">
        <v>44350</v>
      </c>
      <c r="AE121" s="1">
        <v>45015</v>
      </c>
      <c r="AF121" s="1"/>
      <c r="AG121" s="1">
        <v>44409</v>
      </c>
      <c r="AH121" s="1" t="s">
        <v>54</v>
      </c>
      <c r="AI121" s="1"/>
      <c r="AJ121" s="31">
        <v>44350</v>
      </c>
      <c r="AK121"/>
      <c r="AL121"/>
      <c r="AM121"/>
      <c r="AN121"/>
      <c r="AO121"/>
      <c r="AP121"/>
    </row>
    <row r="122" spans="1:42" hidden="1">
      <c r="A122" s="1" t="s">
        <v>2542</v>
      </c>
      <c r="B122" s="1">
        <v>210604</v>
      </c>
      <c r="C122" s="1">
        <v>500004</v>
      </c>
      <c r="D122" s="1" t="s">
        <v>471</v>
      </c>
      <c r="E122" s="1" t="s">
        <v>2858</v>
      </c>
      <c r="G122"/>
      <c r="H122" s="1" t="s">
        <v>2859</v>
      </c>
      <c r="I122" s="1" t="s">
        <v>2860</v>
      </c>
      <c r="J122" s="1" t="s">
        <v>17</v>
      </c>
      <c r="K122" s="1" t="s">
        <v>50</v>
      </c>
      <c r="L122" s="1">
        <v>35065</v>
      </c>
      <c r="M122" s="1">
        <v>29</v>
      </c>
      <c r="N122" s="1">
        <v>1350</v>
      </c>
      <c r="O122" s="1" t="s">
        <v>2861</v>
      </c>
      <c r="P122" s="1">
        <v>1900</v>
      </c>
      <c r="Q122" s="1"/>
      <c r="R122" s="1">
        <v>550</v>
      </c>
      <c r="S122">
        <v>300000</v>
      </c>
      <c r="T122">
        <v>15045</v>
      </c>
      <c r="U122" t="s">
        <v>814</v>
      </c>
      <c r="V122">
        <v>27450</v>
      </c>
      <c r="W122" s="1">
        <v>45362</v>
      </c>
      <c r="X122" s="1" t="s">
        <v>55</v>
      </c>
      <c r="Y122" s="1" t="s">
        <v>51</v>
      </c>
      <c r="Z122" s="1" t="s">
        <v>2806</v>
      </c>
      <c r="AA122" s="1" t="s">
        <v>2862</v>
      </c>
      <c r="AB122" s="1" t="s">
        <v>2863</v>
      </c>
      <c r="AC122" s="1">
        <v>44354</v>
      </c>
      <c r="AD122" s="1">
        <v>44354</v>
      </c>
      <c r="AE122" s="1">
        <v>45048</v>
      </c>
      <c r="AF122" s="1"/>
      <c r="AG122" s="1"/>
      <c r="AH122" s="1"/>
      <c r="AI122" s="1"/>
      <c r="AJ122" s="31">
        <v>44354</v>
      </c>
      <c r="AK122"/>
      <c r="AL122"/>
      <c r="AM122"/>
      <c r="AN122"/>
      <c r="AO122"/>
      <c r="AP122"/>
    </row>
    <row r="123" spans="1:42" hidden="1">
      <c r="A123" s="1" t="s">
        <v>2542</v>
      </c>
      <c r="B123" s="1">
        <v>210605</v>
      </c>
      <c r="C123" s="1">
        <v>242017</v>
      </c>
      <c r="D123" s="1" t="s">
        <v>69</v>
      </c>
      <c r="E123" s="1" t="s">
        <v>306</v>
      </c>
      <c r="F123" t="s">
        <v>740</v>
      </c>
      <c r="G123"/>
      <c r="H123" s="1" t="s">
        <v>2864</v>
      </c>
      <c r="I123" s="1" t="s">
        <v>2865</v>
      </c>
      <c r="J123" s="1" t="s">
        <v>18</v>
      </c>
      <c r="K123" s="1" t="s">
        <v>50</v>
      </c>
      <c r="L123" s="1">
        <v>34791</v>
      </c>
      <c r="M123" s="1">
        <v>30</v>
      </c>
      <c r="N123" s="1">
        <v>1400</v>
      </c>
      <c r="O123" s="1">
        <v>1750</v>
      </c>
      <c r="P123" s="1">
        <v>1770</v>
      </c>
      <c r="Q123" s="1"/>
      <c r="R123" s="1">
        <v>370</v>
      </c>
      <c r="S123"/>
      <c r="T123" t="s">
        <v>55</v>
      </c>
      <c r="U123" t="s">
        <v>814</v>
      </c>
      <c r="V123" t="s">
        <v>55</v>
      </c>
      <c r="W123" s="1">
        <v>45254</v>
      </c>
      <c r="X123" s="1" t="s">
        <v>55</v>
      </c>
      <c r="Y123" s="1" t="s">
        <v>51</v>
      </c>
      <c r="Z123" s="1" t="s">
        <v>485</v>
      </c>
      <c r="AA123" s="1" t="s">
        <v>486</v>
      </c>
      <c r="AB123" s="1" t="s">
        <v>1595</v>
      </c>
      <c r="AC123" s="1">
        <v>44350</v>
      </c>
      <c r="AD123" s="1">
        <v>44355</v>
      </c>
      <c r="AE123" s="1">
        <v>44936</v>
      </c>
      <c r="AF123" s="1"/>
      <c r="AG123" s="1">
        <v>44409</v>
      </c>
      <c r="AH123" s="1" t="s">
        <v>54</v>
      </c>
      <c r="AI123" s="1"/>
      <c r="AJ123" s="31">
        <v>44355</v>
      </c>
      <c r="AK123"/>
      <c r="AL123"/>
      <c r="AM123"/>
      <c r="AN123"/>
      <c r="AO123"/>
      <c r="AP123"/>
    </row>
    <row r="124" spans="1:42" hidden="1">
      <c r="A124" s="1" t="s">
        <v>2542</v>
      </c>
      <c r="B124" s="1">
        <v>210606</v>
      </c>
      <c r="D124" s="1" t="s">
        <v>69</v>
      </c>
      <c r="F124"/>
      <c r="G124"/>
      <c r="H124" s="1" t="s">
        <v>2866</v>
      </c>
      <c r="I124" s="1" t="s">
        <v>2867</v>
      </c>
      <c r="J124" s="1" t="s">
        <v>18</v>
      </c>
      <c r="K124" s="1" t="s">
        <v>50</v>
      </c>
      <c r="L124" s="1">
        <v>34954</v>
      </c>
      <c r="M124" s="1">
        <v>30</v>
      </c>
      <c r="N124" s="1">
        <v>1400</v>
      </c>
      <c r="O124" s="1" t="s">
        <v>70</v>
      </c>
      <c r="P124" s="1">
        <v>1750</v>
      </c>
      <c r="Q124" s="1" t="s">
        <v>71</v>
      </c>
      <c r="R124" s="1">
        <v>350</v>
      </c>
      <c r="S124"/>
      <c r="T124" t="s">
        <v>55</v>
      </c>
      <c r="U124" t="s">
        <v>814</v>
      </c>
      <c r="V124" t="s">
        <v>55</v>
      </c>
      <c r="W124" s="1">
        <v>44870</v>
      </c>
      <c r="X124" s="1" t="s">
        <v>55</v>
      </c>
      <c r="Y124" s="1" t="s">
        <v>51</v>
      </c>
      <c r="Z124" s="1" t="s">
        <v>485</v>
      </c>
      <c r="AA124" s="1" t="s">
        <v>486</v>
      </c>
      <c r="AB124" s="1" t="s">
        <v>1595</v>
      </c>
      <c r="AC124" s="1">
        <v>44350</v>
      </c>
      <c r="AD124" s="1">
        <v>44355</v>
      </c>
      <c r="AE124" s="1">
        <v>44666</v>
      </c>
      <c r="AF124" s="1"/>
      <c r="AG124" s="1">
        <v>44409</v>
      </c>
      <c r="AH124" s="1" t="s">
        <v>54</v>
      </c>
      <c r="AI124" s="1"/>
      <c r="AJ124" s="31">
        <v>44355</v>
      </c>
      <c r="AK124"/>
      <c r="AL124"/>
      <c r="AM124"/>
      <c r="AN124"/>
      <c r="AO124"/>
      <c r="AP124"/>
    </row>
    <row r="125" spans="1:42" hidden="1">
      <c r="A125" s="1" t="s">
        <v>2542</v>
      </c>
      <c r="B125" s="1">
        <v>210607</v>
      </c>
      <c r="D125" s="1" t="s">
        <v>83</v>
      </c>
      <c r="F125"/>
      <c r="G125"/>
      <c r="H125" s="1" t="s">
        <v>2868</v>
      </c>
      <c r="I125" s="1" t="s">
        <v>2869</v>
      </c>
      <c r="J125" s="1" t="s">
        <v>18</v>
      </c>
      <c r="K125" s="1" t="s">
        <v>50</v>
      </c>
      <c r="L125" s="1">
        <v>32127</v>
      </c>
      <c r="M125" s="1">
        <v>37</v>
      </c>
      <c r="N125" s="1">
        <v>1300</v>
      </c>
      <c r="P125" s="1">
        <v>1600</v>
      </c>
      <c r="Q125" s="1"/>
      <c r="R125" s="1">
        <v>300</v>
      </c>
      <c r="S125"/>
      <c r="T125" t="s">
        <v>55</v>
      </c>
      <c r="U125" t="s">
        <v>814</v>
      </c>
      <c r="V125" t="s">
        <v>55</v>
      </c>
      <c r="W125" s="1">
        <v>45083</v>
      </c>
      <c r="X125" s="1" t="s">
        <v>55</v>
      </c>
      <c r="Y125" s="1" t="s">
        <v>51</v>
      </c>
      <c r="Z125" s="1" t="s">
        <v>2870</v>
      </c>
      <c r="AA125" s="1" t="s">
        <v>2871</v>
      </c>
      <c r="AB125" s="1"/>
      <c r="AC125" s="1" t="s">
        <v>53</v>
      </c>
      <c r="AD125" s="1">
        <v>44357</v>
      </c>
      <c r="AE125" s="1">
        <v>44439</v>
      </c>
      <c r="AF125" s="1"/>
      <c r="AG125" s="1">
        <v>44348</v>
      </c>
      <c r="AH125" s="1"/>
      <c r="AI125" s="1"/>
      <c r="AJ125" s="31">
        <v>44357</v>
      </c>
      <c r="AK125"/>
      <c r="AL125"/>
      <c r="AM125"/>
      <c r="AN125"/>
      <c r="AO125"/>
      <c r="AP125"/>
    </row>
    <row r="126" spans="1:42" hidden="1">
      <c r="A126" s="1" t="s">
        <v>49</v>
      </c>
      <c r="B126" s="1">
        <v>210608</v>
      </c>
      <c r="C126" s="1">
        <v>8210012</v>
      </c>
      <c r="D126" s="1" t="s">
        <v>823</v>
      </c>
      <c r="E126" s="1" t="s">
        <v>824</v>
      </c>
      <c r="F126" t="s">
        <v>824</v>
      </c>
      <c r="G126"/>
      <c r="H126" s="1" t="s">
        <v>487</v>
      </c>
      <c r="I126" s="1" t="s">
        <v>488</v>
      </c>
      <c r="J126" s="1" t="s">
        <v>18</v>
      </c>
      <c r="K126" s="1" t="s">
        <v>50</v>
      </c>
      <c r="L126" s="1">
        <v>32203</v>
      </c>
      <c r="M126" s="1">
        <v>37</v>
      </c>
      <c r="N126" s="1">
        <v>1500</v>
      </c>
      <c r="P126" s="1">
        <v>2150</v>
      </c>
      <c r="Q126" s="1"/>
      <c r="R126" s="1">
        <v>650</v>
      </c>
      <c r="S126">
        <v>380000</v>
      </c>
      <c r="T126">
        <v>19057</v>
      </c>
      <c r="U126" t="s">
        <v>814</v>
      </c>
      <c r="V126">
        <v>34770</v>
      </c>
      <c r="W126" s="1">
        <v>46849</v>
      </c>
      <c r="X126" s="1" t="s">
        <v>55</v>
      </c>
      <c r="Y126" s="1" t="s">
        <v>51</v>
      </c>
      <c r="Z126" s="1" t="s">
        <v>456</v>
      </c>
      <c r="AA126" s="1" t="s">
        <v>457</v>
      </c>
      <c r="AB126" s="1" t="s">
        <v>458</v>
      </c>
      <c r="AC126" s="1">
        <v>44472</v>
      </c>
      <c r="AD126" s="1">
        <v>44361</v>
      </c>
      <c r="AE126" s="1"/>
      <c r="AF126" s="1"/>
      <c r="AG126" s="1">
        <v>44409</v>
      </c>
      <c r="AH126" s="1" t="s">
        <v>54</v>
      </c>
      <c r="AI126" s="1"/>
      <c r="AJ126" s="31">
        <v>44361</v>
      </c>
      <c r="AK126"/>
      <c r="AL126"/>
      <c r="AM126" t="s">
        <v>2466</v>
      </c>
      <c r="AN126">
        <v>45903</v>
      </c>
      <c r="AO126"/>
      <c r="AP126"/>
    </row>
    <row r="127" spans="1:42" hidden="1">
      <c r="A127" s="1" t="s">
        <v>2542</v>
      </c>
      <c r="B127" s="1">
        <v>210609</v>
      </c>
      <c r="C127" s="1">
        <v>242019</v>
      </c>
      <c r="D127" s="1" t="s">
        <v>69</v>
      </c>
      <c r="E127" s="1" t="s">
        <v>819</v>
      </c>
      <c r="F127" t="s">
        <v>740</v>
      </c>
      <c r="G127"/>
      <c r="H127" s="1" t="s">
        <v>2872</v>
      </c>
      <c r="I127" s="1" t="s">
        <v>2665</v>
      </c>
      <c r="J127" s="1" t="s">
        <v>18</v>
      </c>
      <c r="K127" s="1" t="s">
        <v>50</v>
      </c>
      <c r="L127" s="1">
        <v>34826</v>
      </c>
      <c r="M127" s="1">
        <v>30</v>
      </c>
      <c r="N127" s="1">
        <v>1400</v>
      </c>
      <c r="O127" s="1" t="s">
        <v>70</v>
      </c>
      <c r="P127" s="1">
        <v>1770</v>
      </c>
      <c r="Q127" s="1" t="s">
        <v>71</v>
      </c>
      <c r="R127" s="1">
        <v>370</v>
      </c>
      <c r="S127"/>
      <c r="T127" t="s">
        <v>55</v>
      </c>
      <c r="U127" t="s">
        <v>814</v>
      </c>
      <c r="V127" t="s">
        <v>55</v>
      </c>
      <c r="W127" s="1">
        <v>45052</v>
      </c>
      <c r="X127" s="1" t="s">
        <v>55</v>
      </c>
      <c r="Y127" s="1" t="s">
        <v>51</v>
      </c>
      <c r="Z127" s="1" t="s">
        <v>427</v>
      </c>
      <c r="AA127" s="1" t="s">
        <v>423</v>
      </c>
      <c r="AB127" s="1" t="s">
        <v>424</v>
      </c>
      <c r="AC127" s="1">
        <v>44835</v>
      </c>
      <c r="AD127" s="1">
        <v>44362</v>
      </c>
      <c r="AE127" s="1">
        <v>44917</v>
      </c>
      <c r="AF127" s="1"/>
      <c r="AG127" s="1">
        <v>44409</v>
      </c>
      <c r="AH127" s="1" t="s">
        <v>54</v>
      </c>
      <c r="AI127" s="1"/>
      <c r="AJ127" s="31">
        <v>44362</v>
      </c>
      <c r="AK127"/>
      <c r="AL127"/>
      <c r="AM127"/>
      <c r="AN127"/>
      <c r="AO127"/>
      <c r="AP127"/>
    </row>
    <row r="128" spans="1:42" hidden="1">
      <c r="A128" s="1" t="s">
        <v>2542</v>
      </c>
      <c r="B128" s="1">
        <v>210610</v>
      </c>
      <c r="C128" s="1">
        <v>222020</v>
      </c>
      <c r="D128" s="1" t="s">
        <v>62</v>
      </c>
      <c r="E128" s="1" t="s">
        <v>3935</v>
      </c>
      <c r="F128" t="s">
        <v>2465</v>
      </c>
      <c r="G128" t="s">
        <v>3936</v>
      </c>
      <c r="H128" s="1" t="s">
        <v>132</v>
      </c>
      <c r="I128" s="1" t="s">
        <v>133</v>
      </c>
      <c r="J128" s="1" t="s">
        <v>18</v>
      </c>
      <c r="K128" s="1" t="s">
        <v>50</v>
      </c>
      <c r="L128" s="1">
        <v>32979</v>
      </c>
      <c r="M128" s="1">
        <v>35</v>
      </c>
      <c r="N128" s="1">
        <v>1410</v>
      </c>
      <c r="O128" s="1" t="s">
        <v>70</v>
      </c>
      <c r="P128" s="1">
        <v>1830</v>
      </c>
      <c r="Q128" s="1" t="s">
        <v>71</v>
      </c>
      <c r="R128" s="1">
        <v>420</v>
      </c>
      <c r="S128">
        <v>360000</v>
      </c>
      <c r="T128">
        <v>18054</v>
      </c>
      <c r="U128" t="s">
        <v>814</v>
      </c>
      <c r="V128">
        <v>32940</v>
      </c>
      <c r="W128" s="1">
        <v>46721</v>
      </c>
      <c r="X128" s="1" t="s">
        <v>55</v>
      </c>
      <c r="Y128" s="1" t="s">
        <v>51</v>
      </c>
      <c r="Z128" s="1" t="s">
        <v>67</v>
      </c>
      <c r="AA128" s="1" t="s">
        <v>748</v>
      </c>
      <c r="AB128" s="1" t="s">
        <v>785</v>
      </c>
      <c r="AC128" s="1">
        <v>44982</v>
      </c>
      <c r="AD128" s="1">
        <v>44363</v>
      </c>
      <c r="AE128" s="1">
        <v>45807</v>
      </c>
      <c r="AF128" s="1"/>
      <c r="AG128" s="1">
        <v>44409</v>
      </c>
      <c r="AH128" s="1" t="s">
        <v>54</v>
      </c>
      <c r="AI128" s="1"/>
      <c r="AJ128" s="31">
        <v>44363</v>
      </c>
      <c r="AK128"/>
      <c r="AL128"/>
      <c r="AM128"/>
      <c r="AN128"/>
      <c r="AO128"/>
      <c r="AP128"/>
    </row>
    <row r="129" spans="1:42" hidden="1">
      <c r="A129" s="1" t="s">
        <v>2542</v>
      </c>
      <c r="B129" s="1">
        <v>210611</v>
      </c>
      <c r="D129" s="1" t="s">
        <v>62</v>
      </c>
      <c r="E129" s="1" t="s">
        <v>3935</v>
      </c>
      <c r="G129"/>
      <c r="H129" s="1" t="s">
        <v>2404</v>
      </c>
      <c r="I129" s="1" t="s">
        <v>2405</v>
      </c>
      <c r="J129" s="1" t="s">
        <v>18</v>
      </c>
      <c r="K129" s="1" t="s">
        <v>50</v>
      </c>
      <c r="L129" s="1">
        <v>33440</v>
      </c>
      <c r="M129" s="1">
        <v>34</v>
      </c>
      <c r="N129" s="1">
        <v>1400</v>
      </c>
      <c r="O129" s="1" t="s">
        <v>70</v>
      </c>
      <c r="P129" s="1">
        <v>1750</v>
      </c>
      <c r="Q129" s="1" t="s">
        <v>71</v>
      </c>
      <c r="R129" s="1">
        <v>350</v>
      </c>
      <c r="S129"/>
      <c r="T129" t="s">
        <v>55</v>
      </c>
      <c r="U129" t="s">
        <v>814</v>
      </c>
      <c r="V129" t="s">
        <v>55</v>
      </c>
      <c r="W129" s="1">
        <v>44862</v>
      </c>
      <c r="X129" s="1" t="s">
        <v>55</v>
      </c>
      <c r="Y129" s="1" t="s">
        <v>51</v>
      </c>
      <c r="Z129" s="1" t="s">
        <v>91</v>
      </c>
      <c r="AA129" s="1" t="s">
        <v>2688</v>
      </c>
      <c r="AB129" s="1" t="s">
        <v>2689</v>
      </c>
      <c r="AC129" s="1">
        <v>44355</v>
      </c>
      <c r="AD129" s="1">
        <v>44363</v>
      </c>
      <c r="AE129" s="1">
        <v>44659</v>
      </c>
      <c r="AF129" s="1"/>
      <c r="AG129" s="1">
        <v>44409</v>
      </c>
      <c r="AH129" s="1" t="s">
        <v>54</v>
      </c>
      <c r="AI129" s="1"/>
      <c r="AJ129" s="31">
        <v>44363</v>
      </c>
      <c r="AK129"/>
      <c r="AL129"/>
      <c r="AM129"/>
      <c r="AN129"/>
      <c r="AO129"/>
      <c r="AP129"/>
    </row>
    <row r="130" spans="1:42" hidden="1">
      <c r="A130" s="1" t="s">
        <v>2542</v>
      </c>
      <c r="B130" s="1">
        <v>210612</v>
      </c>
      <c r="D130" s="1" t="s">
        <v>471</v>
      </c>
      <c r="F130"/>
      <c r="G130"/>
      <c r="H130" s="1" t="s">
        <v>2873</v>
      </c>
      <c r="I130" s="1" t="s">
        <v>2874</v>
      </c>
      <c r="J130" s="1" t="s">
        <v>17</v>
      </c>
      <c r="K130" s="1" t="s">
        <v>50</v>
      </c>
      <c r="L130" s="1">
        <v>34226</v>
      </c>
      <c r="M130" s="1">
        <v>32</v>
      </c>
      <c r="N130" s="1">
        <v>1300</v>
      </c>
      <c r="O130" s="1" t="s">
        <v>2875</v>
      </c>
      <c r="P130" s="1">
        <v>1900</v>
      </c>
      <c r="Q130" s="1" t="s">
        <v>2876</v>
      </c>
      <c r="R130" s="1">
        <v>600</v>
      </c>
      <c r="S130"/>
      <c r="T130" t="s">
        <v>55</v>
      </c>
      <c r="U130" t="s">
        <v>814</v>
      </c>
      <c r="V130" t="s">
        <v>55</v>
      </c>
      <c r="W130" s="1">
        <v>44726</v>
      </c>
      <c r="X130" s="1" t="s">
        <v>55</v>
      </c>
      <c r="Y130" s="1" t="s">
        <v>51</v>
      </c>
      <c r="Z130" s="1" t="s">
        <v>2855</v>
      </c>
      <c r="AA130" s="1" t="s">
        <v>2856</v>
      </c>
      <c r="AB130" s="1" t="s">
        <v>2857</v>
      </c>
      <c r="AC130" s="1"/>
      <c r="AD130" s="1">
        <v>44368</v>
      </c>
      <c r="AE130" s="1">
        <v>44699</v>
      </c>
      <c r="AF130" s="1"/>
      <c r="AG130" s="1">
        <v>44409</v>
      </c>
      <c r="AH130" s="1" t="s">
        <v>54</v>
      </c>
      <c r="AI130" s="1" t="s">
        <v>2877</v>
      </c>
      <c r="AJ130" s="31">
        <v>44368</v>
      </c>
      <c r="AK130"/>
      <c r="AL130"/>
      <c r="AM130"/>
      <c r="AN130"/>
      <c r="AO130"/>
      <c r="AP130"/>
    </row>
    <row r="131" spans="1:42" hidden="1">
      <c r="A131" s="1" t="s">
        <v>2542</v>
      </c>
      <c r="B131" s="1">
        <v>210613</v>
      </c>
      <c r="D131" s="1" t="s">
        <v>75</v>
      </c>
      <c r="E131" s="1" t="s">
        <v>3934</v>
      </c>
      <c r="F131" t="s">
        <v>369</v>
      </c>
      <c r="G131"/>
      <c r="H131" s="1" t="s">
        <v>2878</v>
      </c>
      <c r="I131" s="1" t="s">
        <v>2879</v>
      </c>
      <c r="J131" s="1" t="s">
        <v>18</v>
      </c>
      <c r="K131" s="1" t="s">
        <v>50</v>
      </c>
      <c r="L131" s="1">
        <v>35664</v>
      </c>
      <c r="M131" s="1">
        <v>28</v>
      </c>
      <c r="N131" s="1">
        <v>1400</v>
      </c>
      <c r="O131" s="1" t="s">
        <v>70</v>
      </c>
      <c r="P131" s="1">
        <v>1750</v>
      </c>
      <c r="Q131" s="1" t="s">
        <v>71</v>
      </c>
      <c r="R131" s="1">
        <v>350</v>
      </c>
      <c r="S131"/>
      <c r="T131" t="s">
        <v>55</v>
      </c>
      <c r="U131" t="s">
        <v>814</v>
      </c>
      <c r="V131" t="s">
        <v>55</v>
      </c>
      <c r="W131" s="1">
        <v>45981</v>
      </c>
      <c r="X131" s="1" t="s">
        <v>55</v>
      </c>
      <c r="Y131" s="1" t="s">
        <v>51</v>
      </c>
      <c r="Z131" s="1" t="s">
        <v>91</v>
      </c>
      <c r="AA131" s="1" t="s">
        <v>2688</v>
      </c>
      <c r="AB131" s="1" t="s">
        <v>2880</v>
      </c>
      <c r="AC131" s="1">
        <v>44367</v>
      </c>
      <c r="AD131" s="1">
        <v>44368</v>
      </c>
      <c r="AE131" s="1">
        <v>44680</v>
      </c>
      <c r="AF131" s="1"/>
      <c r="AG131" s="1"/>
      <c r="AH131" s="1" t="s">
        <v>54</v>
      </c>
      <c r="AI131" s="1"/>
      <c r="AJ131" s="31">
        <v>44368</v>
      </c>
      <c r="AK131"/>
      <c r="AL131"/>
      <c r="AM131"/>
      <c r="AN131"/>
      <c r="AO131"/>
      <c r="AP131"/>
    </row>
    <row r="132" spans="1:42" hidden="1">
      <c r="A132" s="1" t="s">
        <v>2542</v>
      </c>
      <c r="B132" s="1">
        <v>210614</v>
      </c>
      <c r="D132" s="1" t="s">
        <v>75</v>
      </c>
      <c r="E132" s="1" t="s">
        <v>3934</v>
      </c>
      <c r="F132"/>
      <c r="G132"/>
      <c r="H132" s="1" t="s">
        <v>2881</v>
      </c>
      <c r="I132" s="1" t="s">
        <v>2882</v>
      </c>
      <c r="J132" s="1" t="s">
        <v>18</v>
      </c>
      <c r="K132" s="1" t="s">
        <v>50</v>
      </c>
      <c r="L132" s="1">
        <v>35371</v>
      </c>
      <c r="M132" s="1">
        <v>29</v>
      </c>
      <c r="N132" s="1">
        <v>1400</v>
      </c>
      <c r="P132" s="1">
        <v>1750</v>
      </c>
      <c r="Q132" s="1" t="s">
        <v>71</v>
      </c>
      <c r="R132" s="1">
        <v>350</v>
      </c>
      <c r="S132"/>
      <c r="T132" t="s">
        <v>55</v>
      </c>
      <c r="U132" t="s">
        <v>814</v>
      </c>
      <c r="V132" t="s">
        <v>55</v>
      </c>
      <c r="W132" s="1">
        <v>45981</v>
      </c>
      <c r="X132" s="1" t="s">
        <v>55</v>
      </c>
      <c r="Y132" s="1" t="s">
        <v>51</v>
      </c>
      <c r="Z132" s="1" t="s">
        <v>91</v>
      </c>
      <c r="AA132" s="1" t="s">
        <v>2688</v>
      </c>
      <c r="AB132" s="1" t="s">
        <v>2880</v>
      </c>
      <c r="AC132" s="1">
        <v>44367</v>
      </c>
      <c r="AD132" s="1">
        <v>44368</v>
      </c>
      <c r="AE132" s="1">
        <v>44602</v>
      </c>
      <c r="AF132" s="1"/>
      <c r="AG132" s="1"/>
      <c r="AH132" s="1"/>
      <c r="AI132" s="1"/>
      <c r="AJ132" s="31">
        <v>44368</v>
      </c>
      <c r="AK132"/>
      <c r="AL132"/>
      <c r="AM132"/>
      <c r="AN132"/>
      <c r="AO132"/>
      <c r="AP132"/>
    </row>
    <row r="133" spans="1:42" hidden="1">
      <c r="A133" s="1" t="s">
        <v>2542</v>
      </c>
      <c r="B133" s="1">
        <v>210615</v>
      </c>
      <c r="D133" s="1" t="s">
        <v>464</v>
      </c>
      <c r="E133" s="1" t="s">
        <v>465</v>
      </c>
      <c r="G133"/>
      <c r="H133" s="1" t="s">
        <v>2883</v>
      </c>
      <c r="I133" s="1" t="s">
        <v>2884</v>
      </c>
      <c r="J133" s="1" t="s">
        <v>18</v>
      </c>
      <c r="K133" s="1" t="s">
        <v>50</v>
      </c>
      <c r="L133" s="1">
        <v>32930</v>
      </c>
      <c r="M133" s="1">
        <v>35</v>
      </c>
      <c r="N133" s="1">
        <v>1400</v>
      </c>
      <c r="P133" s="1">
        <v>2000</v>
      </c>
      <c r="Q133" s="1" t="s">
        <v>2787</v>
      </c>
      <c r="R133" s="1">
        <v>600</v>
      </c>
      <c r="S133">
        <v>300000</v>
      </c>
      <c r="T133">
        <v>15045</v>
      </c>
      <c r="U133" t="s">
        <v>814</v>
      </c>
      <c r="V133">
        <v>27450</v>
      </c>
      <c r="W133" s="1">
        <v>45330</v>
      </c>
      <c r="X133" s="1" t="s">
        <v>55</v>
      </c>
      <c r="Y133" s="1" t="s">
        <v>51</v>
      </c>
      <c r="Z133" s="1" t="s">
        <v>489</v>
      </c>
      <c r="AA133" s="1" t="s">
        <v>2885</v>
      </c>
      <c r="AB133" s="1" t="s">
        <v>2886</v>
      </c>
      <c r="AC133" s="1">
        <v>44368</v>
      </c>
      <c r="AD133" s="1">
        <v>44369</v>
      </c>
      <c r="AE133" s="1">
        <v>45056</v>
      </c>
      <c r="AF133" s="1">
        <v>44602</v>
      </c>
      <c r="AG133" s="1"/>
      <c r="AH133" s="1" t="s">
        <v>54</v>
      </c>
      <c r="AI133" s="1"/>
      <c r="AJ133" s="31">
        <v>44369</v>
      </c>
      <c r="AK133"/>
      <c r="AL133"/>
      <c r="AM133"/>
      <c r="AN133"/>
      <c r="AO133"/>
      <c r="AP133"/>
    </row>
    <row r="134" spans="1:42" hidden="1">
      <c r="A134" s="1" t="s">
        <v>2542</v>
      </c>
      <c r="B134" s="1">
        <v>210616</v>
      </c>
      <c r="D134" s="1" t="s">
        <v>83</v>
      </c>
      <c r="F134"/>
      <c r="G134"/>
      <c r="H134" s="1" t="s">
        <v>2887</v>
      </c>
      <c r="I134" s="1" t="s">
        <v>2888</v>
      </c>
      <c r="J134" s="1" t="s">
        <v>18</v>
      </c>
      <c r="K134" s="1" t="s">
        <v>50</v>
      </c>
      <c r="L134" s="1">
        <v>35273</v>
      </c>
      <c r="M134" s="1">
        <v>29</v>
      </c>
      <c r="N134" s="1">
        <v>1350</v>
      </c>
      <c r="P134" s="1">
        <v>1750</v>
      </c>
      <c r="Q134" s="1" t="s">
        <v>71</v>
      </c>
      <c r="R134" s="1">
        <v>400</v>
      </c>
      <c r="S134"/>
      <c r="T134" t="s">
        <v>55</v>
      </c>
      <c r="U134" t="s">
        <v>814</v>
      </c>
      <c r="V134" t="s">
        <v>55</v>
      </c>
      <c r="W134" s="1">
        <v>45557</v>
      </c>
      <c r="X134" s="1" t="s">
        <v>55</v>
      </c>
      <c r="Y134" s="1" t="s">
        <v>51</v>
      </c>
      <c r="Z134" s="1" t="s">
        <v>110</v>
      </c>
      <c r="AA134" s="1" t="s">
        <v>2299</v>
      </c>
      <c r="AB134" s="1" t="s">
        <v>2300</v>
      </c>
      <c r="AC134" s="1">
        <v>44369</v>
      </c>
      <c r="AD134" s="1">
        <v>44371</v>
      </c>
      <c r="AE134" s="1">
        <v>44559</v>
      </c>
      <c r="AF134" s="1"/>
      <c r="AG134" s="1">
        <v>44378</v>
      </c>
      <c r="AH134" s="1"/>
      <c r="AI134" s="1"/>
      <c r="AJ134" s="31">
        <v>44371</v>
      </c>
      <c r="AK134"/>
      <c r="AL134"/>
      <c r="AM134"/>
      <c r="AN134"/>
      <c r="AO134"/>
      <c r="AP134"/>
    </row>
    <row r="135" spans="1:42" hidden="1">
      <c r="A135" s="1" t="s">
        <v>2542</v>
      </c>
      <c r="B135" s="1">
        <v>210701</v>
      </c>
      <c r="D135" s="1" t="s">
        <v>471</v>
      </c>
      <c r="F135"/>
      <c r="G135"/>
      <c r="H135" s="1" t="s">
        <v>2889</v>
      </c>
      <c r="I135" s="1" t="s">
        <v>2890</v>
      </c>
      <c r="J135" s="1" t="s">
        <v>18</v>
      </c>
      <c r="K135" s="1" t="s">
        <v>50</v>
      </c>
      <c r="L135" s="1">
        <v>34963</v>
      </c>
      <c r="M135" s="1">
        <v>30</v>
      </c>
      <c r="N135" s="1">
        <v>1400</v>
      </c>
      <c r="P135" s="1">
        <v>2000</v>
      </c>
      <c r="Q135" s="1"/>
      <c r="R135" s="1">
        <v>600</v>
      </c>
      <c r="S135"/>
      <c r="T135" t="s">
        <v>55</v>
      </c>
      <c r="U135" t="s">
        <v>814</v>
      </c>
      <c r="V135" t="s">
        <v>55</v>
      </c>
      <c r="W135" s="1">
        <v>45526</v>
      </c>
      <c r="X135" s="1" t="s">
        <v>55</v>
      </c>
      <c r="Y135" s="1" t="s">
        <v>51</v>
      </c>
      <c r="Z135" s="1" t="s">
        <v>2806</v>
      </c>
      <c r="AA135" s="1" t="s">
        <v>2862</v>
      </c>
      <c r="AB135" s="1" t="s">
        <v>2891</v>
      </c>
      <c r="AC135" s="1">
        <v>44380</v>
      </c>
      <c r="AD135" s="1">
        <v>44378</v>
      </c>
      <c r="AE135" s="1">
        <v>44584</v>
      </c>
      <c r="AF135" s="1"/>
      <c r="AG135" s="1"/>
      <c r="AH135" s="1"/>
      <c r="AI135" s="1"/>
      <c r="AJ135" s="31">
        <v>44378</v>
      </c>
      <c r="AK135"/>
      <c r="AL135"/>
      <c r="AM135"/>
      <c r="AN135"/>
      <c r="AO135"/>
      <c r="AP135"/>
    </row>
    <row r="136" spans="1:42" hidden="1">
      <c r="A136" s="1" t="s">
        <v>2542</v>
      </c>
      <c r="B136" s="1">
        <v>210702</v>
      </c>
      <c r="D136" s="1" t="s">
        <v>75</v>
      </c>
      <c r="E136" s="1" t="s">
        <v>3934</v>
      </c>
      <c r="G136"/>
      <c r="H136" s="1" t="s">
        <v>2892</v>
      </c>
      <c r="I136" s="1" t="s">
        <v>2893</v>
      </c>
      <c r="J136" s="1" t="s">
        <v>18</v>
      </c>
      <c r="K136" s="1" t="s">
        <v>50</v>
      </c>
      <c r="L136" s="1">
        <v>34612</v>
      </c>
      <c r="M136" s="1">
        <v>31</v>
      </c>
      <c r="N136" s="1">
        <v>1370</v>
      </c>
      <c r="P136" s="1">
        <v>1770</v>
      </c>
      <c r="Q136" s="1">
        <v>400</v>
      </c>
      <c r="R136" s="1">
        <v>400</v>
      </c>
      <c r="S136"/>
      <c r="T136" t="s">
        <v>55</v>
      </c>
      <c r="U136" t="s">
        <v>814</v>
      </c>
      <c r="V136" t="s">
        <v>55</v>
      </c>
      <c r="W136" s="1">
        <v>45721</v>
      </c>
      <c r="X136" s="1" t="s">
        <v>55</v>
      </c>
      <c r="Y136" s="1" t="s">
        <v>51</v>
      </c>
      <c r="Z136" s="1" t="s">
        <v>67</v>
      </c>
      <c r="AA136" s="1" t="s">
        <v>209</v>
      </c>
      <c r="AB136" s="1" t="s">
        <v>595</v>
      </c>
      <c r="AC136" s="1">
        <v>44379</v>
      </c>
      <c r="AD136" s="1">
        <v>44382</v>
      </c>
      <c r="AE136" s="1">
        <v>44520</v>
      </c>
      <c r="AF136" s="1"/>
      <c r="AG136" s="1"/>
      <c r="AH136" s="1"/>
      <c r="AI136" s="1"/>
      <c r="AJ136" s="31">
        <v>44382</v>
      </c>
      <c r="AK136"/>
      <c r="AL136"/>
      <c r="AM136"/>
      <c r="AN136"/>
      <c r="AO136"/>
      <c r="AP136"/>
    </row>
    <row r="137" spans="1:42" hidden="1">
      <c r="A137" s="1" t="s">
        <v>2542</v>
      </c>
      <c r="B137" s="1">
        <v>210703</v>
      </c>
      <c r="C137" s="1">
        <v>500007</v>
      </c>
      <c r="D137" s="1" t="s">
        <v>471</v>
      </c>
      <c r="E137" s="1" t="s">
        <v>2894</v>
      </c>
      <c r="F137"/>
      <c r="G137"/>
      <c r="H137" s="1" t="s">
        <v>2895</v>
      </c>
      <c r="I137" s="1" t="s">
        <v>2896</v>
      </c>
      <c r="J137" s="1" t="s">
        <v>18</v>
      </c>
      <c r="K137" s="1" t="s">
        <v>50</v>
      </c>
      <c r="L137" s="1">
        <v>33449</v>
      </c>
      <c r="M137" s="1">
        <v>34</v>
      </c>
      <c r="N137" s="1">
        <v>1400</v>
      </c>
      <c r="P137" s="1">
        <v>1900</v>
      </c>
      <c r="Q137" s="1"/>
      <c r="R137" s="1">
        <v>500</v>
      </c>
      <c r="S137"/>
      <c r="T137" t="s">
        <v>55</v>
      </c>
      <c r="U137" t="s">
        <v>814</v>
      </c>
      <c r="V137" t="s">
        <v>55</v>
      </c>
      <c r="W137" s="1">
        <v>45039</v>
      </c>
      <c r="X137" s="1" t="s">
        <v>55</v>
      </c>
      <c r="Y137" s="1" t="s">
        <v>51</v>
      </c>
      <c r="Z137" s="1" t="s">
        <v>2768</v>
      </c>
      <c r="AA137" s="1" t="s">
        <v>2897</v>
      </c>
      <c r="AB137" s="1" t="s">
        <v>2898</v>
      </c>
      <c r="AC137" s="1" t="s">
        <v>53</v>
      </c>
      <c r="AD137" s="1">
        <v>44384</v>
      </c>
      <c r="AE137" s="1">
        <v>44848</v>
      </c>
      <c r="AF137" s="1">
        <v>44853</v>
      </c>
      <c r="AG137" s="1"/>
      <c r="AH137" s="1" t="s">
        <v>54</v>
      </c>
      <c r="AI137" s="1"/>
      <c r="AJ137" s="31">
        <v>44384</v>
      </c>
      <c r="AK137"/>
      <c r="AL137"/>
      <c r="AM137"/>
      <c r="AN137"/>
      <c r="AO137"/>
      <c r="AP137"/>
    </row>
    <row r="138" spans="1:42" hidden="1">
      <c r="A138" s="1" t="s">
        <v>2542</v>
      </c>
      <c r="B138" s="1">
        <v>210704</v>
      </c>
      <c r="D138" s="1" t="s">
        <v>464</v>
      </c>
      <c r="F138"/>
      <c r="G138"/>
      <c r="H138" s="1" t="s">
        <v>185</v>
      </c>
      <c r="I138" s="1" t="s">
        <v>2899</v>
      </c>
      <c r="J138" s="1" t="s">
        <v>18</v>
      </c>
      <c r="K138" s="1" t="s">
        <v>50</v>
      </c>
      <c r="L138" s="1">
        <v>34208</v>
      </c>
      <c r="M138" s="1">
        <v>32</v>
      </c>
      <c r="N138" s="1">
        <v>1400</v>
      </c>
      <c r="P138" s="1">
        <v>1900</v>
      </c>
      <c r="Q138" s="1"/>
      <c r="R138" s="1">
        <v>500</v>
      </c>
      <c r="S138"/>
      <c r="T138" t="s">
        <v>55</v>
      </c>
      <c r="U138" t="s">
        <v>814</v>
      </c>
      <c r="V138" t="s">
        <v>55</v>
      </c>
      <c r="W138" s="1">
        <v>45492</v>
      </c>
      <c r="X138" s="1" t="s">
        <v>55</v>
      </c>
      <c r="Y138" s="1" t="s">
        <v>51</v>
      </c>
      <c r="Z138" s="1" t="s">
        <v>2900</v>
      </c>
      <c r="AA138" s="1" t="s">
        <v>2901</v>
      </c>
      <c r="AB138" s="1" t="s">
        <v>2902</v>
      </c>
      <c r="AC138" s="1">
        <v>44382</v>
      </c>
      <c r="AD138" s="1">
        <v>44384</v>
      </c>
      <c r="AE138" s="1">
        <v>44649</v>
      </c>
      <c r="AF138" s="1"/>
      <c r="AG138" s="1"/>
      <c r="AH138" s="1" t="s">
        <v>54</v>
      </c>
      <c r="AI138" s="1"/>
      <c r="AJ138" s="31">
        <v>44384</v>
      </c>
      <c r="AK138"/>
      <c r="AL138"/>
      <c r="AM138"/>
      <c r="AN138"/>
      <c r="AO138"/>
      <c r="AP138"/>
    </row>
    <row r="139" spans="1:42" hidden="1">
      <c r="A139" s="1" t="s">
        <v>2542</v>
      </c>
      <c r="B139" s="1">
        <v>210705</v>
      </c>
      <c r="D139" s="1" t="s">
        <v>464</v>
      </c>
      <c r="E139" s="1" t="s">
        <v>465</v>
      </c>
      <c r="F139"/>
      <c r="G139"/>
      <c r="H139" s="1" t="s">
        <v>2903</v>
      </c>
      <c r="I139" s="1" t="s">
        <v>2904</v>
      </c>
      <c r="J139" s="1" t="s">
        <v>18</v>
      </c>
      <c r="K139" s="1" t="s">
        <v>50</v>
      </c>
      <c r="L139" s="1">
        <v>34528</v>
      </c>
      <c r="M139" s="1">
        <v>31</v>
      </c>
      <c r="N139" s="1">
        <v>1400</v>
      </c>
      <c r="P139" s="1">
        <v>2100</v>
      </c>
      <c r="Q139" s="1" t="s">
        <v>1994</v>
      </c>
      <c r="R139" s="1">
        <v>700</v>
      </c>
      <c r="S139">
        <v>280000</v>
      </c>
      <c r="T139">
        <v>14042</v>
      </c>
      <c r="U139" t="s">
        <v>814</v>
      </c>
      <c r="V139">
        <v>25620</v>
      </c>
      <c r="W139" s="1">
        <v>46407</v>
      </c>
      <c r="X139" s="1" t="s">
        <v>55</v>
      </c>
      <c r="Y139" s="1" t="s">
        <v>51</v>
      </c>
      <c r="Z139" s="1" t="s">
        <v>489</v>
      </c>
      <c r="AA139" s="1" t="s">
        <v>2905</v>
      </c>
      <c r="AB139" s="1" t="s">
        <v>2906</v>
      </c>
      <c r="AC139" s="1" t="s">
        <v>53</v>
      </c>
      <c r="AD139" s="1">
        <v>44384</v>
      </c>
      <c r="AE139" s="1">
        <v>45320</v>
      </c>
      <c r="AF139" s="1"/>
      <c r="AG139" s="1"/>
      <c r="AH139" s="1" t="s">
        <v>54</v>
      </c>
      <c r="AI139" s="1"/>
      <c r="AJ139" s="31">
        <v>44384</v>
      </c>
      <c r="AK139"/>
      <c r="AL139"/>
      <c r="AM139"/>
      <c r="AN139"/>
      <c r="AO139"/>
      <c r="AP139"/>
    </row>
    <row r="140" spans="1:42" hidden="1">
      <c r="A140" s="1" t="s">
        <v>2542</v>
      </c>
      <c r="B140" s="1">
        <v>210706</v>
      </c>
      <c r="C140" s="1">
        <v>232018</v>
      </c>
      <c r="D140" s="1" t="s">
        <v>83</v>
      </c>
      <c r="E140" s="1" t="s">
        <v>307</v>
      </c>
      <c r="F140" t="s">
        <v>2655</v>
      </c>
      <c r="G140" t="s">
        <v>2656</v>
      </c>
      <c r="H140" s="1" t="s">
        <v>2907</v>
      </c>
      <c r="I140" s="1" t="s">
        <v>2908</v>
      </c>
      <c r="J140" s="1" t="s">
        <v>18</v>
      </c>
      <c r="K140" s="1" t="s">
        <v>50</v>
      </c>
      <c r="L140" s="1">
        <v>33966</v>
      </c>
      <c r="M140" s="1">
        <v>32</v>
      </c>
      <c r="N140" s="1">
        <v>1410</v>
      </c>
      <c r="P140" s="1">
        <v>1810</v>
      </c>
      <c r="Q140" s="1" t="s">
        <v>71</v>
      </c>
      <c r="R140" s="1">
        <v>400</v>
      </c>
      <c r="S140">
        <v>220000</v>
      </c>
      <c r="T140">
        <v>11033</v>
      </c>
      <c r="U140" t="s">
        <v>814</v>
      </c>
      <c r="V140">
        <v>20130</v>
      </c>
      <c r="W140" s="1">
        <v>46078</v>
      </c>
      <c r="X140" s="1" t="s">
        <v>55</v>
      </c>
      <c r="Y140" s="1" t="s">
        <v>51</v>
      </c>
      <c r="Z140" s="1" t="s">
        <v>110</v>
      </c>
      <c r="AA140" s="1" t="s">
        <v>134</v>
      </c>
      <c r="AB140" s="1" t="s">
        <v>135</v>
      </c>
      <c r="AC140" s="1">
        <v>44743</v>
      </c>
      <c r="AD140" s="1">
        <v>44385</v>
      </c>
      <c r="AE140" s="1">
        <v>45321</v>
      </c>
      <c r="AF140" s="1">
        <v>45321</v>
      </c>
      <c r="AG140" s="1"/>
      <c r="AH140" s="1" t="s">
        <v>54</v>
      </c>
      <c r="AI140" s="1"/>
      <c r="AJ140" s="31">
        <v>44385</v>
      </c>
      <c r="AK140"/>
      <c r="AL140"/>
      <c r="AM140"/>
      <c r="AN140"/>
      <c r="AO140"/>
      <c r="AP140"/>
    </row>
    <row r="141" spans="1:42" hidden="1">
      <c r="A141" s="1" t="s">
        <v>2542</v>
      </c>
      <c r="B141" s="1">
        <v>210707</v>
      </c>
      <c r="D141" s="1" t="s">
        <v>447</v>
      </c>
      <c r="E141" s="1" t="s">
        <v>741</v>
      </c>
      <c r="F141" t="s">
        <v>2744</v>
      </c>
      <c r="G141"/>
      <c r="H141" s="1" t="s">
        <v>2909</v>
      </c>
      <c r="I141" s="1" t="s">
        <v>2910</v>
      </c>
      <c r="J141" s="1" t="s">
        <v>18</v>
      </c>
      <c r="K141" s="1" t="s">
        <v>50</v>
      </c>
      <c r="L141" s="1">
        <v>35717</v>
      </c>
      <c r="M141" s="1">
        <v>28</v>
      </c>
      <c r="N141" s="1">
        <v>1300</v>
      </c>
      <c r="O141" s="1" t="s">
        <v>483</v>
      </c>
      <c r="P141" s="1">
        <v>1700</v>
      </c>
      <c r="Q141" s="1"/>
      <c r="R141" s="1">
        <v>400</v>
      </c>
      <c r="S141"/>
      <c r="T141" t="s">
        <v>55</v>
      </c>
      <c r="U141" t="s">
        <v>814</v>
      </c>
      <c r="V141" t="s">
        <v>55</v>
      </c>
      <c r="W141" s="1">
        <v>44988</v>
      </c>
      <c r="X141" s="1" t="s">
        <v>55</v>
      </c>
      <c r="Y141" s="1" t="s">
        <v>51</v>
      </c>
      <c r="Z141" s="1" t="s">
        <v>448</v>
      </c>
      <c r="AA141" s="1" t="s">
        <v>449</v>
      </c>
      <c r="AB141" s="1" t="s">
        <v>492</v>
      </c>
      <c r="AC141" s="1">
        <v>44390</v>
      </c>
      <c r="AD141" s="1">
        <v>44391</v>
      </c>
      <c r="AE141" s="1">
        <v>44680</v>
      </c>
      <c r="AF141" s="1"/>
      <c r="AG141" s="1"/>
      <c r="AH141" s="1" t="s">
        <v>54</v>
      </c>
      <c r="AI141" s="1"/>
      <c r="AJ141" s="31">
        <v>44391</v>
      </c>
      <c r="AK141"/>
      <c r="AL141"/>
      <c r="AM141"/>
      <c r="AN141"/>
      <c r="AO141"/>
      <c r="AP141"/>
    </row>
    <row r="142" spans="1:42" hidden="1">
      <c r="A142" s="1" t="s">
        <v>2542</v>
      </c>
      <c r="B142" s="1">
        <v>210708</v>
      </c>
      <c r="C142" s="1">
        <v>232017</v>
      </c>
      <c r="D142" s="1" t="s">
        <v>83</v>
      </c>
      <c r="E142" s="1" t="s">
        <v>309</v>
      </c>
      <c r="F142" t="s">
        <v>365</v>
      </c>
      <c r="G142" t="s">
        <v>2911</v>
      </c>
      <c r="H142" s="1" t="s">
        <v>2912</v>
      </c>
      <c r="I142" s="1" t="s">
        <v>2913</v>
      </c>
      <c r="J142" s="1" t="s">
        <v>18</v>
      </c>
      <c r="K142" s="1" t="s">
        <v>50</v>
      </c>
      <c r="L142" s="1">
        <v>33944</v>
      </c>
      <c r="M142" s="1">
        <v>32</v>
      </c>
      <c r="N142" s="1">
        <v>1400</v>
      </c>
      <c r="P142" s="1">
        <v>1790</v>
      </c>
      <c r="Q142" s="1" t="s">
        <v>71</v>
      </c>
      <c r="R142" s="1">
        <v>390</v>
      </c>
      <c r="S142">
        <v>280000</v>
      </c>
      <c r="T142">
        <v>14042</v>
      </c>
      <c r="U142" t="s">
        <v>814</v>
      </c>
      <c r="V142">
        <v>25620</v>
      </c>
      <c r="W142" s="1">
        <v>46198</v>
      </c>
      <c r="X142" s="1" t="s">
        <v>55</v>
      </c>
      <c r="Y142" s="1" t="s">
        <v>51</v>
      </c>
      <c r="Z142" s="1" t="s">
        <v>110</v>
      </c>
      <c r="AA142" s="1" t="s">
        <v>122</v>
      </c>
      <c r="AB142" s="1" t="s">
        <v>136</v>
      </c>
      <c r="AC142" s="1">
        <v>44652</v>
      </c>
      <c r="AD142" s="1">
        <v>44392</v>
      </c>
      <c r="AE142" s="1">
        <v>45366</v>
      </c>
      <c r="AF142" s="1"/>
      <c r="AG142" s="1"/>
      <c r="AH142" s="1" t="s">
        <v>54</v>
      </c>
      <c r="AI142" s="1" t="s">
        <v>2914</v>
      </c>
      <c r="AJ142" s="31">
        <v>44392</v>
      </c>
      <c r="AK142"/>
      <c r="AL142"/>
      <c r="AM142"/>
      <c r="AN142"/>
      <c r="AO142"/>
      <c r="AP142"/>
    </row>
    <row r="143" spans="1:42" hidden="1">
      <c r="A143" s="1" t="s">
        <v>2542</v>
      </c>
      <c r="B143" s="1">
        <v>210709</v>
      </c>
      <c r="C143" s="1">
        <v>500008</v>
      </c>
      <c r="D143" s="1" t="s">
        <v>471</v>
      </c>
      <c r="E143" s="1" t="s">
        <v>2858</v>
      </c>
      <c r="F143"/>
      <c r="G143"/>
      <c r="H143" s="1" t="s">
        <v>2915</v>
      </c>
      <c r="I143" s="1" t="s">
        <v>2916</v>
      </c>
      <c r="J143" s="1" t="s">
        <v>18</v>
      </c>
      <c r="K143" s="1" t="s">
        <v>50</v>
      </c>
      <c r="L143" s="1">
        <v>34027</v>
      </c>
      <c r="M143" s="1">
        <v>32</v>
      </c>
      <c r="N143" s="1">
        <v>1400</v>
      </c>
      <c r="P143" s="1">
        <v>2000</v>
      </c>
      <c r="Q143" s="1"/>
      <c r="R143" s="1">
        <v>600</v>
      </c>
      <c r="S143">
        <v>340000</v>
      </c>
      <c r="T143">
        <v>17051</v>
      </c>
      <c r="U143" t="s">
        <v>814</v>
      </c>
      <c r="V143">
        <v>31110</v>
      </c>
      <c r="W143" s="1">
        <v>45319</v>
      </c>
      <c r="X143" s="1" t="s">
        <v>55</v>
      </c>
      <c r="Y143" s="1" t="s">
        <v>51</v>
      </c>
      <c r="Z143" s="1" t="s">
        <v>115</v>
      </c>
      <c r="AA143" s="1" t="s">
        <v>2862</v>
      </c>
      <c r="AB143" s="1" t="s">
        <v>2798</v>
      </c>
      <c r="AC143" s="1">
        <v>44877</v>
      </c>
      <c r="AD143" s="1">
        <v>44393</v>
      </c>
      <c r="AE143" s="1">
        <v>45029</v>
      </c>
      <c r="AF143" s="1"/>
      <c r="AG143" s="1"/>
      <c r="AH143" s="1" t="s">
        <v>54</v>
      </c>
      <c r="AI143" s="1"/>
      <c r="AJ143" s="31">
        <v>44393</v>
      </c>
      <c r="AK143"/>
      <c r="AL143"/>
      <c r="AM143"/>
      <c r="AN143"/>
      <c r="AO143"/>
      <c r="AP143"/>
    </row>
    <row r="144" spans="1:42" hidden="1">
      <c r="A144" s="1" t="s">
        <v>2542</v>
      </c>
      <c r="B144" s="1">
        <v>210710</v>
      </c>
      <c r="D144" s="1" t="s">
        <v>815</v>
      </c>
      <c r="F144"/>
      <c r="G144"/>
      <c r="H144" s="1" t="s">
        <v>596</v>
      </c>
      <c r="I144" s="1" t="s">
        <v>597</v>
      </c>
      <c r="J144" s="1" t="s">
        <v>18</v>
      </c>
      <c r="K144" s="1" t="s">
        <v>50</v>
      </c>
      <c r="L144" s="1">
        <v>33139</v>
      </c>
      <c r="M144" s="1">
        <v>35</v>
      </c>
      <c r="N144" s="1">
        <v>1400</v>
      </c>
      <c r="P144" s="1">
        <v>1990</v>
      </c>
      <c r="Q144" s="1"/>
      <c r="R144" s="1">
        <v>590</v>
      </c>
      <c r="S144"/>
      <c r="T144" t="s">
        <v>55</v>
      </c>
      <c r="U144" t="s">
        <v>814</v>
      </c>
      <c r="V144" t="s">
        <v>55</v>
      </c>
      <c r="W144" s="1">
        <v>45441</v>
      </c>
      <c r="X144" s="1" t="s">
        <v>55</v>
      </c>
      <c r="Y144" s="1" t="s">
        <v>51</v>
      </c>
      <c r="Z144" s="1" t="s">
        <v>2925</v>
      </c>
      <c r="AA144" s="1" t="s">
        <v>2926</v>
      </c>
      <c r="AB144" s="1" t="s">
        <v>2927</v>
      </c>
      <c r="AC144" s="1" t="s">
        <v>53</v>
      </c>
      <c r="AD144" s="1">
        <v>44396</v>
      </c>
      <c r="AE144" s="1">
        <v>44652</v>
      </c>
      <c r="AF144" s="1"/>
      <c r="AG144" s="1">
        <v>44470</v>
      </c>
      <c r="AH144" s="1" t="s">
        <v>54</v>
      </c>
      <c r="AI144" s="1"/>
      <c r="AJ144" s="31">
        <v>44396</v>
      </c>
      <c r="AK144"/>
      <c r="AL144"/>
      <c r="AM144"/>
      <c r="AN144"/>
      <c r="AO144"/>
      <c r="AP144"/>
    </row>
    <row r="145" spans="1:42" hidden="1">
      <c r="A145" s="1" t="s">
        <v>2542</v>
      </c>
      <c r="B145" s="1">
        <v>210711</v>
      </c>
      <c r="C145" s="1">
        <v>222022</v>
      </c>
      <c r="D145" s="1" t="s">
        <v>62</v>
      </c>
      <c r="E145" s="1" t="s">
        <v>2917</v>
      </c>
      <c r="F145" t="s">
        <v>2918</v>
      </c>
      <c r="G145"/>
      <c r="H145" s="1" t="s">
        <v>2919</v>
      </c>
      <c r="I145" s="1" t="s">
        <v>2920</v>
      </c>
      <c r="J145" s="1" t="s">
        <v>17</v>
      </c>
      <c r="K145" s="1" t="s">
        <v>137</v>
      </c>
      <c r="L145" s="1">
        <v>27134</v>
      </c>
      <c r="M145" s="1">
        <v>51</v>
      </c>
      <c r="N145" s="1">
        <v>1200</v>
      </c>
      <c r="O145" s="1" t="s">
        <v>2921</v>
      </c>
      <c r="P145" s="1">
        <v>1770</v>
      </c>
      <c r="Q145" s="1" t="s">
        <v>2922</v>
      </c>
      <c r="R145" s="1">
        <v>570</v>
      </c>
      <c r="S145">
        <v>200000</v>
      </c>
      <c r="T145">
        <v>10030</v>
      </c>
      <c r="U145">
        <v>1590</v>
      </c>
      <c r="V145">
        <v>18300</v>
      </c>
      <c r="W145" s="1"/>
      <c r="X145" s="1" t="s">
        <v>55</v>
      </c>
      <c r="Y145" s="1"/>
      <c r="Z145" s="1" t="s">
        <v>2923</v>
      </c>
      <c r="AA145" s="1" t="s">
        <v>2924</v>
      </c>
      <c r="AB145" s="1"/>
      <c r="AC145" s="1" t="s">
        <v>53</v>
      </c>
      <c r="AD145" s="1">
        <v>44396</v>
      </c>
      <c r="AE145" s="1">
        <v>45036</v>
      </c>
      <c r="AF145" s="1"/>
      <c r="AG145" s="1">
        <v>44470</v>
      </c>
      <c r="AH145" s="1" t="s">
        <v>54</v>
      </c>
      <c r="AI145" s="1"/>
      <c r="AJ145" s="31">
        <v>44396</v>
      </c>
      <c r="AK145"/>
      <c r="AL145"/>
      <c r="AM145"/>
      <c r="AN145"/>
      <c r="AO145"/>
      <c r="AP145"/>
    </row>
    <row r="146" spans="1:42" hidden="1">
      <c r="A146" s="1" t="s">
        <v>49</v>
      </c>
      <c r="B146" s="1">
        <v>210712</v>
      </c>
      <c r="C146" s="1">
        <v>225002</v>
      </c>
      <c r="D146" s="1" t="s">
        <v>1990</v>
      </c>
      <c r="E146" s="1" t="s">
        <v>3864</v>
      </c>
      <c r="F146" t="s">
        <v>799</v>
      </c>
      <c r="G146" t="s">
        <v>3867</v>
      </c>
      <c r="H146" s="1" t="s">
        <v>138</v>
      </c>
      <c r="I146" s="1" t="s">
        <v>139</v>
      </c>
      <c r="J146" s="1" t="s">
        <v>18</v>
      </c>
      <c r="K146" s="1" t="s">
        <v>50</v>
      </c>
      <c r="L146" s="1">
        <v>32467</v>
      </c>
      <c r="M146" s="1">
        <v>37</v>
      </c>
      <c r="N146" s="1">
        <v>1420</v>
      </c>
      <c r="O146" s="1" t="s">
        <v>140</v>
      </c>
      <c r="P146" s="1">
        <v>1860</v>
      </c>
      <c r="Q146" s="1" t="s">
        <v>71</v>
      </c>
      <c r="R146" s="1">
        <v>440</v>
      </c>
      <c r="S146">
        <v>260000</v>
      </c>
      <c r="T146">
        <v>13039</v>
      </c>
      <c r="U146" t="s">
        <v>814</v>
      </c>
      <c r="V146">
        <v>23790</v>
      </c>
      <c r="W146" s="1">
        <v>46058</v>
      </c>
      <c r="X146" s="1">
        <v>63</v>
      </c>
      <c r="Y146" s="1" t="s">
        <v>51</v>
      </c>
      <c r="Z146" s="1" t="s">
        <v>67</v>
      </c>
      <c r="AA146" s="1" t="s">
        <v>68</v>
      </c>
      <c r="AB146" s="1" t="s">
        <v>3881</v>
      </c>
      <c r="AC146" s="1">
        <v>44396</v>
      </c>
      <c r="AD146" s="1">
        <v>44397</v>
      </c>
      <c r="AE146" s="1"/>
      <c r="AF146" s="1"/>
      <c r="AG146" s="1">
        <v>44470</v>
      </c>
      <c r="AH146" s="1" t="s">
        <v>54</v>
      </c>
      <c r="AI146" s="1"/>
      <c r="AJ146" s="31">
        <v>44397</v>
      </c>
      <c r="AK146"/>
      <c r="AL146"/>
      <c r="AM146"/>
      <c r="AN146"/>
      <c r="AO146" t="s">
        <v>4164</v>
      </c>
      <c r="AP146"/>
    </row>
    <row r="147" spans="1:42" hidden="1">
      <c r="A147" s="1" t="s">
        <v>2542</v>
      </c>
      <c r="B147" s="1">
        <v>210713</v>
      </c>
      <c r="C147" s="1">
        <v>242020</v>
      </c>
      <c r="D147" s="1" t="s">
        <v>69</v>
      </c>
      <c r="E147" s="1" t="s">
        <v>306</v>
      </c>
      <c r="F147" t="s">
        <v>742</v>
      </c>
      <c r="G147"/>
      <c r="H147" s="1" t="s">
        <v>2928</v>
      </c>
      <c r="I147" s="1" t="s">
        <v>2929</v>
      </c>
      <c r="J147" s="1" t="s">
        <v>18</v>
      </c>
      <c r="K147" s="1" t="s">
        <v>50</v>
      </c>
      <c r="L147" s="1">
        <v>32756</v>
      </c>
      <c r="M147" s="1">
        <v>36</v>
      </c>
      <c r="N147" s="1">
        <v>1400</v>
      </c>
      <c r="O147" s="1" t="s">
        <v>140</v>
      </c>
      <c r="P147" s="1">
        <v>1770</v>
      </c>
      <c r="Q147" s="1" t="s">
        <v>71</v>
      </c>
      <c r="R147" s="1">
        <v>370</v>
      </c>
      <c r="S147"/>
      <c r="T147" t="s">
        <v>55</v>
      </c>
      <c r="U147" t="s">
        <v>814</v>
      </c>
      <c r="V147" t="s">
        <v>55</v>
      </c>
      <c r="W147" s="1">
        <v>45085</v>
      </c>
      <c r="X147" s="1" t="s">
        <v>55</v>
      </c>
      <c r="Y147" s="1" t="s">
        <v>51</v>
      </c>
      <c r="Z147" s="1" t="s">
        <v>493</v>
      </c>
      <c r="AA147" s="1" t="s">
        <v>494</v>
      </c>
      <c r="AB147" s="1" t="s">
        <v>495</v>
      </c>
      <c r="AC147" s="1" t="s">
        <v>53</v>
      </c>
      <c r="AD147" s="1">
        <v>44403</v>
      </c>
      <c r="AE147" s="1">
        <v>44890</v>
      </c>
      <c r="AF147" s="1"/>
      <c r="AG147" s="1">
        <v>44470</v>
      </c>
      <c r="AH147" s="1" t="s">
        <v>54</v>
      </c>
      <c r="AI147" s="1"/>
      <c r="AJ147" s="31">
        <v>44403</v>
      </c>
      <c r="AK147"/>
      <c r="AL147"/>
      <c r="AM147"/>
      <c r="AN147"/>
      <c r="AO147"/>
      <c r="AP147"/>
    </row>
    <row r="148" spans="1:42" hidden="1">
      <c r="A148" s="1" t="s">
        <v>2542</v>
      </c>
      <c r="B148" s="1">
        <v>211116</v>
      </c>
      <c r="C148" s="1">
        <v>232030</v>
      </c>
      <c r="D148" s="1" t="s">
        <v>83</v>
      </c>
      <c r="E148" s="1" t="s">
        <v>309</v>
      </c>
      <c r="F148" t="s">
        <v>365</v>
      </c>
      <c r="G148" t="s">
        <v>2911</v>
      </c>
      <c r="H148" s="1" t="s">
        <v>2930</v>
      </c>
      <c r="I148" s="1" t="s">
        <v>2931</v>
      </c>
      <c r="J148" s="1" t="s">
        <v>18</v>
      </c>
      <c r="K148" s="1" t="s">
        <v>50</v>
      </c>
      <c r="L148" s="1">
        <v>32957</v>
      </c>
      <c r="M148" s="1">
        <v>35</v>
      </c>
      <c r="N148" s="1">
        <v>1400</v>
      </c>
      <c r="P148" s="1">
        <v>1760</v>
      </c>
      <c r="Q148" s="1"/>
      <c r="R148" s="1">
        <v>360</v>
      </c>
      <c r="S148">
        <v>260000</v>
      </c>
      <c r="T148">
        <v>13039</v>
      </c>
      <c r="U148" t="s">
        <v>814</v>
      </c>
      <c r="V148">
        <v>23790</v>
      </c>
      <c r="W148" s="1">
        <v>45603</v>
      </c>
      <c r="X148" s="1" t="s">
        <v>55</v>
      </c>
      <c r="Y148" s="1" t="s">
        <v>51</v>
      </c>
      <c r="Z148" s="1" t="s">
        <v>110</v>
      </c>
      <c r="AA148" s="1" t="s">
        <v>127</v>
      </c>
      <c r="AB148" s="1" t="s">
        <v>2932</v>
      </c>
      <c r="AC148" s="1">
        <v>44409</v>
      </c>
      <c r="AD148" s="1">
        <v>44409</v>
      </c>
      <c r="AE148" s="1">
        <v>45401</v>
      </c>
      <c r="AF148" s="1"/>
      <c r="AG148" s="1">
        <v>22.01</v>
      </c>
      <c r="AH148" s="1" t="s">
        <v>54</v>
      </c>
      <c r="AI148" s="1" t="s">
        <v>2933</v>
      </c>
      <c r="AJ148" s="31">
        <v>44409</v>
      </c>
      <c r="AK148"/>
      <c r="AL148"/>
      <c r="AM148"/>
      <c r="AN148"/>
      <c r="AO148"/>
      <c r="AP148"/>
    </row>
    <row r="149" spans="1:42" hidden="1">
      <c r="A149" s="1" t="s">
        <v>2542</v>
      </c>
      <c r="B149" s="1">
        <v>210801</v>
      </c>
      <c r="C149" s="1">
        <v>83829</v>
      </c>
      <c r="D149" s="1" t="s">
        <v>107</v>
      </c>
      <c r="E149" s="1" t="s">
        <v>2934</v>
      </c>
      <c r="F149"/>
      <c r="G149"/>
      <c r="H149" s="1" t="s">
        <v>141</v>
      </c>
      <c r="I149" s="1" t="s">
        <v>142</v>
      </c>
      <c r="J149" s="1" t="s">
        <v>18</v>
      </c>
      <c r="K149" s="1" t="s">
        <v>50</v>
      </c>
      <c r="L149" s="1">
        <v>34643</v>
      </c>
      <c r="M149" s="1">
        <v>31</v>
      </c>
      <c r="N149" s="1">
        <v>1500</v>
      </c>
      <c r="O149" s="1" t="s">
        <v>143</v>
      </c>
      <c r="P149" s="1">
        <v>2300</v>
      </c>
      <c r="Q149" s="1"/>
      <c r="R149" s="1">
        <v>800</v>
      </c>
      <c r="S149"/>
      <c r="T149" t="s">
        <v>55</v>
      </c>
      <c r="U149" t="s">
        <v>814</v>
      </c>
      <c r="V149" t="s">
        <v>55</v>
      </c>
      <c r="W149" s="1">
        <v>45200</v>
      </c>
      <c r="X149" s="1" t="s">
        <v>55</v>
      </c>
      <c r="Y149" s="1" t="s">
        <v>51</v>
      </c>
      <c r="Z149" s="1" t="s">
        <v>2694</v>
      </c>
      <c r="AA149" s="1" t="s">
        <v>2935</v>
      </c>
      <c r="AB149" s="1" t="s">
        <v>2936</v>
      </c>
      <c r="AC149" s="1">
        <v>44417</v>
      </c>
      <c r="AD149" s="1">
        <v>44418</v>
      </c>
      <c r="AE149" s="1">
        <v>45015</v>
      </c>
      <c r="AF149" s="1"/>
      <c r="AG149" s="1">
        <v>44470</v>
      </c>
      <c r="AH149" s="1" t="s">
        <v>54</v>
      </c>
      <c r="AI149" s="1"/>
      <c r="AJ149" s="31">
        <v>44418</v>
      </c>
      <c r="AK149"/>
      <c r="AL149"/>
      <c r="AM149"/>
      <c r="AN149"/>
      <c r="AO149"/>
      <c r="AP149"/>
    </row>
    <row r="150" spans="1:42" hidden="1">
      <c r="A150" s="1" t="s">
        <v>2542</v>
      </c>
      <c r="B150" s="1">
        <v>210802</v>
      </c>
      <c r="C150" s="1">
        <v>83836</v>
      </c>
      <c r="D150" s="1" t="s">
        <v>687</v>
      </c>
      <c r="E150" s="1" t="s">
        <v>2934</v>
      </c>
      <c r="F150"/>
      <c r="G150"/>
      <c r="H150" s="1" t="s">
        <v>2937</v>
      </c>
      <c r="I150" s="1" t="s">
        <v>2938</v>
      </c>
      <c r="J150" s="1" t="s">
        <v>18</v>
      </c>
      <c r="K150" s="1" t="s">
        <v>50</v>
      </c>
      <c r="L150" s="1">
        <v>34498</v>
      </c>
      <c r="M150" s="1">
        <v>31</v>
      </c>
      <c r="N150" s="1">
        <v>1400</v>
      </c>
      <c r="O150" s="1" t="s">
        <v>143</v>
      </c>
      <c r="P150" s="1">
        <v>1850</v>
      </c>
      <c r="Q150" s="1"/>
      <c r="R150" s="1">
        <v>450</v>
      </c>
      <c r="S150">
        <v>260000</v>
      </c>
      <c r="T150">
        <v>13039</v>
      </c>
      <c r="U150" t="s">
        <v>814</v>
      </c>
      <c r="V150">
        <v>23790</v>
      </c>
      <c r="W150" s="1">
        <v>46342</v>
      </c>
      <c r="X150" s="1" t="s">
        <v>55</v>
      </c>
      <c r="Y150" s="1" t="s">
        <v>51</v>
      </c>
      <c r="Z150" s="1" t="s">
        <v>117</v>
      </c>
      <c r="AA150" s="1" t="s">
        <v>123</v>
      </c>
      <c r="AB150" s="1" t="s">
        <v>2939</v>
      </c>
      <c r="AC150" s="1" t="s">
        <v>53</v>
      </c>
      <c r="AD150" s="1">
        <v>44418</v>
      </c>
      <c r="AE150" s="1">
        <v>45306</v>
      </c>
      <c r="AF150" s="1"/>
      <c r="AG150" s="1">
        <v>44470</v>
      </c>
      <c r="AH150" s="1" t="s">
        <v>54</v>
      </c>
      <c r="AI150" s="1" t="s">
        <v>2940</v>
      </c>
      <c r="AJ150" s="31">
        <v>44418</v>
      </c>
      <c r="AK150"/>
      <c r="AL150"/>
      <c r="AM150"/>
      <c r="AN150"/>
      <c r="AO150"/>
      <c r="AP150"/>
    </row>
    <row r="151" spans="1:42" hidden="1">
      <c r="A151" s="1" t="s">
        <v>2542</v>
      </c>
      <c r="B151" s="1">
        <v>210803</v>
      </c>
      <c r="C151" s="1">
        <v>83868</v>
      </c>
      <c r="D151" s="1" t="s">
        <v>107</v>
      </c>
      <c r="E151" s="1" t="s">
        <v>2722</v>
      </c>
      <c r="F151"/>
      <c r="G151"/>
      <c r="H151" s="1" t="s">
        <v>144</v>
      </c>
      <c r="I151" s="1" t="s">
        <v>2941</v>
      </c>
      <c r="J151" s="1" t="s">
        <v>18</v>
      </c>
      <c r="K151" s="1" t="s">
        <v>50</v>
      </c>
      <c r="L151" s="1">
        <v>32950</v>
      </c>
      <c r="M151" s="1">
        <v>35</v>
      </c>
      <c r="N151" s="1">
        <v>1500</v>
      </c>
      <c r="O151" s="1" t="s">
        <v>143</v>
      </c>
      <c r="P151" s="1">
        <v>2300</v>
      </c>
      <c r="Q151" s="1"/>
      <c r="R151" s="1">
        <v>800</v>
      </c>
      <c r="S151">
        <v>300000</v>
      </c>
      <c r="T151">
        <v>15045</v>
      </c>
      <c r="U151" t="s">
        <v>814</v>
      </c>
      <c r="V151">
        <v>27450</v>
      </c>
      <c r="W151" s="1">
        <v>45183</v>
      </c>
      <c r="X151" s="1" t="s">
        <v>55</v>
      </c>
      <c r="Y151" s="1" t="s">
        <v>51</v>
      </c>
      <c r="Z151" s="1" t="s">
        <v>115</v>
      </c>
      <c r="AA151" s="1" t="s">
        <v>116</v>
      </c>
      <c r="AB151" s="1" t="s">
        <v>145</v>
      </c>
      <c r="AC151" s="1">
        <v>44413</v>
      </c>
      <c r="AD151" s="1">
        <v>44424</v>
      </c>
      <c r="AE151" s="1">
        <v>45015</v>
      </c>
      <c r="AF151" s="1"/>
      <c r="AG151" s="1">
        <v>44470</v>
      </c>
      <c r="AH151" s="1" t="s">
        <v>54</v>
      </c>
      <c r="AI151" s="1"/>
      <c r="AJ151" s="31">
        <v>44424</v>
      </c>
      <c r="AK151"/>
      <c r="AL151"/>
      <c r="AM151"/>
      <c r="AN151"/>
      <c r="AO151"/>
      <c r="AP151"/>
    </row>
    <row r="152" spans="1:42" hidden="1">
      <c r="A152" s="1" t="s">
        <v>2542</v>
      </c>
      <c r="B152" s="1">
        <v>210804</v>
      </c>
      <c r="D152" s="1" t="s">
        <v>107</v>
      </c>
      <c r="F152"/>
      <c r="G152"/>
      <c r="H152" s="1" t="s">
        <v>2942</v>
      </c>
      <c r="I152" s="1" t="s">
        <v>2943</v>
      </c>
      <c r="J152" s="1" t="s">
        <v>18</v>
      </c>
      <c r="K152" s="1" t="s">
        <v>50</v>
      </c>
      <c r="L152" s="1">
        <v>33813</v>
      </c>
      <c r="M152" s="1">
        <v>33</v>
      </c>
      <c r="N152" s="1">
        <v>1500</v>
      </c>
      <c r="O152" s="1" t="s">
        <v>143</v>
      </c>
      <c r="P152" s="1">
        <v>2300</v>
      </c>
      <c r="Q152" s="1"/>
      <c r="R152" s="1">
        <v>800</v>
      </c>
      <c r="S152"/>
      <c r="T152" t="s">
        <v>55</v>
      </c>
      <c r="U152" t="s">
        <v>814</v>
      </c>
      <c r="V152" t="s">
        <v>55</v>
      </c>
      <c r="W152" s="1">
        <v>44751</v>
      </c>
      <c r="X152" s="1" t="s">
        <v>55</v>
      </c>
      <c r="Y152" s="1" t="s">
        <v>51</v>
      </c>
      <c r="Z152" s="1" t="s">
        <v>115</v>
      </c>
      <c r="AA152" s="1" t="s">
        <v>116</v>
      </c>
      <c r="AB152" s="1" t="s">
        <v>145</v>
      </c>
      <c r="AC152" s="1">
        <v>44413</v>
      </c>
      <c r="AD152" s="1">
        <v>44424</v>
      </c>
      <c r="AE152" s="1">
        <v>44617</v>
      </c>
      <c r="AF152" s="1"/>
      <c r="AG152" s="1">
        <v>44470</v>
      </c>
      <c r="AH152" s="1"/>
      <c r="AI152" s="1"/>
      <c r="AJ152" s="31">
        <v>44424</v>
      </c>
      <c r="AK152"/>
      <c r="AL152"/>
      <c r="AM152"/>
      <c r="AN152"/>
      <c r="AO152"/>
      <c r="AP152"/>
    </row>
    <row r="153" spans="1:42" hidden="1">
      <c r="A153" s="1" t="s">
        <v>2542</v>
      </c>
      <c r="B153" s="1">
        <v>210805</v>
      </c>
      <c r="C153" s="1">
        <v>83843</v>
      </c>
      <c r="D153" s="1" t="s">
        <v>687</v>
      </c>
      <c r="E153" s="1" t="s">
        <v>109</v>
      </c>
      <c r="F153"/>
      <c r="G153"/>
      <c r="H153" s="1" t="s">
        <v>146</v>
      </c>
      <c r="I153" s="1" t="s">
        <v>147</v>
      </c>
      <c r="J153" s="1" t="s">
        <v>18</v>
      </c>
      <c r="K153" s="1" t="s">
        <v>50</v>
      </c>
      <c r="L153" s="1">
        <v>32818</v>
      </c>
      <c r="M153" s="1">
        <v>36</v>
      </c>
      <c r="N153" s="1">
        <v>1400</v>
      </c>
      <c r="O153" s="1" t="s">
        <v>143</v>
      </c>
      <c r="P153" s="1">
        <v>1900</v>
      </c>
      <c r="Q153" s="1"/>
      <c r="R153" s="1">
        <v>500</v>
      </c>
      <c r="S153">
        <v>260000</v>
      </c>
      <c r="T153">
        <v>13039</v>
      </c>
      <c r="U153" t="s">
        <v>814</v>
      </c>
      <c r="V153">
        <v>23790</v>
      </c>
      <c r="W153" s="1">
        <v>46121</v>
      </c>
      <c r="X153" s="1" t="s">
        <v>55</v>
      </c>
      <c r="Y153" s="1" t="s">
        <v>51</v>
      </c>
      <c r="Z153" s="1" t="s">
        <v>117</v>
      </c>
      <c r="AA153" s="1" t="s">
        <v>123</v>
      </c>
      <c r="AB153" s="1" t="s">
        <v>148</v>
      </c>
      <c r="AC153" s="1" t="s">
        <v>53</v>
      </c>
      <c r="AD153" s="1">
        <v>44424</v>
      </c>
      <c r="AE153" s="1">
        <v>45715</v>
      </c>
      <c r="AF153" s="1"/>
      <c r="AG153" s="1">
        <v>44470</v>
      </c>
      <c r="AH153" s="1" t="s">
        <v>54</v>
      </c>
      <c r="AI153" s="1" t="s">
        <v>827</v>
      </c>
      <c r="AJ153" s="31">
        <v>44424</v>
      </c>
      <c r="AK153"/>
      <c r="AL153"/>
      <c r="AM153"/>
      <c r="AN153"/>
      <c r="AO153"/>
      <c r="AP153"/>
    </row>
    <row r="154" spans="1:42" hidden="1">
      <c r="A154" s="1" t="s">
        <v>2542</v>
      </c>
      <c r="B154" s="1">
        <v>210806</v>
      </c>
      <c r="C154" s="1">
        <v>83850</v>
      </c>
      <c r="D154" s="1" t="s">
        <v>107</v>
      </c>
      <c r="E154" s="1" t="s">
        <v>109</v>
      </c>
      <c r="F154"/>
      <c r="G154"/>
      <c r="H154" s="1" t="s">
        <v>2944</v>
      </c>
      <c r="I154" s="1" t="s">
        <v>2945</v>
      </c>
      <c r="J154" s="1" t="s">
        <v>18</v>
      </c>
      <c r="K154" s="1" t="s">
        <v>50</v>
      </c>
      <c r="L154" s="1">
        <v>33996</v>
      </c>
      <c r="M154" s="1">
        <v>32</v>
      </c>
      <c r="N154" s="1">
        <v>1500</v>
      </c>
      <c r="O154" s="1" t="s">
        <v>143</v>
      </c>
      <c r="P154" s="1">
        <v>2300</v>
      </c>
      <c r="Q154" s="1"/>
      <c r="R154" s="1">
        <v>800</v>
      </c>
      <c r="S154">
        <v>320000</v>
      </c>
      <c r="T154">
        <v>16048</v>
      </c>
      <c r="U154" t="s">
        <v>814</v>
      </c>
      <c r="V154">
        <v>29280</v>
      </c>
      <c r="W154" s="1">
        <v>45348</v>
      </c>
      <c r="X154" s="1" t="s">
        <v>55</v>
      </c>
      <c r="Y154" s="1" t="s">
        <v>51</v>
      </c>
      <c r="Z154" s="1" t="s">
        <v>2694</v>
      </c>
      <c r="AA154" s="1" t="s">
        <v>2695</v>
      </c>
      <c r="AB154" s="1" t="s">
        <v>2946</v>
      </c>
      <c r="AC154" s="1">
        <v>44423</v>
      </c>
      <c r="AD154" s="1">
        <v>44424</v>
      </c>
      <c r="AE154" s="1">
        <v>45028</v>
      </c>
      <c r="AF154" s="1"/>
      <c r="AG154" s="1">
        <v>44470</v>
      </c>
      <c r="AH154" s="1" t="s">
        <v>54</v>
      </c>
      <c r="AI154" s="1"/>
      <c r="AJ154" s="31">
        <v>44424</v>
      </c>
      <c r="AK154"/>
      <c r="AL154"/>
      <c r="AM154"/>
      <c r="AN154"/>
      <c r="AO154"/>
      <c r="AP154"/>
    </row>
    <row r="155" spans="1:42" hidden="1">
      <c r="A155" s="1" t="s">
        <v>2542</v>
      </c>
      <c r="B155" s="1">
        <v>210809</v>
      </c>
      <c r="D155" s="1" t="s">
        <v>69</v>
      </c>
      <c r="F155"/>
      <c r="G155"/>
      <c r="H155" s="1" t="s">
        <v>2952</v>
      </c>
      <c r="I155" s="1" t="s">
        <v>2953</v>
      </c>
      <c r="J155" s="1" t="s">
        <v>18</v>
      </c>
      <c r="K155" s="1" t="s">
        <v>50</v>
      </c>
      <c r="L155" s="1">
        <v>34444</v>
      </c>
      <c r="M155" s="1">
        <v>31</v>
      </c>
      <c r="N155" s="1">
        <v>1350</v>
      </c>
      <c r="P155" s="1">
        <v>1750</v>
      </c>
      <c r="Q155" s="1" t="s">
        <v>71</v>
      </c>
      <c r="R155" s="1">
        <v>400</v>
      </c>
      <c r="S155"/>
      <c r="T155" t="s">
        <v>55</v>
      </c>
      <c r="U155" t="s">
        <v>814</v>
      </c>
      <c r="V155" t="s">
        <v>55</v>
      </c>
      <c r="W155" s="1">
        <v>45377</v>
      </c>
      <c r="X155" s="1" t="s">
        <v>55</v>
      </c>
      <c r="Y155" s="1" t="s">
        <v>51</v>
      </c>
      <c r="Z155" s="1" t="s">
        <v>427</v>
      </c>
      <c r="AA155" s="1" t="s">
        <v>461</v>
      </c>
      <c r="AB155" s="1" t="s">
        <v>569</v>
      </c>
      <c r="AC155" s="1">
        <v>44421</v>
      </c>
      <c r="AD155" s="1">
        <v>44424</v>
      </c>
      <c r="AE155" s="1">
        <v>44616</v>
      </c>
      <c r="AF155" s="1">
        <v>44619</v>
      </c>
      <c r="AG155" s="1">
        <v>44470</v>
      </c>
      <c r="AH155" s="1"/>
      <c r="AI155" s="1"/>
      <c r="AJ155" s="31">
        <v>44424</v>
      </c>
      <c r="AK155"/>
      <c r="AL155"/>
      <c r="AM155"/>
      <c r="AN155"/>
      <c r="AO155"/>
      <c r="AP155"/>
    </row>
    <row r="156" spans="1:42" hidden="1">
      <c r="A156" s="1" t="s">
        <v>2542</v>
      </c>
      <c r="B156" s="1">
        <v>210810</v>
      </c>
      <c r="C156" s="1">
        <v>410008</v>
      </c>
      <c r="D156" s="1" t="s">
        <v>447</v>
      </c>
      <c r="E156" s="1" t="s">
        <v>741</v>
      </c>
      <c r="F156" t="s">
        <v>2744</v>
      </c>
      <c r="G156"/>
      <c r="H156" s="1" t="s">
        <v>2947</v>
      </c>
      <c r="I156" s="1" t="s">
        <v>2948</v>
      </c>
      <c r="J156" s="1" t="s">
        <v>18</v>
      </c>
      <c r="K156" s="1" t="s">
        <v>50</v>
      </c>
      <c r="L156" s="1">
        <v>35192</v>
      </c>
      <c r="M156" s="1">
        <v>29</v>
      </c>
      <c r="N156" s="1">
        <v>1300</v>
      </c>
      <c r="O156" s="1" t="s">
        <v>483</v>
      </c>
      <c r="P156" s="1">
        <v>1700</v>
      </c>
      <c r="Q156" s="1"/>
      <c r="R156" s="1">
        <v>400</v>
      </c>
      <c r="S156"/>
      <c r="T156" t="s">
        <v>55</v>
      </c>
      <c r="U156" t="s">
        <v>814</v>
      </c>
      <c r="V156" t="s">
        <v>55</v>
      </c>
      <c r="W156" s="1">
        <v>45052</v>
      </c>
      <c r="X156" s="1" t="s">
        <v>55</v>
      </c>
      <c r="Y156" s="1" t="s">
        <v>51</v>
      </c>
      <c r="Z156" s="1" t="s">
        <v>448</v>
      </c>
      <c r="AA156" s="1" t="s">
        <v>449</v>
      </c>
      <c r="AB156" s="1" t="s">
        <v>498</v>
      </c>
      <c r="AC156" s="1">
        <v>44412</v>
      </c>
      <c r="AD156" s="1">
        <v>44424</v>
      </c>
      <c r="AE156" s="1">
        <v>44817</v>
      </c>
      <c r="AF156" s="1"/>
      <c r="AG156" s="1">
        <v>44470</v>
      </c>
      <c r="AH156" s="1" t="s">
        <v>54</v>
      </c>
      <c r="AI156" s="1"/>
      <c r="AJ156" s="31">
        <v>44424</v>
      </c>
      <c r="AK156"/>
      <c r="AL156"/>
      <c r="AM156"/>
      <c r="AN156"/>
      <c r="AO156"/>
      <c r="AP156"/>
    </row>
    <row r="157" spans="1:42" hidden="1">
      <c r="A157" s="1" t="s">
        <v>49</v>
      </c>
      <c r="B157" s="1">
        <v>210811</v>
      </c>
      <c r="C157" s="1">
        <v>410007</v>
      </c>
      <c r="D157" s="1" t="s">
        <v>447</v>
      </c>
      <c r="E157" s="1" t="s">
        <v>1270</v>
      </c>
      <c r="F157" s="1" t="s">
        <v>1271</v>
      </c>
      <c r="G157" t="s">
        <v>1267</v>
      </c>
      <c r="H157" s="1" t="s">
        <v>496</v>
      </c>
      <c r="I157" s="1" t="s">
        <v>497</v>
      </c>
      <c r="J157" s="1" t="s">
        <v>18</v>
      </c>
      <c r="K157" s="1" t="s">
        <v>50</v>
      </c>
      <c r="L157" s="1">
        <v>35338</v>
      </c>
      <c r="M157" s="1">
        <v>29</v>
      </c>
      <c r="N157" s="1">
        <v>1350</v>
      </c>
      <c r="O157" s="1" t="s">
        <v>483</v>
      </c>
      <c r="P157" s="1">
        <v>1750</v>
      </c>
      <c r="Q157" s="1"/>
      <c r="R157" s="1">
        <v>400</v>
      </c>
      <c r="S157">
        <v>260000</v>
      </c>
      <c r="T157">
        <v>13039</v>
      </c>
      <c r="U157" t="s">
        <v>814</v>
      </c>
      <c r="V157">
        <v>23790</v>
      </c>
      <c r="W157" s="1">
        <v>46058</v>
      </c>
      <c r="X157" s="1">
        <v>63</v>
      </c>
      <c r="Y157" s="1" t="s">
        <v>51</v>
      </c>
      <c r="Z157" s="1" t="s">
        <v>448</v>
      </c>
      <c r="AA157" s="1" t="s">
        <v>449</v>
      </c>
      <c r="AB157" s="1" t="s">
        <v>498</v>
      </c>
      <c r="AC157" s="1">
        <v>44412</v>
      </c>
      <c r="AD157" s="1">
        <v>44424</v>
      </c>
      <c r="AE157" s="1"/>
      <c r="AF157" s="1"/>
      <c r="AG157" s="1">
        <v>44470</v>
      </c>
      <c r="AH157" s="1" t="s">
        <v>54</v>
      </c>
      <c r="AI157" s="1"/>
      <c r="AJ157" s="31">
        <v>44424</v>
      </c>
      <c r="AK157"/>
      <c r="AL157"/>
      <c r="AM157"/>
      <c r="AN157"/>
      <c r="AO157"/>
      <c r="AP157"/>
    </row>
    <row r="158" spans="1:42" hidden="1">
      <c r="A158" s="1" t="s">
        <v>2542</v>
      </c>
      <c r="B158" s="1">
        <v>210812</v>
      </c>
      <c r="C158" s="1">
        <v>83882</v>
      </c>
      <c r="D158" s="1" t="s">
        <v>107</v>
      </c>
      <c r="E158" s="1" t="s">
        <v>2949</v>
      </c>
      <c r="F158"/>
      <c r="G158"/>
      <c r="H158" s="1" t="s">
        <v>2950</v>
      </c>
      <c r="I158" s="1" t="s">
        <v>2951</v>
      </c>
      <c r="J158" s="1" t="s">
        <v>18</v>
      </c>
      <c r="K158" s="1" t="s">
        <v>50</v>
      </c>
      <c r="L158" s="1">
        <v>33805</v>
      </c>
      <c r="M158" s="1">
        <v>33</v>
      </c>
      <c r="N158" s="1">
        <v>1500</v>
      </c>
      <c r="O158" s="1" t="s">
        <v>143</v>
      </c>
      <c r="P158" s="1">
        <v>2300</v>
      </c>
      <c r="Q158" s="1"/>
      <c r="R158" s="1">
        <v>800</v>
      </c>
      <c r="S158">
        <v>320000</v>
      </c>
      <c r="T158">
        <v>16048</v>
      </c>
      <c r="U158" t="s">
        <v>814</v>
      </c>
      <c r="V158">
        <v>29280</v>
      </c>
      <c r="W158" s="1">
        <v>45127</v>
      </c>
      <c r="X158" s="1" t="s">
        <v>55</v>
      </c>
      <c r="Y158" s="1" t="s">
        <v>51</v>
      </c>
      <c r="Z158" s="1" t="s">
        <v>2694</v>
      </c>
      <c r="AA158" s="1" t="s">
        <v>2935</v>
      </c>
      <c r="AB158" s="1" t="s">
        <v>2936</v>
      </c>
      <c r="AC158" s="1">
        <v>44423</v>
      </c>
      <c r="AD158" s="1">
        <v>44424</v>
      </c>
      <c r="AE158" s="1">
        <v>45015</v>
      </c>
      <c r="AF158" s="1"/>
      <c r="AG158" s="1">
        <v>44470</v>
      </c>
      <c r="AH158" s="1" t="s">
        <v>54</v>
      </c>
      <c r="AI158" s="1"/>
      <c r="AJ158" s="31">
        <v>44424</v>
      </c>
      <c r="AK158"/>
      <c r="AL158"/>
      <c r="AM158"/>
      <c r="AN158"/>
      <c r="AO158"/>
      <c r="AP158"/>
    </row>
    <row r="159" spans="1:42" hidden="1">
      <c r="A159" s="1" t="s">
        <v>2542</v>
      </c>
      <c r="B159" s="1">
        <v>210813</v>
      </c>
      <c r="C159" s="1">
        <v>8210014</v>
      </c>
      <c r="D159" s="1" t="s">
        <v>815</v>
      </c>
      <c r="E159" s="1" t="s">
        <v>2954</v>
      </c>
      <c r="F159" t="s">
        <v>2955</v>
      </c>
      <c r="G159"/>
      <c r="H159" s="1" t="s">
        <v>499</v>
      </c>
      <c r="I159" s="1" t="s">
        <v>2956</v>
      </c>
      <c r="J159" s="1" t="s">
        <v>18</v>
      </c>
      <c r="K159" s="1" t="s">
        <v>50</v>
      </c>
      <c r="L159" s="1">
        <v>34304</v>
      </c>
      <c r="M159" s="1">
        <v>32</v>
      </c>
      <c r="N159" s="1">
        <v>1400</v>
      </c>
      <c r="P159" s="1">
        <v>1990</v>
      </c>
      <c r="Q159" s="1"/>
      <c r="R159" s="1">
        <v>590</v>
      </c>
      <c r="S159"/>
      <c r="T159" t="s">
        <v>55</v>
      </c>
      <c r="U159" t="s">
        <v>814</v>
      </c>
      <c r="V159" t="s">
        <v>55</v>
      </c>
      <c r="W159" s="1">
        <v>45085</v>
      </c>
      <c r="X159" s="1" t="s">
        <v>55</v>
      </c>
      <c r="Y159" s="1" t="s">
        <v>51</v>
      </c>
      <c r="Z159" s="1" t="s">
        <v>2957</v>
      </c>
      <c r="AA159" s="1" t="s">
        <v>2958</v>
      </c>
      <c r="AB159" s="1" t="s">
        <v>2959</v>
      </c>
      <c r="AC159" s="1">
        <v>44424</v>
      </c>
      <c r="AD159" s="1">
        <v>44426</v>
      </c>
      <c r="AE159" s="1">
        <v>44785</v>
      </c>
      <c r="AF159" s="1"/>
      <c r="AG159" s="1">
        <v>44470</v>
      </c>
      <c r="AH159" s="1" t="s">
        <v>54</v>
      </c>
      <c r="AI159" s="1"/>
      <c r="AJ159" s="31">
        <v>44426</v>
      </c>
      <c r="AK159"/>
      <c r="AL159"/>
      <c r="AM159"/>
      <c r="AN159"/>
      <c r="AO159"/>
      <c r="AP159"/>
    </row>
    <row r="160" spans="1:42" hidden="1">
      <c r="A160" s="1" t="s">
        <v>2542</v>
      </c>
      <c r="B160" s="1">
        <v>210815</v>
      </c>
      <c r="C160" s="1">
        <v>410009</v>
      </c>
      <c r="D160" s="1" t="s">
        <v>447</v>
      </c>
      <c r="E160" s="1" t="s">
        <v>741</v>
      </c>
      <c r="F160" t="s">
        <v>2744</v>
      </c>
      <c r="G160"/>
      <c r="H160" s="1" t="s">
        <v>2960</v>
      </c>
      <c r="I160" s="1" t="s">
        <v>2961</v>
      </c>
      <c r="J160" s="1" t="s">
        <v>18</v>
      </c>
      <c r="K160" s="1" t="s">
        <v>50</v>
      </c>
      <c r="L160" s="1">
        <v>35230</v>
      </c>
      <c r="M160" s="1">
        <v>29</v>
      </c>
      <c r="N160" s="1">
        <v>1300</v>
      </c>
      <c r="O160" s="1" t="s">
        <v>483</v>
      </c>
      <c r="P160" s="1">
        <v>1700</v>
      </c>
      <c r="Q160" s="1"/>
      <c r="R160" s="1">
        <v>400</v>
      </c>
      <c r="S160"/>
      <c r="T160" t="s">
        <v>55</v>
      </c>
      <c r="U160" t="s">
        <v>814</v>
      </c>
      <c r="V160" t="s">
        <v>55</v>
      </c>
      <c r="W160" s="1">
        <v>44974</v>
      </c>
      <c r="X160" s="1" t="s">
        <v>55</v>
      </c>
      <c r="Y160" s="1" t="s">
        <v>51</v>
      </c>
      <c r="Z160" s="1" t="s">
        <v>448</v>
      </c>
      <c r="AA160" s="1" t="s">
        <v>449</v>
      </c>
      <c r="AB160" s="1" t="s">
        <v>500</v>
      </c>
      <c r="AC160" s="1">
        <v>44427</v>
      </c>
      <c r="AD160" s="1">
        <v>44431</v>
      </c>
      <c r="AE160" s="1">
        <v>44781</v>
      </c>
      <c r="AF160" s="1"/>
      <c r="AG160" s="1">
        <v>44501</v>
      </c>
      <c r="AH160" s="1" t="s">
        <v>54</v>
      </c>
      <c r="AI160" s="1"/>
      <c r="AJ160" s="31">
        <v>44431</v>
      </c>
      <c r="AK160"/>
      <c r="AL160"/>
      <c r="AM160"/>
      <c r="AN160"/>
      <c r="AO160"/>
      <c r="AP160"/>
    </row>
    <row r="161" spans="1:42" hidden="1">
      <c r="A161" s="1" t="s">
        <v>2542</v>
      </c>
      <c r="B161" s="1">
        <v>210816</v>
      </c>
      <c r="C161" s="1">
        <v>232019</v>
      </c>
      <c r="D161" s="1" t="s">
        <v>83</v>
      </c>
      <c r="E161" s="1" t="s">
        <v>311</v>
      </c>
      <c r="F161" t="s">
        <v>2253</v>
      </c>
      <c r="G161" t="s">
        <v>364</v>
      </c>
      <c r="H161" s="1" t="s">
        <v>149</v>
      </c>
      <c r="I161" s="1" t="s">
        <v>150</v>
      </c>
      <c r="J161" s="1" t="s">
        <v>17</v>
      </c>
      <c r="K161" s="1" t="s">
        <v>50</v>
      </c>
      <c r="L161" s="1">
        <v>35010</v>
      </c>
      <c r="M161" s="1">
        <v>30</v>
      </c>
      <c r="N161" s="1">
        <v>1160</v>
      </c>
      <c r="P161" s="1">
        <v>1660</v>
      </c>
      <c r="Q161" s="1" t="s">
        <v>151</v>
      </c>
      <c r="R161" s="1">
        <v>500</v>
      </c>
      <c r="S161">
        <v>134000</v>
      </c>
      <c r="T161">
        <v>6720</v>
      </c>
      <c r="U161" t="s">
        <v>814</v>
      </c>
      <c r="V161">
        <v>12261</v>
      </c>
      <c r="W161" s="1">
        <v>46205</v>
      </c>
      <c r="X161" s="1" t="s">
        <v>55</v>
      </c>
      <c r="Y161" s="1" t="s">
        <v>121</v>
      </c>
      <c r="Z161" s="1" t="s">
        <v>211</v>
      </c>
      <c r="AA161" s="1" t="s">
        <v>3074</v>
      </c>
      <c r="AB161" s="1" t="s">
        <v>3939</v>
      </c>
      <c r="AC161" s="1" t="s">
        <v>53</v>
      </c>
      <c r="AD161" s="1">
        <v>44431</v>
      </c>
      <c r="AE161" s="1"/>
      <c r="AF161" s="1"/>
      <c r="AG161" s="1"/>
      <c r="AH161" s="1" t="s">
        <v>54</v>
      </c>
      <c r="AI161" s="1"/>
      <c r="AJ161" s="31">
        <v>44431</v>
      </c>
      <c r="AK161"/>
      <c r="AL161"/>
      <c r="AM161"/>
      <c r="AN161"/>
      <c r="AO161"/>
      <c r="AP161"/>
    </row>
    <row r="162" spans="1:42" hidden="1">
      <c r="A162" s="1" t="s">
        <v>2542</v>
      </c>
      <c r="B162" s="1">
        <v>210817</v>
      </c>
      <c r="D162" s="1" t="s">
        <v>95</v>
      </c>
      <c r="E162" s="1" t="s">
        <v>3938</v>
      </c>
      <c r="F162"/>
      <c r="G162"/>
      <c r="H162" s="1" t="s">
        <v>2965</v>
      </c>
      <c r="I162" s="1" t="s">
        <v>2966</v>
      </c>
      <c r="J162" s="1" t="s">
        <v>18</v>
      </c>
      <c r="K162" s="1" t="s">
        <v>50</v>
      </c>
      <c r="L162" s="1">
        <v>35386</v>
      </c>
      <c r="M162" s="1">
        <v>29</v>
      </c>
      <c r="N162" s="1">
        <v>1360</v>
      </c>
      <c r="P162" s="1">
        <v>1760</v>
      </c>
      <c r="Q162" s="1" t="s">
        <v>66</v>
      </c>
      <c r="R162" s="1">
        <v>400</v>
      </c>
      <c r="S162"/>
      <c r="T162" t="s">
        <v>55</v>
      </c>
      <c r="U162" t="s">
        <v>814</v>
      </c>
      <c r="V162" t="s">
        <v>55</v>
      </c>
      <c r="W162" s="1">
        <v>45180</v>
      </c>
      <c r="X162" s="1" t="s">
        <v>55</v>
      </c>
      <c r="Y162" s="1" t="s">
        <v>51</v>
      </c>
      <c r="Z162" s="1" t="s">
        <v>182</v>
      </c>
      <c r="AA162" s="1" t="s">
        <v>183</v>
      </c>
      <c r="AB162" s="1" t="s">
        <v>184</v>
      </c>
      <c r="AC162" s="1">
        <v>44429</v>
      </c>
      <c r="AD162" s="1">
        <v>44431</v>
      </c>
      <c r="AE162" s="1">
        <v>44659</v>
      </c>
      <c r="AF162" s="1"/>
      <c r="AG162" s="1">
        <v>44501</v>
      </c>
      <c r="AH162" s="1" t="s">
        <v>54</v>
      </c>
      <c r="AI162" s="1"/>
      <c r="AJ162" s="31">
        <v>44431</v>
      </c>
      <c r="AK162"/>
      <c r="AL162"/>
      <c r="AM162"/>
      <c r="AN162"/>
      <c r="AO162"/>
      <c r="AP162"/>
    </row>
    <row r="163" spans="1:42" hidden="1">
      <c r="A163" s="1" t="s">
        <v>2542</v>
      </c>
      <c r="B163" s="1">
        <v>210818</v>
      </c>
      <c r="C163" s="1">
        <v>500009</v>
      </c>
      <c r="D163" s="1" t="s">
        <v>471</v>
      </c>
      <c r="E163" s="1" t="s">
        <v>472</v>
      </c>
      <c r="F163"/>
      <c r="G163"/>
      <c r="H163" s="1" t="s">
        <v>2962</v>
      </c>
      <c r="I163" s="1" t="s">
        <v>2963</v>
      </c>
      <c r="J163" s="1" t="s">
        <v>17</v>
      </c>
      <c r="K163" s="1" t="s">
        <v>50</v>
      </c>
      <c r="L163" s="1">
        <v>32977</v>
      </c>
      <c r="M163" s="1">
        <v>35</v>
      </c>
      <c r="N163" s="1">
        <v>1300</v>
      </c>
      <c r="O163" s="1" t="s">
        <v>2964</v>
      </c>
      <c r="P163" s="1">
        <v>1900</v>
      </c>
      <c r="Q163" s="1"/>
      <c r="R163" s="1">
        <v>600</v>
      </c>
      <c r="S163"/>
      <c r="T163" t="s">
        <v>55</v>
      </c>
      <c r="U163" t="s">
        <v>814</v>
      </c>
      <c r="V163" t="s">
        <v>55</v>
      </c>
      <c r="W163" s="1">
        <v>45021</v>
      </c>
      <c r="X163" s="1" t="s">
        <v>55</v>
      </c>
      <c r="Y163" s="1" t="s">
        <v>51</v>
      </c>
      <c r="Z163" s="1" t="s">
        <v>2806</v>
      </c>
      <c r="AA163" s="1" t="s">
        <v>2862</v>
      </c>
      <c r="AB163" s="1" t="s">
        <v>2863</v>
      </c>
      <c r="AC163" s="1">
        <v>44422</v>
      </c>
      <c r="AD163" s="1">
        <v>44431</v>
      </c>
      <c r="AE163" s="1">
        <v>44817</v>
      </c>
      <c r="AF163" s="1"/>
      <c r="AG163" s="1">
        <v>44501</v>
      </c>
      <c r="AH163" s="1" t="s">
        <v>54</v>
      </c>
      <c r="AI163" s="1"/>
      <c r="AJ163" s="31">
        <v>44431</v>
      </c>
      <c r="AK163"/>
      <c r="AL163"/>
      <c r="AM163"/>
      <c r="AN163"/>
      <c r="AO163"/>
      <c r="AP163"/>
    </row>
    <row r="164" spans="1:42" hidden="1">
      <c r="A164" s="1" t="s">
        <v>2542</v>
      </c>
      <c r="B164" s="1">
        <v>210819</v>
      </c>
      <c r="D164" s="1" t="s">
        <v>107</v>
      </c>
      <c r="F164"/>
      <c r="G164"/>
      <c r="H164" s="1" t="s">
        <v>2967</v>
      </c>
      <c r="I164" s="1" t="s">
        <v>2968</v>
      </c>
      <c r="J164" s="1" t="s">
        <v>18</v>
      </c>
      <c r="K164" s="1" t="s">
        <v>50</v>
      </c>
      <c r="L164" s="1">
        <v>34878</v>
      </c>
      <c r="M164" s="1">
        <v>30</v>
      </c>
      <c r="N164" s="1">
        <v>1500</v>
      </c>
      <c r="O164" s="1" t="s">
        <v>2969</v>
      </c>
      <c r="P164" s="1">
        <v>2300</v>
      </c>
      <c r="Q164" s="1"/>
      <c r="R164" s="1">
        <v>800</v>
      </c>
      <c r="S164"/>
      <c r="T164" t="s">
        <v>55</v>
      </c>
      <c r="U164" t="s">
        <v>814</v>
      </c>
      <c r="V164" t="s">
        <v>55</v>
      </c>
      <c r="W164" s="1">
        <v>45560</v>
      </c>
      <c r="X164" s="1" t="s">
        <v>55</v>
      </c>
      <c r="Y164" s="1" t="s">
        <v>51</v>
      </c>
      <c r="Z164" s="1" t="s">
        <v>117</v>
      </c>
      <c r="AA164" s="1" t="s">
        <v>2970</v>
      </c>
      <c r="AB164" s="1" t="s">
        <v>2971</v>
      </c>
      <c r="AC164" s="1">
        <v>44431</v>
      </c>
      <c r="AD164" s="1">
        <v>44434</v>
      </c>
      <c r="AE164" s="1">
        <v>44592</v>
      </c>
      <c r="AF164" s="1"/>
      <c r="AG164" s="1">
        <v>44501</v>
      </c>
      <c r="AH164" s="1"/>
      <c r="AI164" s="1"/>
      <c r="AJ164" s="31">
        <v>44434</v>
      </c>
      <c r="AK164"/>
      <c r="AL164"/>
      <c r="AM164"/>
      <c r="AN164"/>
      <c r="AO164"/>
      <c r="AP164"/>
    </row>
    <row r="165" spans="1:42" hidden="1">
      <c r="A165" s="1" t="s">
        <v>2542</v>
      </c>
      <c r="B165" s="1">
        <v>210820</v>
      </c>
      <c r="C165" s="1">
        <v>83925</v>
      </c>
      <c r="D165" s="1" t="s">
        <v>107</v>
      </c>
      <c r="E165" s="1" t="s">
        <v>2972</v>
      </c>
      <c r="F165"/>
      <c r="G165"/>
      <c r="H165" s="1" t="s">
        <v>2973</v>
      </c>
      <c r="I165" s="1" t="s">
        <v>2974</v>
      </c>
      <c r="J165" s="1" t="s">
        <v>18</v>
      </c>
      <c r="K165" s="1" t="s">
        <v>50</v>
      </c>
      <c r="L165" s="1">
        <v>31605</v>
      </c>
      <c r="M165" s="1">
        <v>39</v>
      </c>
      <c r="N165" s="1">
        <v>1500</v>
      </c>
      <c r="P165" s="1">
        <v>2300</v>
      </c>
      <c r="Q165" s="1"/>
      <c r="R165" s="1">
        <v>800</v>
      </c>
      <c r="S165">
        <v>320000</v>
      </c>
      <c r="T165">
        <v>16048</v>
      </c>
      <c r="U165" t="s">
        <v>814</v>
      </c>
      <c r="V165">
        <v>29280</v>
      </c>
      <c r="W165" s="1">
        <v>45150</v>
      </c>
      <c r="X165" s="1" t="s">
        <v>55</v>
      </c>
      <c r="Y165" s="1" t="s">
        <v>51</v>
      </c>
      <c r="Z165" s="1" t="s">
        <v>117</v>
      </c>
      <c r="AA165" s="1" t="s">
        <v>2970</v>
      </c>
      <c r="AB165" s="1" t="s">
        <v>2971</v>
      </c>
      <c r="AC165" s="1">
        <v>44431</v>
      </c>
      <c r="AD165" s="1">
        <v>44434</v>
      </c>
      <c r="AE165" s="1">
        <v>45015</v>
      </c>
      <c r="AF165" s="1"/>
      <c r="AG165" s="1">
        <v>44501</v>
      </c>
      <c r="AH165" s="1" t="s">
        <v>54</v>
      </c>
      <c r="AI165" s="1"/>
      <c r="AJ165" s="31">
        <v>44434</v>
      </c>
      <c r="AK165"/>
      <c r="AL165"/>
      <c r="AM165"/>
      <c r="AN165"/>
      <c r="AO165"/>
      <c r="AP165"/>
    </row>
    <row r="166" spans="1:42" hidden="1">
      <c r="A166" s="1" t="s">
        <v>2542</v>
      </c>
      <c r="B166" s="1">
        <v>210821</v>
      </c>
      <c r="C166" s="1">
        <v>242022</v>
      </c>
      <c r="D166" s="1" t="s">
        <v>447</v>
      </c>
      <c r="E166" s="1" t="s">
        <v>741</v>
      </c>
      <c r="F166" t="s">
        <v>2744</v>
      </c>
      <c r="G166"/>
      <c r="H166" s="1" t="s">
        <v>2975</v>
      </c>
      <c r="I166" s="1" t="s">
        <v>2976</v>
      </c>
      <c r="J166" s="1" t="s">
        <v>18</v>
      </c>
      <c r="K166" s="1" t="s">
        <v>50</v>
      </c>
      <c r="L166" s="1">
        <v>34252</v>
      </c>
      <c r="M166" s="1">
        <v>32</v>
      </c>
      <c r="N166" s="1">
        <v>1300</v>
      </c>
      <c r="P166" s="1">
        <v>1700</v>
      </c>
      <c r="Q166" s="1" t="s">
        <v>71</v>
      </c>
      <c r="R166" s="1">
        <v>400</v>
      </c>
      <c r="S166"/>
      <c r="T166" t="s">
        <v>55</v>
      </c>
      <c r="U166" t="s">
        <v>814</v>
      </c>
      <c r="V166" t="s">
        <v>55</v>
      </c>
      <c r="W166" s="1">
        <v>45197</v>
      </c>
      <c r="X166" s="1" t="s">
        <v>55</v>
      </c>
      <c r="Y166" s="1" t="s">
        <v>51</v>
      </c>
      <c r="Z166" s="1" t="s">
        <v>493</v>
      </c>
      <c r="AA166" s="1" t="s">
        <v>449</v>
      </c>
      <c r="AB166" s="1" t="s">
        <v>501</v>
      </c>
      <c r="AC166" s="1">
        <v>44429</v>
      </c>
      <c r="AD166" s="1">
        <v>44434</v>
      </c>
      <c r="AE166" s="1">
        <v>44889</v>
      </c>
      <c r="AF166" s="1"/>
      <c r="AG166" s="1">
        <v>44501</v>
      </c>
      <c r="AH166" s="1" t="s">
        <v>54</v>
      </c>
      <c r="AI166" s="1" t="s">
        <v>2977</v>
      </c>
      <c r="AJ166" s="31">
        <v>44434</v>
      </c>
      <c r="AK166"/>
      <c r="AL166"/>
      <c r="AM166"/>
      <c r="AN166"/>
      <c r="AO166"/>
      <c r="AP166"/>
    </row>
    <row r="167" spans="1:42" hidden="1">
      <c r="A167" s="1" t="s">
        <v>2542</v>
      </c>
      <c r="B167" s="1">
        <v>210901</v>
      </c>
      <c r="C167" s="1">
        <v>106</v>
      </c>
      <c r="D167" s="1" t="s">
        <v>61</v>
      </c>
      <c r="G167"/>
      <c r="H167" s="1" t="s">
        <v>2978</v>
      </c>
      <c r="I167" s="1" t="s">
        <v>2979</v>
      </c>
      <c r="J167" s="1" t="s">
        <v>18</v>
      </c>
      <c r="K167" s="1" t="s">
        <v>50</v>
      </c>
      <c r="L167" s="1">
        <v>34523</v>
      </c>
      <c r="M167" s="1">
        <v>31</v>
      </c>
      <c r="N167" s="1">
        <v>1300</v>
      </c>
      <c r="O167" s="1" t="s">
        <v>2980</v>
      </c>
      <c r="P167" s="1">
        <v>1750</v>
      </c>
      <c r="Q167" s="1"/>
      <c r="R167" s="1">
        <v>450</v>
      </c>
      <c r="S167">
        <v>260000</v>
      </c>
      <c r="T167">
        <v>13039</v>
      </c>
      <c r="U167" t="s">
        <v>814</v>
      </c>
      <c r="V167">
        <v>23790</v>
      </c>
      <c r="W167" s="1">
        <v>45841</v>
      </c>
      <c r="X167" s="1" t="s">
        <v>55</v>
      </c>
      <c r="Y167" s="1" t="s">
        <v>51</v>
      </c>
      <c r="Z167" s="1" t="s">
        <v>2567</v>
      </c>
      <c r="AA167" s="1" t="s">
        <v>3882</v>
      </c>
      <c r="AB167" s="1" t="s">
        <v>2981</v>
      </c>
      <c r="AC167" s="1" t="s">
        <v>53</v>
      </c>
      <c r="AD167" s="1">
        <v>44441</v>
      </c>
      <c r="AE167" s="1">
        <v>44970</v>
      </c>
      <c r="AF167" s="1"/>
      <c r="AG167" s="1">
        <v>44501</v>
      </c>
      <c r="AH167" s="1" t="s">
        <v>54</v>
      </c>
      <c r="AI167" s="1"/>
      <c r="AJ167" s="31">
        <v>44441</v>
      </c>
      <c r="AK167"/>
      <c r="AL167"/>
      <c r="AM167"/>
      <c r="AN167"/>
      <c r="AO167"/>
      <c r="AP167"/>
    </row>
    <row r="168" spans="1:42" hidden="1">
      <c r="A168" s="1" t="s">
        <v>2542</v>
      </c>
      <c r="B168" s="1">
        <v>210902</v>
      </c>
      <c r="C168" s="1">
        <v>83940</v>
      </c>
      <c r="D168" s="1" t="s">
        <v>107</v>
      </c>
      <c r="E168" s="1" t="s">
        <v>2972</v>
      </c>
      <c r="G168"/>
      <c r="H168" s="1" t="s">
        <v>153</v>
      </c>
      <c r="I168" s="1" t="s">
        <v>2982</v>
      </c>
      <c r="J168" s="1" t="s">
        <v>18</v>
      </c>
      <c r="K168" s="1" t="s">
        <v>50</v>
      </c>
      <c r="L168" s="1">
        <v>32964</v>
      </c>
      <c r="M168" s="1">
        <v>35</v>
      </c>
      <c r="N168" s="1">
        <v>1500</v>
      </c>
      <c r="P168" s="1">
        <v>2300</v>
      </c>
      <c r="Q168" s="1"/>
      <c r="R168" s="1">
        <v>800</v>
      </c>
      <c r="S168">
        <v>320000</v>
      </c>
      <c r="T168">
        <v>16048</v>
      </c>
      <c r="U168" t="s">
        <v>814</v>
      </c>
      <c r="V168">
        <v>29280</v>
      </c>
      <c r="W168" s="1">
        <v>45195</v>
      </c>
      <c r="X168" s="1" t="s">
        <v>55</v>
      </c>
      <c r="Y168" s="1" t="s">
        <v>51</v>
      </c>
      <c r="Z168" s="1" t="s">
        <v>117</v>
      </c>
      <c r="AA168" s="1" t="s">
        <v>123</v>
      </c>
      <c r="AB168" s="1" t="s">
        <v>2983</v>
      </c>
      <c r="AC168" s="1" t="s">
        <v>53</v>
      </c>
      <c r="AD168" s="1">
        <v>44445</v>
      </c>
      <c r="AE168" s="1">
        <v>45015</v>
      </c>
      <c r="AF168" s="1"/>
      <c r="AG168" s="1">
        <v>44501</v>
      </c>
      <c r="AH168" s="1" t="s">
        <v>54</v>
      </c>
      <c r="AI168" s="1"/>
      <c r="AJ168" s="31">
        <v>44445</v>
      </c>
      <c r="AK168"/>
      <c r="AL168"/>
      <c r="AM168"/>
      <c r="AN168"/>
      <c r="AO168"/>
      <c r="AP168"/>
    </row>
    <row r="169" spans="1:42" hidden="1">
      <c r="A169" s="1" t="s">
        <v>2542</v>
      </c>
      <c r="B169" s="1">
        <v>210903</v>
      </c>
      <c r="C169" s="1">
        <v>500010</v>
      </c>
      <c r="D169" s="1" t="s">
        <v>107</v>
      </c>
      <c r="E169" s="1" t="s">
        <v>472</v>
      </c>
      <c r="F169"/>
      <c r="G169"/>
      <c r="H169" s="1" t="s">
        <v>2984</v>
      </c>
      <c r="I169" s="1" t="s">
        <v>2985</v>
      </c>
      <c r="J169" s="1" t="s">
        <v>18</v>
      </c>
      <c r="K169" s="1" t="s">
        <v>50</v>
      </c>
      <c r="L169" s="1">
        <v>31703</v>
      </c>
      <c r="M169" s="1">
        <v>39</v>
      </c>
      <c r="N169" s="1">
        <v>1500</v>
      </c>
      <c r="P169" s="1">
        <v>2300</v>
      </c>
      <c r="Q169" s="1"/>
      <c r="R169" s="1">
        <v>800</v>
      </c>
      <c r="S169">
        <v>300000</v>
      </c>
      <c r="T169">
        <v>15045</v>
      </c>
      <c r="U169" t="s">
        <v>814</v>
      </c>
      <c r="V169">
        <v>27450</v>
      </c>
      <c r="W169" s="1">
        <v>45288</v>
      </c>
      <c r="X169" s="1" t="s">
        <v>55</v>
      </c>
      <c r="Y169" s="1" t="s">
        <v>51</v>
      </c>
      <c r="Z169" s="1" t="s">
        <v>2768</v>
      </c>
      <c r="AA169" s="1" t="s">
        <v>2769</v>
      </c>
      <c r="AB169" s="1" t="s">
        <v>2986</v>
      </c>
      <c r="AC169" s="1" t="s">
        <v>53</v>
      </c>
      <c r="AD169" s="1">
        <v>44445</v>
      </c>
      <c r="AE169" s="1">
        <v>45046</v>
      </c>
      <c r="AF169" s="1"/>
      <c r="AG169" s="1">
        <v>44501</v>
      </c>
      <c r="AH169" s="1" t="s">
        <v>54</v>
      </c>
      <c r="AI169" s="1" t="s">
        <v>2987</v>
      </c>
      <c r="AJ169" s="31">
        <v>44445</v>
      </c>
      <c r="AK169"/>
      <c r="AL169"/>
      <c r="AM169"/>
      <c r="AN169"/>
      <c r="AO169"/>
      <c r="AP169"/>
    </row>
    <row r="170" spans="1:42" hidden="1">
      <c r="A170" s="1" t="s">
        <v>2542</v>
      </c>
      <c r="B170" s="1">
        <v>210904</v>
      </c>
      <c r="C170" s="1">
        <v>222025</v>
      </c>
      <c r="D170" s="1" t="s">
        <v>62</v>
      </c>
      <c r="E170" s="1" t="s">
        <v>3935</v>
      </c>
      <c r="F170" s="1" t="s">
        <v>2666</v>
      </c>
      <c r="G170" t="s">
        <v>391</v>
      </c>
      <c r="H170" s="1" t="s">
        <v>2988</v>
      </c>
      <c r="I170" s="1" t="s">
        <v>2989</v>
      </c>
      <c r="J170" s="1" t="s">
        <v>18</v>
      </c>
      <c r="K170" s="1" t="s">
        <v>50</v>
      </c>
      <c r="L170" s="1">
        <v>35235</v>
      </c>
      <c r="M170" s="1">
        <v>29</v>
      </c>
      <c r="N170" s="1">
        <v>1420</v>
      </c>
      <c r="P170" s="1">
        <v>1790</v>
      </c>
      <c r="Q170" s="1" t="s">
        <v>2990</v>
      </c>
      <c r="R170" s="1">
        <v>370</v>
      </c>
      <c r="S170">
        <v>240000</v>
      </c>
      <c r="T170">
        <v>12036</v>
      </c>
      <c r="U170" t="s">
        <v>814</v>
      </c>
      <c r="V170">
        <v>21960</v>
      </c>
      <c r="W170" s="1">
        <v>46370</v>
      </c>
      <c r="X170" s="1" t="s">
        <v>55</v>
      </c>
      <c r="Y170" s="1" t="s">
        <v>51</v>
      </c>
      <c r="Z170" s="1" t="s">
        <v>80</v>
      </c>
      <c r="AA170" s="1" t="s">
        <v>81</v>
      </c>
      <c r="AB170" s="1" t="s">
        <v>82</v>
      </c>
      <c r="AC170" s="1">
        <v>44444</v>
      </c>
      <c r="AD170" s="1">
        <v>44446</v>
      </c>
      <c r="AE170" s="1">
        <v>45309</v>
      </c>
      <c r="AF170" s="1"/>
      <c r="AG170" s="1">
        <v>44501</v>
      </c>
      <c r="AH170" s="1" t="s">
        <v>54</v>
      </c>
      <c r="AI170" s="1"/>
      <c r="AJ170" s="31">
        <v>44446</v>
      </c>
      <c r="AK170"/>
      <c r="AL170"/>
      <c r="AM170"/>
      <c r="AN170"/>
      <c r="AO170"/>
      <c r="AP170"/>
    </row>
    <row r="171" spans="1:42" hidden="1">
      <c r="A171" s="1" t="s">
        <v>2542</v>
      </c>
      <c r="B171" s="1">
        <v>210905</v>
      </c>
      <c r="C171" s="1">
        <v>8210017</v>
      </c>
      <c r="D171" s="1" t="s">
        <v>815</v>
      </c>
      <c r="E171" s="1" t="s">
        <v>2991</v>
      </c>
      <c r="F171" t="s">
        <v>828</v>
      </c>
      <c r="G171"/>
      <c r="H171" s="1" t="s">
        <v>2992</v>
      </c>
      <c r="I171" s="1" t="s">
        <v>2993</v>
      </c>
      <c r="J171" s="1" t="s">
        <v>18</v>
      </c>
      <c r="K171" s="1" t="s">
        <v>50</v>
      </c>
      <c r="L171" s="1">
        <v>34036</v>
      </c>
      <c r="M171" s="1">
        <v>32</v>
      </c>
      <c r="N171" s="1">
        <v>1400</v>
      </c>
      <c r="P171" s="1">
        <v>1990</v>
      </c>
      <c r="Q171" s="1"/>
      <c r="R171" s="1">
        <v>590</v>
      </c>
      <c r="S171">
        <v>320000</v>
      </c>
      <c r="T171">
        <v>16048</v>
      </c>
      <c r="U171" t="s">
        <v>814</v>
      </c>
      <c r="V171">
        <v>29280</v>
      </c>
      <c r="W171" s="1">
        <v>45479</v>
      </c>
      <c r="X171" s="1" t="s">
        <v>55</v>
      </c>
      <c r="Y171" s="1" t="s">
        <v>51</v>
      </c>
      <c r="Z171" s="1" t="s">
        <v>530</v>
      </c>
      <c r="AA171" s="1" t="s">
        <v>2994</v>
      </c>
      <c r="AB171" s="1" t="s">
        <v>531</v>
      </c>
      <c r="AC171" s="1">
        <v>44890</v>
      </c>
      <c r="AD171" s="1">
        <v>44455</v>
      </c>
      <c r="AE171" s="1">
        <v>45240</v>
      </c>
      <c r="AF171" s="1"/>
      <c r="AG171" s="1">
        <v>44531</v>
      </c>
      <c r="AH171" s="1" t="s">
        <v>54</v>
      </c>
      <c r="AI171" s="1"/>
      <c r="AJ171" s="31">
        <v>44455</v>
      </c>
      <c r="AK171"/>
      <c r="AL171"/>
      <c r="AM171"/>
      <c r="AN171"/>
      <c r="AO171"/>
      <c r="AP171"/>
    </row>
    <row r="172" spans="1:42" hidden="1">
      <c r="A172" s="1" t="s">
        <v>2542</v>
      </c>
      <c r="B172" s="1">
        <v>210906</v>
      </c>
      <c r="D172" s="1" t="s">
        <v>414</v>
      </c>
      <c r="E172" s="1" t="s">
        <v>1065</v>
      </c>
      <c r="F172" t="s">
        <v>1083</v>
      </c>
      <c r="G172" t="s">
        <v>1068</v>
      </c>
      <c r="H172" s="1" t="s">
        <v>2995</v>
      </c>
      <c r="I172" s="1" t="s">
        <v>2996</v>
      </c>
      <c r="J172" s="1" t="s">
        <v>18</v>
      </c>
      <c r="K172" s="1" t="s">
        <v>50</v>
      </c>
      <c r="L172" s="1">
        <v>32441</v>
      </c>
      <c r="M172" s="1">
        <v>37</v>
      </c>
      <c r="N172" s="1">
        <v>1300</v>
      </c>
      <c r="P172" s="1">
        <v>1650</v>
      </c>
      <c r="Q172" s="1" t="s">
        <v>412</v>
      </c>
      <c r="R172" s="1">
        <v>350</v>
      </c>
      <c r="S172">
        <v>280000</v>
      </c>
      <c r="T172">
        <v>14042</v>
      </c>
      <c r="U172" t="s">
        <v>814</v>
      </c>
      <c r="V172">
        <v>25620</v>
      </c>
      <c r="W172" s="1">
        <v>46405</v>
      </c>
      <c r="X172" s="1" t="s">
        <v>55</v>
      </c>
      <c r="Y172" s="1" t="s">
        <v>51</v>
      </c>
      <c r="Z172" s="1" t="s">
        <v>502</v>
      </c>
      <c r="AA172" s="1" t="s">
        <v>2997</v>
      </c>
      <c r="AB172" s="1" t="s">
        <v>2998</v>
      </c>
      <c r="AC172" s="1">
        <v>44464</v>
      </c>
      <c r="AD172" s="1">
        <v>44455</v>
      </c>
      <c r="AE172" s="1">
        <v>45468</v>
      </c>
      <c r="AF172" s="1"/>
      <c r="AG172" s="1">
        <v>44531</v>
      </c>
      <c r="AH172" s="1" t="s">
        <v>54</v>
      </c>
      <c r="AI172" s="1"/>
      <c r="AJ172" s="31">
        <v>44455</v>
      </c>
      <c r="AK172"/>
      <c r="AL172"/>
      <c r="AM172"/>
      <c r="AN172"/>
      <c r="AO172"/>
      <c r="AP172"/>
    </row>
    <row r="173" spans="1:42" hidden="1">
      <c r="A173" s="1" t="s">
        <v>2542</v>
      </c>
      <c r="B173" s="1">
        <v>210907</v>
      </c>
      <c r="D173" s="1" t="s">
        <v>823</v>
      </c>
      <c r="F173"/>
      <c r="G173"/>
      <c r="H173" s="1" t="s">
        <v>2999</v>
      </c>
      <c r="I173" s="1" t="s">
        <v>3000</v>
      </c>
      <c r="J173" s="1" t="s">
        <v>18</v>
      </c>
      <c r="K173" s="1" t="s">
        <v>50</v>
      </c>
      <c r="L173" s="1">
        <v>33320</v>
      </c>
      <c r="M173" s="1">
        <v>34</v>
      </c>
      <c r="N173" s="1">
        <v>1400</v>
      </c>
      <c r="P173" s="1">
        <v>1990</v>
      </c>
      <c r="Q173" s="1">
        <v>590</v>
      </c>
      <c r="R173" s="1">
        <v>590</v>
      </c>
      <c r="S173"/>
      <c r="T173" t="s">
        <v>55</v>
      </c>
      <c r="U173" t="s">
        <v>814</v>
      </c>
      <c r="V173" t="s">
        <v>55</v>
      </c>
      <c r="W173" s="1">
        <v>44939</v>
      </c>
      <c r="X173" s="1" t="s">
        <v>55</v>
      </c>
      <c r="Y173" s="1" t="s">
        <v>51</v>
      </c>
      <c r="Z173" s="1" t="s">
        <v>456</v>
      </c>
      <c r="AA173" s="1" t="s">
        <v>457</v>
      </c>
      <c r="AB173" s="1" t="s">
        <v>458</v>
      </c>
      <c r="AC173" s="1">
        <v>44458</v>
      </c>
      <c r="AD173" s="1">
        <v>44459</v>
      </c>
      <c r="AE173" s="1">
        <v>44466</v>
      </c>
      <c r="AF173" s="1">
        <v>44467</v>
      </c>
      <c r="AG173" s="1"/>
      <c r="AH173" s="1"/>
      <c r="AI173" s="1"/>
      <c r="AJ173" s="31">
        <v>44459</v>
      </c>
      <c r="AK173"/>
      <c r="AL173"/>
      <c r="AM173"/>
      <c r="AN173"/>
      <c r="AO173"/>
      <c r="AP173"/>
    </row>
    <row r="174" spans="1:42" hidden="1">
      <c r="A174" s="1" t="s">
        <v>2542</v>
      </c>
      <c r="B174" s="1">
        <v>210908</v>
      </c>
      <c r="D174" s="1" t="s">
        <v>436</v>
      </c>
      <c r="E174" s="1" t="s">
        <v>503</v>
      </c>
      <c r="F174"/>
      <c r="G174"/>
      <c r="H174" s="1" t="s">
        <v>2500</v>
      </c>
      <c r="I174" s="1" t="s">
        <v>2501</v>
      </c>
      <c r="J174" s="1" t="s">
        <v>18</v>
      </c>
      <c r="K174" s="1" t="s">
        <v>50</v>
      </c>
      <c r="L174" s="1">
        <v>34397</v>
      </c>
      <c r="M174" s="1">
        <v>31</v>
      </c>
      <c r="N174" s="1">
        <v>1600</v>
      </c>
      <c r="O174" s="1" t="s">
        <v>2502</v>
      </c>
      <c r="P174" s="1">
        <v>2100</v>
      </c>
      <c r="Q174" s="1"/>
      <c r="R174" s="1">
        <v>500</v>
      </c>
      <c r="S174">
        <v>410000</v>
      </c>
      <c r="T174">
        <v>20561</v>
      </c>
      <c r="U174" t="s">
        <v>814</v>
      </c>
      <c r="V174">
        <v>37515</v>
      </c>
      <c r="W174" s="1">
        <v>46288</v>
      </c>
      <c r="X174" s="1" t="s">
        <v>55</v>
      </c>
      <c r="Y174" s="1" t="s">
        <v>51</v>
      </c>
      <c r="Z174" s="1" t="s">
        <v>504</v>
      </c>
      <c r="AA174" s="1" t="s">
        <v>505</v>
      </c>
      <c r="AB174" s="1" t="s">
        <v>2503</v>
      </c>
      <c r="AC174" s="1">
        <v>44455</v>
      </c>
      <c r="AD174" s="1">
        <v>44459</v>
      </c>
      <c r="AE174" s="1">
        <v>45411</v>
      </c>
      <c r="AF174" s="1"/>
      <c r="AG174" s="1">
        <v>44531</v>
      </c>
      <c r="AH174" s="1" t="s">
        <v>54</v>
      </c>
      <c r="AI174" s="1"/>
      <c r="AJ174" s="31">
        <v>44459</v>
      </c>
      <c r="AK174"/>
      <c r="AL174"/>
      <c r="AM174"/>
      <c r="AN174"/>
      <c r="AO174"/>
      <c r="AP174"/>
    </row>
    <row r="175" spans="1:42" hidden="1">
      <c r="A175" s="1" t="s">
        <v>2542</v>
      </c>
      <c r="B175" s="1">
        <v>210909</v>
      </c>
      <c r="C175" s="1">
        <v>83964</v>
      </c>
      <c r="D175" s="1" t="s">
        <v>107</v>
      </c>
      <c r="E175" s="1" t="s">
        <v>3001</v>
      </c>
      <c r="F175"/>
      <c r="G175"/>
      <c r="H175" s="1" t="s">
        <v>3002</v>
      </c>
      <c r="I175" s="1" t="s">
        <v>3003</v>
      </c>
      <c r="J175" s="1" t="s">
        <v>18</v>
      </c>
      <c r="K175" s="1" t="s">
        <v>50</v>
      </c>
      <c r="L175" s="1">
        <v>33600</v>
      </c>
      <c r="M175" s="1">
        <v>33</v>
      </c>
      <c r="N175" s="1">
        <v>1500</v>
      </c>
      <c r="P175" s="1">
        <v>2300</v>
      </c>
      <c r="Q175" s="1"/>
      <c r="R175" s="1">
        <v>800</v>
      </c>
      <c r="S175"/>
      <c r="T175" t="s">
        <v>55</v>
      </c>
      <c r="U175" t="s">
        <v>814</v>
      </c>
      <c r="V175" t="s">
        <v>55</v>
      </c>
      <c r="W175" s="1">
        <v>45157</v>
      </c>
      <c r="X175" s="1" t="s">
        <v>55</v>
      </c>
      <c r="Y175" s="1" t="s">
        <v>51</v>
      </c>
      <c r="Z175" s="1" t="s">
        <v>115</v>
      </c>
      <c r="AA175" s="1" t="s">
        <v>3004</v>
      </c>
      <c r="AB175" s="1" t="s">
        <v>3005</v>
      </c>
      <c r="AC175" s="1">
        <v>44458</v>
      </c>
      <c r="AD175" s="1">
        <v>44460</v>
      </c>
      <c r="AE175" s="1">
        <v>44915</v>
      </c>
      <c r="AF175" s="1"/>
      <c r="AG175" s="1">
        <v>44531</v>
      </c>
      <c r="AH175" s="1" t="s">
        <v>54</v>
      </c>
      <c r="AI175" s="1"/>
      <c r="AJ175" s="31">
        <v>44460</v>
      </c>
      <c r="AK175"/>
      <c r="AL175"/>
      <c r="AM175"/>
      <c r="AN175"/>
      <c r="AO175"/>
      <c r="AP175"/>
    </row>
    <row r="176" spans="1:42" hidden="1">
      <c r="A176" s="1" t="s">
        <v>2542</v>
      </c>
      <c r="B176" s="1">
        <v>210916</v>
      </c>
      <c r="D176" s="1" t="s">
        <v>62</v>
      </c>
      <c r="E176" s="1" t="s">
        <v>3935</v>
      </c>
      <c r="G176"/>
      <c r="H176" s="1" t="s">
        <v>3006</v>
      </c>
      <c r="I176" s="1" t="s">
        <v>3007</v>
      </c>
      <c r="J176" s="1" t="s">
        <v>18</v>
      </c>
      <c r="K176" s="1" t="s">
        <v>404</v>
      </c>
      <c r="L176" s="1">
        <v>24131</v>
      </c>
      <c r="M176" s="1">
        <v>59</v>
      </c>
      <c r="N176" s="1">
        <v>1400</v>
      </c>
      <c r="P176" s="1">
        <v>1650</v>
      </c>
      <c r="Q176" s="1">
        <v>250</v>
      </c>
      <c r="R176" s="1">
        <v>250</v>
      </c>
      <c r="S176"/>
      <c r="T176" t="s">
        <v>55</v>
      </c>
      <c r="U176" t="s">
        <v>814</v>
      </c>
      <c r="V176" t="s">
        <v>55</v>
      </c>
      <c r="W176" s="1">
        <v>46555</v>
      </c>
      <c r="X176" s="1" t="s">
        <v>55</v>
      </c>
      <c r="Y176" s="1" t="s">
        <v>60</v>
      </c>
      <c r="Z176" s="1" t="s">
        <v>67</v>
      </c>
      <c r="AA176" s="1" t="s">
        <v>77</v>
      </c>
      <c r="AB176" s="1" t="s">
        <v>3878</v>
      </c>
      <c r="AC176" s="1">
        <v>44457</v>
      </c>
      <c r="AD176" s="1">
        <v>44460</v>
      </c>
      <c r="AE176" s="1">
        <v>44463</v>
      </c>
      <c r="AF176" s="1">
        <v>44465</v>
      </c>
      <c r="AG176" s="1"/>
      <c r="AH176" s="1"/>
      <c r="AI176" s="1"/>
      <c r="AJ176" s="31">
        <v>44460</v>
      </c>
      <c r="AK176"/>
      <c r="AL176"/>
      <c r="AM176"/>
      <c r="AN176"/>
      <c r="AO176"/>
      <c r="AP176"/>
    </row>
    <row r="177" spans="1:42">
      <c r="A177" s="1" t="s">
        <v>49</v>
      </c>
      <c r="B177" s="1">
        <v>230811</v>
      </c>
      <c r="C177" s="1">
        <v>212042</v>
      </c>
      <c r="D177" s="1" t="s">
        <v>75</v>
      </c>
      <c r="E177" s="1" t="s">
        <v>3934</v>
      </c>
      <c r="F177" t="s">
        <v>736</v>
      </c>
      <c r="G177" t="s">
        <v>317</v>
      </c>
      <c r="H177" s="1" t="s">
        <v>1420</v>
      </c>
      <c r="I177" s="1" t="s">
        <v>1421</v>
      </c>
      <c r="J177" s="1" t="s">
        <v>18</v>
      </c>
      <c r="K177" s="1" t="s">
        <v>50</v>
      </c>
      <c r="L177" s="1">
        <v>37213</v>
      </c>
      <c r="M177" s="1">
        <v>24</v>
      </c>
      <c r="N177" s="1">
        <v>1310</v>
      </c>
      <c r="P177" s="1">
        <v>1700</v>
      </c>
      <c r="Q177" s="1"/>
      <c r="R177" s="1">
        <v>390</v>
      </c>
      <c r="S177">
        <v>240000</v>
      </c>
      <c r="T177">
        <v>12036</v>
      </c>
      <c r="U177" t="s">
        <v>814</v>
      </c>
      <c r="V177">
        <v>21960</v>
      </c>
      <c r="W177" s="1">
        <v>47015</v>
      </c>
      <c r="X177" s="1" t="s">
        <v>55</v>
      </c>
      <c r="Y177" s="1" t="s">
        <v>51</v>
      </c>
      <c r="Z177" s="1" t="s">
        <v>817</v>
      </c>
      <c r="AA177" s="1" t="s">
        <v>1422</v>
      </c>
      <c r="AB177" s="1" t="s">
        <v>1423</v>
      </c>
      <c r="AC177" s="1">
        <v>45133</v>
      </c>
      <c r="AD177" s="1">
        <v>45139</v>
      </c>
      <c r="AE177" s="1"/>
      <c r="AF177" s="1"/>
      <c r="AG177" s="1" t="s">
        <v>1392</v>
      </c>
      <c r="AH177" s="1" t="s">
        <v>1388</v>
      </c>
      <c r="AI177" s="1"/>
      <c r="AJ177" s="31">
        <v>45139</v>
      </c>
      <c r="AK177"/>
      <c r="AL177"/>
      <c r="AM177"/>
      <c r="AN177"/>
      <c r="AO177"/>
      <c r="AP177"/>
    </row>
    <row r="178" spans="1:42" hidden="1">
      <c r="A178" s="1" t="s">
        <v>2542</v>
      </c>
      <c r="B178" s="1">
        <v>210911</v>
      </c>
      <c r="C178" s="1">
        <v>222028</v>
      </c>
      <c r="D178" s="1" t="s">
        <v>62</v>
      </c>
      <c r="E178" s="1" t="s">
        <v>3935</v>
      </c>
      <c r="F178" s="1" t="s">
        <v>2465</v>
      </c>
      <c r="G178" s="1" t="s">
        <v>3936</v>
      </c>
      <c r="H178" s="1" t="s">
        <v>156</v>
      </c>
      <c r="I178" s="1" t="s">
        <v>157</v>
      </c>
      <c r="J178" s="1" t="s">
        <v>18</v>
      </c>
      <c r="K178" s="1" t="s">
        <v>50</v>
      </c>
      <c r="L178" s="1">
        <v>33282</v>
      </c>
      <c r="M178" s="1">
        <v>34</v>
      </c>
      <c r="N178" s="1">
        <v>1410</v>
      </c>
      <c r="P178" s="1">
        <v>1810</v>
      </c>
      <c r="Q178" s="1" t="s">
        <v>71</v>
      </c>
      <c r="R178" s="1">
        <v>400</v>
      </c>
      <c r="S178">
        <v>300000</v>
      </c>
      <c r="T178">
        <v>15045</v>
      </c>
      <c r="U178" t="s">
        <v>814</v>
      </c>
      <c r="V178">
        <v>27450</v>
      </c>
      <c r="W178" s="1">
        <v>46573</v>
      </c>
      <c r="X178" s="1" t="s">
        <v>55</v>
      </c>
      <c r="Y178" s="1" t="s">
        <v>51</v>
      </c>
      <c r="Z178" s="1" t="s">
        <v>91</v>
      </c>
      <c r="AA178" s="1" t="s">
        <v>3008</v>
      </c>
      <c r="AB178" s="1" t="s">
        <v>3009</v>
      </c>
      <c r="AC178" s="1">
        <v>44864</v>
      </c>
      <c r="AD178" s="1">
        <v>44466</v>
      </c>
      <c r="AE178" s="1">
        <v>45730</v>
      </c>
      <c r="AF178" s="1"/>
      <c r="AG178" s="1">
        <v>44531</v>
      </c>
      <c r="AH178" s="1" t="s">
        <v>54</v>
      </c>
      <c r="AI178" s="1"/>
      <c r="AJ178" s="31">
        <v>44466</v>
      </c>
      <c r="AK178"/>
      <c r="AL178"/>
      <c r="AM178"/>
      <c r="AO178"/>
      <c r="AP178" s="1"/>
    </row>
    <row r="179" spans="1:42" hidden="1">
      <c r="A179" s="1" t="s">
        <v>2542</v>
      </c>
      <c r="B179" s="1">
        <v>210912</v>
      </c>
      <c r="C179" s="1">
        <v>242023</v>
      </c>
      <c r="D179" s="1" t="s">
        <v>69</v>
      </c>
      <c r="E179" s="1" t="s">
        <v>306</v>
      </c>
      <c r="F179" t="s">
        <v>742</v>
      </c>
      <c r="G179" t="s">
        <v>317</v>
      </c>
      <c r="H179" s="1" t="s">
        <v>506</v>
      </c>
      <c r="I179" s="1" t="s">
        <v>507</v>
      </c>
      <c r="J179" s="1" t="s">
        <v>18</v>
      </c>
      <c r="K179" s="1" t="s">
        <v>50</v>
      </c>
      <c r="L179" s="1">
        <v>32994</v>
      </c>
      <c r="M179" s="1">
        <v>35</v>
      </c>
      <c r="N179" s="1">
        <v>1430</v>
      </c>
      <c r="P179" s="1">
        <v>1840</v>
      </c>
      <c r="Q179" s="1" t="s">
        <v>66</v>
      </c>
      <c r="R179" s="1">
        <v>410</v>
      </c>
      <c r="S179">
        <v>280000</v>
      </c>
      <c r="T179">
        <v>14042</v>
      </c>
      <c r="U179" t="s">
        <v>814</v>
      </c>
      <c r="V179">
        <v>25620</v>
      </c>
      <c r="W179" s="1">
        <v>46627</v>
      </c>
      <c r="X179" s="1" t="s">
        <v>55</v>
      </c>
      <c r="Y179" s="1" t="s">
        <v>51</v>
      </c>
      <c r="Z179" s="1" t="s">
        <v>72</v>
      </c>
      <c r="AA179" s="1" t="s">
        <v>508</v>
      </c>
      <c r="AB179" s="1" t="s">
        <v>509</v>
      </c>
      <c r="AC179" s="1">
        <v>44464</v>
      </c>
      <c r="AD179" s="1">
        <v>44466</v>
      </c>
      <c r="AE179" s="1">
        <v>45679</v>
      </c>
      <c r="AF179" s="1"/>
      <c r="AG179" s="1">
        <v>44531</v>
      </c>
      <c r="AH179" s="1" t="s">
        <v>54</v>
      </c>
      <c r="AI179" s="1"/>
      <c r="AJ179" s="31">
        <v>44466</v>
      </c>
      <c r="AK179"/>
      <c r="AL179"/>
      <c r="AM179"/>
      <c r="AN179"/>
      <c r="AO179"/>
      <c r="AP179"/>
    </row>
    <row r="180" spans="1:42" hidden="1">
      <c r="A180" s="1" t="s">
        <v>2542</v>
      </c>
      <c r="B180" s="1">
        <v>210913</v>
      </c>
      <c r="D180" s="1" t="s">
        <v>402</v>
      </c>
      <c r="G180"/>
      <c r="H180" s="1" t="s">
        <v>3010</v>
      </c>
      <c r="I180" s="1" t="s">
        <v>3011</v>
      </c>
      <c r="J180" s="1" t="s">
        <v>18</v>
      </c>
      <c r="K180" s="1" t="s">
        <v>404</v>
      </c>
      <c r="L180" s="1">
        <v>29484</v>
      </c>
      <c r="M180" s="1">
        <v>45</v>
      </c>
      <c r="N180" s="1">
        <v>1400</v>
      </c>
      <c r="O180" s="1" t="s">
        <v>3012</v>
      </c>
      <c r="P180" s="1">
        <v>1872</v>
      </c>
      <c r="Q180" s="1"/>
      <c r="R180" s="1">
        <v>472</v>
      </c>
      <c r="S180"/>
      <c r="T180" t="s">
        <v>55</v>
      </c>
      <c r="U180" t="s">
        <v>814</v>
      </c>
      <c r="V180" t="s">
        <v>55</v>
      </c>
      <c r="W180" s="1">
        <v>46164</v>
      </c>
      <c r="X180" s="1" t="s">
        <v>55</v>
      </c>
      <c r="Y180" s="1" t="s">
        <v>60</v>
      </c>
      <c r="Z180" s="1" t="s">
        <v>2328</v>
      </c>
      <c r="AA180" s="1" t="s">
        <v>3013</v>
      </c>
      <c r="AB180" s="1" t="s">
        <v>3014</v>
      </c>
      <c r="AC180" s="1" t="s">
        <v>53</v>
      </c>
      <c r="AD180" s="1">
        <v>44466</v>
      </c>
      <c r="AE180" s="1">
        <v>44544</v>
      </c>
      <c r="AF180" s="1"/>
      <c r="AG180" s="1">
        <v>44531</v>
      </c>
      <c r="AH180" s="1"/>
      <c r="AI180" s="1"/>
      <c r="AJ180" s="31">
        <v>44466</v>
      </c>
      <c r="AK180"/>
      <c r="AL180"/>
      <c r="AM180"/>
      <c r="AN180"/>
      <c r="AO180"/>
      <c r="AP180"/>
    </row>
    <row r="181" spans="1:42" hidden="1">
      <c r="A181" s="1" t="s">
        <v>2542</v>
      </c>
      <c r="B181" s="1">
        <v>210915</v>
      </c>
      <c r="D181" s="1" t="s">
        <v>69</v>
      </c>
      <c r="F181"/>
      <c r="G181"/>
      <c r="H181" s="1" t="s">
        <v>3015</v>
      </c>
      <c r="I181" s="1" t="s">
        <v>3016</v>
      </c>
      <c r="J181" s="1" t="s">
        <v>18</v>
      </c>
      <c r="K181" s="1" t="s">
        <v>50</v>
      </c>
      <c r="L181" s="1">
        <v>34934</v>
      </c>
      <c r="M181" s="1">
        <v>30</v>
      </c>
      <c r="N181" s="1">
        <v>1250</v>
      </c>
      <c r="P181" s="1">
        <v>1600</v>
      </c>
      <c r="Q181" s="1">
        <v>350</v>
      </c>
      <c r="R181" s="1">
        <v>350</v>
      </c>
      <c r="S181"/>
      <c r="T181" t="s">
        <v>55</v>
      </c>
      <c r="U181" t="s">
        <v>814</v>
      </c>
      <c r="V181" t="s">
        <v>55</v>
      </c>
      <c r="W181" s="1">
        <v>45246</v>
      </c>
      <c r="X181" s="1" t="s">
        <v>55</v>
      </c>
      <c r="Y181" s="1" t="s">
        <v>51</v>
      </c>
      <c r="Z181" s="1" t="s">
        <v>72</v>
      </c>
      <c r="AA181" s="1" t="s">
        <v>508</v>
      </c>
      <c r="AB181" s="1" t="s">
        <v>509</v>
      </c>
      <c r="AC181" s="1">
        <v>44464</v>
      </c>
      <c r="AD181" s="1">
        <v>44466</v>
      </c>
      <c r="AE181" s="1">
        <v>44468</v>
      </c>
      <c r="AF181" s="1">
        <v>44468</v>
      </c>
      <c r="AG181" s="1"/>
      <c r="AH181" s="1"/>
      <c r="AI181" s="1"/>
      <c r="AJ181" s="31">
        <v>44466</v>
      </c>
      <c r="AK181"/>
      <c r="AL181"/>
      <c r="AM181"/>
      <c r="AN181"/>
      <c r="AO181"/>
      <c r="AP181"/>
    </row>
    <row r="182" spans="1:42" hidden="1">
      <c r="A182" s="1" t="s">
        <v>2542</v>
      </c>
      <c r="B182" s="1">
        <v>210914</v>
      </c>
      <c r="C182" s="1">
        <v>222029</v>
      </c>
      <c r="D182" s="1" t="s">
        <v>62</v>
      </c>
      <c r="E182" s="1" t="s">
        <v>3935</v>
      </c>
      <c r="F182" t="s">
        <v>2666</v>
      </c>
      <c r="G182" t="s">
        <v>391</v>
      </c>
      <c r="H182" s="1" t="s">
        <v>3017</v>
      </c>
      <c r="I182" s="1" t="s">
        <v>3018</v>
      </c>
      <c r="J182" s="1" t="s">
        <v>18</v>
      </c>
      <c r="K182" s="1" t="s">
        <v>50</v>
      </c>
      <c r="L182" s="1">
        <v>34689</v>
      </c>
      <c r="M182" s="1">
        <v>30</v>
      </c>
      <c r="N182" s="1">
        <v>1400</v>
      </c>
      <c r="P182" s="1">
        <v>1780</v>
      </c>
      <c r="Q182" s="1" t="s">
        <v>71</v>
      </c>
      <c r="R182" s="1">
        <v>380</v>
      </c>
      <c r="S182">
        <v>240000</v>
      </c>
      <c r="T182">
        <v>12036</v>
      </c>
      <c r="U182" t="s">
        <v>814</v>
      </c>
      <c r="V182">
        <v>21960</v>
      </c>
      <c r="W182" s="1">
        <v>45437</v>
      </c>
      <c r="X182" s="1" t="s">
        <v>55</v>
      </c>
      <c r="Y182" s="1" t="s">
        <v>51</v>
      </c>
      <c r="Z182" s="1" t="s">
        <v>91</v>
      </c>
      <c r="AA182" s="1" t="s">
        <v>3019</v>
      </c>
      <c r="AB182" s="1" t="s">
        <v>160</v>
      </c>
      <c r="AC182" s="1">
        <v>44473</v>
      </c>
      <c r="AD182" s="1">
        <v>44469</v>
      </c>
      <c r="AE182" s="1">
        <v>45280</v>
      </c>
      <c r="AF182" s="1"/>
      <c r="AG182" s="1">
        <v>44531</v>
      </c>
      <c r="AH182" s="1" t="s">
        <v>54</v>
      </c>
      <c r="AI182" s="1"/>
      <c r="AJ182" s="31">
        <v>44469</v>
      </c>
      <c r="AK182"/>
      <c r="AL182"/>
      <c r="AM182"/>
      <c r="AN182"/>
      <c r="AO182"/>
      <c r="AP182"/>
    </row>
    <row r="183" spans="1:42" hidden="1">
      <c r="A183" s="1" t="s">
        <v>49</v>
      </c>
      <c r="B183" s="1">
        <v>211003</v>
      </c>
      <c r="C183" s="1">
        <v>232020</v>
      </c>
      <c r="D183" s="1" t="s">
        <v>83</v>
      </c>
      <c r="E183" s="1" t="s">
        <v>307</v>
      </c>
      <c r="F183" t="s">
        <v>2248</v>
      </c>
      <c r="G183" t="s">
        <v>2250</v>
      </c>
      <c r="H183" s="1" t="s">
        <v>161</v>
      </c>
      <c r="I183" s="1" t="s">
        <v>162</v>
      </c>
      <c r="J183" s="1" t="s">
        <v>18</v>
      </c>
      <c r="K183" s="1" t="s">
        <v>137</v>
      </c>
      <c r="L183" s="1">
        <v>24511</v>
      </c>
      <c r="M183" s="1">
        <v>58</v>
      </c>
      <c r="N183" s="1">
        <v>1300</v>
      </c>
      <c r="P183" s="1">
        <v>1870</v>
      </c>
      <c r="Q183" s="1"/>
      <c r="R183" s="1">
        <v>570</v>
      </c>
      <c r="S183">
        <v>280000</v>
      </c>
      <c r="T183">
        <v>14042</v>
      </c>
      <c r="U183">
        <v>2226</v>
      </c>
      <c r="V183">
        <v>25620</v>
      </c>
      <c r="W183" s="1"/>
      <c r="X183" s="1" t="s">
        <v>55</v>
      </c>
      <c r="Y183" s="1"/>
      <c r="Z183" s="1" t="s">
        <v>163</v>
      </c>
      <c r="AA183" s="1" t="s">
        <v>164</v>
      </c>
      <c r="AB183" s="1"/>
      <c r="AC183" s="1" t="s">
        <v>53</v>
      </c>
      <c r="AD183" s="1">
        <v>44470</v>
      </c>
      <c r="AE183" s="1"/>
      <c r="AF183" s="1"/>
      <c r="AG183" s="1">
        <v>44531</v>
      </c>
      <c r="AH183" s="1" t="s">
        <v>54</v>
      </c>
      <c r="AI183" s="1"/>
      <c r="AJ183" s="31">
        <v>44470</v>
      </c>
      <c r="AK183"/>
      <c r="AL183"/>
      <c r="AM183"/>
      <c r="AN183"/>
      <c r="AO183"/>
      <c r="AP183"/>
    </row>
    <row r="184" spans="1:42" hidden="1">
      <c r="A184" s="1" t="s">
        <v>49</v>
      </c>
      <c r="B184" s="1">
        <v>211004</v>
      </c>
      <c r="C184" s="1">
        <v>232025</v>
      </c>
      <c r="D184" s="1" t="s">
        <v>83</v>
      </c>
      <c r="E184" s="1" t="s">
        <v>309</v>
      </c>
      <c r="F184" t="s">
        <v>2233</v>
      </c>
      <c r="G184" t="s">
        <v>368</v>
      </c>
      <c r="H184" s="1" t="s">
        <v>512</v>
      </c>
      <c r="I184" s="1" t="s">
        <v>513</v>
      </c>
      <c r="J184" s="1" t="s">
        <v>18</v>
      </c>
      <c r="K184" s="1" t="s">
        <v>137</v>
      </c>
      <c r="L184" s="1">
        <v>31792</v>
      </c>
      <c r="M184" s="1">
        <v>38</v>
      </c>
      <c r="N184" s="1">
        <v>1160</v>
      </c>
      <c r="P184" s="1">
        <v>1820</v>
      </c>
      <c r="Q184" s="1"/>
      <c r="R184" s="1">
        <v>660</v>
      </c>
      <c r="S184">
        <v>190000</v>
      </c>
      <c r="T184">
        <v>9528</v>
      </c>
      <c r="U184" t="s">
        <v>814</v>
      </c>
      <c r="V184">
        <v>17385</v>
      </c>
      <c r="W184" s="1"/>
      <c r="X184" s="1" t="s">
        <v>55</v>
      </c>
      <c r="Y184" s="1"/>
      <c r="Z184" s="1" t="s">
        <v>514</v>
      </c>
      <c r="AA184" s="1" t="s">
        <v>515</v>
      </c>
      <c r="AB184" s="1"/>
      <c r="AC184" s="1" t="s">
        <v>53</v>
      </c>
      <c r="AD184" s="1">
        <v>44470</v>
      </c>
      <c r="AE184" s="1"/>
      <c r="AF184" s="1"/>
      <c r="AG184" s="1">
        <v>44531</v>
      </c>
      <c r="AH184" s="1" t="s">
        <v>54</v>
      </c>
      <c r="AI184" s="1"/>
      <c r="AJ184" s="31">
        <v>44470</v>
      </c>
      <c r="AK184"/>
      <c r="AL184"/>
      <c r="AM184"/>
      <c r="AN184"/>
      <c r="AO184"/>
      <c r="AP184"/>
    </row>
    <row r="185" spans="1:42" hidden="1">
      <c r="A185" s="1" t="s">
        <v>49</v>
      </c>
      <c r="B185" s="1">
        <v>211006</v>
      </c>
      <c r="C185" s="1">
        <v>232022</v>
      </c>
      <c r="D185" s="1" t="s">
        <v>83</v>
      </c>
      <c r="E185" s="1" t="s">
        <v>309</v>
      </c>
      <c r="F185" t="s">
        <v>1704</v>
      </c>
      <c r="G185" t="s">
        <v>1089</v>
      </c>
      <c r="H185" s="1" t="s">
        <v>510</v>
      </c>
      <c r="I185" s="1" t="s">
        <v>511</v>
      </c>
      <c r="J185" s="1" t="s">
        <v>18</v>
      </c>
      <c r="K185" s="1" t="s">
        <v>137</v>
      </c>
      <c r="L185" s="1">
        <v>22913</v>
      </c>
      <c r="M185" s="1">
        <v>63</v>
      </c>
      <c r="N185" s="1">
        <v>1360</v>
      </c>
      <c r="P185" s="1">
        <v>1920</v>
      </c>
      <c r="Q185" s="1"/>
      <c r="R185" s="1">
        <v>560</v>
      </c>
      <c r="S185">
        <v>260000</v>
      </c>
      <c r="T185">
        <v>13039</v>
      </c>
      <c r="U185">
        <v>2067</v>
      </c>
      <c r="V185">
        <v>23790</v>
      </c>
      <c r="W185" s="1"/>
      <c r="X185" s="1" t="s">
        <v>55</v>
      </c>
      <c r="Y185" s="1"/>
      <c r="Z185" s="1" t="s">
        <v>4269</v>
      </c>
      <c r="AA185" s="1" t="s">
        <v>4270</v>
      </c>
      <c r="AB185" s="1" t="s">
        <v>4271</v>
      </c>
      <c r="AC185" s="1" t="s">
        <v>53</v>
      </c>
      <c r="AD185" s="1">
        <v>44470</v>
      </c>
      <c r="AE185" s="1"/>
      <c r="AF185" s="1"/>
      <c r="AG185" s="1">
        <v>44531</v>
      </c>
      <c r="AH185" s="1" t="s">
        <v>54</v>
      </c>
      <c r="AI185" s="1"/>
      <c r="AJ185" s="31">
        <v>44470</v>
      </c>
      <c r="AK185"/>
      <c r="AL185"/>
      <c r="AM185"/>
      <c r="AN185"/>
      <c r="AO185"/>
      <c r="AP185"/>
    </row>
    <row r="186" spans="1:42" hidden="1">
      <c r="A186" s="1" t="s">
        <v>2542</v>
      </c>
      <c r="B186" s="1">
        <v>211001</v>
      </c>
      <c r="C186" s="1">
        <v>232021</v>
      </c>
      <c r="D186" s="1" t="s">
        <v>83</v>
      </c>
      <c r="E186" s="1" t="s">
        <v>307</v>
      </c>
      <c r="F186" t="s">
        <v>2655</v>
      </c>
      <c r="G186"/>
      <c r="H186" s="1" t="s">
        <v>3020</v>
      </c>
      <c r="I186" s="1" t="s">
        <v>3021</v>
      </c>
      <c r="J186" s="1" t="s">
        <v>18</v>
      </c>
      <c r="K186" s="1" t="s">
        <v>137</v>
      </c>
      <c r="L186" s="1">
        <v>25188</v>
      </c>
      <c r="M186" s="1">
        <v>56</v>
      </c>
      <c r="N186" s="1">
        <v>1350</v>
      </c>
      <c r="P186" s="1">
        <v>1770</v>
      </c>
      <c r="Q186" s="1"/>
      <c r="R186" s="1">
        <v>420</v>
      </c>
      <c r="S186"/>
      <c r="T186" t="s">
        <v>55</v>
      </c>
      <c r="U186" t="s">
        <v>814</v>
      </c>
      <c r="V186" t="s">
        <v>55</v>
      </c>
      <c r="W186" s="1"/>
      <c r="X186" s="1" t="s">
        <v>55</v>
      </c>
      <c r="Y186" s="1"/>
      <c r="Z186" s="1" t="s">
        <v>3022</v>
      </c>
      <c r="AA186" s="1" t="s">
        <v>3023</v>
      </c>
      <c r="AB186" s="1"/>
      <c r="AC186" s="1" t="s">
        <v>53</v>
      </c>
      <c r="AD186" s="1">
        <v>44470</v>
      </c>
      <c r="AE186" s="1">
        <v>44834</v>
      </c>
      <c r="AF186" s="1"/>
      <c r="AG186" s="1">
        <v>44531</v>
      </c>
      <c r="AH186" s="1" t="s">
        <v>54</v>
      </c>
      <c r="AI186" s="1"/>
      <c r="AJ186" s="31">
        <v>44470</v>
      </c>
      <c r="AK186"/>
      <c r="AL186"/>
      <c r="AM186"/>
      <c r="AN186"/>
      <c r="AO186"/>
      <c r="AP186"/>
    </row>
    <row r="187" spans="1:42" hidden="1">
      <c r="A187" s="1" t="s">
        <v>2542</v>
      </c>
      <c r="B187" s="1">
        <v>211002</v>
      </c>
      <c r="C187" s="1">
        <v>232024</v>
      </c>
      <c r="D187" s="1" t="s">
        <v>83</v>
      </c>
      <c r="E187" s="1" t="s">
        <v>309</v>
      </c>
      <c r="F187" s="1" t="s">
        <v>366</v>
      </c>
      <c r="G187" t="s">
        <v>367</v>
      </c>
      <c r="H187" s="1" t="s">
        <v>3029</v>
      </c>
      <c r="I187" s="1" t="s">
        <v>3030</v>
      </c>
      <c r="J187" s="1" t="s">
        <v>18</v>
      </c>
      <c r="K187" s="1" t="s">
        <v>137</v>
      </c>
      <c r="L187" s="1">
        <v>23064</v>
      </c>
      <c r="M187" s="1">
        <v>62</v>
      </c>
      <c r="N187" s="1">
        <v>1250</v>
      </c>
      <c r="P187" s="1">
        <v>1790</v>
      </c>
      <c r="Q187" s="1"/>
      <c r="R187" s="1">
        <v>540</v>
      </c>
      <c r="S187">
        <v>220000</v>
      </c>
      <c r="T187">
        <v>11033</v>
      </c>
      <c r="U187">
        <v>1749</v>
      </c>
      <c r="V187">
        <v>20130</v>
      </c>
      <c r="W187" s="1"/>
      <c r="X187" s="1" t="s">
        <v>55</v>
      </c>
      <c r="Y187" s="1"/>
      <c r="Z187" s="1" t="s">
        <v>110</v>
      </c>
      <c r="AA187" s="1" t="s">
        <v>131</v>
      </c>
      <c r="AB187" s="1" t="s">
        <v>3031</v>
      </c>
      <c r="AC187" s="1">
        <v>44409</v>
      </c>
      <c r="AD187" s="1">
        <v>44470</v>
      </c>
      <c r="AE187" s="1">
        <v>45427</v>
      </c>
      <c r="AF187" s="1"/>
      <c r="AG187" s="1">
        <v>44531</v>
      </c>
      <c r="AH187" s="1" t="s">
        <v>54</v>
      </c>
      <c r="AI187" s="1"/>
      <c r="AJ187" s="31">
        <v>44470</v>
      </c>
      <c r="AK187"/>
      <c r="AL187"/>
      <c r="AM187"/>
      <c r="AN187"/>
      <c r="AO187"/>
      <c r="AP187"/>
    </row>
    <row r="188" spans="1:42" hidden="1">
      <c r="A188" s="1" t="s">
        <v>2542</v>
      </c>
      <c r="B188" s="1">
        <v>211005</v>
      </c>
      <c r="C188" s="1">
        <v>232023</v>
      </c>
      <c r="D188" s="1" t="s">
        <v>83</v>
      </c>
      <c r="E188" s="1" t="s">
        <v>309</v>
      </c>
      <c r="F188" t="s">
        <v>2262</v>
      </c>
      <c r="G188" t="s">
        <v>2264</v>
      </c>
      <c r="H188" s="1" t="s">
        <v>3024</v>
      </c>
      <c r="I188" s="1" t="s">
        <v>3025</v>
      </c>
      <c r="J188" s="1" t="s">
        <v>18</v>
      </c>
      <c r="K188" s="1" t="s">
        <v>3026</v>
      </c>
      <c r="L188" s="1">
        <v>25246</v>
      </c>
      <c r="M188" s="1">
        <v>56</v>
      </c>
      <c r="N188" s="1">
        <v>1250</v>
      </c>
      <c r="P188" s="1">
        <v>1800</v>
      </c>
      <c r="Q188" s="1"/>
      <c r="R188" s="1">
        <v>550</v>
      </c>
      <c r="S188">
        <v>240000</v>
      </c>
      <c r="T188">
        <v>12036</v>
      </c>
      <c r="U188">
        <v>1908</v>
      </c>
      <c r="V188">
        <v>21960</v>
      </c>
      <c r="W188" s="1">
        <v>46190</v>
      </c>
      <c r="X188" s="1" t="s">
        <v>55</v>
      </c>
      <c r="Y188" s="1" t="s">
        <v>60</v>
      </c>
      <c r="Z188" s="1" t="s">
        <v>3027</v>
      </c>
      <c r="AA188" s="1" t="s">
        <v>3028</v>
      </c>
      <c r="AB188" s="1"/>
      <c r="AC188" s="1" t="s">
        <v>53</v>
      </c>
      <c r="AD188" s="1">
        <v>44470</v>
      </c>
      <c r="AE188" s="1">
        <v>45167</v>
      </c>
      <c r="AF188" s="1"/>
      <c r="AG188" s="1">
        <v>44531</v>
      </c>
      <c r="AH188" s="1" t="s">
        <v>54</v>
      </c>
      <c r="AI188" s="1"/>
      <c r="AJ188" s="31">
        <v>44470</v>
      </c>
      <c r="AK188"/>
      <c r="AL188"/>
      <c r="AM188"/>
      <c r="AN188"/>
      <c r="AO188"/>
      <c r="AP188"/>
    </row>
    <row r="189" spans="1:42" hidden="1">
      <c r="A189" s="1" t="s">
        <v>2542</v>
      </c>
      <c r="B189" s="1">
        <v>211007</v>
      </c>
      <c r="C189" s="1">
        <v>232026</v>
      </c>
      <c r="D189" s="1" t="s">
        <v>83</v>
      </c>
      <c r="E189" s="1" t="s">
        <v>309</v>
      </c>
      <c r="F189" t="s">
        <v>2262</v>
      </c>
      <c r="G189" t="s">
        <v>2264</v>
      </c>
      <c r="H189" s="1" t="s">
        <v>3032</v>
      </c>
      <c r="I189" s="1" t="s">
        <v>3033</v>
      </c>
      <c r="J189" s="1" t="s">
        <v>17</v>
      </c>
      <c r="K189" s="1" t="s">
        <v>137</v>
      </c>
      <c r="L189" s="1">
        <v>25068</v>
      </c>
      <c r="M189" s="1">
        <v>57</v>
      </c>
      <c r="N189" s="1">
        <v>1250</v>
      </c>
      <c r="P189" s="1">
        <v>1790</v>
      </c>
      <c r="Q189" s="1"/>
      <c r="R189" s="1">
        <v>540</v>
      </c>
      <c r="S189">
        <v>280000</v>
      </c>
      <c r="T189">
        <v>14042</v>
      </c>
      <c r="U189">
        <v>2226</v>
      </c>
      <c r="V189">
        <v>25620</v>
      </c>
      <c r="W189" s="1"/>
      <c r="X189" s="1" t="s">
        <v>55</v>
      </c>
      <c r="Y189" s="1"/>
      <c r="Z189" s="1" t="s">
        <v>110</v>
      </c>
      <c r="AA189" s="1" t="s">
        <v>3034</v>
      </c>
      <c r="AB189" s="1" t="s">
        <v>3035</v>
      </c>
      <c r="AC189" s="1" t="s">
        <v>53</v>
      </c>
      <c r="AD189" s="1">
        <v>44470</v>
      </c>
      <c r="AE189" s="1">
        <v>45229</v>
      </c>
      <c r="AF189" s="1"/>
      <c r="AG189" s="1">
        <v>44531</v>
      </c>
      <c r="AH189" s="1" t="s">
        <v>54</v>
      </c>
      <c r="AI189" s="1"/>
      <c r="AJ189" s="31">
        <v>44470</v>
      </c>
      <c r="AK189"/>
      <c r="AL189"/>
      <c r="AM189"/>
      <c r="AN189"/>
      <c r="AO189"/>
      <c r="AP189"/>
    </row>
    <row r="190" spans="1:42" hidden="1">
      <c r="A190" s="1" t="s">
        <v>2542</v>
      </c>
      <c r="B190" s="1">
        <v>211008</v>
      </c>
      <c r="D190" s="1" t="s">
        <v>69</v>
      </c>
      <c r="E190" s="1" t="s">
        <v>503</v>
      </c>
      <c r="F190" t="s">
        <v>365</v>
      </c>
      <c r="G190"/>
      <c r="H190" s="1" t="s">
        <v>3036</v>
      </c>
      <c r="I190" s="1" t="s">
        <v>3037</v>
      </c>
      <c r="J190" s="1" t="s">
        <v>18</v>
      </c>
      <c r="K190" s="1" t="s">
        <v>50</v>
      </c>
      <c r="L190" s="1">
        <v>33027</v>
      </c>
      <c r="M190" s="1">
        <v>35</v>
      </c>
      <c r="N190" s="1">
        <v>1600</v>
      </c>
      <c r="O190" s="1" t="s">
        <v>3038</v>
      </c>
      <c r="P190" s="1">
        <v>2100</v>
      </c>
      <c r="Q190" s="1"/>
      <c r="R190" s="1">
        <v>500</v>
      </c>
      <c r="S190"/>
      <c r="T190" t="s">
        <v>55</v>
      </c>
      <c r="U190" t="s">
        <v>814</v>
      </c>
      <c r="V190" t="s">
        <v>55</v>
      </c>
      <c r="W190" s="1">
        <v>44896</v>
      </c>
      <c r="X190" s="1" t="s">
        <v>55</v>
      </c>
      <c r="Y190" s="1" t="s">
        <v>51</v>
      </c>
      <c r="Z190" s="1" t="s">
        <v>504</v>
      </c>
      <c r="AA190" s="1" t="s">
        <v>505</v>
      </c>
      <c r="AB190" s="1" t="s">
        <v>2513</v>
      </c>
      <c r="AC190" s="1">
        <v>44470</v>
      </c>
      <c r="AD190" s="1">
        <v>44473</v>
      </c>
      <c r="AE190" s="1">
        <v>44740</v>
      </c>
      <c r="AF190" s="1"/>
      <c r="AG190" s="1">
        <v>44531</v>
      </c>
      <c r="AH190" s="1" t="s">
        <v>54</v>
      </c>
      <c r="AI190" s="1"/>
      <c r="AJ190" s="31">
        <v>44473</v>
      </c>
      <c r="AK190"/>
      <c r="AL190"/>
      <c r="AM190"/>
      <c r="AN190"/>
      <c r="AO190"/>
      <c r="AP190"/>
    </row>
    <row r="191" spans="1:42" hidden="1">
      <c r="A191" s="1" t="s">
        <v>2542</v>
      </c>
      <c r="B191" s="1">
        <v>211009</v>
      </c>
      <c r="D191" s="1" t="s">
        <v>813</v>
      </c>
      <c r="F191"/>
      <c r="G191"/>
      <c r="H191" s="1" t="s">
        <v>3039</v>
      </c>
      <c r="I191" s="1" t="s">
        <v>3040</v>
      </c>
      <c r="J191" s="1" t="s">
        <v>17</v>
      </c>
      <c r="K191" s="1" t="s">
        <v>50</v>
      </c>
      <c r="L191" s="1">
        <v>35034</v>
      </c>
      <c r="M191" s="1">
        <v>30</v>
      </c>
      <c r="N191" s="1">
        <v>1300</v>
      </c>
      <c r="P191" s="1">
        <v>1800</v>
      </c>
      <c r="Q191" s="1"/>
      <c r="R191" s="1">
        <v>500</v>
      </c>
      <c r="S191"/>
      <c r="T191" t="s">
        <v>55</v>
      </c>
      <c r="U191" t="s">
        <v>814</v>
      </c>
      <c r="V191" t="s">
        <v>55</v>
      </c>
      <c r="W191" s="1">
        <v>44667</v>
      </c>
      <c r="X191" s="1" t="s">
        <v>55</v>
      </c>
      <c r="Y191" s="1" t="s">
        <v>51</v>
      </c>
      <c r="Z191" s="1" t="s">
        <v>3041</v>
      </c>
      <c r="AA191" s="1" t="s">
        <v>3042</v>
      </c>
      <c r="AB191" s="1" t="s">
        <v>3043</v>
      </c>
      <c r="AC191" s="1" t="s">
        <v>53</v>
      </c>
      <c r="AD191" s="1">
        <v>44474</v>
      </c>
      <c r="AE191" s="1">
        <v>44581</v>
      </c>
      <c r="AF191" s="1"/>
      <c r="AG191" s="1">
        <v>44531</v>
      </c>
      <c r="AH191" s="1"/>
      <c r="AI191" s="1"/>
      <c r="AJ191" s="31">
        <v>44474</v>
      </c>
      <c r="AK191"/>
      <c r="AL191"/>
      <c r="AM191"/>
      <c r="AN191"/>
      <c r="AO191"/>
      <c r="AP191"/>
    </row>
    <row r="192" spans="1:42">
      <c r="A192" s="1" t="s">
        <v>49</v>
      </c>
      <c r="B192" s="1">
        <v>231102</v>
      </c>
      <c r="C192" s="1">
        <v>212044</v>
      </c>
      <c r="D192" s="1" t="s">
        <v>75</v>
      </c>
      <c r="E192" s="1" t="s">
        <v>3934</v>
      </c>
      <c r="F192" t="s">
        <v>736</v>
      </c>
      <c r="G192" t="s">
        <v>317</v>
      </c>
      <c r="H192" s="1" t="s">
        <v>1556</v>
      </c>
      <c r="I192" s="1" t="s">
        <v>1557</v>
      </c>
      <c r="J192" s="1" t="s">
        <v>18</v>
      </c>
      <c r="K192" s="1" t="s">
        <v>50</v>
      </c>
      <c r="L192" s="1">
        <v>35497</v>
      </c>
      <c r="M192" s="1">
        <v>28</v>
      </c>
      <c r="N192" s="1">
        <v>1300</v>
      </c>
      <c r="P192" s="1">
        <v>1710</v>
      </c>
      <c r="Q192" s="1"/>
      <c r="R192" s="1">
        <v>410</v>
      </c>
      <c r="S192">
        <v>240000</v>
      </c>
      <c r="T192">
        <v>12036</v>
      </c>
      <c r="U192" t="s">
        <v>814</v>
      </c>
      <c r="V192">
        <v>21960</v>
      </c>
      <c r="W192" s="1">
        <v>47058</v>
      </c>
      <c r="X192" s="1" t="s">
        <v>55</v>
      </c>
      <c r="Y192" s="1" t="s">
        <v>51</v>
      </c>
      <c r="Z192" s="1" t="s">
        <v>1591</v>
      </c>
      <c r="AA192" s="1" t="s">
        <v>1592</v>
      </c>
      <c r="AB192" s="1" t="s">
        <v>1593</v>
      </c>
      <c r="AC192" s="1">
        <v>45226</v>
      </c>
      <c r="AD192" s="1">
        <v>45231</v>
      </c>
      <c r="AE192" s="1"/>
      <c r="AF192" s="1"/>
      <c r="AG192" s="1" t="s">
        <v>1589</v>
      </c>
      <c r="AH192" s="1" t="s">
        <v>1590</v>
      </c>
      <c r="AI192" s="1"/>
      <c r="AJ192" s="31">
        <v>45231</v>
      </c>
      <c r="AK192"/>
      <c r="AL192"/>
      <c r="AM192"/>
      <c r="AN192"/>
      <c r="AO192"/>
      <c r="AP192"/>
    </row>
    <row r="193" spans="1:42" hidden="1">
      <c r="A193" s="1" t="s">
        <v>2542</v>
      </c>
      <c r="B193" s="1">
        <v>211011</v>
      </c>
      <c r="C193" s="1">
        <v>222031</v>
      </c>
      <c r="D193" s="1" t="s">
        <v>62</v>
      </c>
      <c r="E193" s="1" t="s">
        <v>3935</v>
      </c>
      <c r="F193" t="s">
        <v>2465</v>
      </c>
      <c r="G193" t="s">
        <v>3936</v>
      </c>
      <c r="H193" s="1" t="s">
        <v>165</v>
      </c>
      <c r="I193" s="1" t="s">
        <v>166</v>
      </c>
      <c r="J193" s="1" t="s">
        <v>18</v>
      </c>
      <c r="K193" s="1" t="s">
        <v>50</v>
      </c>
      <c r="L193" s="1">
        <v>35351</v>
      </c>
      <c r="M193" s="1">
        <v>29</v>
      </c>
      <c r="N193" s="1">
        <v>1420</v>
      </c>
      <c r="P193" s="1">
        <v>1820</v>
      </c>
      <c r="Q193" s="1" t="s">
        <v>66</v>
      </c>
      <c r="R193" s="1">
        <v>400</v>
      </c>
      <c r="S193">
        <v>340000</v>
      </c>
      <c r="T193">
        <v>17051</v>
      </c>
      <c r="U193" t="s">
        <v>814</v>
      </c>
      <c r="V193">
        <v>31110</v>
      </c>
      <c r="W193" s="1">
        <v>46528</v>
      </c>
      <c r="X193" s="1" t="s">
        <v>55</v>
      </c>
      <c r="Y193" s="1" t="s">
        <v>51</v>
      </c>
      <c r="Z193" s="1" t="s">
        <v>80</v>
      </c>
      <c r="AA193" s="1" t="s">
        <v>81</v>
      </c>
      <c r="AB193" s="1" t="s">
        <v>82</v>
      </c>
      <c r="AC193" s="1">
        <v>44475</v>
      </c>
      <c r="AD193" s="1">
        <v>44477</v>
      </c>
      <c r="AE193" s="1">
        <v>45654</v>
      </c>
      <c r="AF193" s="1"/>
      <c r="AG193" s="1">
        <v>44531</v>
      </c>
      <c r="AH193" s="1" t="s">
        <v>54</v>
      </c>
      <c r="AI193" s="1"/>
      <c r="AJ193" s="31">
        <v>44477</v>
      </c>
      <c r="AK193"/>
      <c r="AL193"/>
      <c r="AM193"/>
      <c r="AN193"/>
      <c r="AO193"/>
      <c r="AP193"/>
    </row>
    <row r="194" spans="1:42" hidden="1">
      <c r="A194" s="1" t="s">
        <v>2542</v>
      </c>
      <c r="B194" s="1">
        <v>211012</v>
      </c>
      <c r="C194" s="1">
        <v>8210016</v>
      </c>
      <c r="D194" s="1" t="s">
        <v>822</v>
      </c>
      <c r="E194" s="1" t="s">
        <v>831</v>
      </c>
      <c r="F194" s="1" t="s">
        <v>831</v>
      </c>
      <c r="H194" s="1" t="s">
        <v>832</v>
      </c>
      <c r="I194" s="1" t="s">
        <v>517</v>
      </c>
      <c r="J194" s="1" t="s">
        <v>18</v>
      </c>
      <c r="K194" s="1" t="s">
        <v>50</v>
      </c>
      <c r="L194" s="1">
        <v>34946</v>
      </c>
      <c r="M194" s="1">
        <v>30</v>
      </c>
      <c r="N194" s="1">
        <v>1400</v>
      </c>
      <c r="P194" s="1">
        <v>1990</v>
      </c>
      <c r="Q194" s="1"/>
      <c r="R194" s="1">
        <v>590</v>
      </c>
      <c r="S194">
        <v>300000</v>
      </c>
      <c r="T194">
        <v>15045</v>
      </c>
      <c r="U194" t="s">
        <v>814</v>
      </c>
      <c r="V194">
        <v>27450</v>
      </c>
      <c r="W194" s="1">
        <v>46633</v>
      </c>
      <c r="X194" s="1" t="s">
        <v>55</v>
      </c>
      <c r="Y194" s="1" t="s">
        <v>51</v>
      </c>
      <c r="Z194" s="1" t="s">
        <v>1196</v>
      </c>
      <c r="AA194" s="1" t="s">
        <v>1197</v>
      </c>
      <c r="AB194" s="1" t="s">
        <v>1272</v>
      </c>
      <c r="AC194" s="1" t="s">
        <v>53</v>
      </c>
      <c r="AD194" s="1">
        <v>44480</v>
      </c>
      <c r="AE194" s="1">
        <v>45617</v>
      </c>
      <c r="AF194" s="1"/>
      <c r="AG194" s="1">
        <v>44531</v>
      </c>
      <c r="AH194" s="1" t="s">
        <v>54</v>
      </c>
      <c r="AI194" s="1"/>
      <c r="AJ194" s="31">
        <v>44480</v>
      </c>
      <c r="AK194" t="s">
        <v>2470</v>
      </c>
      <c r="AL194">
        <v>45934</v>
      </c>
      <c r="AM194" t="s">
        <v>2468</v>
      </c>
      <c r="AN194" s="1">
        <v>46168</v>
      </c>
      <c r="AO194"/>
      <c r="AP194" s="1"/>
    </row>
    <row r="195" spans="1:42" hidden="1">
      <c r="A195" s="1" t="s">
        <v>2542</v>
      </c>
      <c r="B195" s="1">
        <v>211013</v>
      </c>
      <c r="C195" s="1">
        <v>500011</v>
      </c>
      <c r="D195" s="1" t="s">
        <v>471</v>
      </c>
      <c r="E195" s="1" t="s">
        <v>472</v>
      </c>
      <c r="F195" s="1" t="s">
        <v>365</v>
      </c>
      <c r="H195" s="1" t="s">
        <v>3044</v>
      </c>
      <c r="I195" s="1" t="s">
        <v>3045</v>
      </c>
      <c r="J195" s="1" t="s">
        <v>18</v>
      </c>
      <c r="K195" s="1" t="s">
        <v>50</v>
      </c>
      <c r="L195" s="1">
        <v>32133</v>
      </c>
      <c r="M195" s="1">
        <v>37</v>
      </c>
      <c r="N195" s="1">
        <v>1400</v>
      </c>
      <c r="P195" s="1">
        <v>1900</v>
      </c>
      <c r="Q195" s="1"/>
      <c r="R195" s="1">
        <v>500</v>
      </c>
      <c r="S195"/>
      <c r="T195" t="s">
        <v>55</v>
      </c>
      <c r="U195" t="s">
        <v>814</v>
      </c>
      <c r="V195" t="s">
        <v>55</v>
      </c>
      <c r="W195" s="1">
        <v>45828</v>
      </c>
      <c r="X195" s="1" t="s">
        <v>55</v>
      </c>
      <c r="Y195" s="1" t="s">
        <v>51</v>
      </c>
      <c r="Z195" s="1" t="s">
        <v>2806</v>
      </c>
      <c r="AA195" s="1" t="s">
        <v>2862</v>
      </c>
      <c r="AB195" s="1" t="s">
        <v>2891</v>
      </c>
      <c r="AC195" s="1">
        <v>44478</v>
      </c>
      <c r="AD195" s="1">
        <v>44480</v>
      </c>
      <c r="AE195" s="1">
        <v>44771</v>
      </c>
      <c r="AF195" s="1"/>
      <c r="AG195" s="1">
        <v>44531</v>
      </c>
      <c r="AH195" s="1" t="s">
        <v>54</v>
      </c>
      <c r="AI195" s="1"/>
      <c r="AJ195" s="31">
        <v>44480</v>
      </c>
      <c r="AK195"/>
      <c r="AL195"/>
      <c r="AM195"/>
      <c r="AO195"/>
      <c r="AP195" s="1"/>
    </row>
    <row r="196" spans="1:42" hidden="1">
      <c r="A196" s="1" t="s">
        <v>2542</v>
      </c>
      <c r="B196" s="1">
        <v>211014</v>
      </c>
      <c r="D196" s="1" t="s">
        <v>436</v>
      </c>
      <c r="H196" s="1" t="s">
        <v>3046</v>
      </c>
      <c r="I196" s="1" t="s">
        <v>3047</v>
      </c>
      <c r="J196" s="1" t="s">
        <v>18</v>
      </c>
      <c r="K196" s="1" t="s">
        <v>50</v>
      </c>
      <c r="L196" s="1">
        <v>34461</v>
      </c>
      <c r="M196" s="1">
        <v>31</v>
      </c>
      <c r="N196" s="1">
        <v>1400</v>
      </c>
      <c r="P196" s="1">
        <v>2000</v>
      </c>
      <c r="Q196" s="1"/>
      <c r="R196" s="1">
        <v>600</v>
      </c>
      <c r="S196"/>
      <c r="T196" t="s">
        <v>55</v>
      </c>
      <c r="U196" t="s">
        <v>814</v>
      </c>
      <c r="V196" t="s">
        <v>55</v>
      </c>
      <c r="W196" s="1">
        <v>45018</v>
      </c>
      <c r="X196" s="1" t="s">
        <v>55</v>
      </c>
      <c r="Y196" s="1" t="s">
        <v>51</v>
      </c>
      <c r="Z196" s="1" t="s">
        <v>504</v>
      </c>
      <c r="AA196" s="1" t="s">
        <v>505</v>
      </c>
      <c r="AB196" s="1" t="s">
        <v>516</v>
      </c>
      <c r="AC196" s="1">
        <v>44471</v>
      </c>
      <c r="AD196" s="1">
        <v>44480</v>
      </c>
      <c r="AE196" s="1">
        <v>44611</v>
      </c>
      <c r="AF196" s="1"/>
      <c r="AG196" s="1">
        <v>44531</v>
      </c>
      <c r="AH196" s="1"/>
      <c r="AI196" s="1"/>
      <c r="AJ196" s="31">
        <v>44480</v>
      </c>
      <c r="AK196"/>
      <c r="AL196"/>
      <c r="AM196"/>
      <c r="AO196"/>
      <c r="AP196" s="1"/>
    </row>
    <row r="197" spans="1:42" hidden="1">
      <c r="A197" s="1" t="s">
        <v>2542</v>
      </c>
      <c r="B197" s="1">
        <v>211015</v>
      </c>
      <c r="D197" s="1" t="s">
        <v>436</v>
      </c>
      <c r="E197" s="1" t="s">
        <v>2659</v>
      </c>
      <c r="F197" s="81"/>
      <c r="G197" s="81"/>
      <c r="H197" s="1" t="s">
        <v>3048</v>
      </c>
      <c r="I197" s="1" t="s">
        <v>3049</v>
      </c>
      <c r="J197" s="1" t="s">
        <v>18</v>
      </c>
      <c r="K197" s="1" t="s">
        <v>50</v>
      </c>
      <c r="L197" s="1">
        <v>33673</v>
      </c>
      <c r="M197" s="1">
        <v>33</v>
      </c>
      <c r="N197" s="1">
        <v>1500</v>
      </c>
      <c r="O197" s="1" t="s">
        <v>3050</v>
      </c>
      <c r="P197" s="1">
        <v>2000</v>
      </c>
      <c r="Q197" s="1"/>
      <c r="R197" s="1">
        <v>500</v>
      </c>
      <c r="S197" s="81">
        <v>360000</v>
      </c>
      <c r="T197" s="81">
        <v>18054</v>
      </c>
      <c r="U197" s="81" t="s">
        <v>814</v>
      </c>
      <c r="V197" s="81">
        <v>32940</v>
      </c>
      <c r="W197" s="1">
        <v>46499</v>
      </c>
      <c r="X197" s="1" t="s">
        <v>55</v>
      </c>
      <c r="Y197" s="1" t="s">
        <v>51</v>
      </c>
      <c r="Z197" s="1" t="s">
        <v>504</v>
      </c>
      <c r="AA197" s="1" t="s">
        <v>505</v>
      </c>
      <c r="AB197" s="1" t="s">
        <v>516</v>
      </c>
      <c r="AC197" s="1">
        <v>44479</v>
      </c>
      <c r="AD197" s="1">
        <v>44480</v>
      </c>
      <c r="AE197" s="1">
        <v>45441</v>
      </c>
      <c r="AF197" s="1"/>
      <c r="AG197" s="1">
        <v>44531</v>
      </c>
      <c r="AH197" s="1" t="s">
        <v>54</v>
      </c>
      <c r="AI197" s="1"/>
      <c r="AJ197" s="31">
        <v>44480</v>
      </c>
      <c r="AK197"/>
      <c r="AL197"/>
      <c r="AM197"/>
      <c r="AN197"/>
      <c r="AO197"/>
      <c r="AP197"/>
    </row>
    <row r="198" spans="1:42" hidden="1">
      <c r="A198" s="1" t="s">
        <v>2542</v>
      </c>
      <c r="B198" s="1">
        <v>211016</v>
      </c>
      <c r="C198" s="1">
        <v>60051</v>
      </c>
      <c r="D198" s="1" t="s">
        <v>168</v>
      </c>
      <c r="E198" s="1" t="s">
        <v>169</v>
      </c>
      <c r="F198"/>
      <c r="G198"/>
      <c r="H198" s="1" t="s">
        <v>170</v>
      </c>
      <c r="I198" s="1" t="s">
        <v>171</v>
      </c>
      <c r="J198" s="1" t="s">
        <v>18</v>
      </c>
      <c r="K198" s="1" t="s">
        <v>50</v>
      </c>
      <c r="L198" s="1">
        <v>34043</v>
      </c>
      <c r="M198" s="1">
        <v>32</v>
      </c>
      <c r="N198" s="1">
        <v>1450</v>
      </c>
      <c r="P198" s="1">
        <v>2000</v>
      </c>
      <c r="Q198" s="1"/>
      <c r="R198" s="1">
        <v>550</v>
      </c>
      <c r="S198">
        <v>360000</v>
      </c>
      <c r="T198">
        <v>18054</v>
      </c>
      <c r="U198" t="s">
        <v>814</v>
      </c>
      <c r="V198">
        <v>32940</v>
      </c>
      <c r="W198" s="1">
        <v>46805</v>
      </c>
      <c r="X198" s="1" t="s">
        <v>55</v>
      </c>
      <c r="Y198" s="1" t="s">
        <v>51</v>
      </c>
      <c r="Z198" s="1" t="s">
        <v>1357</v>
      </c>
      <c r="AA198" s="1" t="s">
        <v>1358</v>
      </c>
      <c r="AB198" s="1" t="s">
        <v>1359</v>
      </c>
      <c r="AC198" s="1" t="s">
        <v>53</v>
      </c>
      <c r="AD198" s="1">
        <v>44481</v>
      </c>
      <c r="AE198" s="1">
        <v>45564</v>
      </c>
      <c r="AF198" s="1"/>
      <c r="AG198" s="1">
        <v>44531</v>
      </c>
      <c r="AH198" s="1" t="s">
        <v>54</v>
      </c>
      <c r="AI198" s="1"/>
      <c r="AJ198" s="31">
        <v>44481</v>
      </c>
      <c r="AK198"/>
      <c r="AL198"/>
      <c r="AM198"/>
      <c r="AN198"/>
      <c r="AO198"/>
      <c r="AP198"/>
    </row>
    <row r="199" spans="1:42" hidden="1">
      <c r="A199" s="1" t="s">
        <v>2542</v>
      </c>
      <c r="B199" s="1">
        <v>211017</v>
      </c>
      <c r="C199" s="1">
        <v>60050</v>
      </c>
      <c r="D199" s="1" t="s">
        <v>168</v>
      </c>
      <c r="E199" s="1" t="s">
        <v>169</v>
      </c>
      <c r="F199"/>
      <c r="G199"/>
      <c r="H199" s="1" t="s">
        <v>3051</v>
      </c>
      <c r="I199" s="1" t="s">
        <v>3052</v>
      </c>
      <c r="J199" s="1" t="s">
        <v>18</v>
      </c>
      <c r="K199" s="1" t="s">
        <v>50</v>
      </c>
      <c r="L199" s="1">
        <v>32906</v>
      </c>
      <c r="M199" s="1">
        <v>35</v>
      </c>
      <c r="N199" s="1">
        <v>1400</v>
      </c>
      <c r="P199" s="1">
        <v>2000</v>
      </c>
      <c r="Q199" s="1"/>
      <c r="R199" s="1">
        <v>600</v>
      </c>
      <c r="S199"/>
      <c r="T199" t="s">
        <v>55</v>
      </c>
      <c r="U199" t="s">
        <v>814</v>
      </c>
      <c r="V199" t="s">
        <v>55</v>
      </c>
      <c r="W199" s="1">
        <v>45041</v>
      </c>
      <c r="X199" s="1" t="s">
        <v>55</v>
      </c>
      <c r="Y199" s="1" t="s">
        <v>51</v>
      </c>
      <c r="Z199" s="1" t="s">
        <v>3053</v>
      </c>
      <c r="AA199" s="1" t="s">
        <v>3054</v>
      </c>
      <c r="AB199" s="1" t="s">
        <v>3055</v>
      </c>
      <c r="AC199" s="1">
        <v>44480</v>
      </c>
      <c r="AD199" s="1">
        <v>44481</v>
      </c>
      <c r="AE199" s="1">
        <v>44923</v>
      </c>
      <c r="AF199" s="1">
        <v>44925</v>
      </c>
      <c r="AG199" s="1">
        <v>44531</v>
      </c>
      <c r="AH199" s="1" t="s">
        <v>54</v>
      </c>
      <c r="AI199" s="1"/>
      <c r="AJ199" s="31">
        <v>44481</v>
      </c>
      <c r="AK199"/>
      <c r="AL199"/>
      <c r="AM199"/>
      <c r="AN199"/>
      <c r="AO199"/>
      <c r="AP199"/>
    </row>
    <row r="200" spans="1:42" hidden="1">
      <c r="A200" s="1" t="s">
        <v>2542</v>
      </c>
      <c r="B200" s="1">
        <v>211018</v>
      </c>
      <c r="C200" s="1">
        <v>60052</v>
      </c>
      <c r="D200" s="1" t="s">
        <v>168</v>
      </c>
      <c r="E200" s="1" t="s">
        <v>169</v>
      </c>
      <c r="F200"/>
      <c r="G200"/>
      <c r="H200" s="1" t="s">
        <v>3056</v>
      </c>
      <c r="I200" s="1" t="s">
        <v>3057</v>
      </c>
      <c r="J200" s="1" t="s">
        <v>18</v>
      </c>
      <c r="K200" s="1" t="s">
        <v>50</v>
      </c>
      <c r="L200" s="1">
        <v>35330</v>
      </c>
      <c r="M200" s="1">
        <v>29</v>
      </c>
      <c r="N200" s="1">
        <v>1400</v>
      </c>
      <c r="P200" s="1">
        <v>2000</v>
      </c>
      <c r="Q200" s="1"/>
      <c r="R200" s="1">
        <v>600</v>
      </c>
      <c r="S200">
        <v>300000</v>
      </c>
      <c r="T200">
        <v>15045</v>
      </c>
      <c r="U200" t="s">
        <v>814</v>
      </c>
      <c r="V200">
        <v>27450</v>
      </c>
      <c r="W200" s="1">
        <v>45080</v>
      </c>
      <c r="X200" s="1" t="s">
        <v>55</v>
      </c>
      <c r="Y200" s="1" t="s">
        <v>51</v>
      </c>
      <c r="Z200" s="1" t="s">
        <v>3058</v>
      </c>
      <c r="AA200" s="1" t="s">
        <v>3059</v>
      </c>
      <c r="AB200" s="1" t="s">
        <v>3060</v>
      </c>
      <c r="AC200" s="1">
        <v>44664</v>
      </c>
      <c r="AD200" s="1">
        <v>44481</v>
      </c>
      <c r="AE200" s="1">
        <v>45057</v>
      </c>
      <c r="AF200" s="1"/>
      <c r="AG200" s="1">
        <v>44531</v>
      </c>
      <c r="AH200" s="1" t="s">
        <v>54</v>
      </c>
      <c r="AI200" s="1" t="s">
        <v>3061</v>
      </c>
      <c r="AJ200" s="31">
        <v>44481</v>
      </c>
      <c r="AK200"/>
      <c r="AL200"/>
      <c r="AM200"/>
      <c r="AN200"/>
      <c r="AO200"/>
      <c r="AP200"/>
    </row>
    <row r="201" spans="1:42" hidden="1">
      <c r="A201" s="1" t="s">
        <v>2542</v>
      </c>
      <c r="B201" s="1">
        <v>211019</v>
      </c>
      <c r="D201" s="1" t="s">
        <v>414</v>
      </c>
      <c r="E201" s="1" t="s">
        <v>1065</v>
      </c>
      <c r="F201" t="s">
        <v>1083</v>
      </c>
      <c r="G201" t="s">
        <v>1068</v>
      </c>
      <c r="H201" s="1" t="s">
        <v>3062</v>
      </c>
      <c r="I201" s="1" t="s">
        <v>3063</v>
      </c>
      <c r="J201" s="1" t="s">
        <v>18</v>
      </c>
      <c r="K201" s="1" t="s">
        <v>50</v>
      </c>
      <c r="L201" s="1">
        <v>34981</v>
      </c>
      <c r="M201" s="1">
        <v>30</v>
      </c>
      <c r="N201" s="1">
        <v>1300</v>
      </c>
      <c r="P201" s="1">
        <v>1650</v>
      </c>
      <c r="Q201" s="1"/>
      <c r="R201" s="1">
        <v>350</v>
      </c>
      <c r="S201"/>
      <c r="T201" t="s">
        <v>55</v>
      </c>
      <c r="U201" t="s">
        <v>814</v>
      </c>
      <c r="V201" t="s">
        <v>55</v>
      </c>
      <c r="W201" s="1">
        <v>44999</v>
      </c>
      <c r="X201" s="1" t="s">
        <v>55</v>
      </c>
      <c r="Y201" s="1" t="s">
        <v>51</v>
      </c>
      <c r="Z201" s="1" t="s">
        <v>3064</v>
      </c>
      <c r="AA201" s="1" t="s">
        <v>3065</v>
      </c>
      <c r="AB201" s="1" t="s">
        <v>3066</v>
      </c>
      <c r="AC201" s="1" t="s">
        <v>53</v>
      </c>
      <c r="AD201" s="1">
        <v>44482</v>
      </c>
      <c r="AE201" s="1">
        <v>44698</v>
      </c>
      <c r="AF201" s="1"/>
      <c r="AG201" s="1">
        <v>44531</v>
      </c>
      <c r="AH201" s="1" t="s">
        <v>54</v>
      </c>
      <c r="AI201" s="1"/>
      <c r="AJ201" s="31">
        <v>44482</v>
      </c>
      <c r="AK201"/>
      <c r="AL201"/>
      <c r="AM201"/>
      <c r="AN201"/>
      <c r="AO201"/>
      <c r="AP201"/>
    </row>
    <row r="202" spans="1:42" hidden="1">
      <c r="A202" s="1" t="s">
        <v>2542</v>
      </c>
      <c r="B202" s="1">
        <v>211020</v>
      </c>
      <c r="C202" s="1">
        <v>222032</v>
      </c>
      <c r="D202" s="1" t="s">
        <v>62</v>
      </c>
      <c r="E202" s="1" t="s">
        <v>3935</v>
      </c>
      <c r="F202" s="1" t="s">
        <v>794</v>
      </c>
      <c r="G202" s="1" t="s">
        <v>316</v>
      </c>
      <c r="H202" s="1" t="s">
        <v>172</v>
      </c>
      <c r="I202" s="1" t="s">
        <v>173</v>
      </c>
      <c r="J202" s="1" t="s">
        <v>18</v>
      </c>
      <c r="K202" s="1" t="s">
        <v>50</v>
      </c>
      <c r="L202" s="1">
        <v>33832</v>
      </c>
      <c r="M202" s="1">
        <v>33</v>
      </c>
      <c r="N202" s="1">
        <v>1400</v>
      </c>
      <c r="P202" s="1">
        <v>1770</v>
      </c>
      <c r="Q202" s="1" t="s">
        <v>71</v>
      </c>
      <c r="R202" s="1">
        <v>370</v>
      </c>
      <c r="S202">
        <v>240000</v>
      </c>
      <c r="T202">
        <v>12036</v>
      </c>
      <c r="U202" t="s">
        <v>814</v>
      </c>
      <c r="V202">
        <v>21960</v>
      </c>
      <c r="W202" s="1">
        <v>45459</v>
      </c>
      <c r="X202" s="1" t="s">
        <v>55</v>
      </c>
      <c r="Y202" s="1" t="s">
        <v>51</v>
      </c>
      <c r="Z202" s="1" t="s">
        <v>181</v>
      </c>
      <c r="AA202" s="1" t="s">
        <v>1995</v>
      </c>
      <c r="AB202" s="1" t="s">
        <v>174</v>
      </c>
      <c r="AC202" s="1">
        <v>44476</v>
      </c>
      <c r="AD202" s="1">
        <v>44487</v>
      </c>
      <c r="AE202" s="1">
        <v>45366</v>
      </c>
      <c r="AF202" s="1"/>
      <c r="AG202" s="1">
        <v>22.01</v>
      </c>
      <c r="AH202" s="1" t="s">
        <v>54</v>
      </c>
      <c r="AI202" s="1"/>
      <c r="AJ202" s="31">
        <v>44487</v>
      </c>
      <c r="AK202"/>
      <c r="AL202"/>
      <c r="AM202"/>
      <c r="AO202"/>
      <c r="AP202" s="1"/>
    </row>
    <row r="203" spans="1:42" hidden="1">
      <c r="A203" s="1" t="s">
        <v>2542</v>
      </c>
      <c r="B203" s="1">
        <v>211021</v>
      </c>
      <c r="C203" s="1">
        <v>222033</v>
      </c>
      <c r="D203" s="1" t="s">
        <v>62</v>
      </c>
      <c r="E203" s="1" t="s">
        <v>3935</v>
      </c>
      <c r="F203" t="s">
        <v>794</v>
      </c>
      <c r="G203"/>
      <c r="H203" s="1" t="s">
        <v>175</v>
      </c>
      <c r="I203" s="1" t="s">
        <v>3067</v>
      </c>
      <c r="J203" s="1" t="s">
        <v>18</v>
      </c>
      <c r="K203" s="1" t="s">
        <v>50</v>
      </c>
      <c r="L203" s="1">
        <v>34506</v>
      </c>
      <c r="M203" s="1">
        <v>31</v>
      </c>
      <c r="N203" s="1">
        <v>1400</v>
      </c>
      <c r="P203" s="1">
        <v>1780</v>
      </c>
      <c r="Q203" s="1" t="s">
        <v>71</v>
      </c>
      <c r="R203" s="1">
        <v>380</v>
      </c>
      <c r="S203"/>
      <c r="T203" t="s">
        <v>55</v>
      </c>
      <c r="U203" t="s">
        <v>814</v>
      </c>
      <c r="V203" t="s">
        <v>55</v>
      </c>
      <c r="W203" s="1">
        <v>45474</v>
      </c>
      <c r="X203" s="1" t="s">
        <v>55</v>
      </c>
      <c r="Y203" s="1" t="s">
        <v>51</v>
      </c>
      <c r="Z203" s="1" t="s">
        <v>67</v>
      </c>
      <c r="AA203" s="1" t="s">
        <v>77</v>
      </c>
      <c r="AB203" s="1" t="s">
        <v>3877</v>
      </c>
      <c r="AC203" s="1">
        <v>44484</v>
      </c>
      <c r="AD203" s="1">
        <v>44487</v>
      </c>
      <c r="AE203" s="1">
        <v>44923</v>
      </c>
      <c r="AF203" s="1"/>
      <c r="AG203" s="1">
        <v>22.01</v>
      </c>
      <c r="AH203" s="1" t="s">
        <v>54</v>
      </c>
      <c r="AI203" s="1"/>
      <c r="AJ203" s="31">
        <v>44487</v>
      </c>
      <c r="AK203"/>
      <c r="AL203"/>
      <c r="AM203"/>
      <c r="AN203"/>
      <c r="AO203"/>
      <c r="AP203"/>
    </row>
    <row r="204" spans="1:42" hidden="1">
      <c r="A204" s="1" t="s">
        <v>2542</v>
      </c>
      <c r="B204" s="1">
        <v>211022</v>
      </c>
      <c r="C204" s="1">
        <v>60055</v>
      </c>
      <c r="D204" s="1" t="s">
        <v>168</v>
      </c>
      <c r="E204" s="1" t="s">
        <v>169</v>
      </c>
      <c r="F204"/>
      <c r="G204"/>
      <c r="H204" s="1" t="s">
        <v>176</v>
      </c>
      <c r="I204" s="1" t="s">
        <v>177</v>
      </c>
      <c r="J204" s="1" t="s">
        <v>18</v>
      </c>
      <c r="K204" s="1" t="s">
        <v>50</v>
      </c>
      <c r="L204" s="1">
        <v>33773</v>
      </c>
      <c r="M204" s="1">
        <v>33</v>
      </c>
      <c r="N204" s="1">
        <v>1450</v>
      </c>
      <c r="P204" s="1">
        <v>2000</v>
      </c>
      <c r="Q204" s="1"/>
      <c r="R204" s="1">
        <v>550</v>
      </c>
      <c r="S204">
        <v>360000</v>
      </c>
      <c r="T204">
        <v>18054</v>
      </c>
      <c r="U204" t="s">
        <v>814</v>
      </c>
      <c r="V204">
        <v>32940</v>
      </c>
      <c r="W204" s="1">
        <v>46498</v>
      </c>
      <c r="X204" s="1" t="s">
        <v>55</v>
      </c>
      <c r="Y204" s="1" t="s">
        <v>51</v>
      </c>
      <c r="Z204" s="1" t="s">
        <v>178</v>
      </c>
      <c r="AA204" s="1" t="s">
        <v>179</v>
      </c>
      <c r="AB204" s="1" t="s">
        <v>180</v>
      </c>
      <c r="AC204" s="1">
        <v>44484</v>
      </c>
      <c r="AD204" s="1">
        <v>44487</v>
      </c>
      <c r="AE204" s="1">
        <v>45881</v>
      </c>
      <c r="AF204" s="1"/>
      <c r="AG204" s="1">
        <v>22.01</v>
      </c>
      <c r="AH204" s="1" t="s">
        <v>54</v>
      </c>
      <c r="AI204" s="1"/>
      <c r="AJ204" s="31">
        <v>44487</v>
      </c>
      <c r="AK204"/>
      <c r="AL204"/>
      <c r="AM204"/>
      <c r="AN204"/>
      <c r="AO204"/>
      <c r="AP204"/>
    </row>
    <row r="205" spans="1:42" hidden="1">
      <c r="A205" s="1" t="s">
        <v>2542</v>
      </c>
      <c r="B205" s="1">
        <v>211023</v>
      </c>
      <c r="C205" s="1">
        <v>60054</v>
      </c>
      <c r="D205" s="1" t="s">
        <v>168</v>
      </c>
      <c r="E205" s="1" t="s">
        <v>169</v>
      </c>
      <c r="F205"/>
      <c r="G205"/>
      <c r="H205" s="1" t="s">
        <v>3068</v>
      </c>
      <c r="I205" s="1" t="s">
        <v>3069</v>
      </c>
      <c r="J205" s="1" t="s">
        <v>18</v>
      </c>
      <c r="K205" s="1" t="s">
        <v>50</v>
      </c>
      <c r="L205" s="1">
        <v>34262</v>
      </c>
      <c r="M205" s="1">
        <v>32</v>
      </c>
      <c r="N205" s="1">
        <v>1400</v>
      </c>
      <c r="P205" s="1">
        <v>2000</v>
      </c>
      <c r="Q205" s="1"/>
      <c r="R205" s="1">
        <v>600</v>
      </c>
      <c r="S205">
        <v>300000</v>
      </c>
      <c r="T205">
        <v>15045</v>
      </c>
      <c r="U205" t="s">
        <v>814</v>
      </c>
      <c r="V205">
        <v>27450</v>
      </c>
      <c r="W205" s="1">
        <v>46077</v>
      </c>
      <c r="X205" s="1" t="s">
        <v>55</v>
      </c>
      <c r="Y205" s="1" t="s">
        <v>51</v>
      </c>
      <c r="Z205" s="1" t="s">
        <v>178</v>
      </c>
      <c r="AA205" s="1" t="s">
        <v>179</v>
      </c>
      <c r="AB205" s="1" t="s">
        <v>180</v>
      </c>
      <c r="AC205" s="1">
        <v>44484</v>
      </c>
      <c r="AD205" s="1">
        <v>44487</v>
      </c>
      <c r="AE205" s="1">
        <v>45106</v>
      </c>
      <c r="AF205" s="1"/>
      <c r="AG205" s="1">
        <v>22.01</v>
      </c>
      <c r="AH205" s="1" t="s">
        <v>54</v>
      </c>
      <c r="AI205" s="1"/>
      <c r="AJ205" s="31">
        <v>44487</v>
      </c>
      <c r="AK205"/>
      <c r="AL205"/>
      <c r="AM205"/>
      <c r="AN205"/>
      <c r="AO205"/>
      <c r="AP205"/>
    </row>
    <row r="206" spans="1:42" hidden="1">
      <c r="A206" s="1" t="s">
        <v>2542</v>
      </c>
      <c r="B206" s="1">
        <v>211024</v>
      </c>
      <c r="C206" s="1">
        <v>60053</v>
      </c>
      <c r="D206" s="1" t="s">
        <v>168</v>
      </c>
      <c r="E206" s="1" t="s">
        <v>169</v>
      </c>
      <c r="F206"/>
      <c r="G206"/>
      <c r="H206" s="1" t="s">
        <v>3070</v>
      </c>
      <c r="I206" s="1" t="s">
        <v>3071</v>
      </c>
      <c r="J206" s="1" t="s">
        <v>18</v>
      </c>
      <c r="K206" s="1" t="s">
        <v>50</v>
      </c>
      <c r="L206" s="1">
        <v>33705</v>
      </c>
      <c r="M206" s="1">
        <v>33</v>
      </c>
      <c r="N206" s="1">
        <v>1400</v>
      </c>
      <c r="P206" s="1">
        <v>2000</v>
      </c>
      <c r="Q206" s="1"/>
      <c r="R206" s="1">
        <v>600</v>
      </c>
      <c r="S206">
        <v>300000</v>
      </c>
      <c r="T206">
        <v>15045</v>
      </c>
      <c r="U206" t="s">
        <v>814</v>
      </c>
      <c r="V206">
        <v>27450</v>
      </c>
      <c r="W206" s="1">
        <v>45403</v>
      </c>
      <c r="X206" s="1" t="s">
        <v>55</v>
      </c>
      <c r="Y206" s="1" t="s">
        <v>51</v>
      </c>
      <c r="Z206" s="1" t="s">
        <v>178</v>
      </c>
      <c r="AA206" s="1" t="s">
        <v>179</v>
      </c>
      <c r="AB206" s="1" t="s">
        <v>180</v>
      </c>
      <c r="AC206" s="1">
        <v>44484</v>
      </c>
      <c r="AD206" s="1">
        <v>44487</v>
      </c>
      <c r="AE206" s="1">
        <v>45163</v>
      </c>
      <c r="AF206" s="1"/>
      <c r="AG206" s="1">
        <v>22.01</v>
      </c>
      <c r="AH206" s="1" t="s">
        <v>54</v>
      </c>
      <c r="AI206" s="1"/>
      <c r="AJ206" s="31">
        <v>44487</v>
      </c>
      <c r="AK206"/>
      <c r="AL206"/>
      <c r="AM206"/>
      <c r="AN206"/>
      <c r="AO206"/>
      <c r="AP206"/>
    </row>
    <row r="207" spans="1:42" hidden="1">
      <c r="A207" s="1" t="s">
        <v>2542</v>
      </c>
      <c r="B207" s="1">
        <v>211025</v>
      </c>
      <c r="D207" s="1" t="s">
        <v>83</v>
      </c>
      <c r="F207" t="s">
        <v>2243</v>
      </c>
      <c r="G207"/>
      <c r="H207" s="1" t="s">
        <v>3072</v>
      </c>
      <c r="I207" s="1" t="s">
        <v>3073</v>
      </c>
      <c r="J207" s="1" t="s">
        <v>18</v>
      </c>
      <c r="K207" s="1" t="s">
        <v>50</v>
      </c>
      <c r="L207" s="1">
        <v>33048</v>
      </c>
      <c r="M207" s="1">
        <v>35</v>
      </c>
      <c r="N207" s="1">
        <v>1350</v>
      </c>
      <c r="P207" s="1">
        <v>1750</v>
      </c>
      <c r="Q207" s="1" t="s">
        <v>71</v>
      </c>
      <c r="R207" s="1">
        <v>400</v>
      </c>
      <c r="S207"/>
      <c r="T207" t="s">
        <v>55</v>
      </c>
      <c r="U207" t="s">
        <v>814</v>
      </c>
      <c r="V207" t="s">
        <v>55</v>
      </c>
      <c r="W207" s="1">
        <v>44806</v>
      </c>
      <c r="X207" s="1" t="s">
        <v>55</v>
      </c>
      <c r="Y207" s="1" t="s">
        <v>51</v>
      </c>
      <c r="Z207" s="1" t="s">
        <v>86</v>
      </c>
      <c r="AA207" s="1" t="s">
        <v>3074</v>
      </c>
      <c r="AB207" s="1" t="s">
        <v>3075</v>
      </c>
      <c r="AC207" s="1" t="s">
        <v>53</v>
      </c>
      <c r="AD207" s="1">
        <v>44489</v>
      </c>
      <c r="AE207" s="1">
        <v>44638</v>
      </c>
      <c r="AF207" s="1"/>
      <c r="AG207" s="1">
        <v>22.01</v>
      </c>
      <c r="AH207" s="1" t="s">
        <v>54</v>
      </c>
      <c r="AI207" s="1"/>
      <c r="AJ207" s="31">
        <v>44489</v>
      </c>
      <c r="AK207"/>
      <c r="AL207"/>
      <c r="AM207"/>
      <c r="AN207"/>
      <c r="AO207"/>
      <c r="AP207"/>
    </row>
    <row r="208" spans="1:42" hidden="1">
      <c r="A208" s="1" t="s">
        <v>2542</v>
      </c>
      <c r="B208" s="1">
        <v>211031</v>
      </c>
      <c r="D208" s="1" t="s">
        <v>436</v>
      </c>
      <c r="E208" s="1" t="s">
        <v>2659</v>
      </c>
      <c r="F208"/>
      <c r="G208"/>
      <c r="H208" s="1" t="s">
        <v>2847</v>
      </c>
      <c r="I208" s="1" t="s">
        <v>3076</v>
      </c>
      <c r="J208" s="1" t="s">
        <v>18</v>
      </c>
      <c r="K208" s="1" t="s">
        <v>50</v>
      </c>
      <c r="L208" s="1">
        <v>31475</v>
      </c>
      <c r="M208" s="1">
        <v>39</v>
      </c>
      <c r="N208" s="1">
        <v>1500</v>
      </c>
      <c r="O208" s="1" t="s">
        <v>3077</v>
      </c>
      <c r="P208" s="1">
        <v>2000</v>
      </c>
      <c r="Q208" s="1"/>
      <c r="R208" s="1">
        <v>500</v>
      </c>
      <c r="S208">
        <v>360000</v>
      </c>
      <c r="T208">
        <v>18054</v>
      </c>
      <c r="U208" t="s">
        <v>814</v>
      </c>
      <c r="V208">
        <v>32940</v>
      </c>
      <c r="W208" s="1">
        <v>46109</v>
      </c>
      <c r="X208" s="1" t="s">
        <v>55</v>
      </c>
      <c r="Y208" s="1" t="s">
        <v>51</v>
      </c>
      <c r="Z208" s="1" t="s">
        <v>504</v>
      </c>
      <c r="AA208" s="1" t="s">
        <v>505</v>
      </c>
      <c r="AB208" s="1" t="s">
        <v>518</v>
      </c>
      <c r="AC208" s="1">
        <v>44491</v>
      </c>
      <c r="AD208" s="1">
        <v>44492</v>
      </c>
      <c r="AE208" s="1">
        <v>45321</v>
      </c>
      <c r="AF208" s="1"/>
      <c r="AG208" s="1">
        <v>22.01</v>
      </c>
      <c r="AH208" s="1" t="s">
        <v>54</v>
      </c>
      <c r="AI208" s="1"/>
      <c r="AJ208" s="31">
        <v>44492</v>
      </c>
      <c r="AK208"/>
      <c r="AL208"/>
      <c r="AM208"/>
      <c r="AN208"/>
      <c r="AO208"/>
      <c r="AP208"/>
    </row>
    <row r="209" spans="1:42" hidden="1">
      <c r="A209" s="1" t="s">
        <v>2542</v>
      </c>
      <c r="B209" s="1">
        <v>211026</v>
      </c>
      <c r="C209" s="1">
        <v>500012</v>
      </c>
      <c r="D209" s="1" t="s">
        <v>471</v>
      </c>
      <c r="E209" s="1" t="s">
        <v>472</v>
      </c>
      <c r="H209" s="1" t="s">
        <v>3078</v>
      </c>
      <c r="I209" s="1" t="s">
        <v>3079</v>
      </c>
      <c r="J209" s="1" t="s">
        <v>18</v>
      </c>
      <c r="K209" s="1" t="s">
        <v>50</v>
      </c>
      <c r="L209" s="1">
        <v>31720</v>
      </c>
      <c r="M209" s="1">
        <v>39</v>
      </c>
      <c r="N209" s="1">
        <v>1400</v>
      </c>
      <c r="P209" s="1">
        <v>2000</v>
      </c>
      <c r="Q209" s="1"/>
      <c r="R209" s="1">
        <v>600</v>
      </c>
      <c r="S209"/>
      <c r="T209" t="s">
        <v>55</v>
      </c>
      <c r="U209" t="s">
        <v>814</v>
      </c>
      <c r="V209" t="s">
        <v>55</v>
      </c>
      <c r="W209" s="1">
        <v>44959</v>
      </c>
      <c r="X209" s="1" t="s">
        <v>55</v>
      </c>
      <c r="Y209" s="1" t="s">
        <v>51</v>
      </c>
      <c r="Z209" s="1" t="s">
        <v>2806</v>
      </c>
      <c r="AA209" s="1" t="s">
        <v>2807</v>
      </c>
      <c r="AB209" s="1" t="s">
        <v>2808</v>
      </c>
      <c r="AC209" s="1">
        <v>44737</v>
      </c>
      <c r="AD209" s="1">
        <v>44494</v>
      </c>
      <c r="AE209" s="1">
        <v>44803</v>
      </c>
      <c r="AF209" s="1"/>
      <c r="AG209" s="1">
        <v>22.01</v>
      </c>
      <c r="AH209" s="1" t="s">
        <v>54</v>
      </c>
      <c r="AI209" s="1"/>
      <c r="AJ209" s="31">
        <v>44494</v>
      </c>
      <c r="AK209"/>
      <c r="AL209"/>
      <c r="AM209"/>
      <c r="AO209"/>
      <c r="AP209" s="1"/>
    </row>
    <row r="210" spans="1:42" hidden="1">
      <c r="A210" s="1" t="s">
        <v>2542</v>
      </c>
      <c r="B210" s="1">
        <v>211027</v>
      </c>
      <c r="C210" s="1">
        <v>84030</v>
      </c>
      <c r="D210" s="1" t="s">
        <v>687</v>
      </c>
      <c r="E210" s="1" t="s">
        <v>3080</v>
      </c>
      <c r="H210" s="1" t="s">
        <v>2371</v>
      </c>
      <c r="I210" s="1" t="s">
        <v>2372</v>
      </c>
      <c r="J210" s="1" t="s">
        <v>18</v>
      </c>
      <c r="K210" s="1" t="s">
        <v>50</v>
      </c>
      <c r="L210" s="1">
        <v>35548</v>
      </c>
      <c r="M210" s="1">
        <v>28</v>
      </c>
      <c r="N210" s="1">
        <v>1400</v>
      </c>
      <c r="O210" s="1" t="s">
        <v>3081</v>
      </c>
      <c r="P210" s="1">
        <v>1850</v>
      </c>
      <c r="Q210" s="1"/>
      <c r="R210" s="1">
        <v>450</v>
      </c>
      <c r="S210">
        <v>280000</v>
      </c>
      <c r="T210">
        <v>14042</v>
      </c>
      <c r="U210" t="s">
        <v>814</v>
      </c>
      <c r="V210">
        <v>25620</v>
      </c>
      <c r="W210" s="1">
        <v>46089</v>
      </c>
      <c r="X210" s="1" t="s">
        <v>55</v>
      </c>
      <c r="Y210" s="1" t="s">
        <v>51</v>
      </c>
      <c r="Z210" s="1" t="s">
        <v>115</v>
      </c>
      <c r="AA210" s="1" t="s">
        <v>116</v>
      </c>
      <c r="AB210" s="1" t="s">
        <v>2725</v>
      </c>
      <c r="AC210" s="1"/>
      <c r="AD210" s="1">
        <v>44494</v>
      </c>
      <c r="AE210" s="1">
        <v>45215</v>
      </c>
      <c r="AF210" s="1"/>
      <c r="AG210" s="1">
        <v>22.01</v>
      </c>
      <c r="AH210" s="1" t="s">
        <v>54</v>
      </c>
      <c r="AI210" s="1" t="s">
        <v>3082</v>
      </c>
      <c r="AJ210" s="31">
        <v>44494</v>
      </c>
      <c r="AK210"/>
      <c r="AL210"/>
      <c r="AM210"/>
      <c r="AO210"/>
      <c r="AP210" s="1"/>
    </row>
    <row r="211" spans="1:42" hidden="1">
      <c r="A211" s="1" t="s">
        <v>2542</v>
      </c>
      <c r="B211" s="1">
        <v>211028</v>
      </c>
      <c r="C211" s="1">
        <v>222034</v>
      </c>
      <c r="D211" s="1" t="s">
        <v>62</v>
      </c>
      <c r="E211" s="1" t="s">
        <v>3935</v>
      </c>
      <c r="F211" s="1" t="s">
        <v>2666</v>
      </c>
      <c r="G211" s="1" t="s">
        <v>391</v>
      </c>
      <c r="H211" s="1" t="s">
        <v>3083</v>
      </c>
      <c r="I211" s="1" t="s">
        <v>3084</v>
      </c>
      <c r="J211" s="1" t="s">
        <v>18</v>
      </c>
      <c r="K211" s="1" t="s">
        <v>50</v>
      </c>
      <c r="L211" s="1">
        <v>35038</v>
      </c>
      <c r="M211" s="1">
        <v>29</v>
      </c>
      <c r="N211" s="1">
        <v>1400</v>
      </c>
      <c r="P211" s="1">
        <v>1810</v>
      </c>
      <c r="Q211" s="1" t="s">
        <v>71</v>
      </c>
      <c r="R211" s="1">
        <v>410</v>
      </c>
      <c r="S211">
        <v>260000</v>
      </c>
      <c r="T211">
        <v>13039</v>
      </c>
      <c r="U211" t="s">
        <v>814</v>
      </c>
      <c r="V211">
        <v>23790</v>
      </c>
      <c r="W211" s="1">
        <v>45429</v>
      </c>
      <c r="X211" s="1" t="s">
        <v>55</v>
      </c>
      <c r="Y211" s="1" t="s">
        <v>51</v>
      </c>
      <c r="Z211" s="1" t="s">
        <v>181</v>
      </c>
      <c r="AA211" s="1" t="s">
        <v>1995</v>
      </c>
      <c r="AB211" s="1" t="s">
        <v>174</v>
      </c>
      <c r="AC211" s="1">
        <v>44492</v>
      </c>
      <c r="AD211" s="1">
        <v>44496</v>
      </c>
      <c r="AE211" s="1">
        <v>45401</v>
      </c>
      <c r="AF211" s="1"/>
      <c r="AG211" s="1">
        <v>22.01</v>
      </c>
      <c r="AH211" s="1" t="s">
        <v>54</v>
      </c>
      <c r="AI211" s="1"/>
      <c r="AJ211" s="31">
        <v>44496</v>
      </c>
      <c r="AK211"/>
      <c r="AL211"/>
      <c r="AM211"/>
      <c r="AO211"/>
      <c r="AP211" s="1"/>
    </row>
    <row r="212" spans="1:42" hidden="1">
      <c r="A212" s="1" t="s">
        <v>2542</v>
      </c>
      <c r="B212" s="1">
        <v>211029</v>
      </c>
      <c r="C212" s="1">
        <v>222035</v>
      </c>
      <c r="D212" s="1" t="s">
        <v>62</v>
      </c>
      <c r="E212" s="1" t="s">
        <v>3935</v>
      </c>
      <c r="H212" s="1" t="s">
        <v>3085</v>
      </c>
      <c r="I212" s="1" t="s">
        <v>3086</v>
      </c>
      <c r="J212" s="1" t="s">
        <v>18</v>
      </c>
      <c r="K212" s="1" t="s">
        <v>50</v>
      </c>
      <c r="L212" s="1">
        <v>35306</v>
      </c>
      <c r="M212" s="1">
        <v>29</v>
      </c>
      <c r="N212" s="1">
        <v>1400</v>
      </c>
      <c r="P212" s="1">
        <v>1770</v>
      </c>
      <c r="Q212" s="1" t="s">
        <v>71</v>
      </c>
      <c r="R212" s="1">
        <v>370</v>
      </c>
      <c r="S212"/>
      <c r="T212" t="s">
        <v>55</v>
      </c>
      <c r="U212" t="s">
        <v>814</v>
      </c>
      <c r="V212" t="s">
        <v>55</v>
      </c>
      <c r="W212" s="1">
        <v>45311</v>
      </c>
      <c r="X212" s="1" t="s">
        <v>55</v>
      </c>
      <c r="Y212" s="1" t="s">
        <v>51</v>
      </c>
      <c r="Z212" s="1" t="s">
        <v>182</v>
      </c>
      <c r="AA212" s="1" t="s">
        <v>183</v>
      </c>
      <c r="AB212" s="1" t="s">
        <v>184</v>
      </c>
      <c r="AC212" s="1">
        <v>44489</v>
      </c>
      <c r="AD212" s="1">
        <v>44496</v>
      </c>
      <c r="AE212" s="1">
        <v>44844</v>
      </c>
      <c r="AF212" s="1"/>
      <c r="AG212" s="1">
        <v>22.01</v>
      </c>
      <c r="AH212" s="1" t="s">
        <v>54</v>
      </c>
      <c r="AI212" s="1"/>
      <c r="AJ212" s="31">
        <v>44496</v>
      </c>
      <c r="AK212"/>
      <c r="AL212"/>
      <c r="AM212"/>
      <c r="AO212"/>
      <c r="AP212" s="1"/>
    </row>
    <row r="213" spans="1:42" hidden="1">
      <c r="A213" s="1" t="s">
        <v>2542</v>
      </c>
      <c r="B213" s="1">
        <v>211030</v>
      </c>
      <c r="D213" s="1" t="s">
        <v>436</v>
      </c>
      <c r="E213" s="1" t="s">
        <v>503</v>
      </c>
      <c r="F213" t="s">
        <v>2655</v>
      </c>
      <c r="G213"/>
      <c r="H213" s="1" t="s">
        <v>3087</v>
      </c>
      <c r="I213" s="1" t="s">
        <v>3088</v>
      </c>
      <c r="J213" s="1" t="s">
        <v>18</v>
      </c>
      <c r="K213" s="1" t="s">
        <v>50</v>
      </c>
      <c r="L213" s="1">
        <v>31640</v>
      </c>
      <c r="M213" s="1">
        <v>39</v>
      </c>
      <c r="N213" s="1">
        <v>1600</v>
      </c>
      <c r="O213" s="1" t="s">
        <v>3089</v>
      </c>
      <c r="P213" s="1">
        <v>2100</v>
      </c>
      <c r="Q213" s="1"/>
      <c r="R213" s="1">
        <v>500</v>
      </c>
      <c r="S213"/>
      <c r="T213" t="s">
        <v>55</v>
      </c>
      <c r="U213" t="s">
        <v>814</v>
      </c>
      <c r="V213" t="s">
        <v>55</v>
      </c>
      <c r="W213" s="1">
        <v>45034</v>
      </c>
      <c r="X213" s="1" t="s">
        <v>55</v>
      </c>
      <c r="Y213" s="1" t="s">
        <v>51</v>
      </c>
      <c r="Z213" s="1" t="s">
        <v>504</v>
      </c>
      <c r="AA213" s="1" t="s">
        <v>505</v>
      </c>
      <c r="AB213" s="1" t="s">
        <v>518</v>
      </c>
      <c r="AC213" s="1">
        <v>44491</v>
      </c>
      <c r="AD213" s="1">
        <v>44496</v>
      </c>
      <c r="AE213" s="1">
        <v>44818</v>
      </c>
      <c r="AF213" s="1"/>
      <c r="AG213" s="1">
        <v>22.01</v>
      </c>
      <c r="AH213" s="1" t="s">
        <v>54</v>
      </c>
      <c r="AI213" s="1"/>
      <c r="AJ213" s="31">
        <v>44496</v>
      </c>
      <c r="AK213"/>
      <c r="AL213"/>
      <c r="AM213"/>
      <c r="AN213"/>
      <c r="AO213"/>
      <c r="AP213"/>
    </row>
    <row r="214" spans="1:42" hidden="1">
      <c r="A214" s="1" t="s">
        <v>2542</v>
      </c>
      <c r="B214" s="1">
        <v>211101</v>
      </c>
      <c r="C214" s="1">
        <v>500013</v>
      </c>
      <c r="D214" s="1" t="s">
        <v>471</v>
      </c>
      <c r="E214" s="1" t="s">
        <v>472</v>
      </c>
      <c r="F214" s="1" t="s">
        <v>2655</v>
      </c>
      <c r="H214" s="1" t="s">
        <v>3094</v>
      </c>
      <c r="I214" s="1" t="s">
        <v>3095</v>
      </c>
      <c r="J214" s="1" t="s">
        <v>17</v>
      </c>
      <c r="K214" s="1" t="s">
        <v>50</v>
      </c>
      <c r="L214" s="1">
        <v>34551</v>
      </c>
      <c r="M214" s="1">
        <v>31</v>
      </c>
      <c r="N214" s="1">
        <v>1300</v>
      </c>
      <c r="O214" s="1" t="s">
        <v>3096</v>
      </c>
      <c r="P214" s="1">
        <v>1900</v>
      </c>
      <c r="Q214" s="1" t="s">
        <v>3097</v>
      </c>
      <c r="R214" s="1">
        <v>600</v>
      </c>
      <c r="S214"/>
      <c r="T214" t="s">
        <v>55</v>
      </c>
      <c r="U214" t="s">
        <v>814</v>
      </c>
      <c r="V214" t="s">
        <v>55</v>
      </c>
      <c r="W214" s="1">
        <v>45867</v>
      </c>
      <c r="X214" s="1" t="s">
        <v>55</v>
      </c>
      <c r="Y214" s="1" t="s">
        <v>51</v>
      </c>
      <c r="Z214" s="1" t="s">
        <v>2806</v>
      </c>
      <c r="AA214" s="1" t="s">
        <v>3098</v>
      </c>
      <c r="AB214" s="1" t="s">
        <v>3099</v>
      </c>
      <c r="AC214" s="1">
        <v>44499</v>
      </c>
      <c r="AD214" s="1">
        <v>44501</v>
      </c>
      <c r="AE214" s="1">
        <v>44802</v>
      </c>
      <c r="AF214" s="1"/>
      <c r="AG214" s="1">
        <v>22.01</v>
      </c>
      <c r="AH214" s="1" t="s">
        <v>54</v>
      </c>
      <c r="AI214" s="1"/>
      <c r="AJ214" s="31">
        <v>44501</v>
      </c>
      <c r="AK214"/>
      <c r="AL214"/>
      <c r="AM214"/>
      <c r="AO214"/>
      <c r="AP214" s="1"/>
    </row>
    <row r="215" spans="1:42" hidden="1">
      <c r="A215" s="1" t="s">
        <v>2542</v>
      </c>
      <c r="B215" s="1">
        <v>211102</v>
      </c>
      <c r="C215" s="1">
        <v>212016</v>
      </c>
      <c r="D215" s="1" t="s">
        <v>75</v>
      </c>
      <c r="E215" s="1" t="s">
        <v>3934</v>
      </c>
      <c r="F215" s="1" t="s">
        <v>739</v>
      </c>
      <c r="H215" s="1" t="s">
        <v>3100</v>
      </c>
      <c r="I215" s="1" t="s">
        <v>3101</v>
      </c>
      <c r="J215" s="1" t="s">
        <v>18</v>
      </c>
      <c r="K215" s="1" t="s">
        <v>50</v>
      </c>
      <c r="L215" s="1">
        <v>31725</v>
      </c>
      <c r="M215" s="1">
        <v>39</v>
      </c>
      <c r="N215" s="1">
        <v>1410</v>
      </c>
      <c r="P215" s="1">
        <v>1770</v>
      </c>
      <c r="Q215" s="1"/>
      <c r="R215" s="1">
        <v>360</v>
      </c>
      <c r="S215"/>
      <c r="T215" t="s">
        <v>55</v>
      </c>
      <c r="U215" t="s">
        <v>814</v>
      </c>
      <c r="V215" t="s">
        <v>55</v>
      </c>
      <c r="W215" s="1">
        <v>45242</v>
      </c>
      <c r="X215" s="1" t="s">
        <v>55</v>
      </c>
      <c r="Y215" s="1" t="s">
        <v>51</v>
      </c>
      <c r="Z215" s="1" t="s">
        <v>3102</v>
      </c>
      <c r="AA215" s="1" t="s">
        <v>3103</v>
      </c>
      <c r="AB215" s="1" t="s">
        <v>3104</v>
      </c>
      <c r="AC215" s="1" t="s">
        <v>53</v>
      </c>
      <c r="AD215" s="1">
        <v>44501</v>
      </c>
      <c r="AE215" s="1">
        <v>44923</v>
      </c>
      <c r="AF215" s="1"/>
      <c r="AG215" s="1">
        <v>22.01</v>
      </c>
      <c r="AH215" s="1" t="s">
        <v>54</v>
      </c>
      <c r="AI215" s="1" t="s">
        <v>3105</v>
      </c>
      <c r="AJ215" s="31">
        <v>44501</v>
      </c>
      <c r="AK215"/>
      <c r="AL215"/>
      <c r="AM215"/>
      <c r="AO215"/>
      <c r="AP215" s="1"/>
    </row>
    <row r="216" spans="1:42" hidden="1">
      <c r="A216" s="1" t="s">
        <v>2542</v>
      </c>
      <c r="B216" s="1">
        <v>211103</v>
      </c>
      <c r="D216" s="1" t="s">
        <v>83</v>
      </c>
      <c r="H216" s="1" t="s">
        <v>3106</v>
      </c>
      <c r="I216" s="1" t="s">
        <v>3107</v>
      </c>
      <c r="J216" s="1" t="s">
        <v>17</v>
      </c>
      <c r="K216" s="1" t="s">
        <v>50</v>
      </c>
      <c r="L216" s="1">
        <v>34112</v>
      </c>
      <c r="M216" s="1">
        <v>32</v>
      </c>
      <c r="N216" s="1">
        <v>1210</v>
      </c>
      <c r="P216" s="1">
        <v>1610</v>
      </c>
      <c r="Q216" s="1" t="s">
        <v>71</v>
      </c>
      <c r="R216" s="1">
        <v>400</v>
      </c>
      <c r="S216"/>
      <c r="T216" t="s">
        <v>55</v>
      </c>
      <c r="U216" t="s">
        <v>814</v>
      </c>
      <c r="V216" t="s">
        <v>55</v>
      </c>
      <c r="W216" s="1">
        <v>44653</v>
      </c>
      <c r="X216" s="1" t="s">
        <v>55</v>
      </c>
      <c r="Y216" s="1" t="s">
        <v>51</v>
      </c>
      <c r="Z216" s="1" t="s">
        <v>3108</v>
      </c>
      <c r="AA216" s="1" t="s">
        <v>3109</v>
      </c>
      <c r="AB216" s="1"/>
      <c r="AC216" s="1" t="s">
        <v>53</v>
      </c>
      <c r="AD216" s="1">
        <v>44501</v>
      </c>
      <c r="AE216" s="1">
        <v>44666</v>
      </c>
      <c r="AF216" s="1"/>
      <c r="AG216" s="1">
        <v>22.01</v>
      </c>
      <c r="AH216" s="1" t="s">
        <v>54</v>
      </c>
      <c r="AI216" s="1"/>
      <c r="AJ216" s="31">
        <v>44501</v>
      </c>
      <c r="AK216"/>
      <c r="AL216"/>
      <c r="AM216"/>
      <c r="AO216"/>
      <c r="AP216" s="1"/>
    </row>
    <row r="217" spans="1:42" hidden="1">
      <c r="A217" s="1" t="s">
        <v>2542</v>
      </c>
      <c r="B217" s="1">
        <v>211104</v>
      </c>
      <c r="C217" s="1">
        <v>232029</v>
      </c>
      <c r="D217" s="1" t="s">
        <v>83</v>
      </c>
      <c r="E217" s="1" t="s">
        <v>307</v>
      </c>
      <c r="F217" s="1" t="s">
        <v>2655</v>
      </c>
      <c r="H217" s="1" t="s">
        <v>3090</v>
      </c>
      <c r="I217" s="1" t="s">
        <v>3091</v>
      </c>
      <c r="J217" s="1" t="s">
        <v>18</v>
      </c>
      <c r="K217" s="1" t="s">
        <v>50</v>
      </c>
      <c r="L217" s="1">
        <v>33254</v>
      </c>
      <c r="M217" s="1">
        <v>34</v>
      </c>
      <c r="N217" s="1">
        <v>1400</v>
      </c>
      <c r="P217" s="1">
        <v>1770</v>
      </c>
      <c r="Q217" s="1" t="s">
        <v>71</v>
      </c>
      <c r="R217" s="1">
        <v>370</v>
      </c>
      <c r="S217"/>
      <c r="T217" t="s">
        <v>55</v>
      </c>
      <c r="U217" t="s">
        <v>814</v>
      </c>
      <c r="V217" t="s">
        <v>55</v>
      </c>
      <c r="W217" s="1">
        <v>45211</v>
      </c>
      <c r="X217" s="1" t="s">
        <v>55</v>
      </c>
      <c r="Y217" s="1" t="s">
        <v>51</v>
      </c>
      <c r="Z217" s="1" t="s">
        <v>110</v>
      </c>
      <c r="AA217" s="1" t="s">
        <v>3092</v>
      </c>
      <c r="AB217" s="1" t="s">
        <v>3883</v>
      </c>
      <c r="AC217" s="1" t="s">
        <v>53</v>
      </c>
      <c r="AD217" s="1">
        <v>44501</v>
      </c>
      <c r="AE217" s="1">
        <v>44894</v>
      </c>
      <c r="AF217" s="1"/>
      <c r="AG217" s="1">
        <v>22.01</v>
      </c>
      <c r="AH217" s="1" t="s">
        <v>54</v>
      </c>
      <c r="AI217" s="1" t="s">
        <v>3093</v>
      </c>
      <c r="AJ217" s="31">
        <v>44501</v>
      </c>
      <c r="AK217"/>
      <c r="AL217"/>
      <c r="AM217"/>
      <c r="AO217"/>
      <c r="AP217" s="1"/>
    </row>
    <row r="218" spans="1:42" hidden="1">
      <c r="A218" s="1" t="s">
        <v>2542</v>
      </c>
      <c r="B218" s="1">
        <v>211105</v>
      </c>
      <c r="C218" s="1">
        <v>242025</v>
      </c>
      <c r="D218" s="1" t="s">
        <v>69</v>
      </c>
      <c r="E218" s="1" t="s">
        <v>306</v>
      </c>
      <c r="F218" s="1" t="s">
        <v>390</v>
      </c>
      <c r="G218" s="1" t="s">
        <v>1085</v>
      </c>
      <c r="H218" s="1" t="s">
        <v>2734</v>
      </c>
      <c r="I218" s="1" t="s">
        <v>3110</v>
      </c>
      <c r="J218" s="1" t="s">
        <v>18</v>
      </c>
      <c r="K218" s="1" t="s">
        <v>50</v>
      </c>
      <c r="L218" s="1">
        <v>33833</v>
      </c>
      <c r="M218" s="1">
        <v>33</v>
      </c>
      <c r="N218" s="1">
        <v>1400</v>
      </c>
      <c r="P218" s="1">
        <v>1770</v>
      </c>
      <c r="Q218" s="1"/>
      <c r="R218" s="1">
        <v>370</v>
      </c>
      <c r="S218">
        <v>280000</v>
      </c>
      <c r="T218">
        <v>14042</v>
      </c>
      <c r="U218" t="s">
        <v>814</v>
      </c>
      <c r="V218">
        <v>25620</v>
      </c>
      <c r="W218" s="1">
        <v>45598</v>
      </c>
      <c r="X218" s="1" t="s">
        <v>55</v>
      </c>
      <c r="Y218" s="1" t="s">
        <v>51</v>
      </c>
      <c r="Z218" s="1" t="s">
        <v>72</v>
      </c>
      <c r="AA218" s="1" t="s">
        <v>508</v>
      </c>
      <c r="AB218" s="1" t="s">
        <v>509</v>
      </c>
      <c r="AC218" s="1">
        <v>44499</v>
      </c>
      <c r="AD218" s="1">
        <v>44501</v>
      </c>
      <c r="AE218" s="1">
        <v>45288</v>
      </c>
      <c r="AF218" s="1"/>
      <c r="AG218" s="1">
        <v>22.01</v>
      </c>
      <c r="AH218" s="1" t="s">
        <v>54</v>
      </c>
      <c r="AI218" s="1"/>
      <c r="AJ218" s="31">
        <v>44501</v>
      </c>
      <c r="AK218"/>
      <c r="AL218"/>
      <c r="AM218"/>
      <c r="AO218"/>
      <c r="AP218" s="1"/>
    </row>
    <row r="219" spans="1:42" hidden="1">
      <c r="A219" s="1" t="s">
        <v>2542</v>
      </c>
      <c r="B219" s="1">
        <v>211106</v>
      </c>
      <c r="D219" s="1" t="s">
        <v>3111</v>
      </c>
      <c r="F219" t="s">
        <v>2655</v>
      </c>
      <c r="G219"/>
      <c r="H219" s="1" t="s">
        <v>3112</v>
      </c>
      <c r="I219" s="1" t="s">
        <v>3113</v>
      </c>
      <c r="J219" s="1" t="s">
        <v>18</v>
      </c>
      <c r="K219" s="1" t="s">
        <v>137</v>
      </c>
      <c r="L219" s="1">
        <v>27567</v>
      </c>
      <c r="M219" s="1">
        <v>50</v>
      </c>
      <c r="N219" s="1">
        <v>1200</v>
      </c>
      <c r="P219" s="1">
        <v>1750</v>
      </c>
      <c r="Q219" s="1"/>
      <c r="R219" s="1">
        <v>550</v>
      </c>
      <c r="S219"/>
      <c r="T219" t="s">
        <v>55</v>
      </c>
      <c r="U219" t="s">
        <v>814</v>
      </c>
      <c r="V219" t="s">
        <v>55</v>
      </c>
      <c r="W219" s="1"/>
      <c r="X219" s="1" t="s">
        <v>55</v>
      </c>
      <c r="Y219" s="1"/>
      <c r="Z219" s="1" t="s">
        <v>3114</v>
      </c>
      <c r="AA219" s="1" t="s">
        <v>3115</v>
      </c>
      <c r="AB219" s="1"/>
      <c r="AC219" s="1" t="s">
        <v>53</v>
      </c>
      <c r="AD219" s="1">
        <v>44502</v>
      </c>
      <c r="AE219" s="1">
        <v>44678</v>
      </c>
      <c r="AF219" s="1"/>
      <c r="AG219" s="1">
        <v>22.01</v>
      </c>
      <c r="AH219" s="1" t="s">
        <v>54</v>
      </c>
      <c r="AI219" s="1" t="s">
        <v>3116</v>
      </c>
      <c r="AJ219" s="31">
        <v>44502</v>
      </c>
      <c r="AK219"/>
      <c r="AL219"/>
      <c r="AM219"/>
      <c r="AN219"/>
      <c r="AO219"/>
      <c r="AP219"/>
    </row>
    <row r="220" spans="1:42" hidden="1">
      <c r="A220" s="1" t="s">
        <v>2542</v>
      </c>
      <c r="B220" s="1">
        <v>211107</v>
      </c>
      <c r="C220" s="1">
        <v>222036</v>
      </c>
      <c r="D220" s="1" t="s">
        <v>62</v>
      </c>
      <c r="E220" s="1" t="s">
        <v>3935</v>
      </c>
      <c r="F220" s="1" t="s">
        <v>794</v>
      </c>
      <c r="H220" s="1" t="s">
        <v>3117</v>
      </c>
      <c r="I220" s="1" t="s">
        <v>3118</v>
      </c>
      <c r="J220" s="1" t="s">
        <v>18</v>
      </c>
      <c r="K220" s="1" t="s">
        <v>50</v>
      </c>
      <c r="L220" s="1">
        <v>35128</v>
      </c>
      <c r="M220" s="1">
        <v>29</v>
      </c>
      <c r="N220" s="1">
        <v>1410</v>
      </c>
      <c r="P220" s="1">
        <v>1780</v>
      </c>
      <c r="Q220" s="1" t="s">
        <v>71</v>
      </c>
      <c r="R220" s="1">
        <v>370</v>
      </c>
      <c r="S220"/>
      <c r="T220" t="s">
        <v>55</v>
      </c>
      <c r="U220" t="s">
        <v>814</v>
      </c>
      <c r="V220" t="s">
        <v>55</v>
      </c>
      <c r="W220" s="1">
        <v>45391</v>
      </c>
      <c r="X220" s="1" t="s">
        <v>55</v>
      </c>
      <c r="Y220" s="1" t="s">
        <v>51</v>
      </c>
      <c r="Z220" s="1" t="s">
        <v>182</v>
      </c>
      <c r="AA220" s="1" t="s">
        <v>183</v>
      </c>
      <c r="AB220" s="1" t="s">
        <v>184</v>
      </c>
      <c r="AC220" s="1">
        <v>44506</v>
      </c>
      <c r="AD220" s="1">
        <v>44508</v>
      </c>
      <c r="AE220" s="1">
        <v>44874</v>
      </c>
      <c r="AF220" s="1"/>
      <c r="AG220" s="1">
        <v>21.12</v>
      </c>
      <c r="AH220" s="1" t="s">
        <v>54</v>
      </c>
      <c r="AI220" s="1"/>
      <c r="AJ220" s="31">
        <v>44508</v>
      </c>
      <c r="AK220"/>
      <c r="AL220"/>
      <c r="AM220"/>
      <c r="AO220"/>
      <c r="AP220" s="1"/>
    </row>
    <row r="221" spans="1:42" hidden="1">
      <c r="A221" s="1" t="s">
        <v>2542</v>
      </c>
      <c r="B221" s="1">
        <v>211108</v>
      </c>
      <c r="D221" s="1" t="s">
        <v>519</v>
      </c>
      <c r="E221" s="1" t="s">
        <v>3119</v>
      </c>
      <c r="H221" s="1" t="s">
        <v>3120</v>
      </c>
      <c r="I221" s="1" t="s">
        <v>3121</v>
      </c>
      <c r="J221" s="1" t="s">
        <v>18</v>
      </c>
      <c r="K221" s="1" t="s">
        <v>50</v>
      </c>
      <c r="L221" s="1">
        <v>31963</v>
      </c>
      <c r="M221" s="1">
        <v>38</v>
      </c>
      <c r="N221" s="1">
        <v>1500</v>
      </c>
      <c r="P221" s="1">
        <v>1900</v>
      </c>
      <c r="Q221" s="1"/>
      <c r="R221" s="1">
        <v>400</v>
      </c>
      <c r="S221">
        <v>320000</v>
      </c>
      <c r="T221">
        <v>16048</v>
      </c>
      <c r="U221" t="s">
        <v>814</v>
      </c>
      <c r="V221">
        <v>29280</v>
      </c>
      <c r="W221" s="1">
        <v>46305</v>
      </c>
      <c r="X221" s="1" t="s">
        <v>55</v>
      </c>
      <c r="Y221" s="1" t="s">
        <v>51</v>
      </c>
      <c r="Z221" s="1" t="s">
        <v>3122</v>
      </c>
      <c r="AA221" s="1" t="s">
        <v>3123</v>
      </c>
      <c r="AB221" s="1" t="s">
        <v>3124</v>
      </c>
      <c r="AC221" s="1">
        <v>44513</v>
      </c>
      <c r="AD221" s="1">
        <v>44517</v>
      </c>
      <c r="AE221" s="1">
        <v>45311</v>
      </c>
      <c r="AF221" s="1"/>
      <c r="AG221" s="1">
        <v>22.02</v>
      </c>
      <c r="AH221" s="1" t="s">
        <v>54</v>
      </c>
      <c r="AI221" s="1"/>
      <c r="AJ221" s="31">
        <v>44517</v>
      </c>
      <c r="AK221"/>
      <c r="AL221"/>
      <c r="AM221"/>
      <c r="AO221"/>
      <c r="AP221" s="1"/>
    </row>
    <row r="222" spans="1:42" hidden="1">
      <c r="A222" s="1" t="s">
        <v>2542</v>
      </c>
      <c r="B222" s="1">
        <v>211109</v>
      </c>
      <c r="D222" s="1" t="s">
        <v>436</v>
      </c>
      <c r="E222" s="1" t="s">
        <v>503</v>
      </c>
      <c r="H222" s="1" t="s">
        <v>520</v>
      </c>
      <c r="I222" s="1" t="s">
        <v>521</v>
      </c>
      <c r="J222" s="1" t="s">
        <v>18</v>
      </c>
      <c r="K222" s="1" t="s">
        <v>50</v>
      </c>
      <c r="L222" s="1">
        <v>32051</v>
      </c>
      <c r="M222" s="1">
        <v>38</v>
      </c>
      <c r="N222" s="1">
        <v>1600</v>
      </c>
      <c r="O222" s="1" t="s">
        <v>522</v>
      </c>
      <c r="P222" s="1">
        <v>2100</v>
      </c>
      <c r="Q222" s="1"/>
      <c r="R222" s="1">
        <v>500</v>
      </c>
      <c r="S222">
        <v>410000</v>
      </c>
      <c r="T222">
        <v>20561</v>
      </c>
      <c r="U222" t="s">
        <v>814</v>
      </c>
      <c r="V222">
        <v>37515</v>
      </c>
      <c r="W222" s="1">
        <v>46279</v>
      </c>
      <c r="X222" s="1" t="s">
        <v>55</v>
      </c>
      <c r="Y222" s="1" t="s">
        <v>51</v>
      </c>
      <c r="Z222" s="1" t="s">
        <v>504</v>
      </c>
      <c r="AA222" s="1" t="s">
        <v>505</v>
      </c>
      <c r="AB222" s="1" t="s">
        <v>523</v>
      </c>
      <c r="AC222" s="1">
        <v>44520</v>
      </c>
      <c r="AD222" s="1">
        <v>44522</v>
      </c>
      <c r="AE222" s="1">
        <v>45503</v>
      </c>
      <c r="AF222" s="1"/>
      <c r="AG222" s="1">
        <v>22.02</v>
      </c>
      <c r="AH222" s="1" t="s">
        <v>54</v>
      </c>
      <c r="AI222" s="1"/>
      <c r="AJ222" s="31">
        <v>44522</v>
      </c>
      <c r="AK222"/>
      <c r="AL222"/>
      <c r="AM222"/>
      <c r="AO222"/>
      <c r="AP222" s="1"/>
    </row>
    <row r="223" spans="1:42" hidden="1">
      <c r="A223" s="1" t="s">
        <v>2542</v>
      </c>
      <c r="B223" s="1">
        <v>211110</v>
      </c>
      <c r="C223" s="1">
        <v>242026</v>
      </c>
      <c r="D223" s="1" t="s">
        <v>69</v>
      </c>
      <c r="E223" s="1" t="s">
        <v>310</v>
      </c>
      <c r="F223" s="1" t="s">
        <v>744</v>
      </c>
      <c r="G223" s="1" t="s">
        <v>393</v>
      </c>
      <c r="H223" s="1" t="s">
        <v>524</v>
      </c>
      <c r="I223" s="1" t="s">
        <v>525</v>
      </c>
      <c r="J223" s="1" t="s">
        <v>18</v>
      </c>
      <c r="K223" s="1" t="s">
        <v>50</v>
      </c>
      <c r="L223" s="1">
        <v>35059</v>
      </c>
      <c r="M223" s="1">
        <v>29</v>
      </c>
      <c r="N223" s="1">
        <v>1410</v>
      </c>
      <c r="P223" s="1">
        <v>1790</v>
      </c>
      <c r="Q223" s="1"/>
      <c r="R223" s="1">
        <v>380</v>
      </c>
      <c r="S223">
        <v>280000</v>
      </c>
      <c r="T223">
        <v>14042</v>
      </c>
      <c r="U223" t="s">
        <v>814</v>
      </c>
      <c r="V223">
        <v>25620</v>
      </c>
      <c r="W223" s="1">
        <v>47423</v>
      </c>
      <c r="X223" s="1" t="s">
        <v>55</v>
      </c>
      <c r="Y223" s="1" t="s">
        <v>51</v>
      </c>
      <c r="Z223" s="1" t="s">
        <v>72</v>
      </c>
      <c r="AA223" s="1" t="s">
        <v>73</v>
      </c>
      <c r="AB223" s="1" t="s">
        <v>74</v>
      </c>
      <c r="AC223" s="1">
        <v>44519</v>
      </c>
      <c r="AD223" s="1">
        <v>44523</v>
      </c>
      <c r="AE223" s="1">
        <v>45552</v>
      </c>
      <c r="AF223" s="1"/>
      <c r="AG223" s="1">
        <v>22.02</v>
      </c>
      <c r="AH223" s="1" t="s">
        <v>54</v>
      </c>
      <c r="AI223" s="1"/>
      <c r="AJ223" s="31">
        <v>44523</v>
      </c>
      <c r="AK223"/>
      <c r="AL223"/>
      <c r="AM223"/>
      <c r="AO223"/>
      <c r="AP223" s="1"/>
    </row>
    <row r="224" spans="1:42" hidden="1">
      <c r="A224" s="1" t="s">
        <v>2542</v>
      </c>
      <c r="B224" s="1">
        <v>211111</v>
      </c>
      <c r="C224" s="1">
        <v>242027</v>
      </c>
      <c r="D224" s="1" t="s">
        <v>69</v>
      </c>
      <c r="E224" s="1" t="s">
        <v>306</v>
      </c>
      <c r="F224" s="1" t="s">
        <v>742</v>
      </c>
      <c r="H224" s="1" t="s">
        <v>3131</v>
      </c>
      <c r="I224" s="1" t="s">
        <v>3132</v>
      </c>
      <c r="J224" s="1" t="s">
        <v>18</v>
      </c>
      <c r="K224" s="1" t="s">
        <v>50</v>
      </c>
      <c r="L224" s="1">
        <v>35754</v>
      </c>
      <c r="M224" s="1">
        <v>28</v>
      </c>
      <c r="N224" s="1">
        <v>1410</v>
      </c>
      <c r="P224" s="1">
        <v>1770</v>
      </c>
      <c r="Q224" s="1"/>
      <c r="R224" s="1">
        <v>360</v>
      </c>
      <c r="S224">
        <v>300000</v>
      </c>
      <c r="T224">
        <v>15045</v>
      </c>
      <c r="U224" t="s">
        <v>814</v>
      </c>
      <c r="V224">
        <v>27450</v>
      </c>
      <c r="W224" s="1">
        <v>45583</v>
      </c>
      <c r="X224" s="1" t="s">
        <v>55</v>
      </c>
      <c r="Y224" s="1" t="s">
        <v>51</v>
      </c>
      <c r="Z224" s="1" t="s">
        <v>72</v>
      </c>
      <c r="AA224" s="1" t="s">
        <v>526</v>
      </c>
      <c r="AB224" s="1" t="s">
        <v>527</v>
      </c>
      <c r="AC224" s="1">
        <v>44519</v>
      </c>
      <c r="AD224" s="1">
        <v>44523</v>
      </c>
      <c r="AE224" s="1">
        <v>45041</v>
      </c>
      <c r="AF224" s="1"/>
      <c r="AG224" s="1">
        <v>22.02</v>
      </c>
      <c r="AH224" s="1" t="s">
        <v>54</v>
      </c>
      <c r="AI224" s="1"/>
      <c r="AJ224" s="31">
        <v>44523</v>
      </c>
      <c r="AK224"/>
      <c r="AL224"/>
      <c r="AM224"/>
      <c r="AO224"/>
      <c r="AP224" s="1"/>
    </row>
    <row r="225" spans="1:42" hidden="1">
      <c r="A225" s="1" t="s">
        <v>2542</v>
      </c>
      <c r="B225" s="1">
        <v>211112</v>
      </c>
      <c r="D225" s="1" t="s">
        <v>815</v>
      </c>
      <c r="H225" s="1" t="s">
        <v>3125</v>
      </c>
      <c r="I225" s="1" t="s">
        <v>3126</v>
      </c>
      <c r="J225" s="1" t="s">
        <v>18</v>
      </c>
      <c r="K225" s="1" t="s">
        <v>50</v>
      </c>
      <c r="L225" s="1">
        <v>34178</v>
      </c>
      <c r="M225" s="1">
        <v>32</v>
      </c>
      <c r="N225" s="1">
        <v>1400</v>
      </c>
      <c r="P225" s="1">
        <v>1960</v>
      </c>
      <c r="Q225" s="1"/>
      <c r="R225" s="1">
        <v>560</v>
      </c>
      <c r="S225"/>
      <c r="T225" t="s">
        <v>55</v>
      </c>
      <c r="U225" t="s">
        <v>814</v>
      </c>
      <c r="V225" t="s">
        <v>55</v>
      </c>
      <c r="W225" s="1">
        <v>44937</v>
      </c>
      <c r="X225" s="1" t="s">
        <v>55</v>
      </c>
      <c r="Y225" s="1" t="s">
        <v>51</v>
      </c>
      <c r="Z225" s="1" t="s">
        <v>2638</v>
      </c>
      <c r="AA225" s="1" t="s">
        <v>2645</v>
      </c>
      <c r="AB225" s="1" t="s">
        <v>3127</v>
      </c>
      <c r="AC225" s="1">
        <v>44522</v>
      </c>
      <c r="AD225" s="1">
        <v>44523</v>
      </c>
      <c r="AE225" s="1">
        <v>44592</v>
      </c>
      <c r="AF225" s="1"/>
      <c r="AG225" s="1">
        <v>21.12</v>
      </c>
      <c r="AH225" s="1"/>
      <c r="AI225" s="1"/>
      <c r="AJ225" s="31">
        <v>44523</v>
      </c>
      <c r="AK225"/>
      <c r="AL225"/>
      <c r="AM225"/>
      <c r="AO225"/>
      <c r="AP225" s="1"/>
    </row>
    <row r="226" spans="1:42" hidden="1">
      <c r="A226" s="1" t="s">
        <v>2542</v>
      </c>
      <c r="B226" s="1">
        <v>211113</v>
      </c>
      <c r="C226" s="1">
        <v>8210019</v>
      </c>
      <c r="D226" s="1" t="s">
        <v>815</v>
      </c>
      <c r="E226" s="1" t="s">
        <v>3128</v>
      </c>
      <c r="H226" s="1" t="s">
        <v>3129</v>
      </c>
      <c r="I226" s="1" t="s">
        <v>3130</v>
      </c>
      <c r="J226" s="1" t="s">
        <v>18</v>
      </c>
      <c r="K226" s="1" t="s">
        <v>50</v>
      </c>
      <c r="L226" s="1">
        <v>35013</v>
      </c>
      <c r="M226" s="1">
        <v>30</v>
      </c>
      <c r="N226" s="1">
        <v>1400</v>
      </c>
      <c r="P226" s="1">
        <v>1990</v>
      </c>
      <c r="Q226" s="1"/>
      <c r="R226" s="1">
        <v>590</v>
      </c>
      <c r="S226"/>
      <c r="T226" t="s">
        <v>55</v>
      </c>
      <c r="U226" t="s">
        <v>814</v>
      </c>
      <c r="V226" t="s">
        <v>55</v>
      </c>
      <c r="W226" s="1">
        <v>45115</v>
      </c>
      <c r="X226" s="1" t="s">
        <v>55</v>
      </c>
      <c r="Y226" s="1" t="s">
        <v>51</v>
      </c>
      <c r="Z226" s="1" t="s">
        <v>2756</v>
      </c>
      <c r="AA226" s="1" t="s">
        <v>2757</v>
      </c>
      <c r="AB226" s="1" t="s">
        <v>2758</v>
      </c>
      <c r="AC226" s="1">
        <v>44522</v>
      </c>
      <c r="AD226" s="1">
        <v>44523</v>
      </c>
      <c r="AE226" s="1">
        <v>44876</v>
      </c>
      <c r="AF226" s="1"/>
      <c r="AG226" s="1">
        <v>22.02</v>
      </c>
      <c r="AH226" s="1" t="s">
        <v>54</v>
      </c>
      <c r="AI226" s="1"/>
      <c r="AJ226" s="31">
        <v>44523</v>
      </c>
      <c r="AK226"/>
      <c r="AL226"/>
      <c r="AM226"/>
      <c r="AO226"/>
      <c r="AP226" s="1"/>
    </row>
    <row r="227" spans="1:42" hidden="1">
      <c r="A227" s="1" t="s">
        <v>2542</v>
      </c>
      <c r="B227" s="1">
        <v>211114</v>
      </c>
      <c r="C227" s="1">
        <v>232031</v>
      </c>
      <c r="D227" s="1" t="s">
        <v>83</v>
      </c>
      <c r="E227" s="1" t="s">
        <v>309</v>
      </c>
      <c r="F227" t="s">
        <v>365</v>
      </c>
      <c r="G227" t="s">
        <v>2241</v>
      </c>
      <c r="H227" s="1" t="s">
        <v>185</v>
      </c>
      <c r="I227" s="1" t="s">
        <v>186</v>
      </c>
      <c r="J227" s="1" t="s">
        <v>18</v>
      </c>
      <c r="K227" s="1" t="s">
        <v>50</v>
      </c>
      <c r="L227" s="1">
        <v>31100</v>
      </c>
      <c r="M227" s="1">
        <v>40</v>
      </c>
      <c r="N227" s="1">
        <v>1420</v>
      </c>
      <c r="P227" s="1">
        <v>1770</v>
      </c>
      <c r="Q227" s="1"/>
      <c r="R227" s="1">
        <v>350</v>
      </c>
      <c r="S227">
        <v>260000</v>
      </c>
      <c r="T227">
        <v>13039</v>
      </c>
      <c r="U227">
        <v>2067</v>
      </c>
      <c r="V227">
        <v>23790</v>
      </c>
      <c r="W227" s="1">
        <v>46446</v>
      </c>
      <c r="X227" s="1" t="s">
        <v>55</v>
      </c>
      <c r="Y227" s="1" t="s">
        <v>51</v>
      </c>
      <c r="Z227" s="1" t="s">
        <v>110</v>
      </c>
      <c r="AA227" s="1" t="s">
        <v>113</v>
      </c>
      <c r="AB227" s="1" t="s">
        <v>187</v>
      </c>
      <c r="AC227" s="1">
        <v>44519</v>
      </c>
      <c r="AD227" s="1">
        <v>44524</v>
      </c>
      <c r="AE227" s="1">
        <v>45715</v>
      </c>
      <c r="AF227" s="1"/>
      <c r="AG227" s="1">
        <v>22.02</v>
      </c>
      <c r="AH227" s="1" t="s">
        <v>54</v>
      </c>
      <c r="AI227" s="1"/>
      <c r="AJ227" s="31">
        <v>44524</v>
      </c>
      <c r="AK227"/>
      <c r="AL227"/>
      <c r="AM227"/>
      <c r="AN227"/>
      <c r="AO227"/>
      <c r="AP227"/>
    </row>
    <row r="228" spans="1:42" hidden="1">
      <c r="A228" s="1" t="s">
        <v>2542</v>
      </c>
      <c r="B228" s="1">
        <v>211115</v>
      </c>
      <c r="D228" s="1" t="s">
        <v>83</v>
      </c>
      <c r="F228"/>
      <c r="G228"/>
      <c r="H228" s="1" t="s">
        <v>3133</v>
      </c>
      <c r="I228" s="1" t="s">
        <v>3134</v>
      </c>
      <c r="J228" s="1" t="s">
        <v>18</v>
      </c>
      <c r="K228" s="1" t="s">
        <v>50</v>
      </c>
      <c r="L228" s="1">
        <v>35181</v>
      </c>
      <c r="M228" s="1">
        <v>29</v>
      </c>
      <c r="N228" s="1">
        <v>1370</v>
      </c>
      <c r="P228" s="1">
        <v>1790</v>
      </c>
      <c r="Q228" s="1"/>
      <c r="R228" s="1">
        <v>420</v>
      </c>
      <c r="S228"/>
      <c r="T228" t="s">
        <v>55</v>
      </c>
      <c r="U228" t="s">
        <v>814</v>
      </c>
      <c r="V228" t="s">
        <v>55</v>
      </c>
      <c r="W228" s="1">
        <v>45020</v>
      </c>
      <c r="X228" s="1" t="s">
        <v>55</v>
      </c>
      <c r="Y228" s="1" t="s">
        <v>51</v>
      </c>
      <c r="Z228" s="1" t="s">
        <v>3135</v>
      </c>
      <c r="AA228" s="1" t="s">
        <v>3136</v>
      </c>
      <c r="AB228" s="1" t="s">
        <v>3137</v>
      </c>
      <c r="AC228" s="1" t="s">
        <v>53</v>
      </c>
      <c r="AD228" s="1">
        <v>44529</v>
      </c>
      <c r="AE228" s="1">
        <v>44696</v>
      </c>
      <c r="AF228" s="1"/>
      <c r="AG228" s="1">
        <v>22.02</v>
      </c>
      <c r="AH228" s="1" t="s">
        <v>54</v>
      </c>
      <c r="AI228" s="1"/>
      <c r="AJ228" s="31">
        <v>44529</v>
      </c>
      <c r="AK228"/>
      <c r="AL228"/>
      <c r="AM228"/>
      <c r="AN228"/>
      <c r="AO228"/>
      <c r="AP228"/>
    </row>
    <row r="229" spans="1:42" hidden="1">
      <c r="A229" s="1" t="s">
        <v>2542</v>
      </c>
      <c r="B229" s="1">
        <v>211201</v>
      </c>
      <c r="C229" s="1">
        <v>222037</v>
      </c>
      <c r="D229" s="1" t="s">
        <v>95</v>
      </c>
      <c r="E229" s="1" t="s">
        <v>3938</v>
      </c>
      <c r="F229" s="1" t="s">
        <v>800</v>
      </c>
      <c r="G229" s="1" t="s">
        <v>1093</v>
      </c>
      <c r="H229" s="1" t="s">
        <v>188</v>
      </c>
      <c r="I229" s="1" t="s">
        <v>189</v>
      </c>
      <c r="J229" s="1" t="s">
        <v>18</v>
      </c>
      <c r="K229" s="1" t="s">
        <v>50</v>
      </c>
      <c r="L229" s="1">
        <v>33100</v>
      </c>
      <c r="M229" s="1">
        <v>35</v>
      </c>
      <c r="N229" s="1">
        <v>1410</v>
      </c>
      <c r="P229" s="1">
        <v>1840</v>
      </c>
      <c r="Q229" s="1"/>
      <c r="R229" s="1">
        <v>430</v>
      </c>
      <c r="S229">
        <v>300000</v>
      </c>
      <c r="T229">
        <v>15045</v>
      </c>
      <c r="U229" t="s">
        <v>814</v>
      </c>
      <c r="V229">
        <v>27450</v>
      </c>
      <c r="W229" s="1">
        <v>46709</v>
      </c>
      <c r="X229" s="1" t="s">
        <v>55</v>
      </c>
      <c r="Y229" s="1" t="s">
        <v>51</v>
      </c>
      <c r="Z229" s="1" t="s">
        <v>67</v>
      </c>
      <c r="AA229" s="1" t="s">
        <v>209</v>
      </c>
      <c r="AB229" s="1" t="s">
        <v>595</v>
      </c>
      <c r="AC229" s="1" t="s">
        <v>53</v>
      </c>
      <c r="AD229" s="1">
        <v>44531</v>
      </c>
      <c r="AE229" s="1">
        <v>45947</v>
      </c>
      <c r="AF229" s="1"/>
      <c r="AG229" s="1">
        <v>22.02</v>
      </c>
      <c r="AH229" s="1" t="s">
        <v>54</v>
      </c>
      <c r="AI229" s="1"/>
      <c r="AJ229" s="31">
        <v>44531</v>
      </c>
      <c r="AK229"/>
      <c r="AL229"/>
      <c r="AM229"/>
      <c r="AO229"/>
      <c r="AP229" s="1"/>
    </row>
    <row r="230" spans="1:42" hidden="1">
      <c r="A230" s="1" t="s">
        <v>2542</v>
      </c>
      <c r="B230" s="1">
        <v>211202</v>
      </c>
      <c r="D230" s="1" t="s">
        <v>436</v>
      </c>
      <c r="E230" s="1" t="s">
        <v>2659</v>
      </c>
      <c r="H230" s="1" t="s">
        <v>3046</v>
      </c>
      <c r="I230" s="1" t="s">
        <v>3016</v>
      </c>
      <c r="J230" s="1" t="s">
        <v>18</v>
      </c>
      <c r="K230" s="1" t="s">
        <v>50</v>
      </c>
      <c r="L230" s="1">
        <v>33817</v>
      </c>
      <c r="M230" s="1">
        <v>33</v>
      </c>
      <c r="N230" s="1">
        <v>1500</v>
      </c>
      <c r="O230" s="1" t="s">
        <v>3138</v>
      </c>
      <c r="P230" s="1">
        <v>2000</v>
      </c>
      <c r="Q230" s="1"/>
      <c r="R230" s="1">
        <v>500</v>
      </c>
      <c r="S230">
        <v>340000</v>
      </c>
      <c r="T230">
        <v>17051</v>
      </c>
      <c r="U230" t="s">
        <v>814</v>
      </c>
      <c r="V230">
        <v>31110</v>
      </c>
      <c r="W230" s="1">
        <v>45691</v>
      </c>
      <c r="X230" s="1" t="s">
        <v>55</v>
      </c>
      <c r="Y230" s="1" t="s">
        <v>51</v>
      </c>
      <c r="Z230" s="1" t="s">
        <v>437</v>
      </c>
      <c r="AA230" s="1" t="s">
        <v>438</v>
      </c>
      <c r="AB230" s="1" t="s">
        <v>439</v>
      </c>
      <c r="AC230" s="1">
        <v>44592</v>
      </c>
      <c r="AD230" s="1">
        <v>44532</v>
      </c>
      <c r="AE230" s="1">
        <v>45350</v>
      </c>
      <c r="AF230" s="1"/>
      <c r="AG230" s="1">
        <v>21.12</v>
      </c>
      <c r="AH230" s="1" t="s">
        <v>54</v>
      </c>
      <c r="AI230" s="1"/>
      <c r="AJ230" s="31">
        <v>44532</v>
      </c>
      <c r="AK230"/>
      <c r="AL230"/>
      <c r="AM230"/>
      <c r="AO230"/>
      <c r="AP230" s="1"/>
    </row>
    <row r="231" spans="1:42" hidden="1">
      <c r="A231" s="1" t="s">
        <v>2542</v>
      </c>
      <c r="B231" s="1">
        <v>211203</v>
      </c>
      <c r="C231" s="1">
        <v>232033</v>
      </c>
      <c r="D231" s="1" t="s">
        <v>83</v>
      </c>
      <c r="E231" s="1" t="s">
        <v>307</v>
      </c>
      <c r="F231" t="s">
        <v>2251</v>
      </c>
      <c r="G231" t="s">
        <v>2252</v>
      </c>
      <c r="H231" s="1" t="s">
        <v>191</v>
      </c>
      <c r="I231" s="1" t="s">
        <v>192</v>
      </c>
      <c r="J231" s="1" t="s">
        <v>18</v>
      </c>
      <c r="K231" s="1" t="s">
        <v>50</v>
      </c>
      <c r="L231" s="1">
        <v>34986</v>
      </c>
      <c r="M231" s="1">
        <v>30</v>
      </c>
      <c r="N231" s="1">
        <v>1410</v>
      </c>
      <c r="P231" s="1">
        <v>1820</v>
      </c>
      <c r="Q231" s="1"/>
      <c r="R231" s="1">
        <v>410</v>
      </c>
      <c r="S231">
        <v>300000</v>
      </c>
      <c r="T231">
        <v>15045</v>
      </c>
      <c r="U231" t="s">
        <v>814</v>
      </c>
      <c r="V231">
        <v>27450</v>
      </c>
      <c r="W231" s="1">
        <v>46040</v>
      </c>
      <c r="X231" s="1" t="s">
        <v>55</v>
      </c>
      <c r="Y231" s="1" t="s">
        <v>51</v>
      </c>
      <c r="Z231" s="1" t="s">
        <v>110</v>
      </c>
      <c r="AA231" s="1" t="s">
        <v>127</v>
      </c>
      <c r="AB231" s="1" t="s">
        <v>244</v>
      </c>
      <c r="AC231" s="1">
        <v>44970</v>
      </c>
      <c r="AD231" s="1">
        <v>44532</v>
      </c>
      <c r="AE231" s="1">
        <v>45491</v>
      </c>
      <c r="AF231" s="1">
        <v>45443</v>
      </c>
      <c r="AG231" s="1">
        <v>22.02</v>
      </c>
      <c r="AH231" s="1" t="s">
        <v>54</v>
      </c>
      <c r="AI231" s="1"/>
      <c r="AJ231" s="31">
        <v>44532</v>
      </c>
      <c r="AK231"/>
      <c r="AL231"/>
      <c r="AM231"/>
      <c r="AN231"/>
      <c r="AO231"/>
      <c r="AP231"/>
    </row>
    <row r="232" spans="1:42" hidden="1">
      <c r="A232" s="1" t="s">
        <v>2542</v>
      </c>
      <c r="B232" s="1">
        <v>211204</v>
      </c>
      <c r="D232" s="1" t="s">
        <v>69</v>
      </c>
      <c r="F232"/>
      <c r="G232"/>
      <c r="H232" s="1" t="s">
        <v>3139</v>
      </c>
      <c r="I232" s="1" t="s">
        <v>3140</v>
      </c>
      <c r="J232" s="1" t="s">
        <v>18</v>
      </c>
      <c r="K232" s="1" t="s">
        <v>50</v>
      </c>
      <c r="L232" s="1">
        <v>35722</v>
      </c>
      <c r="M232" s="1">
        <v>28</v>
      </c>
      <c r="N232" s="1">
        <v>1350</v>
      </c>
      <c r="P232" s="1">
        <v>1750</v>
      </c>
      <c r="Q232" s="1"/>
      <c r="R232" s="1">
        <v>400</v>
      </c>
      <c r="S232"/>
      <c r="T232" t="s">
        <v>55</v>
      </c>
      <c r="U232" t="s">
        <v>814</v>
      </c>
      <c r="V232" t="s">
        <v>55</v>
      </c>
      <c r="W232" s="1">
        <v>45306</v>
      </c>
      <c r="X232" s="1" t="s">
        <v>55</v>
      </c>
      <c r="Y232" s="1" t="s">
        <v>51</v>
      </c>
      <c r="Z232" s="1" t="s">
        <v>72</v>
      </c>
      <c r="AA232" s="1" t="s">
        <v>526</v>
      </c>
      <c r="AB232" s="1" t="s">
        <v>527</v>
      </c>
      <c r="AC232" s="1"/>
      <c r="AD232" s="1">
        <v>44536</v>
      </c>
      <c r="AE232" s="1">
        <v>44638</v>
      </c>
      <c r="AF232" s="1"/>
      <c r="AG232" s="1">
        <v>21.12</v>
      </c>
      <c r="AH232" s="1" t="s">
        <v>54</v>
      </c>
      <c r="AI232" s="1"/>
      <c r="AJ232" s="31">
        <v>44536</v>
      </c>
      <c r="AK232"/>
      <c r="AL232"/>
      <c r="AM232"/>
      <c r="AN232"/>
      <c r="AO232"/>
      <c r="AP232"/>
    </row>
    <row r="233" spans="1:42" hidden="1">
      <c r="A233" s="1" t="s">
        <v>2542</v>
      </c>
      <c r="B233" s="1">
        <v>211205</v>
      </c>
      <c r="D233" s="1" t="s">
        <v>168</v>
      </c>
      <c r="F233"/>
      <c r="G233"/>
      <c r="H233" s="1" t="s">
        <v>3141</v>
      </c>
      <c r="I233" s="1" t="s">
        <v>3142</v>
      </c>
      <c r="J233" s="1" t="s">
        <v>18</v>
      </c>
      <c r="K233" s="1" t="s">
        <v>50</v>
      </c>
      <c r="L233" s="1">
        <v>34136</v>
      </c>
      <c r="M233" s="1">
        <v>32</v>
      </c>
      <c r="N233" s="1">
        <v>1400</v>
      </c>
      <c r="P233" s="1">
        <v>2000</v>
      </c>
      <c r="Q233" s="1"/>
      <c r="R233" s="1">
        <v>600</v>
      </c>
      <c r="S233"/>
      <c r="T233" t="s">
        <v>55</v>
      </c>
      <c r="U233" t="s">
        <v>814</v>
      </c>
      <c r="V233" t="s">
        <v>55</v>
      </c>
      <c r="W233" s="1">
        <v>44628</v>
      </c>
      <c r="X233" s="1" t="s">
        <v>55</v>
      </c>
      <c r="Y233" s="1" t="s">
        <v>51</v>
      </c>
      <c r="Z233" s="1" t="s">
        <v>3143</v>
      </c>
      <c r="AA233" s="1" t="s">
        <v>3144</v>
      </c>
      <c r="AB233" s="1" t="s">
        <v>3145</v>
      </c>
      <c r="AC233" s="1">
        <v>44536</v>
      </c>
      <c r="AD233" s="1">
        <v>44537</v>
      </c>
      <c r="AE233" s="1">
        <v>44540</v>
      </c>
      <c r="AF233" s="1"/>
      <c r="AG233" s="1">
        <v>22.02</v>
      </c>
      <c r="AH233" s="1"/>
      <c r="AI233" s="1"/>
      <c r="AJ233" s="31">
        <v>44537</v>
      </c>
      <c r="AK233"/>
      <c r="AL233"/>
      <c r="AM233"/>
      <c r="AN233"/>
      <c r="AO233"/>
      <c r="AP233"/>
    </row>
    <row r="234" spans="1:42" hidden="1">
      <c r="A234" s="1" t="s">
        <v>2542</v>
      </c>
      <c r="B234" s="1">
        <v>211206</v>
      </c>
      <c r="D234" s="1" t="s">
        <v>447</v>
      </c>
      <c r="E234" s="1" t="s">
        <v>741</v>
      </c>
      <c r="F234" s="1" t="s">
        <v>2744</v>
      </c>
      <c r="H234" s="1" t="s">
        <v>3146</v>
      </c>
      <c r="I234" s="1" t="s">
        <v>3147</v>
      </c>
      <c r="J234" s="1" t="s">
        <v>18</v>
      </c>
      <c r="K234" s="1" t="s">
        <v>50</v>
      </c>
      <c r="L234" s="1">
        <v>34949</v>
      </c>
      <c r="M234" s="1">
        <v>30</v>
      </c>
      <c r="N234" s="1">
        <v>1320</v>
      </c>
      <c r="P234" s="1">
        <v>1700</v>
      </c>
      <c r="Q234" s="1"/>
      <c r="R234" s="1">
        <v>380</v>
      </c>
      <c r="S234"/>
      <c r="T234" t="s">
        <v>55</v>
      </c>
      <c r="U234" t="s">
        <v>814</v>
      </c>
      <c r="V234" t="s">
        <v>55</v>
      </c>
      <c r="W234" s="1">
        <v>45369</v>
      </c>
      <c r="X234" s="1" t="s">
        <v>55</v>
      </c>
      <c r="Y234" s="1" t="s">
        <v>51</v>
      </c>
      <c r="Z234" s="1" t="s">
        <v>448</v>
      </c>
      <c r="AA234" s="1" t="s">
        <v>478</v>
      </c>
      <c r="AB234" s="1" t="s">
        <v>3884</v>
      </c>
      <c r="AC234" s="1" t="s">
        <v>53</v>
      </c>
      <c r="AD234" s="1">
        <v>44543</v>
      </c>
      <c r="AE234" s="1">
        <v>44694</v>
      </c>
      <c r="AF234" s="1"/>
      <c r="AG234" s="1">
        <v>22.02</v>
      </c>
      <c r="AH234" s="1" t="s">
        <v>54</v>
      </c>
      <c r="AI234" s="1"/>
      <c r="AJ234" s="31">
        <v>44543</v>
      </c>
      <c r="AK234"/>
      <c r="AL234"/>
      <c r="AM234"/>
      <c r="AO234"/>
      <c r="AP234" s="1"/>
    </row>
    <row r="235" spans="1:42" hidden="1">
      <c r="A235" s="1" t="s">
        <v>2542</v>
      </c>
      <c r="B235" s="1">
        <v>211207</v>
      </c>
      <c r="D235" s="1" t="s">
        <v>528</v>
      </c>
      <c r="H235" s="1" t="s">
        <v>3148</v>
      </c>
      <c r="I235" s="1" t="s">
        <v>3149</v>
      </c>
      <c r="J235" s="1" t="s">
        <v>18</v>
      </c>
      <c r="K235" s="1" t="s">
        <v>50</v>
      </c>
      <c r="L235" s="1">
        <v>32777</v>
      </c>
      <c r="M235" s="1">
        <v>36</v>
      </c>
      <c r="N235" s="1">
        <v>1400</v>
      </c>
      <c r="P235" s="1">
        <v>1900</v>
      </c>
      <c r="Q235" s="1"/>
      <c r="R235" s="1">
        <v>500</v>
      </c>
      <c r="S235"/>
      <c r="T235" t="s">
        <v>55</v>
      </c>
      <c r="U235" t="s">
        <v>814</v>
      </c>
      <c r="V235" t="s">
        <v>55</v>
      </c>
      <c r="W235" s="1">
        <v>45613</v>
      </c>
      <c r="X235" s="1" t="s">
        <v>55</v>
      </c>
      <c r="Y235" s="1" t="s">
        <v>51</v>
      </c>
      <c r="Z235" s="1" t="s">
        <v>3150</v>
      </c>
      <c r="AA235" s="1" t="s">
        <v>3151</v>
      </c>
      <c r="AB235" s="1" t="s">
        <v>3152</v>
      </c>
      <c r="AC235" s="1" t="s">
        <v>53</v>
      </c>
      <c r="AD235" s="1">
        <v>44543</v>
      </c>
      <c r="AE235" s="1">
        <v>44674</v>
      </c>
      <c r="AF235" s="1"/>
      <c r="AG235" s="1">
        <v>22.02</v>
      </c>
      <c r="AH235" s="1" t="s">
        <v>54</v>
      </c>
      <c r="AI235" s="1"/>
      <c r="AJ235" s="31">
        <v>44543</v>
      </c>
      <c r="AK235"/>
      <c r="AL235"/>
      <c r="AM235"/>
      <c r="AO235"/>
      <c r="AP235" s="1"/>
    </row>
    <row r="236" spans="1:42" hidden="1">
      <c r="A236" s="1" t="s">
        <v>2542</v>
      </c>
      <c r="B236" s="1">
        <v>211208</v>
      </c>
      <c r="C236" s="1">
        <v>8210020</v>
      </c>
      <c r="D236" s="1" t="s">
        <v>815</v>
      </c>
      <c r="E236" s="1" t="s">
        <v>3155</v>
      </c>
      <c r="F236" s="1" t="s">
        <v>833</v>
      </c>
      <c r="H236" s="1" t="s">
        <v>3156</v>
      </c>
      <c r="I236" s="1" t="s">
        <v>3157</v>
      </c>
      <c r="J236" s="1" t="s">
        <v>18</v>
      </c>
      <c r="K236" s="1" t="s">
        <v>50</v>
      </c>
      <c r="L236" s="1">
        <v>33059</v>
      </c>
      <c r="M236" s="1">
        <v>35</v>
      </c>
      <c r="N236" s="1">
        <v>1400</v>
      </c>
      <c r="P236" s="1">
        <v>1990</v>
      </c>
      <c r="Q236" s="1"/>
      <c r="R236" s="1">
        <v>590</v>
      </c>
      <c r="S236">
        <v>340000</v>
      </c>
      <c r="T236">
        <v>17051</v>
      </c>
      <c r="U236" t="s">
        <v>814</v>
      </c>
      <c r="V236">
        <v>31110</v>
      </c>
      <c r="W236" s="1">
        <v>45595</v>
      </c>
      <c r="X236" s="1" t="s">
        <v>55</v>
      </c>
      <c r="Y236" s="1" t="s">
        <v>51</v>
      </c>
      <c r="Z236" s="1" t="s">
        <v>529</v>
      </c>
      <c r="AA236" s="1" t="s">
        <v>2554</v>
      </c>
      <c r="AB236" s="1" t="s">
        <v>3158</v>
      </c>
      <c r="AC236" s="1" t="s">
        <v>53</v>
      </c>
      <c r="AD236" s="1">
        <v>44543</v>
      </c>
      <c r="AE236" s="1">
        <v>45426</v>
      </c>
      <c r="AF236" s="1"/>
      <c r="AG236" s="1">
        <v>22.01</v>
      </c>
      <c r="AH236" s="1" t="s">
        <v>54</v>
      </c>
      <c r="AI236" s="1"/>
      <c r="AJ236" s="31">
        <v>44543</v>
      </c>
      <c r="AK236"/>
      <c r="AL236"/>
      <c r="AM236"/>
      <c r="AO236"/>
      <c r="AP236" s="1"/>
    </row>
    <row r="237" spans="1:42" hidden="1">
      <c r="A237" s="1" t="s">
        <v>2542</v>
      </c>
      <c r="B237" s="1">
        <v>211209</v>
      </c>
      <c r="C237" s="1">
        <v>8210021</v>
      </c>
      <c r="D237" s="1" t="s">
        <v>815</v>
      </c>
      <c r="E237" s="1" t="s">
        <v>2552</v>
      </c>
      <c r="H237" s="1" t="s">
        <v>3153</v>
      </c>
      <c r="I237" s="1" t="s">
        <v>3154</v>
      </c>
      <c r="J237" s="1" t="s">
        <v>18</v>
      </c>
      <c r="K237" s="1" t="s">
        <v>50</v>
      </c>
      <c r="L237" s="1">
        <v>32092</v>
      </c>
      <c r="M237" s="1">
        <v>38</v>
      </c>
      <c r="N237" s="1">
        <v>1400</v>
      </c>
      <c r="P237" s="1">
        <v>1990</v>
      </c>
      <c r="Q237" s="1"/>
      <c r="R237" s="1">
        <v>590</v>
      </c>
      <c r="S237"/>
      <c r="T237" t="s">
        <v>55</v>
      </c>
      <c r="U237" t="s">
        <v>814</v>
      </c>
      <c r="V237" t="s">
        <v>55</v>
      </c>
      <c r="W237" s="1">
        <v>45070</v>
      </c>
      <c r="X237" s="1" t="s">
        <v>55</v>
      </c>
      <c r="Y237" s="1" t="s">
        <v>51</v>
      </c>
      <c r="Z237" s="1" t="s">
        <v>530</v>
      </c>
      <c r="AA237" s="1" t="s">
        <v>2994</v>
      </c>
      <c r="AB237" s="1" t="s">
        <v>531</v>
      </c>
      <c r="AC237" s="1">
        <v>44539</v>
      </c>
      <c r="AD237" s="1">
        <v>44543</v>
      </c>
      <c r="AE237" s="1">
        <v>44816</v>
      </c>
      <c r="AF237" s="1"/>
      <c r="AG237" s="1">
        <v>22.02</v>
      </c>
      <c r="AH237" s="1" t="s">
        <v>54</v>
      </c>
      <c r="AI237" s="1"/>
      <c r="AJ237" s="31">
        <v>44543</v>
      </c>
      <c r="AK237"/>
      <c r="AL237"/>
      <c r="AM237"/>
      <c r="AO237"/>
      <c r="AP237" s="1"/>
    </row>
    <row r="238" spans="1:42" hidden="1">
      <c r="A238" s="1" t="s">
        <v>2542</v>
      </c>
      <c r="B238" s="1">
        <v>211210</v>
      </c>
      <c r="D238" s="1" t="s">
        <v>69</v>
      </c>
      <c r="H238" s="1" t="s">
        <v>3159</v>
      </c>
      <c r="I238" s="1" t="s">
        <v>3160</v>
      </c>
      <c r="J238" s="1" t="s">
        <v>18</v>
      </c>
      <c r="K238" s="1" t="s">
        <v>50</v>
      </c>
      <c r="L238" s="1">
        <v>29933</v>
      </c>
      <c r="M238" s="1">
        <v>43</v>
      </c>
      <c r="N238" s="1">
        <v>1350</v>
      </c>
      <c r="P238" s="1">
        <v>1750</v>
      </c>
      <c r="Q238" s="1"/>
      <c r="R238" s="1">
        <v>400</v>
      </c>
      <c r="S238"/>
      <c r="T238" t="s">
        <v>55</v>
      </c>
      <c r="U238" t="s">
        <v>814</v>
      </c>
      <c r="V238" t="s">
        <v>55</v>
      </c>
      <c r="W238" s="1">
        <v>45597</v>
      </c>
      <c r="X238" s="1" t="s">
        <v>55</v>
      </c>
      <c r="Y238" s="1" t="s">
        <v>51</v>
      </c>
      <c r="Z238" s="1" t="s">
        <v>427</v>
      </c>
      <c r="AA238" s="1" t="s">
        <v>461</v>
      </c>
      <c r="AB238" s="1" t="s">
        <v>462</v>
      </c>
      <c r="AC238" s="1">
        <v>44544</v>
      </c>
      <c r="AD238" s="1">
        <v>44546</v>
      </c>
      <c r="AE238" s="1">
        <v>44586</v>
      </c>
      <c r="AF238" s="1"/>
      <c r="AG238" s="1">
        <v>22.03</v>
      </c>
      <c r="AH238" s="1"/>
      <c r="AI238" s="1"/>
      <c r="AJ238" s="31">
        <v>44546</v>
      </c>
      <c r="AK238"/>
      <c r="AL238"/>
      <c r="AM238"/>
      <c r="AO238"/>
      <c r="AP238" s="1"/>
    </row>
    <row r="239" spans="1:42" hidden="1">
      <c r="A239" s="1" t="s">
        <v>2542</v>
      </c>
      <c r="B239" s="1">
        <v>211211</v>
      </c>
      <c r="C239" s="1">
        <v>8210024</v>
      </c>
      <c r="D239" s="1" t="s">
        <v>818</v>
      </c>
      <c r="E239" s="1" t="s">
        <v>819</v>
      </c>
      <c r="F239" t="s">
        <v>819</v>
      </c>
      <c r="G239"/>
      <c r="H239" s="1" t="s">
        <v>2342</v>
      </c>
      <c r="I239" s="1" t="s">
        <v>2343</v>
      </c>
      <c r="J239" s="1" t="s">
        <v>18</v>
      </c>
      <c r="K239" s="1" t="s">
        <v>50</v>
      </c>
      <c r="L239" s="1">
        <v>33865</v>
      </c>
      <c r="M239" s="1">
        <v>33</v>
      </c>
      <c r="N239" s="1">
        <v>1400</v>
      </c>
      <c r="P239" s="1">
        <v>1990</v>
      </c>
      <c r="Q239" s="1"/>
      <c r="R239" s="1">
        <v>590</v>
      </c>
      <c r="S239">
        <v>360000</v>
      </c>
      <c r="T239">
        <v>18054</v>
      </c>
      <c r="U239" t="s">
        <v>814</v>
      </c>
      <c r="V239">
        <v>32940</v>
      </c>
      <c r="W239" s="1">
        <v>45641</v>
      </c>
      <c r="X239" s="1" t="s">
        <v>55</v>
      </c>
      <c r="Y239" s="1" t="s">
        <v>51</v>
      </c>
      <c r="Z239" s="1" t="s">
        <v>2638</v>
      </c>
      <c r="AA239" s="1" t="s">
        <v>3161</v>
      </c>
      <c r="AB239" s="1" t="s">
        <v>2344</v>
      </c>
      <c r="AC239" s="1" t="s">
        <v>53</v>
      </c>
      <c r="AD239" s="1">
        <v>44550</v>
      </c>
      <c r="AE239" s="1">
        <v>45317</v>
      </c>
      <c r="AF239" s="1"/>
      <c r="AG239" s="1">
        <v>22.01</v>
      </c>
      <c r="AH239" s="1" t="s">
        <v>54</v>
      </c>
      <c r="AI239" s="1"/>
      <c r="AJ239" s="31">
        <v>44550</v>
      </c>
      <c r="AK239"/>
      <c r="AL239"/>
      <c r="AM239"/>
      <c r="AN239"/>
      <c r="AO239"/>
      <c r="AP239"/>
    </row>
    <row r="240" spans="1:42" hidden="1">
      <c r="A240" s="1" t="s">
        <v>2542</v>
      </c>
      <c r="B240" s="1">
        <v>211212</v>
      </c>
      <c r="C240" s="1">
        <v>8210022</v>
      </c>
      <c r="D240" s="1" t="s">
        <v>818</v>
      </c>
      <c r="E240" s="1" t="s">
        <v>3162</v>
      </c>
      <c r="F240" s="1" t="s">
        <v>834</v>
      </c>
      <c r="G240"/>
      <c r="H240" s="1" t="s">
        <v>3163</v>
      </c>
      <c r="I240" s="1" t="s">
        <v>3164</v>
      </c>
      <c r="J240" s="1" t="s">
        <v>18</v>
      </c>
      <c r="K240" s="1" t="s">
        <v>50</v>
      </c>
      <c r="L240" s="1">
        <v>31479</v>
      </c>
      <c r="M240" s="1">
        <v>39</v>
      </c>
      <c r="N240" s="1">
        <v>1400</v>
      </c>
      <c r="P240" s="1">
        <v>1990</v>
      </c>
      <c r="Q240" s="1"/>
      <c r="R240" s="1">
        <v>590</v>
      </c>
      <c r="S240">
        <v>360000</v>
      </c>
      <c r="T240">
        <v>18054</v>
      </c>
      <c r="U240" t="s">
        <v>814</v>
      </c>
      <c r="V240">
        <v>32940</v>
      </c>
      <c r="W240" s="1">
        <v>45408</v>
      </c>
      <c r="X240" s="1" t="s">
        <v>55</v>
      </c>
      <c r="Y240" s="1" t="s">
        <v>51</v>
      </c>
      <c r="Z240" s="1" t="s">
        <v>3165</v>
      </c>
      <c r="AA240" s="1" t="s">
        <v>3166</v>
      </c>
      <c r="AB240" s="1" t="s">
        <v>3167</v>
      </c>
      <c r="AC240" s="1" t="s">
        <v>53</v>
      </c>
      <c r="AD240" s="1">
        <v>44550</v>
      </c>
      <c r="AE240" s="1">
        <v>45128</v>
      </c>
      <c r="AF240" s="1"/>
      <c r="AG240" s="1">
        <v>22.02</v>
      </c>
      <c r="AH240" s="1" t="s">
        <v>54</v>
      </c>
      <c r="AI240" s="1"/>
      <c r="AJ240" s="31">
        <v>44550</v>
      </c>
      <c r="AK240"/>
      <c r="AL240"/>
      <c r="AM240"/>
      <c r="AN240"/>
      <c r="AO240"/>
      <c r="AP240"/>
    </row>
    <row r="241" spans="1:42" hidden="1">
      <c r="A241" s="1" t="s">
        <v>2542</v>
      </c>
      <c r="B241" s="1">
        <v>211213</v>
      </c>
      <c r="C241" s="1">
        <v>8210025</v>
      </c>
      <c r="D241" s="1" t="s">
        <v>815</v>
      </c>
      <c r="E241" s="1" t="s">
        <v>2552</v>
      </c>
      <c r="G241"/>
      <c r="H241" s="1" t="s">
        <v>3168</v>
      </c>
      <c r="I241" s="1" t="s">
        <v>3169</v>
      </c>
      <c r="J241" s="1" t="s">
        <v>18</v>
      </c>
      <c r="K241" s="1" t="s">
        <v>50</v>
      </c>
      <c r="L241" s="1">
        <v>34548</v>
      </c>
      <c r="M241" s="1">
        <v>31</v>
      </c>
      <c r="N241" s="1">
        <v>1400</v>
      </c>
      <c r="P241" s="1">
        <v>1990</v>
      </c>
      <c r="Q241" s="1"/>
      <c r="R241" s="1">
        <v>590</v>
      </c>
      <c r="S241"/>
      <c r="T241" t="s">
        <v>55</v>
      </c>
      <c r="U241" t="s">
        <v>814</v>
      </c>
      <c r="V241" t="s">
        <v>55</v>
      </c>
      <c r="W241" s="1">
        <v>45118</v>
      </c>
      <c r="X241" s="1" t="s">
        <v>55</v>
      </c>
      <c r="Y241" s="1" t="s">
        <v>51</v>
      </c>
      <c r="Z241" s="1" t="s">
        <v>530</v>
      </c>
      <c r="AA241" s="1" t="s">
        <v>2994</v>
      </c>
      <c r="AB241" s="1" t="s">
        <v>531</v>
      </c>
      <c r="AC241" s="1">
        <v>44555</v>
      </c>
      <c r="AD241" s="1">
        <v>44550</v>
      </c>
      <c r="AE241" s="1">
        <v>44742</v>
      </c>
      <c r="AF241" s="1"/>
      <c r="AG241" s="1">
        <v>22.03</v>
      </c>
      <c r="AH241" s="1" t="s">
        <v>54</v>
      </c>
      <c r="AI241" s="1"/>
      <c r="AJ241" s="31">
        <v>44550</v>
      </c>
      <c r="AK241"/>
      <c r="AL241"/>
      <c r="AM241"/>
      <c r="AN241"/>
      <c r="AO241"/>
      <c r="AP241"/>
    </row>
    <row r="242" spans="1:42" hidden="1">
      <c r="A242" s="1" t="s">
        <v>49</v>
      </c>
      <c r="B242" s="1">
        <v>211214</v>
      </c>
      <c r="D242" s="1" t="s">
        <v>528</v>
      </c>
      <c r="E242" s="1" t="s">
        <v>532</v>
      </c>
      <c r="F242"/>
      <c r="G242"/>
      <c r="H242" s="1" t="s">
        <v>533</v>
      </c>
      <c r="I242" s="1" t="s">
        <v>534</v>
      </c>
      <c r="J242" s="1" t="s">
        <v>18</v>
      </c>
      <c r="K242" s="1" t="s">
        <v>50</v>
      </c>
      <c r="L242" s="1">
        <v>34177</v>
      </c>
      <c r="M242" s="1">
        <v>32</v>
      </c>
      <c r="N242" s="1">
        <v>1450</v>
      </c>
      <c r="P242" s="1">
        <v>1900</v>
      </c>
      <c r="Q242" s="1"/>
      <c r="R242" s="1">
        <v>450</v>
      </c>
      <c r="S242">
        <v>240000</v>
      </c>
      <c r="T242">
        <v>12036</v>
      </c>
      <c r="U242" t="s">
        <v>814</v>
      </c>
      <c r="V242">
        <v>21960</v>
      </c>
      <c r="W242" s="1">
        <v>47429</v>
      </c>
      <c r="X242" s="1" t="s">
        <v>55</v>
      </c>
      <c r="Y242" s="1" t="s">
        <v>51</v>
      </c>
      <c r="Z242" s="1" t="s">
        <v>4487</v>
      </c>
      <c r="AA242" s="1" t="s">
        <v>4488</v>
      </c>
      <c r="AB242" s="1" t="s">
        <v>4489</v>
      </c>
      <c r="AC242" s="1" t="s">
        <v>53</v>
      </c>
      <c r="AD242" s="1">
        <v>44550</v>
      </c>
      <c r="AE242" s="1"/>
      <c r="AF242" s="1"/>
      <c r="AG242" s="1">
        <v>22.02</v>
      </c>
      <c r="AH242" s="1" t="s">
        <v>54</v>
      </c>
      <c r="AI242" s="1"/>
      <c r="AJ242" s="31">
        <v>44550</v>
      </c>
      <c r="AK242"/>
      <c r="AL242"/>
      <c r="AM242"/>
      <c r="AN242"/>
      <c r="AO242"/>
      <c r="AP242"/>
    </row>
    <row r="243" spans="1:42" hidden="1">
      <c r="A243" s="1" t="s">
        <v>2542</v>
      </c>
      <c r="B243" s="1">
        <v>211215</v>
      </c>
      <c r="D243" s="1" t="s">
        <v>83</v>
      </c>
      <c r="F243"/>
      <c r="G243"/>
      <c r="H243" s="1" t="s">
        <v>3170</v>
      </c>
      <c r="I243" s="1" t="s">
        <v>3171</v>
      </c>
      <c r="J243" s="1" t="s">
        <v>18</v>
      </c>
      <c r="K243" s="1" t="s">
        <v>50</v>
      </c>
      <c r="L243" s="1">
        <v>33748</v>
      </c>
      <c r="M243" s="1">
        <v>33</v>
      </c>
      <c r="N243" s="1">
        <v>1350</v>
      </c>
      <c r="P243" s="1">
        <v>1750</v>
      </c>
      <c r="Q243" s="1"/>
      <c r="R243" s="1">
        <v>400</v>
      </c>
      <c r="S243"/>
      <c r="T243" t="s">
        <v>55</v>
      </c>
      <c r="U243" t="s">
        <v>814</v>
      </c>
      <c r="V243" t="s">
        <v>55</v>
      </c>
      <c r="W243" s="1">
        <v>45313</v>
      </c>
      <c r="X243" s="1" t="s">
        <v>55</v>
      </c>
      <c r="Y243" s="1" t="s">
        <v>51</v>
      </c>
      <c r="Z243" s="1" t="s">
        <v>86</v>
      </c>
      <c r="AA243" s="1" t="s">
        <v>87</v>
      </c>
      <c r="AB243" s="1" t="s">
        <v>3172</v>
      </c>
      <c r="AC243" s="1">
        <v>44546</v>
      </c>
      <c r="AD243" s="1">
        <v>44551</v>
      </c>
      <c r="AE243" s="1">
        <v>44554</v>
      </c>
      <c r="AF243" s="1"/>
      <c r="AG243" s="1"/>
      <c r="AH243" s="1"/>
      <c r="AI243" s="1"/>
      <c r="AJ243" s="31">
        <v>44551</v>
      </c>
      <c r="AK243"/>
      <c r="AL243"/>
      <c r="AM243"/>
      <c r="AN243"/>
      <c r="AO243"/>
      <c r="AP243"/>
    </row>
    <row r="244" spans="1:42" hidden="1">
      <c r="A244" s="1" t="s">
        <v>2542</v>
      </c>
      <c r="B244" s="1">
        <v>210204</v>
      </c>
      <c r="D244" s="1" t="s">
        <v>69</v>
      </c>
      <c r="F244"/>
      <c r="G244"/>
      <c r="H244" s="1" t="s">
        <v>2680</v>
      </c>
      <c r="I244" s="1" t="s">
        <v>2681</v>
      </c>
      <c r="J244" s="1" t="s">
        <v>18</v>
      </c>
      <c r="K244" s="1" t="s">
        <v>404</v>
      </c>
      <c r="L244" s="1">
        <v>23316</v>
      </c>
      <c r="M244" s="1">
        <v>62</v>
      </c>
      <c r="N244" s="1">
        <v>1300</v>
      </c>
      <c r="P244" s="1">
        <v>1750</v>
      </c>
      <c r="Q244" s="1"/>
      <c r="R244" s="1">
        <v>450</v>
      </c>
      <c r="S244"/>
      <c r="T244" t="s">
        <v>55</v>
      </c>
      <c r="U244" t="s">
        <v>814</v>
      </c>
      <c r="V244" t="s">
        <v>55</v>
      </c>
      <c r="W244" s="1">
        <v>450</v>
      </c>
      <c r="X244" s="1" t="s">
        <v>55</v>
      </c>
      <c r="Y244" s="1" t="s">
        <v>2631</v>
      </c>
      <c r="Z244" s="1" t="s">
        <v>470</v>
      </c>
      <c r="AA244" s="1" t="s">
        <v>576</v>
      </c>
      <c r="AB244" s="1" t="s">
        <v>577</v>
      </c>
      <c r="AC244" s="1">
        <v>44553</v>
      </c>
      <c r="AD244" s="1">
        <v>44554</v>
      </c>
      <c r="AE244" s="1">
        <v>44589</v>
      </c>
      <c r="AF244" s="1"/>
      <c r="AG244" s="1">
        <v>22.03</v>
      </c>
      <c r="AH244" s="1"/>
      <c r="AI244" s="1"/>
      <c r="AJ244" s="31">
        <v>44554</v>
      </c>
      <c r="AK244"/>
      <c r="AL244"/>
      <c r="AM244"/>
      <c r="AN244"/>
      <c r="AO244"/>
      <c r="AP244"/>
    </row>
    <row r="245" spans="1:42" hidden="1">
      <c r="A245" s="1" t="s">
        <v>2542</v>
      </c>
      <c r="B245" s="1">
        <v>211216</v>
      </c>
      <c r="D245" s="1" t="s">
        <v>528</v>
      </c>
      <c r="G245"/>
      <c r="H245" s="1" t="s">
        <v>3176</v>
      </c>
      <c r="I245" s="1" t="s">
        <v>3177</v>
      </c>
      <c r="J245" s="1" t="s">
        <v>18</v>
      </c>
      <c r="K245" s="1" t="s">
        <v>50</v>
      </c>
      <c r="L245" s="1">
        <v>30210</v>
      </c>
      <c r="M245" s="1">
        <v>43</v>
      </c>
      <c r="N245" s="1">
        <v>1400</v>
      </c>
      <c r="P245" s="1">
        <v>1900</v>
      </c>
      <c r="Q245" s="1"/>
      <c r="R245" s="1">
        <v>500</v>
      </c>
      <c r="S245"/>
      <c r="T245" t="s">
        <v>55</v>
      </c>
      <c r="U245" t="s">
        <v>814</v>
      </c>
      <c r="V245" t="s">
        <v>55</v>
      </c>
      <c r="W245" s="1">
        <v>44841</v>
      </c>
      <c r="X245" s="1" t="s">
        <v>55</v>
      </c>
      <c r="Y245" s="1" t="s">
        <v>51</v>
      </c>
      <c r="Z245" s="1" t="s">
        <v>3178</v>
      </c>
      <c r="AA245" s="1" t="s">
        <v>3179</v>
      </c>
      <c r="AB245" s="1" t="s">
        <v>3180</v>
      </c>
      <c r="AC245" s="1" t="s">
        <v>53</v>
      </c>
      <c r="AD245" s="1">
        <v>44557</v>
      </c>
      <c r="AE245" s="1">
        <v>44701</v>
      </c>
      <c r="AF245" s="1"/>
      <c r="AG245" s="1">
        <v>22.02</v>
      </c>
      <c r="AH245" s="1" t="s">
        <v>54</v>
      </c>
      <c r="AI245" s="1"/>
      <c r="AJ245" s="31">
        <v>44557</v>
      </c>
      <c r="AK245"/>
      <c r="AL245"/>
      <c r="AM245"/>
      <c r="AN245"/>
      <c r="AO245"/>
      <c r="AP245"/>
    </row>
    <row r="246" spans="1:42" hidden="1">
      <c r="A246" s="1" t="s">
        <v>2542</v>
      </c>
      <c r="B246" s="1">
        <v>211217</v>
      </c>
      <c r="C246" s="1">
        <v>232035</v>
      </c>
      <c r="D246" s="1" t="s">
        <v>83</v>
      </c>
      <c r="E246" s="1" t="s">
        <v>309</v>
      </c>
      <c r="F246" t="s">
        <v>365</v>
      </c>
      <c r="G246" t="s">
        <v>2911</v>
      </c>
      <c r="H246" s="1" t="s">
        <v>3173</v>
      </c>
      <c r="I246" s="1" t="s">
        <v>3174</v>
      </c>
      <c r="J246" s="1" t="s">
        <v>18</v>
      </c>
      <c r="K246" s="1" t="s">
        <v>50</v>
      </c>
      <c r="L246" s="1">
        <v>34750</v>
      </c>
      <c r="M246" s="1">
        <v>30</v>
      </c>
      <c r="N246" s="1">
        <v>1400</v>
      </c>
      <c r="P246" s="1">
        <v>1790</v>
      </c>
      <c r="Q246" s="1"/>
      <c r="R246" s="1">
        <v>390</v>
      </c>
      <c r="S246">
        <v>320000</v>
      </c>
      <c r="T246">
        <v>16048</v>
      </c>
      <c r="U246" t="s">
        <v>814</v>
      </c>
      <c r="V246">
        <v>29280</v>
      </c>
      <c r="W246" s="1">
        <v>45626</v>
      </c>
      <c r="X246" s="1" t="s">
        <v>55</v>
      </c>
      <c r="Y246" s="1" t="s">
        <v>51</v>
      </c>
      <c r="Z246" s="1" t="s">
        <v>211</v>
      </c>
      <c r="AA246" s="1" t="s">
        <v>3175</v>
      </c>
      <c r="AB246" s="1" t="s">
        <v>3883</v>
      </c>
      <c r="AC246" s="1" t="s">
        <v>53</v>
      </c>
      <c r="AD246" s="1">
        <v>44557</v>
      </c>
      <c r="AE246" s="1">
        <v>45320</v>
      </c>
      <c r="AF246" s="1"/>
      <c r="AG246" s="1">
        <v>22.03</v>
      </c>
      <c r="AH246" s="1" t="s">
        <v>54</v>
      </c>
      <c r="AI246" s="1"/>
      <c r="AJ246" s="31">
        <v>44557</v>
      </c>
      <c r="AK246"/>
      <c r="AL246"/>
      <c r="AM246"/>
      <c r="AN246"/>
      <c r="AO246"/>
      <c r="AP246"/>
    </row>
    <row r="247" spans="1:42" hidden="1">
      <c r="A247" s="1" t="s">
        <v>2542</v>
      </c>
      <c r="B247" s="1">
        <v>211218</v>
      </c>
      <c r="D247" s="1" t="s">
        <v>83</v>
      </c>
      <c r="F247"/>
      <c r="G247"/>
      <c r="H247" s="1" t="s">
        <v>3181</v>
      </c>
      <c r="I247" s="1" t="s">
        <v>3182</v>
      </c>
      <c r="J247" s="1" t="s">
        <v>18</v>
      </c>
      <c r="K247" s="1" t="s">
        <v>50</v>
      </c>
      <c r="L247" s="1">
        <v>33674</v>
      </c>
      <c r="M247" s="1">
        <v>33</v>
      </c>
      <c r="N247" s="1">
        <v>1350</v>
      </c>
      <c r="P247" s="1">
        <v>1750</v>
      </c>
      <c r="Q247" s="1"/>
      <c r="R247" s="1">
        <v>400</v>
      </c>
      <c r="S247"/>
      <c r="T247" t="s">
        <v>55</v>
      </c>
      <c r="U247" t="s">
        <v>814</v>
      </c>
      <c r="V247" t="s">
        <v>55</v>
      </c>
      <c r="W247" s="1">
        <v>45126</v>
      </c>
      <c r="X247" s="1" t="s">
        <v>55</v>
      </c>
      <c r="Y247" s="1" t="s">
        <v>51</v>
      </c>
      <c r="Z247" s="1" t="s">
        <v>86</v>
      </c>
      <c r="AA247" s="1" t="s">
        <v>3074</v>
      </c>
      <c r="AB247" s="1" t="s">
        <v>3075</v>
      </c>
      <c r="AC247" s="1" t="s">
        <v>53</v>
      </c>
      <c r="AD247" s="1">
        <v>44558</v>
      </c>
      <c r="AE247" s="1">
        <v>44616</v>
      </c>
      <c r="AF247" s="1"/>
      <c r="AG247" s="1">
        <v>22.03</v>
      </c>
      <c r="AH247" s="1"/>
      <c r="AI247" s="1"/>
      <c r="AJ247" s="31">
        <v>44558</v>
      </c>
      <c r="AK247"/>
      <c r="AL247"/>
      <c r="AM247"/>
      <c r="AN247"/>
      <c r="AO247"/>
      <c r="AP247"/>
    </row>
    <row r="248" spans="1:42" hidden="1">
      <c r="A248" s="1" t="s">
        <v>2542</v>
      </c>
      <c r="B248" s="1">
        <v>220101</v>
      </c>
      <c r="D248" s="1" t="s">
        <v>168</v>
      </c>
      <c r="G248"/>
      <c r="H248" s="1" t="s">
        <v>3183</v>
      </c>
      <c r="I248" s="1" t="s">
        <v>3184</v>
      </c>
      <c r="J248" s="1" t="s">
        <v>18</v>
      </c>
      <c r="K248" s="1" t="s">
        <v>50</v>
      </c>
      <c r="L248" s="1">
        <v>32412</v>
      </c>
      <c r="M248" s="1">
        <v>37</v>
      </c>
      <c r="N248" s="1">
        <v>1400</v>
      </c>
      <c r="P248" s="1">
        <v>2000</v>
      </c>
      <c r="Q248" s="1"/>
      <c r="R248" s="1">
        <v>600</v>
      </c>
      <c r="S248"/>
      <c r="T248" t="s">
        <v>55</v>
      </c>
      <c r="U248" t="s">
        <v>814</v>
      </c>
      <c r="V248" t="s">
        <v>55</v>
      </c>
      <c r="W248" s="1">
        <v>45004</v>
      </c>
      <c r="X248" s="1" t="s">
        <v>55</v>
      </c>
      <c r="Y248" s="1" t="s">
        <v>51</v>
      </c>
      <c r="Z248" s="1" t="s">
        <v>3143</v>
      </c>
      <c r="AA248" s="1" t="s">
        <v>3144</v>
      </c>
      <c r="AB248" s="1" t="s">
        <v>3145</v>
      </c>
      <c r="AC248" s="1">
        <v>44554</v>
      </c>
      <c r="AD248" s="1">
        <v>44566</v>
      </c>
      <c r="AE248" s="1">
        <v>44581</v>
      </c>
      <c r="AF248" s="1"/>
      <c r="AG248" s="1">
        <v>22.03</v>
      </c>
      <c r="AH248" s="1"/>
      <c r="AI248" s="1"/>
      <c r="AJ248" s="31">
        <v>44566</v>
      </c>
      <c r="AK248"/>
      <c r="AL248"/>
      <c r="AM248"/>
      <c r="AN248"/>
      <c r="AO248"/>
      <c r="AP248"/>
    </row>
    <row r="249" spans="1:42" hidden="1">
      <c r="A249" s="1" t="s">
        <v>2542</v>
      </c>
      <c r="B249" s="1">
        <v>220102</v>
      </c>
      <c r="C249" s="1">
        <v>60058</v>
      </c>
      <c r="D249" s="1" t="s">
        <v>168</v>
      </c>
      <c r="E249" s="1" t="s">
        <v>193</v>
      </c>
      <c r="G249"/>
      <c r="H249" s="1" t="s">
        <v>194</v>
      </c>
      <c r="I249" s="1" t="s">
        <v>195</v>
      </c>
      <c r="J249" s="1" t="s">
        <v>18</v>
      </c>
      <c r="K249" s="1" t="s">
        <v>50</v>
      </c>
      <c r="L249" s="1">
        <v>33728</v>
      </c>
      <c r="M249" s="1">
        <v>33</v>
      </c>
      <c r="N249" s="1">
        <v>1450</v>
      </c>
      <c r="P249" s="1">
        <v>2000</v>
      </c>
      <c r="Q249" s="1"/>
      <c r="R249" s="1">
        <v>550</v>
      </c>
      <c r="S249">
        <v>300000</v>
      </c>
      <c r="T249">
        <v>15045</v>
      </c>
      <c r="U249" t="s">
        <v>814</v>
      </c>
      <c r="V249">
        <v>27450</v>
      </c>
      <c r="W249" s="1">
        <v>46270</v>
      </c>
      <c r="X249" s="1" t="s">
        <v>55</v>
      </c>
      <c r="Y249" s="1" t="s">
        <v>51</v>
      </c>
      <c r="Z249" s="1" t="s">
        <v>1360</v>
      </c>
      <c r="AA249" s="1" t="s">
        <v>4351</v>
      </c>
      <c r="AB249" s="1" t="s">
        <v>4352</v>
      </c>
      <c r="AC249" s="1" t="s">
        <v>53</v>
      </c>
      <c r="AD249" s="1">
        <v>44566</v>
      </c>
      <c r="AE249" s="1">
        <v>45642</v>
      </c>
      <c r="AF249" s="1"/>
      <c r="AG249" s="1">
        <v>22.03</v>
      </c>
      <c r="AH249" s="1" t="s">
        <v>54</v>
      </c>
      <c r="AI249" s="1"/>
      <c r="AJ249" s="31">
        <v>44566</v>
      </c>
      <c r="AK249"/>
      <c r="AL249"/>
      <c r="AM249"/>
      <c r="AN249"/>
      <c r="AO249"/>
      <c r="AP249"/>
    </row>
    <row r="250" spans="1:42" hidden="1">
      <c r="A250" s="1" t="s">
        <v>2542</v>
      </c>
      <c r="B250" s="1">
        <v>220103</v>
      </c>
      <c r="D250" s="1" t="s">
        <v>436</v>
      </c>
      <c r="E250" s="1" t="s">
        <v>503</v>
      </c>
      <c r="G250"/>
      <c r="H250" s="1" t="s">
        <v>3185</v>
      </c>
      <c r="I250" s="1" t="s">
        <v>3186</v>
      </c>
      <c r="J250" s="1" t="s">
        <v>18</v>
      </c>
      <c r="K250" s="1" t="s">
        <v>50</v>
      </c>
      <c r="L250" s="1">
        <v>30230</v>
      </c>
      <c r="M250" s="1">
        <v>43</v>
      </c>
      <c r="N250" s="1">
        <v>1600</v>
      </c>
      <c r="O250" s="1" t="s">
        <v>3187</v>
      </c>
      <c r="P250" s="1">
        <v>2100</v>
      </c>
      <c r="Q250" s="1"/>
      <c r="R250" s="1">
        <v>500</v>
      </c>
      <c r="S250">
        <v>380000</v>
      </c>
      <c r="T250">
        <v>19057</v>
      </c>
      <c r="U250">
        <v>3021</v>
      </c>
      <c r="V250">
        <v>34770</v>
      </c>
      <c r="W250" s="1">
        <v>46109</v>
      </c>
      <c r="X250" s="1" t="s">
        <v>55</v>
      </c>
      <c r="Y250" s="1" t="s">
        <v>51</v>
      </c>
      <c r="Z250" s="1" t="s">
        <v>437</v>
      </c>
      <c r="AA250" s="1" t="s">
        <v>3188</v>
      </c>
      <c r="AB250" s="1" t="s">
        <v>3189</v>
      </c>
      <c r="AC250" s="1">
        <v>44552</v>
      </c>
      <c r="AD250" s="1">
        <v>44566</v>
      </c>
      <c r="AE250" s="1">
        <v>45128</v>
      </c>
      <c r="AF250" s="1"/>
      <c r="AG250" s="1">
        <v>22.03</v>
      </c>
      <c r="AH250" s="1" t="s">
        <v>54</v>
      </c>
      <c r="AI250" s="1"/>
      <c r="AJ250" s="31">
        <v>44566</v>
      </c>
      <c r="AK250"/>
      <c r="AL250"/>
      <c r="AM250"/>
      <c r="AN250"/>
      <c r="AO250"/>
      <c r="AP250"/>
    </row>
    <row r="251" spans="1:42" hidden="1">
      <c r="A251" s="1" t="s">
        <v>49</v>
      </c>
      <c r="B251" s="1">
        <v>220104</v>
      </c>
      <c r="C251" s="1">
        <v>232037</v>
      </c>
      <c r="D251" s="1" t="s">
        <v>83</v>
      </c>
      <c r="E251" s="1" t="s">
        <v>309</v>
      </c>
      <c r="F251" t="s">
        <v>365</v>
      </c>
      <c r="G251" t="s">
        <v>2241</v>
      </c>
      <c r="H251" s="1" t="s">
        <v>196</v>
      </c>
      <c r="I251" s="1" t="s">
        <v>197</v>
      </c>
      <c r="J251" s="1" t="s">
        <v>18</v>
      </c>
      <c r="K251" s="1" t="s">
        <v>50</v>
      </c>
      <c r="L251" s="1">
        <v>34597</v>
      </c>
      <c r="M251" s="1">
        <v>31</v>
      </c>
      <c r="N251" s="1">
        <v>1410</v>
      </c>
      <c r="P251" s="1">
        <v>1850</v>
      </c>
      <c r="Q251" s="1"/>
      <c r="R251" s="1">
        <v>440</v>
      </c>
      <c r="S251">
        <v>280000</v>
      </c>
      <c r="T251">
        <v>14042</v>
      </c>
      <c r="U251" t="s">
        <v>814</v>
      </c>
      <c r="V251">
        <v>25620</v>
      </c>
      <c r="W251" s="1">
        <v>46638</v>
      </c>
      <c r="X251" s="1" t="s">
        <v>55</v>
      </c>
      <c r="Y251" s="1" t="s">
        <v>51</v>
      </c>
      <c r="Z251" s="1" t="s">
        <v>110</v>
      </c>
      <c r="AA251" s="1" t="s">
        <v>198</v>
      </c>
      <c r="AB251" s="1" t="s">
        <v>199</v>
      </c>
      <c r="AC251" s="1">
        <v>44558</v>
      </c>
      <c r="AD251" s="1">
        <v>44567</v>
      </c>
      <c r="AE251" s="1"/>
      <c r="AF251" s="1"/>
      <c r="AG251" s="1">
        <v>22.03</v>
      </c>
      <c r="AH251" s="1" t="s">
        <v>54</v>
      </c>
      <c r="AI251" s="1"/>
      <c r="AJ251" s="31">
        <v>44567</v>
      </c>
      <c r="AK251"/>
      <c r="AL251"/>
      <c r="AM251"/>
      <c r="AN251"/>
      <c r="AO251"/>
      <c r="AP251"/>
    </row>
    <row r="252" spans="1:42" hidden="1">
      <c r="A252" s="1" t="s">
        <v>2542</v>
      </c>
      <c r="B252" s="1">
        <v>220105</v>
      </c>
      <c r="D252" s="1" t="s">
        <v>75</v>
      </c>
      <c r="E252" s="1" t="s">
        <v>3934</v>
      </c>
      <c r="F252"/>
      <c r="G252"/>
      <c r="H252" s="1" t="s">
        <v>3190</v>
      </c>
      <c r="I252" s="1" t="s">
        <v>3191</v>
      </c>
      <c r="J252" s="1" t="s">
        <v>18</v>
      </c>
      <c r="K252" s="1" t="s">
        <v>50</v>
      </c>
      <c r="L252" s="1">
        <v>35053</v>
      </c>
      <c r="M252" s="1">
        <v>29</v>
      </c>
      <c r="N252" s="1">
        <v>1350</v>
      </c>
      <c r="P252" s="1">
        <v>1750</v>
      </c>
      <c r="Q252" s="1"/>
      <c r="R252" s="1">
        <v>400</v>
      </c>
      <c r="S252"/>
      <c r="T252" t="s">
        <v>55</v>
      </c>
      <c r="U252" t="s">
        <v>814</v>
      </c>
      <c r="V252" t="s">
        <v>55</v>
      </c>
      <c r="W252" s="1">
        <v>46208</v>
      </c>
      <c r="X252" s="1" t="s">
        <v>55</v>
      </c>
      <c r="Y252" s="1" t="s">
        <v>51</v>
      </c>
      <c r="Z252" s="1"/>
      <c r="AA252" s="1" t="s">
        <v>68</v>
      </c>
      <c r="AB252" s="1" t="s">
        <v>3877</v>
      </c>
      <c r="AC252" s="1"/>
      <c r="AD252" s="1">
        <v>44567</v>
      </c>
      <c r="AE252" s="1">
        <v>44573</v>
      </c>
      <c r="AF252" s="1"/>
      <c r="AG252" s="1"/>
      <c r="AH252" s="1"/>
      <c r="AI252" s="1"/>
      <c r="AJ252" s="31">
        <v>44567</v>
      </c>
      <c r="AK252"/>
      <c r="AL252"/>
      <c r="AM252"/>
      <c r="AN252"/>
      <c r="AO252"/>
      <c r="AP252"/>
    </row>
    <row r="253" spans="1:42" hidden="1">
      <c r="A253" s="1" t="s">
        <v>2542</v>
      </c>
      <c r="B253" s="1">
        <v>220106</v>
      </c>
      <c r="C253" s="1">
        <v>8210026</v>
      </c>
      <c r="D253" s="1" t="s">
        <v>822</v>
      </c>
      <c r="E253" s="1" t="s">
        <v>3192</v>
      </c>
      <c r="F253"/>
      <c r="G253"/>
      <c r="H253" s="1" t="s">
        <v>3193</v>
      </c>
      <c r="I253" s="1" t="s">
        <v>3194</v>
      </c>
      <c r="J253" s="1" t="s">
        <v>18</v>
      </c>
      <c r="K253" s="1" t="s">
        <v>50</v>
      </c>
      <c r="L253" s="1">
        <v>34496</v>
      </c>
      <c r="M253" s="1">
        <v>31</v>
      </c>
      <c r="N253" s="1">
        <v>1400</v>
      </c>
      <c r="P253" s="1">
        <v>1990</v>
      </c>
      <c r="Q253" s="1"/>
      <c r="R253" s="1">
        <v>590</v>
      </c>
      <c r="S253"/>
      <c r="T253" t="s">
        <v>55</v>
      </c>
      <c r="U253" t="s">
        <v>814</v>
      </c>
      <c r="V253" t="s">
        <v>55</v>
      </c>
      <c r="W253" s="1">
        <v>44856</v>
      </c>
      <c r="X253" s="1" t="s">
        <v>55</v>
      </c>
      <c r="Y253" s="1" t="s">
        <v>51</v>
      </c>
      <c r="Z253" s="1" t="s">
        <v>3195</v>
      </c>
      <c r="AA253" s="1" t="s">
        <v>3196</v>
      </c>
      <c r="AB253" s="1" t="s">
        <v>3197</v>
      </c>
      <c r="AC253" s="1">
        <v>44566</v>
      </c>
      <c r="AD253" s="1">
        <v>44567</v>
      </c>
      <c r="AE253" s="1">
        <v>44707</v>
      </c>
      <c r="AF253" s="1"/>
      <c r="AG253" s="1">
        <v>22.03</v>
      </c>
      <c r="AH253" s="1" t="s">
        <v>54</v>
      </c>
      <c r="AI253" s="1"/>
      <c r="AJ253" s="31">
        <v>44567</v>
      </c>
      <c r="AK253"/>
      <c r="AL253"/>
      <c r="AM253"/>
      <c r="AN253"/>
      <c r="AO253"/>
      <c r="AP253"/>
    </row>
    <row r="254" spans="1:42" hidden="1">
      <c r="A254" s="1" t="s">
        <v>2542</v>
      </c>
      <c r="B254" s="1">
        <v>220107</v>
      </c>
      <c r="C254" s="1">
        <v>8210028</v>
      </c>
      <c r="D254" s="1" t="s">
        <v>815</v>
      </c>
      <c r="E254" s="1" t="s">
        <v>833</v>
      </c>
      <c r="F254" t="s">
        <v>833</v>
      </c>
      <c r="G254"/>
      <c r="H254" s="1" t="s">
        <v>535</v>
      </c>
      <c r="I254" s="1" t="s">
        <v>536</v>
      </c>
      <c r="J254" s="1" t="s">
        <v>18</v>
      </c>
      <c r="K254" s="1" t="s">
        <v>50</v>
      </c>
      <c r="L254" s="1">
        <v>33552</v>
      </c>
      <c r="M254" s="1">
        <v>34</v>
      </c>
      <c r="N254" s="1">
        <v>1500</v>
      </c>
      <c r="P254" s="1">
        <v>2150</v>
      </c>
      <c r="Q254" s="1"/>
      <c r="R254" s="1">
        <v>650</v>
      </c>
      <c r="S254">
        <v>340000</v>
      </c>
      <c r="T254">
        <v>17051</v>
      </c>
      <c r="U254" t="s">
        <v>814</v>
      </c>
      <c r="V254">
        <v>31110</v>
      </c>
      <c r="W254" s="1">
        <v>46189</v>
      </c>
      <c r="X254" s="1" t="s">
        <v>55</v>
      </c>
      <c r="Y254" s="1" t="s">
        <v>51</v>
      </c>
      <c r="Z254" s="1" t="s">
        <v>745</v>
      </c>
      <c r="AA254" s="1" t="s">
        <v>746</v>
      </c>
      <c r="AB254" s="1" t="s">
        <v>747</v>
      </c>
      <c r="AC254" s="1" t="s">
        <v>53</v>
      </c>
      <c r="AD254" s="1">
        <v>44567</v>
      </c>
      <c r="AE254" s="1">
        <v>45919</v>
      </c>
      <c r="AF254" s="1"/>
      <c r="AG254" s="1">
        <v>22.03</v>
      </c>
      <c r="AH254" s="1" t="s">
        <v>54</v>
      </c>
      <c r="AI254" s="1"/>
      <c r="AJ254" s="31">
        <v>44567</v>
      </c>
      <c r="AK254" t="s">
        <v>2470</v>
      </c>
      <c r="AL254">
        <v>46001</v>
      </c>
      <c r="AM254" t="s">
        <v>2468</v>
      </c>
      <c r="AN254">
        <v>46221</v>
      </c>
      <c r="AO254"/>
      <c r="AP254"/>
    </row>
    <row r="255" spans="1:42" hidden="1">
      <c r="A255" s="1" t="s">
        <v>2542</v>
      </c>
      <c r="B255" s="1">
        <v>220109</v>
      </c>
      <c r="C255" s="1">
        <v>41</v>
      </c>
      <c r="D255" s="1" t="s">
        <v>813</v>
      </c>
      <c r="F255"/>
      <c r="G255"/>
      <c r="H255" s="1" t="s">
        <v>3198</v>
      </c>
      <c r="I255" s="1" t="s">
        <v>3199</v>
      </c>
      <c r="J255" s="1" t="s">
        <v>18</v>
      </c>
      <c r="K255" s="1" t="s">
        <v>50</v>
      </c>
      <c r="L255" s="1">
        <v>33939</v>
      </c>
      <c r="M255" s="1">
        <v>33</v>
      </c>
      <c r="N255" s="1">
        <v>1300</v>
      </c>
      <c r="P255" s="1">
        <v>1800</v>
      </c>
      <c r="Q255" s="1"/>
      <c r="R255" s="1">
        <v>500</v>
      </c>
      <c r="S255">
        <v>0</v>
      </c>
      <c r="T255" t="s">
        <v>55</v>
      </c>
      <c r="U255" t="s">
        <v>814</v>
      </c>
      <c r="V255">
        <v>0</v>
      </c>
      <c r="W255" s="1">
        <v>46140</v>
      </c>
      <c r="X255" s="1" t="s">
        <v>55</v>
      </c>
      <c r="Y255" s="1" t="s">
        <v>51</v>
      </c>
      <c r="Z255" s="1" t="s">
        <v>52</v>
      </c>
      <c r="AA255" s="1" t="s">
        <v>816</v>
      </c>
      <c r="AB255" s="1" t="s">
        <v>59</v>
      </c>
      <c r="AC255" s="1"/>
      <c r="AD255" s="1">
        <v>44569</v>
      </c>
      <c r="AE255" s="1">
        <v>44984</v>
      </c>
      <c r="AF255" s="1">
        <v>44982</v>
      </c>
      <c r="AG255" s="1">
        <v>22.03</v>
      </c>
      <c r="AH255" s="1" t="s">
        <v>54</v>
      </c>
      <c r="AI255" s="1"/>
      <c r="AJ255" s="31">
        <v>44569</v>
      </c>
      <c r="AK255"/>
      <c r="AL255"/>
      <c r="AM255"/>
      <c r="AN255"/>
      <c r="AO255"/>
      <c r="AP255"/>
    </row>
    <row r="256" spans="1:42" hidden="1">
      <c r="A256" s="1" t="s">
        <v>2542</v>
      </c>
      <c r="B256" s="1">
        <v>220108</v>
      </c>
      <c r="C256" s="1">
        <v>8210027</v>
      </c>
      <c r="D256" s="1" t="s">
        <v>818</v>
      </c>
      <c r="E256" s="1" t="s">
        <v>3162</v>
      </c>
      <c r="F256"/>
      <c r="G256"/>
      <c r="H256" s="1" t="s">
        <v>537</v>
      </c>
      <c r="I256" s="1" t="s">
        <v>538</v>
      </c>
      <c r="J256" s="1" t="s">
        <v>18</v>
      </c>
      <c r="K256" s="1" t="s">
        <v>50</v>
      </c>
      <c r="L256" s="1">
        <v>33230</v>
      </c>
      <c r="M256" s="1">
        <v>34</v>
      </c>
      <c r="N256" s="1">
        <v>1400</v>
      </c>
      <c r="P256" s="1">
        <v>1990</v>
      </c>
      <c r="Q256" s="1"/>
      <c r="R256" s="1">
        <v>590</v>
      </c>
      <c r="S256">
        <v>280000</v>
      </c>
      <c r="T256">
        <v>14042</v>
      </c>
      <c r="U256" t="s">
        <v>814</v>
      </c>
      <c r="V256">
        <v>25620</v>
      </c>
      <c r="W256" s="1">
        <v>45251</v>
      </c>
      <c r="X256" s="1" t="s">
        <v>55</v>
      </c>
      <c r="Y256" s="1" t="s">
        <v>51</v>
      </c>
      <c r="Z256" s="1" t="s">
        <v>2638</v>
      </c>
      <c r="AA256" s="1" t="s">
        <v>2645</v>
      </c>
      <c r="AB256" s="1" t="s">
        <v>3127</v>
      </c>
      <c r="AC256" s="1">
        <v>44569</v>
      </c>
      <c r="AD256" s="1">
        <v>44571</v>
      </c>
      <c r="AE256" s="1">
        <v>44952</v>
      </c>
      <c r="AF256" s="1"/>
      <c r="AG256" s="1">
        <v>22.03</v>
      </c>
      <c r="AH256" s="1" t="s">
        <v>54</v>
      </c>
      <c r="AI256" s="1" t="s">
        <v>3200</v>
      </c>
      <c r="AJ256" s="31">
        <v>44571</v>
      </c>
      <c r="AK256"/>
      <c r="AL256"/>
      <c r="AM256"/>
      <c r="AN256"/>
      <c r="AO256"/>
      <c r="AP256"/>
    </row>
    <row r="257" spans="1:42" hidden="1">
      <c r="A257" s="1" t="s">
        <v>2542</v>
      </c>
      <c r="B257" s="1">
        <v>200801</v>
      </c>
      <c r="C257" s="1">
        <v>84105</v>
      </c>
      <c r="D257" s="1" t="s">
        <v>107</v>
      </c>
      <c r="E257" s="1" t="s">
        <v>2972</v>
      </c>
      <c r="F257"/>
      <c r="G257"/>
      <c r="H257" s="1" t="s">
        <v>2547</v>
      </c>
      <c r="I257" s="1" t="s">
        <v>2548</v>
      </c>
      <c r="J257" s="1" t="s">
        <v>18</v>
      </c>
      <c r="K257" s="1" t="s">
        <v>50</v>
      </c>
      <c r="L257" s="1">
        <v>32431</v>
      </c>
      <c r="M257" s="1">
        <v>37</v>
      </c>
      <c r="N257" s="1">
        <v>1600</v>
      </c>
      <c r="O257" s="1" t="s">
        <v>3205</v>
      </c>
      <c r="P257" s="1">
        <v>2300</v>
      </c>
      <c r="Q257" s="1" t="s">
        <v>3206</v>
      </c>
      <c r="R257" s="1">
        <v>700</v>
      </c>
      <c r="S257">
        <v>320000</v>
      </c>
      <c r="T257">
        <v>16048</v>
      </c>
      <c r="U257" t="s">
        <v>814</v>
      </c>
      <c r="V257">
        <v>29280</v>
      </c>
      <c r="W257" s="1">
        <v>46309</v>
      </c>
      <c r="X257" s="1" t="s">
        <v>55</v>
      </c>
      <c r="Y257" s="1" t="s">
        <v>51</v>
      </c>
      <c r="Z257" s="1" t="s">
        <v>115</v>
      </c>
      <c r="AA257" s="1" t="s">
        <v>116</v>
      </c>
      <c r="AB257" s="1" t="s">
        <v>145</v>
      </c>
      <c r="AC257" s="1">
        <v>44571</v>
      </c>
      <c r="AD257" s="1">
        <v>44573</v>
      </c>
      <c r="AE257" s="1">
        <v>45370</v>
      </c>
      <c r="AF257" s="1"/>
      <c r="AG257" s="1">
        <v>22.03</v>
      </c>
      <c r="AH257" s="1" t="s">
        <v>54</v>
      </c>
      <c r="AI257" s="1" t="s">
        <v>3207</v>
      </c>
      <c r="AJ257" s="31">
        <v>44573</v>
      </c>
      <c r="AK257"/>
      <c r="AL257"/>
      <c r="AM257"/>
      <c r="AN257"/>
      <c r="AO257"/>
      <c r="AP257"/>
    </row>
    <row r="258" spans="1:42" hidden="1">
      <c r="A258" s="1" t="s">
        <v>2542</v>
      </c>
      <c r="B258" s="1">
        <v>220110</v>
      </c>
      <c r="D258" s="1" t="s">
        <v>83</v>
      </c>
      <c r="F258"/>
      <c r="G258"/>
      <c r="H258" s="1" t="s">
        <v>3208</v>
      </c>
      <c r="I258" s="1" t="s">
        <v>3209</v>
      </c>
      <c r="J258" s="1" t="s">
        <v>18</v>
      </c>
      <c r="K258" s="1" t="s">
        <v>200</v>
      </c>
      <c r="L258" s="1">
        <v>32516</v>
      </c>
      <c r="M258" s="1">
        <v>36</v>
      </c>
      <c r="N258" s="1">
        <v>1350</v>
      </c>
      <c r="P258" s="1">
        <v>1750</v>
      </c>
      <c r="Q258" s="1"/>
      <c r="R258" s="1">
        <v>400</v>
      </c>
      <c r="S258"/>
      <c r="T258" t="s">
        <v>55</v>
      </c>
      <c r="U258" t="s">
        <v>814</v>
      </c>
      <c r="V258" t="s">
        <v>55</v>
      </c>
      <c r="W258" s="1">
        <v>44985</v>
      </c>
      <c r="X258" s="1" t="s">
        <v>55</v>
      </c>
      <c r="Y258" s="1" t="s">
        <v>51</v>
      </c>
      <c r="Z258" s="1" t="s">
        <v>110</v>
      </c>
      <c r="AA258" s="1" t="s">
        <v>3210</v>
      </c>
      <c r="AB258" s="1" t="s">
        <v>3211</v>
      </c>
      <c r="AC258" s="1">
        <v>44569</v>
      </c>
      <c r="AD258" s="1">
        <v>44573</v>
      </c>
      <c r="AE258" s="1">
        <v>44655</v>
      </c>
      <c r="AF258" s="1"/>
      <c r="AG258" s="1">
        <v>22.03</v>
      </c>
      <c r="AH258" s="1" t="s">
        <v>54</v>
      </c>
      <c r="AI258" s="1"/>
      <c r="AJ258" s="31">
        <v>44573</v>
      </c>
      <c r="AK258"/>
      <c r="AL258"/>
      <c r="AM258"/>
      <c r="AN258"/>
      <c r="AO258"/>
      <c r="AP258"/>
    </row>
    <row r="259" spans="1:42" hidden="1">
      <c r="A259" s="1" t="s">
        <v>2542</v>
      </c>
      <c r="B259" s="1">
        <v>220111</v>
      </c>
      <c r="C259" s="1">
        <v>232039</v>
      </c>
      <c r="D259" s="1" t="s">
        <v>83</v>
      </c>
      <c r="E259" s="1" t="s">
        <v>307</v>
      </c>
      <c r="F259" t="s">
        <v>2655</v>
      </c>
      <c r="G259" t="s">
        <v>2656</v>
      </c>
      <c r="H259" s="1" t="s">
        <v>3203</v>
      </c>
      <c r="I259" s="1" t="s">
        <v>3204</v>
      </c>
      <c r="J259" s="1" t="s">
        <v>18</v>
      </c>
      <c r="K259" s="1" t="s">
        <v>200</v>
      </c>
      <c r="L259" s="1">
        <v>34466</v>
      </c>
      <c r="M259" s="1">
        <v>31</v>
      </c>
      <c r="N259" s="1">
        <v>1400</v>
      </c>
      <c r="P259" s="1">
        <v>1790</v>
      </c>
      <c r="Q259" s="1"/>
      <c r="R259" s="1">
        <v>390</v>
      </c>
      <c r="S259">
        <v>300000</v>
      </c>
      <c r="T259">
        <v>15045</v>
      </c>
      <c r="U259" t="s">
        <v>814</v>
      </c>
      <c r="V259">
        <v>27450</v>
      </c>
      <c r="W259" s="1">
        <v>46078</v>
      </c>
      <c r="X259" s="1" t="s">
        <v>55</v>
      </c>
      <c r="Y259" s="1" t="s">
        <v>51</v>
      </c>
      <c r="Z259" s="1" t="s">
        <v>110</v>
      </c>
      <c r="AA259" s="1" t="s">
        <v>198</v>
      </c>
      <c r="AB259" s="1" t="s">
        <v>756</v>
      </c>
      <c r="AC259" s="1">
        <v>44958</v>
      </c>
      <c r="AD259" s="1">
        <v>44573</v>
      </c>
      <c r="AE259" s="1">
        <v>45044</v>
      </c>
      <c r="AF259" s="1"/>
      <c r="AG259" s="1">
        <v>22.03</v>
      </c>
      <c r="AH259" s="1" t="s">
        <v>54</v>
      </c>
      <c r="AI259" s="1"/>
      <c r="AJ259" s="31">
        <v>44573</v>
      </c>
      <c r="AK259"/>
      <c r="AL259"/>
      <c r="AM259"/>
      <c r="AN259"/>
      <c r="AO259"/>
      <c r="AP259"/>
    </row>
    <row r="260" spans="1:42" hidden="1">
      <c r="A260" s="1" t="s">
        <v>2542</v>
      </c>
      <c r="B260" s="1">
        <v>220112</v>
      </c>
      <c r="C260" s="1">
        <v>232038</v>
      </c>
      <c r="D260" s="1" t="s">
        <v>83</v>
      </c>
      <c r="E260" s="1" t="s">
        <v>309</v>
      </c>
      <c r="F260" t="s">
        <v>365</v>
      </c>
      <c r="G260"/>
      <c r="H260" s="1" t="s">
        <v>3201</v>
      </c>
      <c r="I260" s="1" t="s">
        <v>3202</v>
      </c>
      <c r="J260" s="1" t="s">
        <v>18</v>
      </c>
      <c r="K260" s="1" t="s">
        <v>50</v>
      </c>
      <c r="L260" s="1">
        <v>33912</v>
      </c>
      <c r="M260" s="1">
        <v>33</v>
      </c>
      <c r="N260" s="1">
        <v>1400</v>
      </c>
      <c r="P260" s="1">
        <v>1770</v>
      </c>
      <c r="Q260" s="1"/>
      <c r="R260" s="1">
        <v>370</v>
      </c>
      <c r="S260">
        <v>280000</v>
      </c>
      <c r="T260">
        <v>14042</v>
      </c>
      <c r="U260" t="s">
        <v>814</v>
      </c>
      <c r="V260">
        <v>25620</v>
      </c>
      <c r="W260" s="1">
        <v>45258</v>
      </c>
      <c r="X260" s="1" t="s">
        <v>55</v>
      </c>
      <c r="Y260" s="1" t="s">
        <v>51</v>
      </c>
      <c r="Z260" s="1" t="s">
        <v>110</v>
      </c>
      <c r="AA260" s="1" t="s">
        <v>198</v>
      </c>
      <c r="AB260" s="1" t="s">
        <v>199</v>
      </c>
      <c r="AC260" s="1">
        <v>44568</v>
      </c>
      <c r="AD260" s="1">
        <v>44573</v>
      </c>
      <c r="AE260" s="1">
        <v>44943</v>
      </c>
      <c r="AF260" s="1">
        <v>44936</v>
      </c>
      <c r="AG260" s="1">
        <v>22.03</v>
      </c>
      <c r="AH260" s="1" t="s">
        <v>54</v>
      </c>
      <c r="AI260" s="1"/>
      <c r="AJ260" s="31">
        <v>44573</v>
      </c>
      <c r="AK260"/>
      <c r="AL260"/>
      <c r="AM260"/>
      <c r="AN260"/>
      <c r="AO260"/>
      <c r="AP260"/>
    </row>
    <row r="261" spans="1:42" hidden="1">
      <c r="A261" s="1" t="s">
        <v>2542</v>
      </c>
      <c r="B261" s="1">
        <v>220113</v>
      </c>
      <c r="C261" s="1">
        <v>242031</v>
      </c>
      <c r="D261" s="1" t="s">
        <v>69</v>
      </c>
      <c r="E261" s="1" t="s">
        <v>306</v>
      </c>
      <c r="F261" t="s">
        <v>390</v>
      </c>
      <c r="G261"/>
      <c r="H261" s="1" t="s">
        <v>3212</v>
      </c>
      <c r="I261" s="1" t="s">
        <v>3213</v>
      </c>
      <c r="J261" s="1" t="s">
        <v>18</v>
      </c>
      <c r="K261" s="1" t="s">
        <v>50</v>
      </c>
      <c r="L261" s="1">
        <v>34870</v>
      </c>
      <c r="M261" s="1">
        <v>30</v>
      </c>
      <c r="N261" s="1">
        <v>1410</v>
      </c>
      <c r="P261" s="1">
        <v>1760</v>
      </c>
      <c r="Q261" s="1"/>
      <c r="R261" s="1">
        <v>350</v>
      </c>
      <c r="S261">
        <v>340000</v>
      </c>
      <c r="T261">
        <v>17051</v>
      </c>
      <c r="U261" t="s">
        <v>814</v>
      </c>
      <c r="V261">
        <v>31110</v>
      </c>
      <c r="W261" s="1">
        <v>45332</v>
      </c>
      <c r="X261" s="1" t="s">
        <v>55</v>
      </c>
      <c r="Y261" s="1" t="s">
        <v>51</v>
      </c>
      <c r="Z261" s="1" t="s">
        <v>427</v>
      </c>
      <c r="AA261" s="1" t="s">
        <v>445</v>
      </c>
      <c r="AB261" s="1" t="s">
        <v>446</v>
      </c>
      <c r="AC261" s="1" t="s">
        <v>53</v>
      </c>
      <c r="AD261" s="1">
        <v>44575</v>
      </c>
      <c r="AE261" s="1">
        <v>45044</v>
      </c>
      <c r="AF261" s="1"/>
      <c r="AG261" s="1">
        <v>22.03</v>
      </c>
      <c r="AH261" s="1" t="s">
        <v>54</v>
      </c>
      <c r="AI261" s="1"/>
      <c r="AJ261" s="31">
        <v>44575</v>
      </c>
      <c r="AK261"/>
      <c r="AL261"/>
      <c r="AM261"/>
      <c r="AN261"/>
      <c r="AO261"/>
      <c r="AP261"/>
    </row>
    <row r="262" spans="1:42" hidden="1">
      <c r="A262" s="1" t="s">
        <v>2542</v>
      </c>
      <c r="B262" s="1">
        <v>220114</v>
      </c>
      <c r="C262" s="1">
        <v>8210032</v>
      </c>
      <c r="D262" s="1" t="s">
        <v>815</v>
      </c>
      <c r="E262" s="1" t="s">
        <v>3214</v>
      </c>
      <c r="F262"/>
      <c r="G262"/>
      <c r="H262" s="1" t="s">
        <v>3215</v>
      </c>
      <c r="I262" s="1" t="s">
        <v>3216</v>
      </c>
      <c r="J262" s="1" t="s">
        <v>18</v>
      </c>
      <c r="K262" s="1" t="s">
        <v>50</v>
      </c>
      <c r="L262" s="1">
        <v>34201</v>
      </c>
      <c r="M262" s="1">
        <v>32</v>
      </c>
      <c r="N262" s="1">
        <v>1400</v>
      </c>
      <c r="P262" s="1">
        <v>1990</v>
      </c>
      <c r="Q262" s="1"/>
      <c r="R262" s="1">
        <v>590</v>
      </c>
      <c r="S262"/>
      <c r="T262" t="s">
        <v>55</v>
      </c>
      <c r="U262" t="s">
        <v>814</v>
      </c>
      <c r="V262" t="s">
        <v>55</v>
      </c>
      <c r="W262" s="1">
        <v>45366</v>
      </c>
      <c r="X262" s="1" t="s">
        <v>55</v>
      </c>
      <c r="Y262" s="1" t="s">
        <v>51</v>
      </c>
      <c r="Z262" s="1" t="s">
        <v>530</v>
      </c>
      <c r="AA262" s="1" t="s">
        <v>2994</v>
      </c>
      <c r="AB262" s="1" t="s">
        <v>531</v>
      </c>
      <c r="AC262" s="1"/>
      <c r="AD262" s="1">
        <v>44578</v>
      </c>
      <c r="AE262" s="1">
        <v>44742</v>
      </c>
      <c r="AF262" s="1"/>
      <c r="AG262" s="1">
        <v>22.04</v>
      </c>
      <c r="AH262" s="1" t="s">
        <v>54</v>
      </c>
      <c r="AI262" s="1"/>
      <c r="AJ262" s="31">
        <v>44578</v>
      </c>
      <c r="AK262"/>
      <c r="AL262"/>
      <c r="AM262"/>
      <c r="AN262"/>
      <c r="AO262"/>
      <c r="AP262"/>
    </row>
    <row r="263" spans="1:42" hidden="1">
      <c r="A263" s="1" t="s">
        <v>2542</v>
      </c>
      <c r="B263" s="1">
        <v>220115</v>
      </c>
      <c r="C263" s="1">
        <v>8210029</v>
      </c>
      <c r="D263" s="1" t="s">
        <v>815</v>
      </c>
      <c r="E263" s="1" t="s">
        <v>828</v>
      </c>
      <c r="F263" t="s">
        <v>828</v>
      </c>
      <c r="G263"/>
      <c r="H263" s="1" t="s">
        <v>541</v>
      </c>
      <c r="I263" s="1" t="s">
        <v>542</v>
      </c>
      <c r="J263" s="1" t="s">
        <v>18</v>
      </c>
      <c r="K263" s="1" t="s">
        <v>50</v>
      </c>
      <c r="L263" s="1">
        <v>35393</v>
      </c>
      <c r="M263" s="1">
        <v>29</v>
      </c>
      <c r="N263" s="1">
        <v>1400</v>
      </c>
      <c r="P263" s="1">
        <v>1990</v>
      </c>
      <c r="Q263" s="1"/>
      <c r="R263" s="1">
        <v>590</v>
      </c>
      <c r="S263">
        <v>320000</v>
      </c>
      <c r="T263">
        <v>16048</v>
      </c>
      <c r="U263" t="s">
        <v>814</v>
      </c>
      <c r="V263">
        <v>29280</v>
      </c>
      <c r="W263" s="1">
        <v>46720</v>
      </c>
      <c r="X263" s="1" t="s">
        <v>55</v>
      </c>
      <c r="Y263" s="1" t="s">
        <v>51</v>
      </c>
      <c r="Z263" s="1" t="s">
        <v>543</v>
      </c>
      <c r="AA263" s="1" t="s">
        <v>544</v>
      </c>
      <c r="AB263" s="1" t="s">
        <v>545</v>
      </c>
      <c r="AC263" s="1">
        <v>44575</v>
      </c>
      <c r="AD263" s="1">
        <v>44578</v>
      </c>
      <c r="AE263" s="1">
        <v>45684</v>
      </c>
      <c r="AF263" s="1"/>
      <c r="AG263" s="1">
        <v>22.04</v>
      </c>
      <c r="AH263" s="1" t="s">
        <v>54</v>
      </c>
      <c r="AI263" s="1"/>
      <c r="AJ263" s="31">
        <v>44578</v>
      </c>
      <c r="AK263" t="s">
        <v>2489</v>
      </c>
      <c r="AL263">
        <v>45650</v>
      </c>
      <c r="AM263" t="s">
        <v>2423</v>
      </c>
      <c r="AN263">
        <v>45900</v>
      </c>
      <c r="AO263"/>
      <c r="AP263"/>
    </row>
    <row r="264" spans="1:42" hidden="1">
      <c r="A264" s="1" t="s">
        <v>2542</v>
      </c>
      <c r="B264" s="1">
        <v>220117</v>
      </c>
      <c r="C264" s="1">
        <v>8210031</v>
      </c>
      <c r="D264" s="1" t="s">
        <v>815</v>
      </c>
      <c r="E264" s="1" t="s">
        <v>3214</v>
      </c>
      <c r="G264"/>
      <c r="H264" s="1" t="s">
        <v>3217</v>
      </c>
      <c r="I264" s="1" t="s">
        <v>3218</v>
      </c>
      <c r="J264" s="1" t="s">
        <v>18</v>
      </c>
      <c r="K264" s="1" t="s">
        <v>50</v>
      </c>
      <c r="L264" s="1">
        <v>34808</v>
      </c>
      <c r="M264" s="1">
        <v>30</v>
      </c>
      <c r="N264" s="1">
        <v>1400</v>
      </c>
      <c r="P264" s="1">
        <v>1960</v>
      </c>
      <c r="Q264" s="1"/>
      <c r="R264" s="1">
        <v>560</v>
      </c>
      <c r="S264"/>
      <c r="T264" t="s">
        <v>55</v>
      </c>
      <c r="U264" t="s">
        <v>814</v>
      </c>
      <c r="V264" t="s">
        <v>55</v>
      </c>
      <c r="W264" s="1">
        <v>45625</v>
      </c>
      <c r="X264" s="1" t="s">
        <v>55</v>
      </c>
      <c r="Y264" s="1" t="s">
        <v>51</v>
      </c>
      <c r="Z264" s="1" t="s">
        <v>543</v>
      </c>
      <c r="AA264" s="1" t="s">
        <v>544</v>
      </c>
      <c r="AB264" s="1" t="s">
        <v>545</v>
      </c>
      <c r="AC264" s="1">
        <v>44575</v>
      </c>
      <c r="AD264" s="1">
        <v>44578</v>
      </c>
      <c r="AE264" s="1">
        <v>44715</v>
      </c>
      <c r="AF264" s="1">
        <v>45198</v>
      </c>
      <c r="AG264" s="1">
        <v>22.04</v>
      </c>
      <c r="AH264" s="1" t="s">
        <v>54</v>
      </c>
      <c r="AI264" s="1"/>
      <c r="AJ264" s="31">
        <v>44578</v>
      </c>
      <c r="AK264"/>
      <c r="AL264"/>
      <c r="AM264"/>
      <c r="AN264"/>
      <c r="AO264"/>
      <c r="AP264"/>
    </row>
    <row r="265" spans="1:42" hidden="1">
      <c r="A265" s="1" t="s">
        <v>2542</v>
      </c>
      <c r="B265" s="1">
        <v>220118</v>
      </c>
      <c r="C265" s="1">
        <v>44</v>
      </c>
      <c r="D265" s="1" t="s">
        <v>813</v>
      </c>
      <c r="F265"/>
      <c r="G265"/>
      <c r="H265" s="1" t="s">
        <v>3219</v>
      </c>
      <c r="I265" s="1" t="s">
        <v>3220</v>
      </c>
      <c r="J265" s="1" t="s">
        <v>18</v>
      </c>
      <c r="K265" s="1" t="s">
        <v>50</v>
      </c>
      <c r="L265" s="1">
        <v>34418</v>
      </c>
      <c r="M265" s="1">
        <v>31</v>
      </c>
      <c r="N265" s="1">
        <v>1300</v>
      </c>
      <c r="P265" s="1">
        <v>1800</v>
      </c>
      <c r="Q265" s="1"/>
      <c r="R265" s="1">
        <v>500</v>
      </c>
      <c r="S265"/>
      <c r="T265" t="s">
        <v>55</v>
      </c>
      <c r="U265" t="s">
        <v>814</v>
      </c>
      <c r="V265" t="s">
        <v>55</v>
      </c>
      <c r="W265" s="1">
        <v>45132</v>
      </c>
      <c r="X265" s="1" t="s">
        <v>55</v>
      </c>
      <c r="Y265" s="1" t="s">
        <v>51</v>
      </c>
      <c r="Z265" s="1" t="s">
        <v>52</v>
      </c>
      <c r="AA265" s="1" t="s">
        <v>2546</v>
      </c>
      <c r="AB265" s="1" t="s">
        <v>124</v>
      </c>
      <c r="AC265" s="1">
        <v>44576</v>
      </c>
      <c r="AD265" s="1">
        <v>44578</v>
      </c>
      <c r="AE265" s="1">
        <v>44845</v>
      </c>
      <c r="AF265" s="1">
        <v>44834</v>
      </c>
      <c r="AG265" s="1">
        <v>22.04</v>
      </c>
      <c r="AH265" s="1" t="s">
        <v>54</v>
      </c>
      <c r="AI265" s="1"/>
      <c r="AJ265" s="31">
        <v>44578</v>
      </c>
      <c r="AK265"/>
      <c r="AL265"/>
      <c r="AM265"/>
      <c r="AN265"/>
      <c r="AO265"/>
      <c r="AP265"/>
    </row>
    <row r="266" spans="1:42" hidden="1">
      <c r="A266" s="1" t="s">
        <v>2542</v>
      </c>
      <c r="B266" s="1">
        <v>220119</v>
      </c>
      <c r="D266" s="1" t="s">
        <v>414</v>
      </c>
      <c r="E266" s="1" t="s">
        <v>1065</v>
      </c>
      <c r="F266" t="s">
        <v>1083</v>
      </c>
      <c r="G266" t="s">
        <v>1068</v>
      </c>
      <c r="H266" s="1" t="s">
        <v>3221</v>
      </c>
      <c r="I266" s="1" t="s">
        <v>3222</v>
      </c>
      <c r="J266" s="1" t="s">
        <v>17</v>
      </c>
      <c r="K266" s="1" t="s">
        <v>404</v>
      </c>
      <c r="L266" s="1">
        <v>26141</v>
      </c>
      <c r="M266" s="1">
        <v>54</v>
      </c>
      <c r="N266" s="1">
        <v>1300</v>
      </c>
      <c r="O266" s="1" t="s">
        <v>539</v>
      </c>
      <c r="P266" s="1">
        <v>1650</v>
      </c>
      <c r="Q266" s="1"/>
      <c r="R266" s="1">
        <v>350</v>
      </c>
      <c r="S266"/>
      <c r="T266" t="s">
        <v>55</v>
      </c>
      <c r="U266" t="s">
        <v>814</v>
      </c>
      <c r="V266" t="s">
        <v>55</v>
      </c>
      <c r="W266" s="1">
        <v>44822</v>
      </c>
      <c r="X266" s="1" t="s">
        <v>55</v>
      </c>
      <c r="Y266" s="1" t="s">
        <v>540</v>
      </c>
      <c r="Z266" s="1" t="s">
        <v>432</v>
      </c>
      <c r="AA266" s="1" t="s">
        <v>3223</v>
      </c>
      <c r="AB266" s="1" t="s">
        <v>3224</v>
      </c>
      <c r="AC266" s="1"/>
      <c r="AD266" s="1">
        <v>44578</v>
      </c>
      <c r="AE266" s="1">
        <v>44811</v>
      </c>
      <c r="AF266" s="1"/>
      <c r="AG266" s="1">
        <v>22.02</v>
      </c>
      <c r="AH266" s="1" t="s">
        <v>54</v>
      </c>
      <c r="AI266" s="1"/>
      <c r="AJ266" s="31">
        <v>44578</v>
      </c>
      <c r="AK266"/>
      <c r="AL266"/>
      <c r="AM266"/>
      <c r="AN266"/>
      <c r="AO266"/>
      <c r="AP266"/>
    </row>
    <row r="267" spans="1:42" hidden="1">
      <c r="A267" s="1" t="s">
        <v>2542</v>
      </c>
      <c r="B267" s="1">
        <v>220120</v>
      </c>
      <c r="D267" s="1" t="s">
        <v>414</v>
      </c>
      <c r="E267" s="1" t="s">
        <v>1065</v>
      </c>
      <c r="F267" t="s">
        <v>1083</v>
      </c>
      <c r="G267" t="s">
        <v>1068</v>
      </c>
      <c r="H267" s="1" t="s">
        <v>3225</v>
      </c>
      <c r="I267" s="1" t="s">
        <v>3226</v>
      </c>
      <c r="J267" s="1" t="s">
        <v>17</v>
      </c>
      <c r="K267" s="1" t="s">
        <v>404</v>
      </c>
      <c r="L267" s="1">
        <v>25487</v>
      </c>
      <c r="M267" s="1">
        <v>56</v>
      </c>
      <c r="N267" s="1">
        <v>1250</v>
      </c>
      <c r="O267" s="1" t="s">
        <v>539</v>
      </c>
      <c r="P267" s="1">
        <v>1650</v>
      </c>
      <c r="Q267" s="1"/>
      <c r="R267" s="1">
        <v>400</v>
      </c>
      <c r="S267"/>
      <c r="T267" t="s">
        <v>55</v>
      </c>
      <c r="U267" t="s">
        <v>814</v>
      </c>
      <c r="V267" t="s">
        <v>55</v>
      </c>
      <c r="W267" s="1">
        <v>45059</v>
      </c>
      <c r="X267" s="1" t="s">
        <v>55</v>
      </c>
      <c r="Y267" s="1" t="s">
        <v>3227</v>
      </c>
      <c r="Z267" s="1" t="s">
        <v>3228</v>
      </c>
      <c r="AA267" s="1" t="s">
        <v>3223</v>
      </c>
      <c r="AB267" s="1" t="s">
        <v>3229</v>
      </c>
      <c r="AC267" s="1" t="s">
        <v>53</v>
      </c>
      <c r="AD267" s="1">
        <v>44578</v>
      </c>
      <c r="AE267" s="1">
        <v>44824</v>
      </c>
      <c r="AF267" s="1"/>
      <c r="AG267" s="1">
        <v>22.02</v>
      </c>
      <c r="AH267" s="1" t="s">
        <v>54</v>
      </c>
      <c r="AI267" s="1"/>
      <c r="AJ267" s="31">
        <v>44578</v>
      </c>
      <c r="AK267"/>
      <c r="AL267"/>
      <c r="AM267"/>
      <c r="AN267"/>
      <c r="AO267"/>
      <c r="AP267"/>
    </row>
    <row r="268" spans="1:42">
      <c r="A268" s="1" t="s">
        <v>49</v>
      </c>
      <c r="B268" s="1">
        <v>240317</v>
      </c>
      <c r="C268" s="1">
        <v>212047</v>
      </c>
      <c r="D268" s="1" t="s">
        <v>75</v>
      </c>
      <c r="E268" s="1" t="s">
        <v>3934</v>
      </c>
      <c r="F268" t="s">
        <v>736</v>
      </c>
      <c r="G268" t="s">
        <v>317</v>
      </c>
      <c r="H268" s="1" t="s">
        <v>2220</v>
      </c>
      <c r="I268" s="1" t="s">
        <v>2221</v>
      </c>
      <c r="J268" s="1" t="s">
        <v>18</v>
      </c>
      <c r="K268" s="1" t="s">
        <v>50</v>
      </c>
      <c r="L268" s="1">
        <v>37041</v>
      </c>
      <c r="M268" s="1">
        <v>24</v>
      </c>
      <c r="N268" s="1">
        <v>1300</v>
      </c>
      <c r="P268" s="1">
        <v>1670</v>
      </c>
      <c r="Q268" s="1"/>
      <c r="R268" s="1">
        <v>370</v>
      </c>
      <c r="S268">
        <v>240000</v>
      </c>
      <c r="T268">
        <v>12036</v>
      </c>
      <c r="U268" t="s">
        <v>814</v>
      </c>
      <c r="V268">
        <v>21960</v>
      </c>
      <c r="W268" s="1">
        <v>46106</v>
      </c>
      <c r="X268" s="1" t="s">
        <v>55</v>
      </c>
      <c r="Y268" s="1" t="s">
        <v>51</v>
      </c>
      <c r="Z268" s="1" t="s">
        <v>67</v>
      </c>
      <c r="AA268" s="1" t="s">
        <v>2321</v>
      </c>
      <c r="AB268" s="1" t="s">
        <v>2322</v>
      </c>
      <c r="AC268" s="1"/>
      <c r="AD268" s="1">
        <v>45366</v>
      </c>
      <c r="AE268" s="1"/>
      <c r="AF268" s="1"/>
      <c r="AG268" s="1" t="s">
        <v>2320</v>
      </c>
      <c r="AH268" s="1" t="s">
        <v>2294</v>
      </c>
      <c r="AI268" s="1"/>
      <c r="AJ268" s="31">
        <v>45366</v>
      </c>
      <c r="AK268"/>
      <c r="AL268"/>
      <c r="AM268"/>
      <c r="AN268"/>
      <c r="AO268" t="s">
        <v>4165</v>
      </c>
      <c r="AP268"/>
    </row>
    <row r="269" spans="1:42" hidden="1">
      <c r="A269" s="1" t="s">
        <v>2542</v>
      </c>
      <c r="B269" s="1">
        <v>220122</v>
      </c>
      <c r="C269" s="1">
        <v>60060</v>
      </c>
      <c r="D269" s="1" t="s">
        <v>168</v>
      </c>
      <c r="E269" s="1" t="s">
        <v>193</v>
      </c>
      <c r="H269" s="1" t="s">
        <v>3230</v>
      </c>
      <c r="I269" s="1" t="s">
        <v>3231</v>
      </c>
      <c r="J269" s="1" t="s">
        <v>18</v>
      </c>
      <c r="K269" s="1" t="s">
        <v>50</v>
      </c>
      <c r="L269" s="1">
        <v>34656</v>
      </c>
      <c r="M269" s="1">
        <v>31</v>
      </c>
      <c r="N269" s="1">
        <v>1400</v>
      </c>
      <c r="P269" s="1">
        <v>2000</v>
      </c>
      <c r="Q269" s="1"/>
      <c r="R269" s="1">
        <v>600</v>
      </c>
      <c r="S269" s="1"/>
      <c r="T269" s="1" t="s">
        <v>55</v>
      </c>
      <c r="U269" s="1" t="s">
        <v>814</v>
      </c>
      <c r="V269" s="1" t="s">
        <v>55</v>
      </c>
      <c r="W269" s="1">
        <v>45170</v>
      </c>
      <c r="X269" s="1" t="s">
        <v>55</v>
      </c>
      <c r="Y269" s="1" t="s">
        <v>51</v>
      </c>
      <c r="Z269" s="1" t="s">
        <v>3232</v>
      </c>
      <c r="AA269" s="1" t="s">
        <v>3233</v>
      </c>
      <c r="AB269" s="1" t="s">
        <v>3234</v>
      </c>
      <c r="AC269" s="1">
        <v>44582</v>
      </c>
      <c r="AD269" s="1">
        <v>44579</v>
      </c>
      <c r="AE269" s="1">
        <v>44802</v>
      </c>
      <c r="AF269" s="1"/>
      <c r="AG269" s="1">
        <v>22.04</v>
      </c>
      <c r="AH269" s="1" t="s">
        <v>54</v>
      </c>
      <c r="AI269" s="1"/>
      <c r="AJ269" s="31">
        <v>44579</v>
      </c>
      <c r="AK269"/>
      <c r="AL269"/>
      <c r="AM269"/>
      <c r="AN269"/>
      <c r="AO269"/>
      <c r="AP269"/>
    </row>
    <row r="270" spans="1:42" hidden="1">
      <c r="A270" s="1" t="s">
        <v>2542</v>
      </c>
      <c r="B270" s="1">
        <v>220123</v>
      </c>
      <c r="D270" s="1" t="s">
        <v>83</v>
      </c>
      <c r="F270"/>
      <c r="G270"/>
      <c r="H270" s="1" t="s">
        <v>3235</v>
      </c>
      <c r="I270" s="1" t="s">
        <v>3236</v>
      </c>
      <c r="J270" s="1" t="s">
        <v>18</v>
      </c>
      <c r="K270" s="1" t="s">
        <v>200</v>
      </c>
      <c r="L270" s="1">
        <v>35415</v>
      </c>
      <c r="M270" s="1">
        <v>28</v>
      </c>
      <c r="N270" s="1">
        <v>1350</v>
      </c>
      <c r="P270" s="1">
        <v>1750</v>
      </c>
      <c r="Q270" s="1"/>
      <c r="R270" s="1">
        <v>400</v>
      </c>
      <c r="S270"/>
      <c r="T270" t="s">
        <v>55</v>
      </c>
      <c r="U270" t="s">
        <v>814</v>
      </c>
      <c r="V270" t="s">
        <v>55</v>
      </c>
      <c r="W270" s="1">
        <v>45867</v>
      </c>
      <c r="X270" s="1" t="s">
        <v>55</v>
      </c>
      <c r="Y270" s="1" t="s">
        <v>51</v>
      </c>
      <c r="Z270" s="1"/>
      <c r="AA270" s="1"/>
      <c r="AB270" s="1"/>
      <c r="AC270" s="1"/>
      <c r="AD270" s="1">
        <v>44579</v>
      </c>
      <c r="AE270" s="1">
        <v>44582</v>
      </c>
      <c r="AF270" s="1"/>
      <c r="AG270" s="1"/>
      <c r="AH270" s="1"/>
      <c r="AI270" s="1"/>
      <c r="AJ270" s="31">
        <v>44579</v>
      </c>
      <c r="AK270"/>
      <c r="AL270"/>
      <c r="AM270"/>
      <c r="AN270"/>
      <c r="AO270"/>
      <c r="AP270"/>
    </row>
    <row r="271" spans="1:42" hidden="1">
      <c r="A271" s="1" t="s">
        <v>2542</v>
      </c>
      <c r="B271" s="1">
        <v>220121</v>
      </c>
      <c r="C271" s="1">
        <v>212018</v>
      </c>
      <c r="D271" s="1" t="s">
        <v>75</v>
      </c>
      <c r="E271" s="1" t="s">
        <v>3934</v>
      </c>
      <c r="F271" t="s">
        <v>739</v>
      </c>
      <c r="G271" t="s">
        <v>1092</v>
      </c>
      <c r="H271" s="1" t="s">
        <v>207</v>
      </c>
      <c r="I271" s="1" t="s">
        <v>208</v>
      </c>
      <c r="J271" s="1" t="s">
        <v>18</v>
      </c>
      <c r="K271" s="1" t="s">
        <v>50</v>
      </c>
      <c r="L271" s="1">
        <v>35377</v>
      </c>
      <c r="M271" s="1">
        <v>29</v>
      </c>
      <c r="N271" s="1">
        <v>1410</v>
      </c>
      <c r="P271" s="1">
        <v>1830</v>
      </c>
      <c r="Q271" s="1"/>
      <c r="R271" s="1">
        <v>420</v>
      </c>
      <c r="S271">
        <v>320000</v>
      </c>
      <c r="T271">
        <v>16048</v>
      </c>
      <c r="U271" t="s">
        <v>814</v>
      </c>
      <c r="V271">
        <v>29280</v>
      </c>
      <c r="W271" s="1">
        <v>46496</v>
      </c>
      <c r="X271" s="1" t="s">
        <v>55</v>
      </c>
      <c r="Y271" s="1" t="s">
        <v>51</v>
      </c>
      <c r="Z271" s="1" t="s">
        <v>67</v>
      </c>
      <c r="AA271" s="1" t="s">
        <v>68</v>
      </c>
      <c r="AB271" s="1" t="s">
        <v>3877</v>
      </c>
      <c r="AC271" s="1">
        <v>44558</v>
      </c>
      <c r="AD271" s="1">
        <v>44579</v>
      </c>
      <c r="AE271" s="1">
        <v>45889</v>
      </c>
      <c r="AF271" s="1"/>
      <c r="AG271" s="1">
        <v>22.04</v>
      </c>
      <c r="AH271" s="1" t="s">
        <v>54</v>
      </c>
      <c r="AI271" s="1"/>
      <c r="AJ271" s="31">
        <v>44579</v>
      </c>
      <c r="AK271"/>
      <c r="AL271"/>
      <c r="AM271"/>
      <c r="AN271"/>
      <c r="AO271"/>
      <c r="AP271"/>
    </row>
    <row r="272" spans="1:42" hidden="1">
      <c r="A272" s="1" t="s">
        <v>2542</v>
      </c>
      <c r="B272" s="1">
        <v>220124</v>
      </c>
      <c r="D272" s="1" t="s">
        <v>436</v>
      </c>
      <c r="E272" s="1" t="s">
        <v>2659</v>
      </c>
      <c r="F272"/>
      <c r="G272"/>
      <c r="H272" s="1" t="s">
        <v>3237</v>
      </c>
      <c r="I272" s="1" t="s">
        <v>3238</v>
      </c>
      <c r="J272" s="1" t="s">
        <v>18</v>
      </c>
      <c r="K272" s="1" t="s">
        <v>50</v>
      </c>
      <c r="L272" s="1">
        <v>32542</v>
      </c>
      <c r="M272" s="1">
        <v>36</v>
      </c>
      <c r="N272" s="1">
        <v>1500</v>
      </c>
      <c r="O272" s="1" t="s">
        <v>3239</v>
      </c>
      <c r="P272" s="1">
        <v>2000</v>
      </c>
      <c r="Q272" s="1"/>
      <c r="R272" s="1">
        <v>500</v>
      </c>
      <c r="S272">
        <v>300000</v>
      </c>
      <c r="T272">
        <v>15045</v>
      </c>
      <c r="U272" t="s">
        <v>814</v>
      </c>
      <c r="V272">
        <v>27450</v>
      </c>
      <c r="W272" s="1">
        <v>45463</v>
      </c>
      <c r="X272" s="1" t="s">
        <v>55</v>
      </c>
      <c r="Y272" s="1" t="s">
        <v>51</v>
      </c>
      <c r="Z272" s="1" t="s">
        <v>504</v>
      </c>
      <c r="AA272" s="1" t="s">
        <v>505</v>
      </c>
      <c r="AB272" s="1" t="s">
        <v>2513</v>
      </c>
      <c r="AC272" s="1">
        <v>44921</v>
      </c>
      <c r="AD272" s="1">
        <v>44581</v>
      </c>
      <c r="AE272" s="1">
        <v>45122</v>
      </c>
      <c r="AF272" s="1"/>
      <c r="AG272" s="1">
        <v>22.03</v>
      </c>
      <c r="AH272" s="1" t="s">
        <v>54</v>
      </c>
      <c r="AI272" s="1"/>
      <c r="AJ272" s="31">
        <v>44581</v>
      </c>
      <c r="AK272"/>
      <c r="AL272"/>
      <c r="AM272"/>
      <c r="AN272"/>
      <c r="AO272"/>
      <c r="AP272"/>
    </row>
    <row r="273" spans="1:42" hidden="1">
      <c r="A273" s="1" t="s">
        <v>2542</v>
      </c>
      <c r="B273" s="1">
        <v>210105</v>
      </c>
      <c r="C273" s="1">
        <v>212019</v>
      </c>
      <c r="D273" s="1" t="s">
        <v>75</v>
      </c>
      <c r="E273" s="1" t="s">
        <v>3934</v>
      </c>
      <c r="F273" t="s">
        <v>738</v>
      </c>
      <c r="G273"/>
      <c r="H273" s="1" t="s">
        <v>2635</v>
      </c>
      <c r="I273" s="1" t="s">
        <v>2636</v>
      </c>
      <c r="J273" s="1" t="s">
        <v>18</v>
      </c>
      <c r="K273" s="1" t="s">
        <v>50</v>
      </c>
      <c r="L273" s="1">
        <v>35053</v>
      </c>
      <c r="M273" s="1">
        <v>29</v>
      </c>
      <c r="N273" s="1">
        <v>1400</v>
      </c>
      <c r="P273" s="1">
        <v>1770</v>
      </c>
      <c r="Q273" s="1"/>
      <c r="R273" s="1">
        <v>370</v>
      </c>
      <c r="S273"/>
      <c r="T273" t="s">
        <v>55</v>
      </c>
      <c r="U273" t="s">
        <v>814</v>
      </c>
      <c r="V273" t="s">
        <v>55</v>
      </c>
      <c r="W273" s="1">
        <v>44990</v>
      </c>
      <c r="X273" s="1" t="s">
        <v>55</v>
      </c>
      <c r="Y273" s="1" t="s">
        <v>51</v>
      </c>
      <c r="Z273" s="1" t="s">
        <v>91</v>
      </c>
      <c r="AA273" s="1" t="s">
        <v>158</v>
      </c>
      <c r="AB273" s="1" t="s">
        <v>190</v>
      </c>
      <c r="AC273" s="1"/>
      <c r="AD273" s="1">
        <v>44585</v>
      </c>
      <c r="AE273" s="1">
        <v>44881</v>
      </c>
      <c r="AF273" s="1"/>
      <c r="AG273" s="1">
        <v>22.04</v>
      </c>
      <c r="AH273" s="1" t="s">
        <v>54</v>
      </c>
      <c r="AI273" s="1" t="s">
        <v>3240</v>
      </c>
      <c r="AJ273" s="31">
        <v>44585</v>
      </c>
      <c r="AK273"/>
      <c r="AL273"/>
      <c r="AM273"/>
      <c r="AN273"/>
      <c r="AO273"/>
      <c r="AP273"/>
    </row>
    <row r="274" spans="1:42" hidden="1">
      <c r="A274" s="1" t="s">
        <v>2542</v>
      </c>
      <c r="B274" s="1">
        <v>220125</v>
      </c>
      <c r="C274" s="1">
        <v>8210033</v>
      </c>
      <c r="D274" s="1" t="s">
        <v>818</v>
      </c>
      <c r="E274" s="1" t="s">
        <v>835</v>
      </c>
      <c r="F274" t="s">
        <v>835</v>
      </c>
      <c r="G274"/>
      <c r="H274" s="1" t="s">
        <v>546</v>
      </c>
      <c r="I274" s="1" t="s">
        <v>547</v>
      </c>
      <c r="J274" s="1" t="s">
        <v>18</v>
      </c>
      <c r="K274" s="1" t="s">
        <v>50</v>
      </c>
      <c r="L274" s="1">
        <v>35389</v>
      </c>
      <c r="M274" s="1">
        <v>29</v>
      </c>
      <c r="N274" s="1">
        <v>1400</v>
      </c>
      <c r="P274" s="1">
        <v>1990</v>
      </c>
      <c r="Q274" s="1"/>
      <c r="R274" s="1">
        <v>590</v>
      </c>
      <c r="S274">
        <v>380000</v>
      </c>
      <c r="T274">
        <v>19057</v>
      </c>
      <c r="U274" t="s">
        <v>814</v>
      </c>
      <c r="V274">
        <v>34770</v>
      </c>
      <c r="W274" s="1">
        <v>46720</v>
      </c>
      <c r="X274" s="1" t="s">
        <v>55</v>
      </c>
      <c r="Y274" s="1" t="s">
        <v>51</v>
      </c>
      <c r="Z274" s="1" t="s">
        <v>543</v>
      </c>
      <c r="AA274" s="1" t="s">
        <v>544</v>
      </c>
      <c r="AB274" s="1" t="s">
        <v>545</v>
      </c>
      <c r="AC274" s="1">
        <v>44582</v>
      </c>
      <c r="AD274" s="1">
        <v>44585</v>
      </c>
      <c r="AE274" s="1">
        <v>45700</v>
      </c>
      <c r="AF274" s="1"/>
      <c r="AG274" s="1">
        <v>22.04</v>
      </c>
      <c r="AH274" s="1" t="s">
        <v>54</v>
      </c>
      <c r="AI274" s="1"/>
      <c r="AJ274" s="31">
        <v>44585</v>
      </c>
      <c r="AK274" t="s">
        <v>2423</v>
      </c>
      <c r="AL274">
        <v>45646</v>
      </c>
      <c r="AM274" t="s">
        <v>2423</v>
      </c>
      <c r="AN274">
        <v>45898</v>
      </c>
      <c r="AO274"/>
      <c r="AP274"/>
    </row>
    <row r="275" spans="1:42" hidden="1">
      <c r="A275" s="1" t="s">
        <v>2542</v>
      </c>
      <c r="B275" s="1">
        <v>220126</v>
      </c>
      <c r="D275" s="1" t="s">
        <v>414</v>
      </c>
      <c r="E275" s="1" t="s">
        <v>1065</v>
      </c>
      <c r="F275" t="s">
        <v>1083</v>
      </c>
      <c r="G275" t="s">
        <v>1068</v>
      </c>
      <c r="H275" s="1" t="s">
        <v>3241</v>
      </c>
      <c r="I275" s="1" t="s">
        <v>3242</v>
      </c>
      <c r="J275" s="1" t="s">
        <v>17</v>
      </c>
      <c r="K275" s="1" t="s">
        <v>404</v>
      </c>
      <c r="L275" s="1">
        <v>28786</v>
      </c>
      <c r="M275" s="1">
        <v>47</v>
      </c>
      <c r="N275" s="1">
        <v>1250</v>
      </c>
      <c r="O275" s="1" t="s">
        <v>539</v>
      </c>
      <c r="P275" s="1">
        <v>1650</v>
      </c>
      <c r="Q275" s="1"/>
      <c r="R275" s="1">
        <v>400</v>
      </c>
      <c r="S275"/>
      <c r="T275" t="s">
        <v>55</v>
      </c>
      <c r="U275" t="s">
        <v>814</v>
      </c>
      <c r="V275" t="s">
        <v>55</v>
      </c>
      <c r="W275" s="1">
        <v>46425</v>
      </c>
      <c r="X275" s="1" t="s">
        <v>55</v>
      </c>
      <c r="Y275" s="1" t="s">
        <v>60</v>
      </c>
      <c r="Z275" s="1" t="s">
        <v>432</v>
      </c>
      <c r="AA275" s="1" t="s">
        <v>3223</v>
      </c>
      <c r="AB275" s="1" t="s">
        <v>3243</v>
      </c>
      <c r="AC275" s="1" t="s">
        <v>53</v>
      </c>
      <c r="AD275" s="1">
        <v>44585</v>
      </c>
      <c r="AE275" s="1">
        <v>44595</v>
      </c>
      <c r="AF275" s="1"/>
      <c r="AG275" s="1" t="s">
        <v>3244</v>
      </c>
      <c r="AH275" s="1"/>
      <c r="AI275" s="1"/>
      <c r="AJ275" s="31">
        <v>44585</v>
      </c>
      <c r="AK275"/>
      <c r="AL275"/>
      <c r="AM275"/>
      <c r="AN275"/>
      <c r="AO275"/>
      <c r="AP275"/>
    </row>
    <row r="276" spans="1:42" hidden="1">
      <c r="A276" s="1" t="s">
        <v>2542</v>
      </c>
      <c r="B276" s="1">
        <v>220127</v>
      </c>
      <c r="D276" s="1" t="s">
        <v>414</v>
      </c>
      <c r="E276" s="1" t="s">
        <v>1065</v>
      </c>
      <c r="F276" t="s">
        <v>1083</v>
      </c>
      <c r="G276" t="s">
        <v>1068</v>
      </c>
      <c r="H276" s="1" t="s">
        <v>3245</v>
      </c>
      <c r="I276" s="1" t="s">
        <v>3246</v>
      </c>
      <c r="J276" s="1" t="s">
        <v>17</v>
      </c>
      <c r="K276" s="1" t="s">
        <v>404</v>
      </c>
      <c r="L276" s="1">
        <v>26871</v>
      </c>
      <c r="M276" s="1">
        <v>52</v>
      </c>
      <c r="N276" s="1">
        <v>1250</v>
      </c>
      <c r="O276" s="1" t="s">
        <v>539</v>
      </c>
      <c r="P276" s="1">
        <v>1650</v>
      </c>
      <c r="Q276" s="1"/>
      <c r="R276" s="1">
        <v>400</v>
      </c>
      <c r="S276"/>
      <c r="T276" t="s">
        <v>55</v>
      </c>
      <c r="U276" t="s">
        <v>814</v>
      </c>
      <c r="V276" t="s">
        <v>55</v>
      </c>
      <c r="W276" s="1">
        <v>46680</v>
      </c>
      <c r="X276" s="1" t="s">
        <v>55</v>
      </c>
      <c r="Y276" s="1" t="s">
        <v>60</v>
      </c>
      <c r="Z276" s="1" t="s">
        <v>3247</v>
      </c>
      <c r="AA276" s="1" t="s">
        <v>3248</v>
      </c>
      <c r="AB276" s="1" t="s">
        <v>3249</v>
      </c>
      <c r="AC276" s="1" t="s">
        <v>53</v>
      </c>
      <c r="AD276" s="1">
        <v>44585</v>
      </c>
      <c r="AE276" s="1">
        <v>44603</v>
      </c>
      <c r="AF276" s="1"/>
      <c r="AG276" s="1" t="s">
        <v>3244</v>
      </c>
      <c r="AH276" s="1"/>
      <c r="AI276" s="1"/>
      <c r="AJ276" s="31">
        <v>44585</v>
      </c>
      <c r="AK276"/>
      <c r="AL276"/>
      <c r="AM276"/>
      <c r="AN276"/>
      <c r="AO276"/>
      <c r="AP276"/>
    </row>
    <row r="277" spans="1:42" hidden="1">
      <c r="A277" s="1" t="s">
        <v>2542</v>
      </c>
      <c r="B277" s="1">
        <v>220128</v>
      </c>
      <c r="D277" s="1" t="s">
        <v>548</v>
      </c>
      <c r="E277" s="1" t="s">
        <v>549</v>
      </c>
      <c r="F277"/>
      <c r="G277"/>
      <c r="H277" s="1" t="s">
        <v>836</v>
      </c>
      <c r="I277" s="1" t="s">
        <v>550</v>
      </c>
      <c r="J277" s="1" t="s">
        <v>18</v>
      </c>
      <c r="K277" s="1" t="s">
        <v>50</v>
      </c>
      <c r="L277" s="1">
        <v>33926</v>
      </c>
      <c r="M277" s="1">
        <v>33</v>
      </c>
      <c r="N277" s="1">
        <v>1450</v>
      </c>
      <c r="P277" s="1">
        <v>1900</v>
      </c>
      <c r="Q277" s="1"/>
      <c r="R277" s="1">
        <v>450</v>
      </c>
      <c r="S277">
        <v>240000</v>
      </c>
      <c r="T277">
        <v>12036</v>
      </c>
      <c r="U277" t="s">
        <v>814</v>
      </c>
      <c r="V277">
        <v>21960</v>
      </c>
      <c r="W277" s="1">
        <v>46311</v>
      </c>
      <c r="X277" s="1" t="s">
        <v>55</v>
      </c>
      <c r="Y277" s="1" t="s">
        <v>51</v>
      </c>
      <c r="Z277" s="1" t="s">
        <v>2335</v>
      </c>
      <c r="AA277" s="1" t="s">
        <v>4167</v>
      </c>
      <c r="AB277" s="1" t="s">
        <v>3940</v>
      </c>
      <c r="AC277" s="1" t="s">
        <v>53</v>
      </c>
      <c r="AD277" s="1">
        <v>44585</v>
      </c>
      <c r="AE277" s="1">
        <v>45950</v>
      </c>
      <c r="AF277" s="1"/>
      <c r="AG277" s="1">
        <v>22.02</v>
      </c>
      <c r="AH277" s="1" t="s">
        <v>54</v>
      </c>
      <c r="AI277" s="1"/>
      <c r="AJ277" s="31">
        <v>44585</v>
      </c>
      <c r="AK277"/>
      <c r="AL277"/>
      <c r="AM277"/>
      <c r="AN277"/>
      <c r="AO277"/>
      <c r="AP277"/>
    </row>
    <row r="278" spans="1:42" hidden="1">
      <c r="A278" s="1" t="s">
        <v>2542</v>
      </c>
      <c r="B278" s="1">
        <v>220129</v>
      </c>
      <c r="C278" s="1">
        <v>84112</v>
      </c>
      <c r="D278" s="1" t="s">
        <v>107</v>
      </c>
      <c r="E278" s="1" t="s">
        <v>3250</v>
      </c>
      <c r="F278"/>
      <c r="G278"/>
      <c r="H278" s="1" t="s">
        <v>3251</v>
      </c>
      <c r="I278" s="1" t="s">
        <v>3252</v>
      </c>
      <c r="J278" s="1" t="s">
        <v>18</v>
      </c>
      <c r="K278" s="1" t="s">
        <v>50</v>
      </c>
      <c r="L278" s="1">
        <v>33462</v>
      </c>
      <c r="M278" s="1">
        <v>34</v>
      </c>
      <c r="N278" s="1">
        <v>1500</v>
      </c>
      <c r="O278" s="1" t="s">
        <v>3253</v>
      </c>
      <c r="P278" s="1">
        <v>2300</v>
      </c>
      <c r="Q278" s="1" t="s">
        <v>3206</v>
      </c>
      <c r="R278" s="1">
        <v>800</v>
      </c>
      <c r="S278">
        <v>280000</v>
      </c>
      <c r="T278">
        <v>14042</v>
      </c>
      <c r="U278" t="s">
        <v>814</v>
      </c>
      <c r="V278">
        <v>25620</v>
      </c>
      <c r="W278" s="1">
        <v>46372</v>
      </c>
      <c r="X278" s="1" t="s">
        <v>55</v>
      </c>
      <c r="Y278" s="1" t="s">
        <v>51</v>
      </c>
      <c r="Z278" s="1" t="s">
        <v>3254</v>
      </c>
      <c r="AA278" s="1" t="s">
        <v>3255</v>
      </c>
      <c r="AB278" s="1" t="s">
        <v>3256</v>
      </c>
      <c r="AC278" s="1" t="s">
        <v>53</v>
      </c>
      <c r="AD278" s="1">
        <v>44585</v>
      </c>
      <c r="AE278" s="1">
        <v>44946</v>
      </c>
      <c r="AF278" s="1"/>
      <c r="AG278" s="1">
        <v>22.02</v>
      </c>
      <c r="AH278" s="1" t="s">
        <v>54</v>
      </c>
      <c r="AI278" s="1"/>
      <c r="AJ278" s="31">
        <v>44585</v>
      </c>
      <c r="AK278"/>
      <c r="AL278"/>
      <c r="AM278"/>
      <c r="AN278"/>
      <c r="AO278"/>
      <c r="AP278"/>
    </row>
    <row r="279" spans="1:42" hidden="1">
      <c r="A279" s="1" t="s">
        <v>49</v>
      </c>
      <c r="B279" s="1">
        <v>220130</v>
      </c>
      <c r="D279" s="1" t="s">
        <v>414</v>
      </c>
      <c r="E279" s="1" t="s">
        <v>1065</v>
      </c>
      <c r="F279" t="s">
        <v>1083</v>
      </c>
      <c r="G279" t="s">
        <v>1068</v>
      </c>
      <c r="H279" s="1" t="s">
        <v>108</v>
      </c>
      <c r="I279" s="1" t="s">
        <v>444</v>
      </c>
      <c r="J279" s="1" t="s">
        <v>18</v>
      </c>
      <c r="K279" s="1" t="s">
        <v>50</v>
      </c>
      <c r="L279" s="1">
        <v>32486</v>
      </c>
      <c r="M279" s="1">
        <v>36</v>
      </c>
      <c r="N279" s="1">
        <v>1300</v>
      </c>
      <c r="O279" s="1" t="s">
        <v>539</v>
      </c>
      <c r="P279" s="1">
        <v>1650</v>
      </c>
      <c r="Q279" s="1"/>
      <c r="R279" s="1">
        <v>350</v>
      </c>
      <c r="S279">
        <v>320000</v>
      </c>
      <c r="T279">
        <v>16048</v>
      </c>
      <c r="U279" t="s">
        <v>814</v>
      </c>
      <c r="V279">
        <v>29280</v>
      </c>
      <c r="W279" s="1">
        <v>46727</v>
      </c>
      <c r="X279" s="1" t="s">
        <v>55</v>
      </c>
      <c r="Y279" s="1" t="s">
        <v>51</v>
      </c>
      <c r="Z279" s="1" t="s">
        <v>551</v>
      </c>
      <c r="AA279" s="1" t="s">
        <v>552</v>
      </c>
      <c r="AB279" s="1" t="s">
        <v>553</v>
      </c>
      <c r="AC279" s="1">
        <v>44632</v>
      </c>
      <c r="AD279" s="1">
        <v>44586</v>
      </c>
      <c r="AE279" s="1"/>
      <c r="AF279" s="1"/>
      <c r="AG279" s="1">
        <v>22.04</v>
      </c>
      <c r="AH279" s="1" t="s">
        <v>54</v>
      </c>
      <c r="AI279" s="1"/>
      <c r="AJ279" s="31">
        <v>44586</v>
      </c>
      <c r="AK279"/>
      <c r="AL279"/>
      <c r="AM279"/>
      <c r="AN279"/>
      <c r="AO279"/>
      <c r="AP279"/>
    </row>
    <row r="280" spans="1:42" hidden="1">
      <c r="A280" s="1" t="s">
        <v>2542</v>
      </c>
      <c r="B280" s="1">
        <v>220131</v>
      </c>
      <c r="D280" s="1" t="s">
        <v>168</v>
      </c>
      <c r="F280"/>
      <c r="G280"/>
      <c r="H280" s="1" t="s">
        <v>3257</v>
      </c>
      <c r="I280" s="1" t="s">
        <v>3258</v>
      </c>
      <c r="J280" s="1" t="s">
        <v>18</v>
      </c>
      <c r="K280" s="1" t="s">
        <v>50</v>
      </c>
      <c r="L280" s="1">
        <v>34688</v>
      </c>
      <c r="M280" s="1">
        <v>30</v>
      </c>
      <c r="N280" s="1">
        <v>1400</v>
      </c>
      <c r="P280" s="1">
        <v>2000</v>
      </c>
      <c r="Q280" s="1"/>
      <c r="R280" s="1">
        <v>600</v>
      </c>
      <c r="S280"/>
      <c r="T280" t="s">
        <v>55</v>
      </c>
      <c r="U280" t="s">
        <v>814</v>
      </c>
      <c r="V280" t="s">
        <v>55</v>
      </c>
      <c r="W280" s="1">
        <v>45635</v>
      </c>
      <c r="X280" s="1" t="s">
        <v>55</v>
      </c>
      <c r="Y280" s="1" t="s">
        <v>51</v>
      </c>
      <c r="Z280" s="1" t="s">
        <v>3259</v>
      </c>
      <c r="AA280" s="1" t="s">
        <v>3260</v>
      </c>
      <c r="AB280" s="1" t="s">
        <v>3261</v>
      </c>
      <c r="AC280" s="1" t="s">
        <v>53</v>
      </c>
      <c r="AD280" s="1">
        <v>44588</v>
      </c>
      <c r="AE280" s="1">
        <v>44662</v>
      </c>
      <c r="AF280" s="1"/>
      <c r="AG280" s="1">
        <v>22.04</v>
      </c>
      <c r="AH280" s="1" t="s">
        <v>54</v>
      </c>
      <c r="AI280" s="1"/>
      <c r="AJ280" s="31">
        <v>44588</v>
      </c>
      <c r="AK280"/>
      <c r="AL280"/>
      <c r="AM280"/>
      <c r="AN280"/>
      <c r="AO280"/>
      <c r="AP280"/>
    </row>
    <row r="281" spans="1:42" hidden="1">
      <c r="A281" s="1" t="s">
        <v>2542</v>
      </c>
      <c r="B281" s="1">
        <v>220132</v>
      </c>
      <c r="D281" s="1" t="s">
        <v>75</v>
      </c>
      <c r="E281" s="1" t="s">
        <v>3934</v>
      </c>
      <c r="F281"/>
      <c r="G281"/>
      <c r="H281" s="1" t="s">
        <v>3262</v>
      </c>
      <c r="I281" s="1" t="s">
        <v>3263</v>
      </c>
      <c r="J281" s="1" t="s">
        <v>18</v>
      </c>
      <c r="K281" s="1" t="s">
        <v>50</v>
      </c>
      <c r="L281" s="1">
        <v>33937</v>
      </c>
      <c r="M281" s="1">
        <v>33</v>
      </c>
      <c r="N281" s="1">
        <v>1350</v>
      </c>
      <c r="P281" s="1">
        <v>1750</v>
      </c>
      <c r="Q281" s="1"/>
      <c r="R281" s="1">
        <v>400</v>
      </c>
      <c r="S281"/>
      <c r="T281" t="s">
        <v>55</v>
      </c>
      <c r="U281" t="s">
        <v>814</v>
      </c>
      <c r="V281" t="s">
        <v>55</v>
      </c>
      <c r="W281" s="1">
        <v>44882</v>
      </c>
      <c r="X281" s="1" t="s">
        <v>55</v>
      </c>
      <c r="Y281" s="1" t="s">
        <v>51</v>
      </c>
      <c r="Z281" s="1" t="s">
        <v>91</v>
      </c>
      <c r="AA281" s="1" t="s">
        <v>2688</v>
      </c>
      <c r="AB281" s="1" t="s">
        <v>2880</v>
      </c>
      <c r="AC281" s="1"/>
      <c r="AD281" s="1">
        <v>44592</v>
      </c>
      <c r="AE281" s="1">
        <v>44601</v>
      </c>
      <c r="AF281" s="1"/>
      <c r="AG281" s="1">
        <v>22.04</v>
      </c>
      <c r="AH281" s="1"/>
      <c r="AI281" s="1"/>
      <c r="AJ281" s="31">
        <v>44592</v>
      </c>
      <c r="AK281"/>
      <c r="AL281"/>
      <c r="AM281"/>
      <c r="AN281"/>
      <c r="AO281"/>
      <c r="AP281"/>
    </row>
    <row r="282" spans="1:42" hidden="1">
      <c r="A282" s="1" t="s">
        <v>2542</v>
      </c>
      <c r="B282" s="1">
        <v>220201</v>
      </c>
      <c r="C282" s="1">
        <v>232044</v>
      </c>
      <c r="D282" s="1" t="s">
        <v>83</v>
      </c>
      <c r="E282" s="1" t="s">
        <v>309</v>
      </c>
      <c r="F282" t="s">
        <v>365</v>
      </c>
      <c r="G282"/>
      <c r="H282" s="1" t="s">
        <v>3271</v>
      </c>
      <c r="I282" s="1" t="s">
        <v>3272</v>
      </c>
      <c r="J282" s="1" t="s">
        <v>18</v>
      </c>
      <c r="K282" s="1" t="s">
        <v>50</v>
      </c>
      <c r="L282" s="1">
        <v>31904</v>
      </c>
      <c r="M282" s="1">
        <v>38</v>
      </c>
      <c r="N282" s="1">
        <v>1400</v>
      </c>
      <c r="P282" s="1">
        <v>1760</v>
      </c>
      <c r="Q282" s="1"/>
      <c r="R282" s="1">
        <v>360</v>
      </c>
      <c r="S282"/>
      <c r="T282" t="s">
        <v>55</v>
      </c>
      <c r="U282" t="s">
        <v>814</v>
      </c>
      <c r="V282" t="s">
        <v>55</v>
      </c>
      <c r="W282" s="1">
        <v>45595</v>
      </c>
      <c r="X282" s="1" t="s">
        <v>55</v>
      </c>
      <c r="Y282" s="1" t="s">
        <v>51</v>
      </c>
      <c r="Z282" s="1" t="s">
        <v>110</v>
      </c>
      <c r="AA282" s="1" t="s">
        <v>2299</v>
      </c>
      <c r="AB282" s="1" t="s">
        <v>210</v>
      </c>
      <c r="AC282" s="1">
        <v>44588</v>
      </c>
      <c r="AD282" s="1">
        <v>44594</v>
      </c>
      <c r="AE282" s="1">
        <v>44933</v>
      </c>
      <c r="AF282" s="1"/>
      <c r="AG282" s="1">
        <v>22.04</v>
      </c>
      <c r="AH282" s="1" t="s">
        <v>54</v>
      </c>
      <c r="AI282" s="1"/>
      <c r="AJ282" s="31">
        <v>44594</v>
      </c>
      <c r="AK282"/>
      <c r="AL282"/>
      <c r="AM282"/>
      <c r="AN282"/>
      <c r="AO282"/>
      <c r="AP282"/>
    </row>
    <row r="283" spans="1:42" hidden="1">
      <c r="A283" s="1" t="s">
        <v>2542</v>
      </c>
      <c r="B283" s="1">
        <v>220202</v>
      </c>
      <c r="C283" s="1">
        <v>232043</v>
      </c>
      <c r="D283" s="1" t="s">
        <v>83</v>
      </c>
      <c r="E283" s="1" t="s">
        <v>3268</v>
      </c>
      <c r="F283"/>
      <c r="G283"/>
      <c r="H283" s="1" t="s">
        <v>3269</v>
      </c>
      <c r="I283" s="1" t="s">
        <v>3270</v>
      </c>
      <c r="J283" s="1" t="s">
        <v>18</v>
      </c>
      <c r="K283" s="1" t="s">
        <v>50</v>
      </c>
      <c r="L283" s="1">
        <v>34386</v>
      </c>
      <c r="M283" s="1">
        <v>31</v>
      </c>
      <c r="N283" s="1">
        <v>1350</v>
      </c>
      <c r="P283" s="1">
        <v>1760</v>
      </c>
      <c r="Q283" s="1"/>
      <c r="R283" s="1">
        <v>410</v>
      </c>
      <c r="S283"/>
      <c r="T283" t="s">
        <v>55</v>
      </c>
      <c r="U283" t="s">
        <v>814</v>
      </c>
      <c r="V283" t="s">
        <v>55</v>
      </c>
      <c r="W283" s="1">
        <v>44938</v>
      </c>
      <c r="X283" s="1" t="s">
        <v>55</v>
      </c>
      <c r="Y283" s="1" t="s">
        <v>51</v>
      </c>
      <c r="Z283" s="1" t="s">
        <v>110</v>
      </c>
      <c r="AA283" s="1" t="s">
        <v>111</v>
      </c>
      <c r="AB283" s="1" t="s">
        <v>212</v>
      </c>
      <c r="AC283" s="1">
        <v>44589</v>
      </c>
      <c r="AD283" s="1">
        <v>44594</v>
      </c>
      <c r="AE283" s="1">
        <v>44719</v>
      </c>
      <c r="AF283" s="1"/>
      <c r="AG283" s="1" t="s">
        <v>3244</v>
      </c>
      <c r="AH283" s="1" t="s">
        <v>54</v>
      </c>
      <c r="AI283" s="1"/>
      <c r="AJ283" s="31">
        <v>44594</v>
      </c>
      <c r="AK283"/>
      <c r="AL283"/>
      <c r="AM283"/>
      <c r="AN283"/>
      <c r="AO283"/>
      <c r="AP283"/>
    </row>
    <row r="284" spans="1:42" hidden="1">
      <c r="A284" s="1" t="s">
        <v>2542</v>
      </c>
      <c r="B284" s="1">
        <v>220203</v>
      </c>
      <c r="C284" s="1">
        <v>232042</v>
      </c>
      <c r="D284" s="1" t="s">
        <v>83</v>
      </c>
      <c r="E284" s="1" t="s">
        <v>307</v>
      </c>
      <c r="F284" s="1" t="s">
        <v>2655</v>
      </c>
      <c r="G284" t="s">
        <v>2656</v>
      </c>
      <c r="H284" s="1" t="s">
        <v>3264</v>
      </c>
      <c r="I284" s="1" t="s">
        <v>3265</v>
      </c>
      <c r="J284" s="1" t="s">
        <v>18</v>
      </c>
      <c r="K284" s="1" t="s">
        <v>200</v>
      </c>
      <c r="L284" s="1">
        <v>33535</v>
      </c>
      <c r="M284" s="1">
        <v>34</v>
      </c>
      <c r="N284" s="1">
        <v>1410</v>
      </c>
      <c r="P284" s="1">
        <v>1840</v>
      </c>
      <c r="Q284" s="1"/>
      <c r="R284" s="1">
        <v>430</v>
      </c>
      <c r="S284">
        <v>280000</v>
      </c>
      <c r="T284">
        <v>14042</v>
      </c>
      <c r="U284" t="s">
        <v>814</v>
      </c>
      <c r="V284">
        <v>25620</v>
      </c>
      <c r="W284" s="1">
        <v>46117</v>
      </c>
      <c r="X284" s="1" t="s">
        <v>55</v>
      </c>
      <c r="Y284" s="1" t="s">
        <v>51</v>
      </c>
      <c r="Z284" s="1" t="s">
        <v>211</v>
      </c>
      <c r="AA284" s="1" t="s">
        <v>3266</v>
      </c>
      <c r="AB284" s="1" t="s">
        <v>3267</v>
      </c>
      <c r="AC284" s="1" t="s">
        <v>53</v>
      </c>
      <c r="AD284" s="1">
        <v>44594</v>
      </c>
      <c r="AE284" s="1">
        <v>45433</v>
      </c>
      <c r="AF284" s="1"/>
      <c r="AG284" s="1">
        <v>22.02</v>
      </c>
      <c r="AH284" s="1" t="s">
        <v>54</v>
      </c>
      <c r="AI284" s="1"/>
      <c r="AJ284" s="31">
        <v>44594</v>
      </c>
      <c r="AK284"/>
      <c r="AL284"/>
      <c r="AM284"/>
      <c r="AN284"/>
      <c r="AO284"/>
      <c r="AP284"/>
    </row>
    <row r="285" spans="1:42" hidden="1">
      <c r="A285" s="1" t="s">
        <v>2542</v>
      </c>
      <c r="B285" s="1">
        <v>220204</v>
      </c>
      <c r="C285" s="1">
        <v>212021</v>
      </c>
      <c r="D285" s="1" t="s">
        <v>75</v>
      </c>
      <c r="E285" s="1" t="s">
        <v>3934</v>
      </c>
      <c r="F285" t="s">
        <v>739</v>
      </c>
      <c r="G285"/>
      <c r="H285" s="1" t="s">
        <v>3275</v>
      </c>
      <c r="I285" s="1" t="s">
        <v>3276</v>
      </c>
      <c r="J285" s="1" t="s">
        <v>18</v>
      </c>
      <c r="K285" s="1" t="s">
        <v>50</v>
      </c>
      <c r="L285" s="1">
        <v>35733</v>
      </c>
      <c r="M285" s="1">
        <v>28</v>
      </c>
      <c r="N285" s="1">
        <v>1400</v>
      </c>
      <c r="P285" s="1">
        <v>1760</v>
      </c>
      <c r="Q285" s="1"/>
      <c r="R285" s="1">
        <v>360</v>
      </c>
      <c r="S285">
        <v>180000</v>
      </c>
      <c r="T285">
        <v>9027</v>
      </c>
      <c r="U285" t="s">
        <v>814</v>
      </c>
      <c r="V285">
        <v>16470</v>
      </c>
      <c r="W285" s="1">
        <v>45284</v>
      </c>
      <c r="X285" s="1" t="s">
        <v>55</v>
      </c>
      <c r="Y285" s="1" t="s">
        <v>51</v>
      </c>
      <c r="Z285" s="1" t="s">
        <v>217</v>
      </c>
      <c r="AA285" s="1" t="s">
        <v>218</v>
      </c>
      <c r="AB285" s="1" t="s">
        <v>3277</v>
      </c>
      <c r="AC285" s="1">
        <v>44602</v>
      </c>
      <c r="AD285" s="1">
        <v>44599</v>
      </c>
      <c r="AE285" s="1">
        <v>45020</v>
      </c>
      <c r="AF285" s="1">
        <v>45020</v>
      </c>
      <c r="AG285" s="1">
        <v>22.04</v>
      </c>
      <c r="AH285" s="1" t="s">
        <v>54</v>
      </c>
      <c r="AI285" s="1"/>
      <c r="AJ285" s="31">
        <v>44599</v>
      </c>
      <c r="AK285"/>
      <c r="AL285"/>
      <c r="AM285"/>
      <c r="AN285"/>
      <c r="AO285"/>
      <c r="AP285"/>
    </row>
    <row r="286" spans="1:42" hidden="1">
      <c r="A286" s="1" t="s">
        <v>2542</v>
      </c>
      <c r="B286" s="1">
        <v>220205</v>
      </c>
      <c r="D286" s="1" t="s">
        <v>75</v>
      </c>
      <c r="E286" s="1" t="s">
        <v>3934</v>
      </c>
      <c r="G286"/>
      <c r="H286" s="1" t="s">
        <v>3278</v>
      </c>
      <c r="I286" s="1" t="s">
        <v>3279</v>
      </c>
      <c r="J286" s="1" t="s">
        <v>18</v>
      </c>
      <c r="K286" s="1" t="s">
        <v>50</v>
      </c>
      <c r="L286" s="1">
        <v>34726</v>
      </c>
      <c r="M286" s="1">
        <v>30</v>
      </c>
      <c r="N286" s="1">
        <v>1350</v>
      </c>
      <c r="P286" s="1">
        <v>1760</v>
      </c>
      <c r="Q286" s="1"/>
      <c r="R286" s="1">
        <v>410</v>
      </c>
      <c r="S286"/>
      <c r="T286" t="s">
        <v>55</v>
      </c>
      <c r="U286" t="s">
        <v>814</v>
      </c>
      <c r="V286" t="s">
        <v>55</v>
      </c>
      <c r="W286" s="1">
        <v>44919</v>
      </c>
      <c r="X286" s="1" t="s">
        <v>55</v>
      </c>
      <c r="Y286" s="1" t="s">
        <v>51</v>
      </c>
      <c r="Z286" s="1" t="s">
        <v>217</v>
      </c>
      <c r="AA286" s="1" t="s">
        <v>218</v>
      </c>
      <c r="AB286" s="1" t="s">
        <v>3277</v>
      </c>
      <c r="AC286" s="1">
        <v>44602</v>
      </c>
      <c r="AD286" s="1">
        <v>44599</v>
      </c>
      <c r="AE286" s="1">
        <v>44680</v>
      </c>
      <c r="AF286" s="1"/>
      <c r="AG286" s="1">
        <v>22.04</v>
      </c>
      <c r="AH286" s="1" t="s">
        <v>54</v>
      </c>
      <c r="AI286" s="1"/>
      <c r="AJ286" s="31">
        <v>44599</v>
      </c>
      <c r="AK286"/>
      <c r="AL286"/>
      <c r="AM286"/>
      <c r="AN286"/>
      <c r="AO286"/>
      <c r="AP286"/>
    </row>
    <row r="287" spans="1:42" hidden="1">
      <c r="A287" s="1" t="s">
        <v>2542</v>
      </c>
      <c r="B287" s="1">
        <v>220206</v>
      </c>
      <c r="C287" s="1">
        <v>232045</v>
      </c>
      <c r="D287" s="1" t="s">
        <v>83</v>
      </c>
      <c r="E287" s="1" t="s">
        <v>307</v>
      </c>
      <c r="F287" t="s">
        <v>2251</v>
      </c>
      <c r="G287" t="s">
        <v>2252</v>
      </c>
      <c r="H287" s="1" t="s">
        <v>213</v>
      </c>
      <c r="I287" s="1" t="s">
        <v>214</v>
      </c>
      <c r="J287" s="1" t="s">
        <v>18</v>
      </c>
      <c r="K287" s="1" t="s">
        <v>50</v>
      </c>
      <c r="L287" s="1">
        <v>33746</v>
      </c>
      <c r="M287" s="1">
        <v>33</v>
      </c>
      <c r="N287" s="1">
        <v>1410</v>
      </c>
      <c r="P287" s="1">
        <v>1810</v>
      </c>
      <c r="Q287" s="1"/>
      <c r="R287" s="1">
        <v>400</v>
      </c>
      <c r="S287">
        <v>240000</v>
      </c>
      <c r="T287">
        <v>12036</v>
      </c>
      <c r="U287" t="s">
        <v>814</v>
      </c>
      <c r="V287">
        <v>21960</v>
      </c>
      <c r="W287" s="1">
        <v>46600</v>
      </c>
      <c r="X287" s="1" t="s">
        <v>55</v>
      </c>
      <c r="Y287" s="1" t="s">
        <v>51</v>
      </c>
      <c r="Z287" s="1" t="s">
        <v>110</v>
      </c>
      <c r="AA287" s="1" t="s">
        <v>215</v>
      </c>
      <c r="AB287" s="1" t="s">
        <v>216</v>
      </c>
      <c r="AC287" s="1">
        <v>44594</v>
      </c>
      <c r="AD287" s="1">
        <v>44599</v>
      </c>
      <c r="AE287" s="1">
        <v>45625</v>
      </c>
      <c r="AF287" s="1"/>
      <c r="AG287" s="1">
        <v>22.04</v>
      </c>
      <c r="AH287" s="1" t="s">
        <v>54</v>
      </c>
      <c r="AI287" s="1"/>
      <c r="AJ287" s="31">
        <v>44599</v>
      </c>
      <c r="AK287"/>
      <c r="AL287"/>
      <c r="AM287"/>
      <c r="AN287"/>
      <c r="AO287"/>
      <c r="AP287"/>
    </row>
    <row r="288" spans="1:42" hidden="1">
      <c r="A288" s="1" t="s">
        <v>2542</v>
      </c>
      <c r="B288" s="1">
        <v>220207</v>
      </c>
      <c r="C288" s="1">
        <v>222039</v>
      </c>
      <c r="D288" s="1" t="s">
        <v>95</v>
      </c>
      <c r="E288" s="1" t="s">
        <v>3938</v>
      </c>
      <c r="G288"/>
      <c r="H288" s="1" t="s">
        <v>3273</v>
      </c>
      <c r="I288" s="1" t="s">
        <v>3274</v>
      </c>
      <c r="J288" s="1" t="s">
        <v>18</v>
      </c>
      <c r="K288" s="1" t="s">
        <v>50</v>
      </c>
      <c r="L288" s="1">
        <v>35681</v>
      </c>
      <c r="M288" s="1">
        <v>28</v>
      </c>
      <c r="N288" s="1">
        <v>1360</v>
      </c>
      <c r="P288" s="1">
        <v>1760</v>
      </c>
      <c r="Q288" s="1"/>
      <c r="R288" s="1">
        <v>400</v>
      </c>
      <c r="S288"/>
      <c r="T288" t="s">
        <v>55</v>
      </c>
      <c r="U288" t="s">
        <v>814</v>
      </c>
      <c r="V288" t="s">
        <v>55</v>
      </c>
      <c r="W288" s="1">
        <v>44916</v>
      </c>
      <c r="X288" s="1" t="s">
        <v>55</v>
      </c>
      <c r="Y288" s="1" t="s">
        <v>51</v>
      </c>
      <c r="Z288" s="1" t="s">
        <v>91</v>
      </c>
      <c r="AA288" s="1" t="s">
        <v>158</v>
      </c>
      <c r="AB288" s="1" t="s">
        <v>219</v>
      </c>
      <c r="AC288" s="1">
        <v>44595</v>
      </c>
      <c r="AD288" s="1">
        <v>44599</v>
      </c>
      <c r="AE288" s="1">
        <v>44709</v>
      </c>
      <c r="AF288" s="1"/>
      <c r="AG288" s="1">
        <v>22.04</v>
      </c>
      <c r="AH288" s="1" t="s">
        <v>54</v>
      </c>
      <c r="AI288" s="1"/>
      <c r="AJ288" s="31">
        <v>44599</v>
      </c>
      <c r="AK288"/>
      <c r="AL288"/>
      <c r="AM288"/>
      <c r="AN288"/>
      <c r="AO288"/>
      <c r="AP288"/>
    </row>
    <row r="289" spans="1:42" hidden="1">
      <c r="A289" s="1" t="s">
        <v>2542</v>
      </c>
      <c r="B289" s="1">
        <v>220208</v>
      </c>
      <c r="C289" s="1">
        <v>212024</v>
      </c>
      <c r="D289" s="1" t="s">
        <v>75</v>
      </c>
      <c r="E289" s="1" t="s">
        <v>3934</v>
      </c>
      <c r="F289" t="s">
        <v>739</v>
      </c>
      <c r="G289"/>
      <c r="H289" s="1" t="s">
        <v>220</v>
      </c>
      <c r="I289" s="1" t="s">
        <v>221</v>
      </c>
      <c r="J289" s="1" t="s">
        <v>18</v>
      </c>
      <c r="K289" s="1" t="s">
        <v>50</v>
      </c>
      <c r="L289" s="1">
        <v>35358</v>
      </c>
      <c r="M289" s="1">
        <v>29</v>
      </c>
      <c r="N289" s="1">
        <v>1400</v>
      </c>
      <c r="P289" s="1">
        <v>1760</v>
      </c>
      <c r="Q289" s="1"/>
      <c r="R289" s="1">
        <v>360</v>
      </c>
      <c r="S289">
        <v>180000</v>
      </c>
      <c r="T289">
        <v>9027</v>
      </c>
      <c r="U289" t="s">
        <v>814</v>
      </c>
      <c r="V289">
        <v>16470</v>
      </c>
      <c r="W289" s="1">
        <v>45281</v>
      </c>
      <c r="X289" s="1" t="s">
        <v>55</v>
      </c>
      <c r="Y289" s="1" t="s">
        <v>51</v>
      </c>
      <c r="Z289" s="1" t="s">
        <v>67</v>
      </c>
      <c r="AA289" s="1" t="s">
        <v>748</v>
      </c>
      <c r="AB289" s="1" t="s">
        <v>785</v>
      </c>
      <c r="AC289" s="1">
        <v>44632</v>
      </c>
      <c r="AD289" s="1">
        <v>44599</v>
      </c>
      <c r="AE289" s="1">
        <v>45002</v>
      </c>
      <c r="AF289" s="1">
        <v>44995</v>
      </c>
      <c r="AG289" s="1">
        <v>22.04</v>
      </c>
      <c r="AH289" s="1" t="s">
        <v>54</v>
      </c>
      <c r="AI289" s="1"/>
      <c r="AJ289" s="31">
        <v>44599</v>
      </c>
      <c r="AK289"/>
      <c r="AL289"/>
      <c r="AM289"/>
      <c r="AN289"/>
      <c r="AO289"/>
      <c r="AP289"/>
    </row>
    <row r="290" spans="1:42" hidden="1">
      <c r="A290" s="1" t="s">
        <v>2542</v>
      </c>
      <c r="B290" s="1">
        <v>220209</v>
      </c>
      <c r="C290" s="1">
        <v>212023</v>
      </c>
      <c r="D290" s="1" t="s">
        <v>75</v>
      </c>
      <c r="E290" s="1" t="s">
        <v>3934</v>
      </c>
      <c r="F290" t="s">
        <v>739</v>
      </c>
      <c r="G290" t="s">
        <v>1092</v>
      </c>
      <c r="H290" s="1" t="s">
        <v>222</v>
      </c>
      <c r="I290" s="1" t="s">
        <v>223</v>
      </c>
      <c r="J290" s="1" t="s">
        <v>18</v>
      </c>
      <c r="K290" s="1" t="s">
        <v>50</v>
      </c>
      <c r="L290" s="1">
        <v>35544</v>
      </c>
      <c r="M290" s="1">
        <v>28</v>
      </c>
      <c r="N290" s="1">
        <v>1410</v>
      </c>
      <c r="P290" s="1">
        <v>1830</v>
      </c>
      <c r="Q290" s="1"/>
      <c r="R290" s="1">
        <v>420</v>
      </c>
      <c r="S290">
        <v>320000</v>
      </c>
      <c r="T290">
        <v>16048</v>
      </c>
      <c r="U290" t="s">
        <v>814</v>
      </c>
      <c r="V290">
        <v>29280</v>
      </c>
      <c r="W290" s="1">
        <v>46742</v>
      </c>
      <c r="X290" s="1" t="s">
        <v>55</v>
      </c>
      <c r="Y290" s="1" t="s">
        <v>51</v>
      </c>
      <c r="Z290" s="1" t="s">
        <v>67</v>
      </c>
      <c r="AA290" s="1" t="s">
        <v>748</v>
      </c>
      <c r="AB290" s="1" t="s">
        <v>785</v>
      </c>
      <c r="AC290" s="1">
        <v>44632</v>
      </c>
      <c r="AD290" s="1">
        <v>44599</v>
      </c>
      <c r="AE290" s="1">
        <v>45751</v>
      </c>
      <c r="AF290" s="1"/>
      <c r="AG290" s="1">
        <v>22.04</v>
      </c>
      <c r="AH290" s="1" t="s">
        <v>54</v>
      </c>
      <c r="AI290" s="1"/>
      <c r="AJ290" s="31">
        <v>44599</v>
      </c>
      <c r="AK290"/>
      <c r="AL290"/>
      <c r="AM290"/>
      <c r="AN290"/>
      <c r="AO290"/>
      <c r="AP290"/>
    </row>
    <row r="291" spans="1:42">
      <c r="A291" s="1" t="s">
        <v>49</v>
      </c>
      <c r="B291" s="1">
        <v>240504</v>
      </c>
      <c r="C291" s="1">
        <v>212050</v>
      </c>
      <c r="D291" s="1" t="s">
        <v>75</v>
      </c>
      <c r="E291" s="1" t="s">
        <v>3934</v>
      </c>
      <c r="F291" t="s">
        <v>736</v>
      </c>
      <c r="G291" t="s">
        <v>317</v>
      </c>
      <c r="H291" s="1" t="s">
        <v>2385</v>
      </c>
      <c r="I291" s="1" t="s">
        <v>2386</v>
      </c>
      <c r="J291" s="1" t="s">
        <v>18</v>
      </c>
      <c r="K291" s="1" t="s">
        <v>50</v>
      </c>
      <c r="L291" s="1">
        <v>36870</v>
      </c>
      <c r="M291" s="1">
        <v>24</v>
      </c>
      <c r="N291" s="1">
        <v>1310</v>
      </c>
      <c r="P291" s="1">
        <v>1660</v>
      </c>
      <c r="Q291" s="1"/>
      <c r="R291" s="1">
        <v>350</v>
      </c>
      <c r="S291">
        <v>220000</v>
      </c>
      <c r="T291">
        <v>11033</v>
      </c>
      <c r="U291" t="s">
        <v>814</v>
      </c>
      <c r="V291">
        <v>20130</v>
      </c>
      <c r="W291" s="1">
        <v>46140</v>
      </c>
      <c r="X291" s="1" t="s">
        <v>55</v>
      </c>
      <c r="Y291" s="1" t="s">
        <v>51</v>
      </c>
      <c r="Z291" s="1" t="s">
        <v>91</v>
      </c>
      <c r="AA291" s="1" t="s">
        <v>2387</v>
      </c>
      <c r="AB291" s="1" t="s">
        <v>2388</v>
      </c>
      <c r="AC291" s="1"/>
      <c r="AD291" s="1">
        <v>45422</v>
      </c>
      <c r="AE291" s="1"/>
      <c r="AF291" s="1"/>
      <c r="AG291" s="1" t="s">
        <v>2286</v>
      </c>
      <c r="AH291" s="1" t="s">
        <v>2287</v>
      </c>
      <c r="AI291" s="1"/>
      <c r="AJ291" s="31">
        <v>45422</v>
      </c>
      <c r="AK291"/>
      <c r="AL291"/>
      <c r="AM291"/>
      <c r="AN291"/>
      <c r="AO291" t="s">
        <v>4165</v>
      </c>
      <c r="AP291"/>
    </row>
    <row r="292" spans="1:42" hidden="1">
      <c r="A292" s="1" t="s">
        <v>2542</v>
      </c>
      <c r="B292" s="1">
        <v>220211</v>
      </c>
      <c r="D292" s="1" t="s">
        <v>548</v>
      </c>
      <c r="E292" s="1" t="s">
        <v>549</v>
      </c>
      <c r="F292"/>
      <c r="G292"/>
      <c r="H292" s="1" t="s">
        <v>196</v>
      </c>
      <c r="I292" s="1" t="s">
        <v>197</v>
      </c>
      <c r="J292" s="1" t="s">
        <v>18</v>
      </c>
      <c r="K292" s="1" t="s">
        <v>50</v>
      </c>
      <c r="L292" s="1">
        <v>34432</v>
      </c>
      <c r="M292" s="1">
        <v>31</v>
      </c>
      <c r="N292" s="1">
        <v>1400</v>
      </c>
      <c r="P292" s="1">
        <v>1900</v>
      </c>
      <c r="Q292" s="1"/>
      <c r="R292" s="1">
        <v>500</v>
      </c>
      <c r="S292">
        <v>240000</v>
      </c>
      <c r="T292">
        <v>12036</v>
      </c>
      <c r="U292" t="s">
        <v>814</v>
      </c>
      <c r="V292">
        <v>21960</v>
      </c>
      <c r="W292" s="1">
        <v>46341</v>
      </c>
      <c r="X292" s="1" t="s">
        <v>55</v>
      </c>
      <c r="Y292" s="1" t="s">
        <v>51</v>
      </c>
      <c r="Z292" s="1" t="s">
        <v>556</v>
      </c>
      <c r="AA292" s="1" t="s">
        <v>3280</v>
      </c>
      <c r="AB292" s="1" t="s">
        <v>3281</v>
      </c>
      <c r="AC292" s="1">
        <v>44600</v>
      </c>
      <c r="AD292" s="1">
        <v>44601</v>
      </c>
      <c r="AE292" s="1">
        <v>45321</v>
      </c>
      <c r="AF292" s="1"/>
      <c r="AG292" s="1">
        <v>22.04</v>
      </c>
      <c r="AH292" s="1" t="s">
        <v>54</v>
      </c>
      <c r="AI292" s="1"/>
      <c r="AJ292" s="31">
        <v>44601</v>
      </c>
      <c r="AK292"/>
      <c r="AL292"/>
      <c r="AM292"/>
      <c r="AN292"/>
      <c r="AO292"/>
      <c r="AP292"/>
    </row>
    <row r="293" spans="1:42" hidden="1">
      <c r="A293" s="1" t="s">
        <v>2542</v>
      </c>
      <c r="B293" s="1">
        <v>220212</v>
      </c>
      <c r="C293" s="1">
        <v>212025</v>
      </c>
      <c r="D293" s="1" t="s">
        <v>75</v>
      </c>
      <c r="E293" s="1" t="s">
        <v>3934</v>
      </c>
      <c r="F293" t="s">
        <v>736</v>
      </c>
      <c r="G293" t="s">
        <v>317</v>
      </c>
      <c r="H293" s="1" t="s">
        <v>3282</v>
      </c>
      <c r="I293" s="1" t="s">
        <v>3283</v>
      </c>
      <c r="J293" s="1" t="s">
        <v>18</v>
      </c>
      <c r="K293" s="1" t="s">
        <v>50</v>
      </c>
      <c r="L293" s="1">
        <v>34669</v>
      </c>
      <c r="M293" s="1">
        <v>31</v>
      </c>
      <c r="N293" s="1">
        <v>1400</v>
      </c>
      <c r="P293" s="1">
        <v>1770</v>
      </c>
      <c r="Q293" s="1"/>
      <c r="R293" s="1">
        <v>370</v>
      </c>
      <c r="S293">
        <v>180000</v>
      </c>
      <c r="T293">
        <v>9027</v>
      </c>
      <c r="U293" t="s">
        <v>814</v>
      </c>
      <c r="V293">
        <v>16470</v>
      </c>
      <c r="W293" s="1">
        <v>45283</v>
      </c>
      <c r="X293" s="1" t="s">
        <v>55</v>
      </c>
      <c r="Y293" s="1" t="s">
        <v>51</v>
      </c>
      <c r="Z293" s="1" t="s">
        <v>67</v>
      </c>
      <c r="AA293" s="1" t="s">
        <v>224</v>
      </c>
      <c r="AB293" s="1" t="s">
        <v>3284</v>
      </c>
      <c r="AC293" s="1">
        <v>44596</v>
      </c>
      <c r="AD293" s="1">
        <v>44602</v>
      </c>
      <c r="AE293" s="1">
        <v>45058</v>
      </c>
      <c r="AF293" s="1">
        <v>45071</v>
      </c>
      <c r="AG293" s="1">
        <v>22.04</v>
      </c>
      <c r="AH293" s="1" t="s">
        <v>54</v>
      </c>
      <c r="AI293" s="1"/>
      <c r="AJ293" s="31">
        <v>44602</v>
      </c>
      <c r="AK293"/>
      <c r="AL293"/>
      <c r="AM293"/>
      <c r="AN293"/>
      <c r="AO293"/>
      <c r="AP293"/>
    </row>
    <row r="294" spans="1:42" hidden="1">
      <c r="A294" s="1" t="s">
        <v>2542</v>
      </c>
      <c r="B294" s="1">
        <v>220213</v>
      </c>
      <c r="D294" s="1" t="s">
        <v>75</v>
      </c>
      <c r="E294" s="1" t="s">
        <v>3934</v>
      </c>
      <c r="F294"/>
      <c r="G294"/>
      <c r="H294" s="1" t="s">
        <v>3285</v>
      </c>
      <c r="I294" s="1" t="s">
        <v>3286</v>
      </c>
      <c r="J294" s="1" t="s">
        <v>18</v>
      </c>
      <c r="K294" s="1" t="s">
        <v>50</v>
      </c>
      <c r="L294" s="1">
        <v>34150</v>
      </c>
      <c r="M294" s="1">
        <v>32</v>
      </c>
      <c r="N294" s="1">
        <v>1360</v>
      </c>
      <c r="P294" s="1">
        <v>1750</v>
      </c>
      <c r="Q294" s="1"/>
      <c r="R294" s="1">
        <v>390</v>
      </c>
      <c r="S294"/>
      <c r="T294" t="s">
        <v>55</v>
      </c>
      <c r="U294" t="s">
        <v>814</v>
      </c>
      <c r="V294" t="s">
        <v>55</v>
      </c>
      <c r="W294" s="1">
        <v>44877</v>
      </c>
      <c r="X294" s="1" t="s">
        <v>55</v>
      </c>
      <c r="Y294" s="1" t="s">
        <v>51</v>
      </c>
      <c r="Z294" s="1" t="s">
        <v>203</v>
      </c>
      <c r="AA294" s="1" t="s">
        <v>204</v>
      </c>
      <c r="AB294" s="1" t="s">
        <v>4044</v>
      </c>
      <c r="AC294" s="1">
        <v>44602</v>
      </c>
      <c r="AD294" s="1">
        <v>44606</v>
      </c>
      <c r="AE294" s="1">
        <v>44680</v>
      </c>
      <c r="AF294" s="1"/>
      <c r="AG294" s="1">
        <v>22.04</v>
      </c>
      <c r="AH294" s="1" t="s">
        <v>54</v>
      </c>
      <c r="AI294" s="1"/>
      <c r="AJ294" s="31">
        <v>44606</v>
      </c>
      <c r="AK294"/>
      <c r="AL294"/>
      <c r="AM294"/>
      <c r="AN294"/>
      <c r="AO294"/>
      <c r="AP294"/>
    </row>
    <row r="295" spans="1:42" hidden="1">
      <c r="A295" s="1" t="s">
        <v>2542</v>
      </c>
      <c r="B295" s="1">
        <v>220214</v>
      </c>
      <c r="D295" s="1" t="s">
        <v>464</v>
      </c>
      <c r="E295" s="1" t="s">
        <v>465</v>
      </c>
      <c r="F295"/>
      <c r="G295"/>
      <c r="H295" s="1" t="s">
        <v>557</v>
      </c>
      <c r="I295" s="1" t="s">
        <v>558</v>
      </c>
      <c r="J295" s="1" t="s">
        <v>18</v>
      </c>
      <c r="K295" s="1" t="s">
        <v>50</v>
      </c>
      <c r="L295" s="1">
        <v>36030</v>
      </c>
      <c r="M295" s="1">
        <v>27</v>
      </c>
      <c r="N295" s="1">
        <v>1400</v>
      </c>
      <c r="P295" s="1">
        <v>2000</v>
      </c>
      <c r="Q295" s="1" t="s">
        <v>2787</v>
      </c>
      <c r="R295" s="1">
        <v>600</v>
      </c>
      <c r="S295">
        <v>300000</v>
      </c>
      <c r="T295">
        <v>15045</v>
      </c>
      <c r="U295" t="s">
        <v>814</v>
      </c>
      <c r="V295">
        <v>27450</v>
      </c>
      <c r="W295" s="1">
        <v>45342</v>
      </c>
      <c r="X295" s="1" t="s">
        <v>55</v>
      </c>
      <c r="Y295" s="1" t="s">
        <v>51</v>
      </c>
      <c r="Z295" s="1" t="s">
        <v>489</v>
      </c>
      <c r="AA295" s="1" t="s">
        <v>490</v>
      </c>
      <c r="AB295" s="1" t="s">
        <v>491</v>
      </c>
      <c r="AC295" s="1">
        <v>44605</v>
      </c>
      <c r="AD295" s="1">
        <v>44606</v>
      </c>
      <c r="AE295" s="1">
        <v>45287</v>
      </c>
      <c r="AF295" s="1"/>
      <c r="AG295" s="1">
        <v>22.04</v>
      </c>
      <c r="AH295" s="1" t="s">
        <v>54</v>
      </c>
      <c r="AI295" s="1"/>
      <c r="AJ295" s="31">
        <v>44606</v>
      </c>
      <c r="AK295"/>
      <c r="AL295"/>
      <c r="AM295"/>
      <c r="AN295"/>
      <c r="AO295"/>
      <c r="AP295"/>
    </row>
    <row r="296" spans="1:42" hidden="1">
      <c r="A296" s="1" t="s">
        <v>2542</v>
      </c>
      <c r="B296" s="1">
        <v>220215</v>
      </c>
      <c r="C296" s="1">
        <v>60062</v>
      </c>
      <c r="D296" s="1" t="s">
        <v>168</v>
      </c>
      <c r="E296" s="1" t="s">
        <v>226</v>
      </c>
      <c r="F296"/>
      <c r="G296"/>
      <c r="H296" s="1" t="s">
        <v>3287</v>
      </c>
      <c r="I296" s="1" t="s">
        <v>3288</v>
      </c>
      <c r="J296" s="1" t="s">
        <v>18</v>
      </c>
      <c r="K296" s="1" t="s">
        <v>50</v>
      </c>
      <c r="L296" s="1">
        <v>33924</v>
      </c>
      <c r="M296" s="1">
        <v>33</v>
      </c>
      <c r="N296" s="1">
        <v>1500</v>
      </c>
      <c r="P296" s="1">
        <v>2200</v>
      </c>
      <c r="Q296" s="1"/>
      <c r="R296" s="1">
        <v>700</v>
      </c>
      <c r="S296"/>
      <c r="T296" t="s">
        <v>55</v>
      </c>
      <c r="U296" t="s">
        <v>814</v>
      </c>
      <c r="V296" t="s">
        <v>55</v>
      </c>
      <c r="W296" s="1">
        <v>45517</v>
      </c>
      <c r="X296" s="1" t="s">
        <v>55</v>
      </c>
      <c r="Y296" s="1" t="s">
        <v>51</v>
      </c>
      <c r="Z296" s="1" t="s">
        <v>3232</v>
      </c>
      <c r="AA296" s="1" t="s">
        <v>3233</v>
      </c>
      <c r="AB296" s="1" t="s">
        <v>3234</v>
      </c>
      <c r="AC296" s="1">
        <v>44601</v>
      </c>
      <c r="AD296" s="1">
        <v>44608</v>
      </c>
      <c r="AE296" s="1">
        <v>44875</v>
      </c>
      <c r="AF296" s="1"/>
      <c r="AG296" s="1">
        <v>22.04</v>
      </c>
      <c r="AH296" s="1" t="s">
        <v>54</v>
      </c>
      <c r="AI296" s="1"/>
      <c r="AJ296" s="31">
        <v>44608</v>
      </c>
      <c r="AK296"/>
      <c r="AL296"/>
      <c r="AM296"/>
      <c r="AN296"/>
      <c r="AO296"/>
      <c r="AP296"/>
    </row>
    <row r="297" spans="1:42" hidden="1">
      <c r="A297" s="1" t="s">
        <v>2542</v>
      </c>
      <c r="B297" s="1">
        <v>220216</v>
      </c>
      <c r="C297" s="1">
        <v>222040</v>
      </c>
      <c r="D297" s="1" t="s">
        <v>62</v>
      </c>
      <c r="E297" s="1" t="s">
        <v>3935</v>
      </c>
      <c r="F297" t="s">
        <v>2666</v>
      </c>
      <c r="G297"/>
      <c r="H297" s="1" t="s">
        <v>3289</v>
      </c>
      <c r="I297" s="1" t="s">
        <v>3290</v>
      </c>
      <c r="J297" s="1" t="s">
        <v>18</v>
      </c>
      <c r="K297" s="1" t="s">
        <v>50</v>
      </c>
      <c r="L297" s="1">
        <v>32553</v>
      </c>
      <c r="M297" s="1">
        <v>36</v>
      </c>
      <c r="N297" s="1">
        <v>1400</v>
      </c>
      <c r="P297" s="1">
        <v>1770</v>
      </c>
      <c r="Q297" s="1"/>
      <c r="R297" s="1">
        <v>370</v>
      </c>
      <c r="S297"/>
      <c r="T297" t="s">
        <v>55</v>
      </c>
      <c r="U297" t="s">
        <v>814</v>
      </c>
      <c r="V297" t="s">
        <v>55</v>
      </c>
      <c r="W297" s="1">
        <v>45185</v>
      </c>
      <c r="X297" s="1" t="s">
        <v>55</v>
      </c>
      <c r="Y297" s="1" t="s">
        <v>51</v>
      </c>
      <c r="Z297" s="1" t="s">
        <v>91</v>
      </c>
      <c r="AA297" s="1" t="s">
        <v>2688</v>
      </c>
      <c r="AB297" s="1" t="s">
        <v>2880</v>
      </c>
      <c r="AC297" s="1">
        <v>44608</v>
      </c>
      <c r="AD297" s="1">
        <v>44613</v>
      </c>
      <c r="AE297" s="1">
        <v>44923</v>
      </c>
      <c r="AF297" s="1"/>
      <c r="AG297" s="1">
        <v>22.04</v>
      </c>
      <c r="AH297" s="1" t="s">
        <v>54</v>
      </c>
      <c r="AI297" s="1"/>
      <c r="AJ297" s="31">
        <v>44613</v>
      </c>
      <c r="AK297"/>
      <c r="AL297"/>
      <c r="AM297"/>
      <c r="AN297"/>
      <c r="AO297"/>
      <c r="AP297"/>
    </row>
    <row r="298" spans="1:42" hidden="1">
      <c r="A298" s="1" t="s">
        <v>2542</v>
      </c>
      <c r="B298" s="1">
        <v>220217</v>
      </c>
      <c r="C298" s="1">
        <v>662522</v>
      </c>
      <c r="D298" s="1" t="s">
        <v>107</v>
      </c>
      <c r="E298" s="1" t="s">
        <v>2722</v>
      </c>
      <c r="F298"/>
      <c r="G298"/>
      <c r="H298" s="1" t="s">
        <v>3291</v>
      </c>
      <c r="I298" s="1" t="s">
        <v>3292</v>
      </c>
      <c r="J298" s="1" t="s">
        <v>18</v>
      </c>
      <c r="K298" s="1" t="s">
        <v>50</v>
      </c>
      <c r="L298" s="1">
        <v>31254</v>
      </c>
      <c r="M298" s="1">
        <v>40</v>
      </c>
      <c r="N298" s="1">
        <v>1500</v>
      </c>
      <c r="O298" s="1" t="s">
        <v>3293</v>
      </c>
      <c r="P298" s="1">
        <v>2300</v>
      </c>
      <c r="Q298" s="1" t="s">
        <v>3294</v>
      </c>
      <c r="R298" s="1">
        <v>800</v>
      </c>
      <c r="S298">
        <v>0</v>
      </c>
      <c r="T298" t="s">
        <v>55</v>
      </c>
      <c r="U298">
        <v>-1</v>
      </c>
      <c r="V298">
        <v>0</v>
      </c>
      <c r="W298" s="1">
        <v>45301</v>
      </c>
      <c r="X298" s="1" t="s">
        <v>55</v>
      </c>
      <c r="Y298" s="1" t="s">
        <v>51</v>
      </c>
      <c r="Z298" s="1" t="s">
        <v>117</v>
      </c>
      <c r="AA298" s="1" t="s">
        <v>2970</v>
      </c>
      <c r="AB298" s="1" t="s">
        <v>2971</v>
      </c>
      <c r="AC298" s="1">
        <v>44611</v>
      </c>
      <c r="AD298" s="1">
        <v>44613</v>
      </c>
      <c r="AE298" s="1">
        <v>44950</v>
      </c>
      <c r="AF298" s="1"/>
      <c r="AG298" s="1">
        <v>22.05</v>
      </c>
      <c r="AH298" s="1" t="s">
        <v>54</v>
      </c>
      <c r="AI298" s="1" t="s">
        <v>3295</v>
      </c>
      <c r="AJ298" s="31">
        <v>44613</v>
      </c>
      <c r="AK298"/>
      <c r="AL298"/>
      <c r="AM298"/>
      <c r="AN298"/>
      <c r="AO298"/>
      <c r="AP298"/>
    </row>
    <row r="299" spans="1:42" hidden="1">
      <c r="A299" s="1" t="s">
        <v>2542</v>
      </c>
      <c r="B299" s="1">
        <v>220218</v>
      </c>
      <c r="D299" s="1" t="s">
        <v>62</v>
      </c>
      <c r="E299" s="1" t="s">
        <v>3935</v>
      </c>
      <c r="F299"/>
      <c r="G299"/>
      <c r="H299" s="1" t="s">
        <v>3299</v>
      </c>
      <c r="I299" s="1" t="s">
        <v>3300</v>
      </c>
      <c r="J299" s="1" t="s">
        <v>18</v>
      </c>
      <c r="K299" s="1" t="s">
        <v>404</v>
      </c>
      <c r="L299" s="1">
        <v>22906</v>
      </c>
      <c r="M299" s="1">
        <v>63</v>
      </c>
      <c r="N299" s="1">
        <v>1400</v>
      </c>
      <c r="P299" s="1">
        <v>1750</v>
      </c>
      <c r="Q299" s="1"/>
      <c r="R299" s="1">
        <v>350</v>
      </c>
      <c r="S299"/>
      <c r="T299" t="s">
        <v>55</v>
      </c>
      <c r="U299" t="s">
        <v>814</v>
      </c>
      <c r="V299" t="s">
        <v>55</v>
      </c>
      <c r="W299" s="1">
        <v>46198</v>
      </c>
      <c r="X299" s="1" t="s">
        <v>55</v>
      </c>
      <c r="Y299" s="1" t="s">
        <v>60</v>
      </c>
      <c r="Z299" s="1" t="s">
        <v>3301</v>
      </c>
      <c r="AA299" s="1" t="s">
        <v>3302</v>
      </c>
      <c r="AB299" s="1"/>
      <c r="AC299" s="1"/>
      <c r="AD299" s="1">
        <v>44613</v>
      </c>
      <c r="AE299" s="1">
        <v>44638</v>
      </c>
      <c r="AF299" s="1"/>
      <c r="AG299" s="1" t="s">
        <v>3244</v>
      </c>
      <c r="AH299" s="1"/>
      <c r="AI299" s="1"/>
      <c r="AJ299" s="31">
        <v>44613</v>
      </c>
      <c r="AK299"/>
      <c r="AL299"/>
      <c r="AM299"/>
      <c r="AN299"/>
      <c r="AO299"/>
      <c r="AP299"/>
    </row>
    <row r="300" spans="1:42" hidden="1">
      <c r="A300" s="1" t="s">
        <v>2542</v>
      </c>
      <c r="B300" s="1">
        <v>220219</v>
      </c>
      <c r="D300" s="1" t="s">
        <v>414</v>
      </c>
      <c r="E300" s="1" t="s">
        <v>1065</v>
      </c>
      <c r="F300" t="s">
        <v>1083</v>
      </c>
      <c r="G300" t="s">
        <v>1068</v>
      </c>
      <c r="H300" s="1" t="s">
        <v>3296</v>
      </c>
      <c r="I300" s="1" t="s">
        <v>4490</v>
      </c>
      <c r="J300" s="1" t="s">
        <v>17</v>
      </c>
      <c r="K300" s="1" t="s">
        <v>404</v>
      </c>
      <c r="L300" s="1">
        <v>27559</v>
      </c>
      <c r="M300" s="1">
        <v>50</v>
      </c>
      <c r="N300" s="1">
        <v>1250</v>
      </c>
      <c r="O300" s="1" t="s">
        <v>539</v>
      </c>
      <c r="P300" s="1">
        <v>1650</v>
      </c>
      <c r="Q300" s="1"/>
      <c r="R300" s="1">
        <v>400</v>
      </c>
      <c r="S300"/>
      <c r="T300" t="s">
        <v>55</v>
      </c>
      <c r="U300" t="s">
        <v>814</v>
      </c>
      <c r="V300" t="s">
        <v>55</v>
      </c>
      <c r="W300" s="1">
        <v>44848</v>
      </c>
      <c r="X300" s="1" t="s">
        <v>55</v>
      </c>
      <c r="Y300" s="1" t="s">
        <v>2631</v>
      </c>
      <c r="Z300" s="1" t="s">
        <v>432</v>
      </c>
      <c r="AA300" s="1" t="s">
        <v>3297</v>
      </c>
      <c r="AB300" s="1" t="s">
        <v>3298</v>
      </c>
      <c r="AC300" s="1" t="s">
        <v>53</v>
      </c>
      <c r="AD300" s="1">
        <v>44613</v>
      </c>
      <c r="AE300" s="1">
        <v>44811</v>
      </c>
      <c r="AF300" s="1"/>
      <c r="AG300" s="1">
        <v>22.04</v>
      </c>
      <c r="AH300" s="1" t="s">
        <v>54</v>
      </c>
      <c r="AI300" s="1"/>
      <c r="AJ300" s="31">
        <v>44613</v>
      </c>
      <c r="AK300"/>
      <c r="AL300"/>
      <c r="AM300"/>
      <c r="AN300"/>
      <c r="AO300"/>
      <c r="AP300"/>
    </row>
    <row r="301" spans="1:42" hidden="1">
      <c r="A301" s="1" t="s">
        <v>2542</v>
      </c>
      <c r="B301" s="1">
        <v>220220</v>
      </c>
      <c r="C301" s="1">
        <v>60063</v>
      </c>
      <c r="D301" s="1" t="s">
        <v>168</v>
      </c>
      <c r="E301" s="1" t="s">
        <v>226</v>
      </c>
      <c r="F301"/>
      <c r="G301"/>
      <c r="H301" s="1" t="s">
        <v>227</v>
      </c>
      <c r="I301" s="1" t="s">
        <v>228</v>
      </c>
      <c r="J301" s="1" t="s">
        <v>18</v>
      </c>
      <c r="K301" s="1" t="s">
        <v>50</v>
      </c>
      <c r="L301" s="1">
        <v>35079</v>
      </c>
      <c r="M301" s="1">
        <v>29</v>
      </c>
      <c r="N301" s="1">
        <v>1550</v>
      </c>
      <c r="P301" s="1">
        <v>2200</v>
      </c>
      <c r="Q301" s="1"/>
      <c r="R301" s="1">
        <v>650</v>
      </c>
      <c r="S301">
        <v>300000</v>
      </c>
      <c r="T301">
        <v>15045</v>
      </c>
      <c r="U301" t="s">
        <v>814</v>
      </c>
      <c r="V301">
        <v>27450</v>
      </c>
      <c r="W301" s="1">
        <v>46772</v>
      </c>
      <c r="X301" s="1" t="s">
        <v>55</v>
      </c>
      <c r="Y301" s="1" t="s">
        <v>51</v>
      </c>
      <c r="Z301" s="1" t="s">
        <v>2471</v>
      </c>
      <c r="AA301" s="1" t="s">
        <v>4273</v>
      </c>
      <c r="AB301" s="1" t="s">
        <v>4274</v>
      </c>
      <c r="AC301" s="1" t="s">
        <v>53</v>
      </c>
      <c r="AD301" s="1">
        <v>44614</v>
      </c>
      <c r="AE301" s="1">
        <v>45806</v>
      </c>
      <c r="AF301" s="1"/>
      <c r="AG301" s="1">
        <v>22.05</v>
      </c>
      <c r="AH301" s="1" t="s">
        <v>54</v>
      </c>
      <c r="AI301" s="1"/>
      <c r="AJ301" s="31">
        <v>44614</v>
      </c>
      <c r="AK301"/>
      <c r="AL301"/>
      <c r="AM301"/>
      <c r="AN301"/>
      <c r="AO301"/>
      <c r="AP301"/>
    </row>
    <row r="302" spans="1:42" hidden="1">
      <c r="A302" s="1" t="s">
        <v>2542</v>
      </c>
      <c r="B302" s="1">
        <v>220221</v>
      </c>
      <c r="C302" s="1">
        <v>232046</v>
      </c>
      <c r="D302" s="1" t="s">
        <v>83</v>
      </c>
      <c r="E302" s="1" t="s">
        <v>307</v>
      </c>
      <c r="F302" t="s">
        <v>2251</v>
      </c>
      <c r="G302" t="s">
        <v>2252</v>
      </c>
      <c r="H302" s="1" t="s">
        <v>229</v>
      </c>
      <c r="I302" s="1" t="s">
        <v>230</v>
      </c>
      <c r="J302" s="1" t="s">
        <v>18</v>
      </c>
      <c r="K302" s="1" t="s">
        <v>50</v>
      </c>
      <c r="L302" s="1">
        <v>35046</v>
      </c>
      <c r="M302" s="1">
        <v>29</v>
      </c>
      <c r="N302" s="1">
        <v>1420</v>
      </c>
      <c r="P302" s="1">
        <v>1840</v>
      </c>
      <c r="Q302" s="1"/>
      <c r="R302" s="1">
        <v>420</v>
      </c>
      <c r="S302">
        <v>280000</v>
      </c>
      <c r="T302">
        <v>14042</v>
      </c>
      <c r="U302" t="s">
        <v>814</v>
      </c>
      <c r="V302">
        <v>25620</v>
      </c>
      <c r="W302" s="1">
        <v>46152</v>
      </c>
      <c r="X302" s="1" t="s">
        <v>55</v>
      </c>
      <c r="Y302" s="1" t="s">
        <v>51</v>
      </c>
      <c r="Z302" s="1" t="s">
        <v>110</v>
      </c>
      <c r="AA302" s="1" t="s">
        <v>231</v>
      </c>
      <c r="AB302" s="1" t="s">
        <v>232</v>
      </c>
      <c r="AC302" s="1">
        <v>44613</v>
      </c>
      <c r="AD302" s="1">
        <v>44620</v>
      </c>
      <c r="AE302" s="1">
        <v>45731</v>
      </c>
      <c r="AF302" s="1"/>
      <c r="AG302" s="1">
        <v>22.05</v>
      </c>
      <c r="AH302" s="1" t="s">
        <v>54</v>
      </c>
      <c r="AI302" s="1"/>
      <c r="AJ302" s="31">
        <v>44620</v>
      </c>
      <c r="AK302"/>
      <c r="AL302"/>
      <c r="AM302"/>
      <c r="AN302"/>
      <c r="AO302"/>
      <c r="AP302"/>
    </row>
    <row r="303" spans="1:42" hidden="1">
      <c r="A303" s="1" t="s">
        <v>2542</v>
      </c>
      <c r="B303" s="1">
        <v>220301</v>
      </c>
      <c r="C303" s="1">
        <v>242033</v>
      </c>
      <c r="D303" s="1" t="s">
        <v>69</v>
      </c>
      <c r="E303" s="1" t="s">
        <v>306</v>
      </c>
      <c r="F303" s="1" t="s">
        <v>3941</v>
      </c>
      <c r="G303" t="s">
        <v>1093</v>
      </c>
      <c r="H303" s="1" t="s">
        <v>3303</v>
      </c>
      <c r="I303" s="1" t="s">
        <v>3304</v>
      </c>
      <c r="J303" s="1" t="s">
        <v>18</v>
      </c>
      <c r="K303" s="1" t="s">
        <v>50</v>
      </c>
      <c r="L303" s="1">
        <v>34262</v>
      </c>
      <c r="M303" s="1">
        <v>32</v>
      </c>
      <c r="N303" s="1">
        <v>1400</v>
      </c>
      <c r="P303" s="1">
        <v>1800</v>
      </c>
      <c r="Q303" s="1"/>
      <c r="R303" s="1">
        <v>400</v>
      </c>
      <c r="S303">
        <v>280000</v>
      </c>
      <c r="T303">
        <v>14042</v>
      </c>
      <c r="U303" t="s">
        <v>814</v>
      </c>
      <c r="V303">
        <v>25620</v>
      </c>
      <c r="W303" s="1">
        <v>45462</v>
      </c>
      <c r="X303" s="1" t="s">
        <v>55</v>
      </c>
      <c r="Y303" s="1" t="s">
        <v>51</v>
      </c>
      <c r="Z303" s="1" t="s">
        <v>427</v>
      </c>
      <c r="AA303" s="1" t="s">
        <v>461</v>
      </c>
      <c r="AB303" s="1" t="s">
        <v>569</v>
      </c>
      <c r="AC303" s="1">
        <v>44620</v>
      </c>
      <c r="AD303" s="1">
        <v>44621</v>
      </c>
      <c r="AE303" s="1">
        <v>45442</v>
      </c>
      <c r="AF303" s="1"/>
      <c r="AG303" s="1">
        <v>22.05</v>
      </c>
      <c r="AH303" s="1" t="s">
        <v>54</v>
      </c>
      <c r="AI303" s="1"/>
      <c r="AJ303" s="31">
        <v>44621</v>
      </c>
      <c r="AK303"/>
      <c r="AL303"/>
      <c r="AM303"/>
      <c r="AN303"/>
      <c r="AO303"/>
      <c r="AP303"/>
    </row>
    <row r="304" spans="1:42" hidden="1">
      <c r="A304" s="1" t="s">
        <v>2542</v>
      </c>
      <c r="B304" s="1">
        <v>220303</v>
      </c>
      <c r="C304" s="1">
        <v>8210036</v>
      </c>
      <c r="D304" s="1" t="s">
        <v>815</v>
      </c>
      <c r="E304" s="1" t="s">
        <v>2552</v>
      </c>
      <c r="F304"/>
      <c r="G304"/>
      <c r="H304" s="1" t="s">
        <v>564</v>
      </c>
      <c r="I304" s="1" t="s">
        <v>565</v>
      </c>
      <c r="J304" s="1" t="s">
        <v>18</v>
      </c>
      <c r="K304" s="1" t="s">
        <v>50</v>
      </c>
      <c r="L304" s="1">
        <v>33068</v>
      </c>
      <c r="M304" s="1">
        <v>35</v>
      </c>
      <c r="N304" s="1">
        <v>1400</v>
      </c>
      <c r="P304" s="1">
        <v>1990</v>
      </c>
      <c r="Q304" s="1"/>
      <c r="R304" s="1">
        <v>590</v>
      </c>
      <c r="S304">
        <v>0</v>
      </c>
      <c r="T304" t="s">
        <v>55</v>
      </c>
      <c r="U304" t="s">
        <v>814</v>
      </c>
      <c r="V304">
        <v>0</v>
      </c>
      <c r="W304" s="1">
        <v>45155</v>
      </c>
      <c r="X304" s="1" t="s">
        <v>55</v>
      </c>
      <c r="Y304" s="1" t="s">
        <v>51</v>
      </c>
      <c r="Z304" s="1" t="s">
        <v>400</v>
      </c>
      <c r="AA304" s="1" t="s">
        <v>3305</v>
      </c>
      <c r="AB304" s="1" t="s">
        <v>566</v>
      </c>
      <c r="AC304" s="1">
        <v>44619</v>
      </c>
      <c r="AD304" s="1">
        <v>44621</v>
      </c>
      <c r="AE304" s="1">
        <v>44952</v>
      </c>
      <c r="AF304" s="1"/>
      <c r="AG304" s="1">
        <v>22.05</v>
      </c>
      <c r="AH304" s="1" t="s">
        <v>54</v>
      </c>
      <c r="AI304" s="1"/>
      <c r="AJ304" s="31">
        <v>44621</v>
      </c>
      <c r="AK304"/>
      <c r="AL304"/>
      <c r="AM304"/>
      <c r="AN304"/>
      <c r="AO304"/>
      <c r="AP304"/>
    </row>
    <row r="305" spans="1:42" hidden="1">
      <c r="A305" s="1" t="s">
        <v>2542</v>
      </c>
      <c r="B305" s="1">
        <v>220304</v>
      </c>
      <c r="C305" s="1">
        <v>8210035</v>
      </c>
      <c r="D305" s="1" t="s">
        <v>822</v>
      </c>
      <c r="E305" s="1" t="s">
        <v>3306</v>
      </c>
      <c r="F305"/>
      <c r="G305"/>
      <c r="H305" s="1" t="s">
        <v>567</v>
      </c>
      <c r="I305" s="1" t="s">
        <v>568</v>
      </c>
      <c r="J305" s="1" t="s">
        <v>18</v>
      </c>
      <c r="K305" s="1" t="s">
        <v>50</v>
      </c>
      <c r="L305" s="1">
        <v>34536</v>
      </c>
      <c r="M305" s="1">
        <v>31</v>
      </c>
      <c r="N305" s="1">
        <v>1400</v>
      </c>
      <c r="P305" s="1">
        <v>1990</v>
      </c>
      <c r="Q305" s="1"/>
      <c r="R305" s="1">
        <v>590</v>
      </c>
      <c r="S305"/>
      <c r="T305" t="s">
        <v>55</v>
      </c>
      <c r="U305" t="s">
        <v>814</v>
      </c>
      <c r="V305" t="s">
        <v>55</v>
      </c>
      <c r="W305" s="1">
        <v>45340</v>
      </c>
      <c r="X305" s="1" t="s">
        <v>55</v>
      </c>
      <c r="Y305" s="1" t="s">
        <v>51</v>
      </c>
      <c r="Z305" s="1" t="s">
        <v>3307</v>
      </c>
      <c r="AA305" s="1" t="s">
        <v>3308</v>
      </c>
      <c r="AB305" s="1" t="s">
        <v>3309</v>
      </c>
      <c r="AC305" s="1">
        <v>44617</v>
      </c>
      <c r="AD305" s="1">
        <v>44621</v>
      </c>
      <c r="AE305" s="1">
        <v>44923</v>
      </c>
      <c r="AF305" s="1"/>
      <c r="AG305" s="1">
        <v>22.05</v>
      </c>
      <c r="AH305" s="1" t="s">
        <v>54</v>
      </c>
      <c r="AI305" s="1" t="s">
        <v>3310</v>
      </c>
      <c r="AJ305" s="31">
        <v>44621</v>
      </c>
      <c r="AK305"/>
      <c r="AL305"/>
      <c r="AM305"/>
      <c r="AN305"/>
      <c r="AO305"/>
      <c r="AP305"/>
    </row>
    <row r="306" spans="1:42" hidden="1">
      <c r="A306" s="1" t="s">
        <v>49</v>
      </c>
      <c r="B306" s="1">
        <v>220302</v>
      </c>
      <c r="C306" s="1">
        <v>8210034</v>
      </c>
      <c r="D306" s="1" t="s">
        <v>818</v>
      </c>
      <c r="E306" s="1" t="s">
        <v>958</v>
      </c>
      <c r="F306" t="s">
        <v>958</v>
      </c>
      <c r="G306"/>
      <c r="H306" s="1" t="s">
        <v>559</v>
      </c>
      <c r="I306" s="1" t="s">
        <v>560</v>
      </c>
      <c r="J306" s="1" t="s">
        <v>18</v>
      </c>
      <c r="K306" s="1" t="s">
        <v>50</v>
      </c>
      <c r="L306" s="1">
        <v>34640</v>
      </c>
      <c r="M306" s="1">
        <v>31</v>
      </c>
      <c r="N306" s="1">
        <v>1500</v>
      </c>
      <c r="P306" s="1">
        <v>2150</v>
      </c>
      <c r="Q306" s="1"/>
      <c r="R306" s="1">
        <v>650</v>
      </c>
      <c r="S306">
        <v>380000</v>
      </c>
      <c r="T306">
        <v>19057</v>
      </c>
      <c r="U306" t="s">
        <v>814</v>
      </c>
      <c r="V306">
        <v>34770</v>
      </c>
      <c r="W306" s="1">
        <v>46777</v>
      </c>
      <c r="X306" s="1" t="s">
        <v>55</v>
      </c>
      <c r="Y306" s="1" t="s">
        <v>51</v>
      </c>
      <c r="Z306" s="1" t="s">
        <v>561</v>
      </c>
      <c r="AA306" s="1" t="s">
        <v>562</v>
      </c>
      <c r="AB306" s="1" t="s">
        <v>563</v>
      </c>
      <c r="AC306" s="1" t="s">
        <v>53</v>
      </c>
      <c r="AD306" s="1">
        <v>44621</v>
      </c>
      <c r="AE306" s="1"/>
      <c r="AF306" s="1"/>
      <c r="AG306" s="1">
        <v>22.05</v>
      </c>
      <c r="AH306" s="1" t="s">
        <v>54</v>
      </c>
      <c r="AI306" s="1"/>
      <c r="AJ306" s="31">
        <v>44621</v>
      </c>
      <c r="AK306" t="s">
        <v>2467</v>
      </c>
      <c r="AL306">
        <v>45628</v>
      </c>
      <c r="AM306" t="s">
        <v>2468</v>
      </c>
      <c r="AN306">
        <v>45716</v>
      </c>
      <c r="AO306"/>
      <c r="AP306"/>
    </row>
    <row r="307" spans="1:42" hidden="1">
      <c r="A307" s="1" t="s">
        <v>2542</v>
      </c>
      <c r="B307" s="1">
        <v>220305</v>
      </c>
      <c r="D307" s="1" t="s">
        <v>83</v>
      </c>
      <c r="F307"/>
      <c r="G307"/>
      <c r="H307" s="1" t="s">
        <v>3311</v>
      </c>
      <c r="I307" s="1" t="s">
        <v>3312</v>
      </c>
      <c r="J307" s="1" t="s">
        <v>18</v>
      </c>
      <c r="K307" s="1" t="s">
        <v>50</v>
      </c>
      <c r="L307" s="1">
        <v>34542</v>
      </c>
      <c r="M307" s="1">
        <v>31</v>
      </c>
      <c r="N307" s="1">
        <v>1350</v>
      </c>
      <c r="P307" s="1">
        <v>1750</v>
      </c>
      <c r="Q307" s="1"/>
      <c r="R307" s="1">
        <v>400</v>
      </c>
      <c r="S307"/>
      <c r="T307" t="s">
        <v>55</v>
      </c>
      <c r="U307" t="s">
        <v>814</v>
      </c>
      <c r="V307" t="s">
        <v>55</v>
      </c>
      <c r="W307" s="1">
        <v>44902</v>
      </c>
      <c r="X307" s="1" t="s">
        <v>55</v>
      </c>
      <c r="Y307" s="1" t="s">
        <v>51</v>
      </c>
      <c r="Z307" s="1" t="s">
        <v>110</v>
      </c>
      <c r="AA307" s="1" t="s">
        <v>3313</v>
      </c>
      <c r="AB307" s="1" t="s">
        <v>3314</v>
      </c>
      <c r="AC307" s="1"/>
      <c r="AD307" s="1">
        <v>44622</v>
      </c>
      <c r="AE307" s="1">
        <v>44627</v>
      </c>
      <c r="AF307" s="1"/>
      <c r="AG307" s="1"/>
      <c r="AH307" s="1"/>
      <c r="AI307" s="1"/>
      <c r="AJ307" s="31">
        <v>44622</v>
      </c>
      <c r="AK307"/>
      <c r="AL307"/>
      <c r="AM307"/>
      <c r="AN307"/>
      <c r="AO307"/>
      <c r="AP307"/>
    </row>
    <row r="308" spans="1:42" hidden="1">
      <c r="A308" s="1" t="s">
        <v>2542</v>
      </c>
      <c r="B308" s="1">
        <v>220306</v>
      </c>
      <c r="D308" s="1" t="s">
        <v>83</v>
      </c>
      <c r="F308"/>
      <c r="G308"/>
      <c r="H308" s="1" t="s">
        <v>3315</v>
      </c>
      <c r="I308" s="1" t="s">
        <v>3316</v>
      </c>
      <c r="J308" s="1" t="s">
        <v>18</v>
      </c>
      <c r="K308" s="1" t="s">
        <v>50</v>
      </c>
      <c r="L308" s="1">
        <v>34705</v>
      </c>
      <c r="M308" s="1">
        <v>30</v>
      </c>
      <c r="N308" s="1">
        <v>1350</v>
      </c>
      <c r="P308" s="1">
        <v>1750</v>
      </c>
      <c r="Q308" s="1"/>
      <c r="R308" s="1">
        <v>400</v>
      </c>
      <c r="S308"/>
      <c r="T308" t="s">
        <v>55</v>
      </c>
      <c r="U308" t="s">
        <v>814</v>
      </c>
      <c r="V308" t="s">
        <v>55</v>
      </c>
      <c r="W308" s="1">
        <v>44902</v>
      </c>
      <c r="X308" s="1" t="s">
        <v>55</v>
      </c>
      <c r="Y308" s="1" t="s">
        <v>51</v>
      </c>
      <c r="Z308" s="1" t="s">
        <v>110</v>
      </c>
      <c r="AA308" s="1" t="s">
        <v>3313</v>
      </c>
      <c r="AB308" s="1" t="s">
        <v>3314</v>
      </c>
      <c r="AC308" s="1"/>
      <c r="AD308" s="1">
        <v>44622</v>
      </c>
      <c r="AE308" s="1">
        <v>44696</v>
      </c>
      <c r="AF308" s="1"/>
      <c r="AG308" s="1">
        <v>22.05</v>
      </c>
      <c r="AH308" s="1" t="s">
        <v>54</v>
      </c>
      <c r="AI308" s="1"/>
      <c r="AJ308" s="31">
        <v>44622</v>
      </c>
      <c r="AK308"/>
      <c r="AL308"/>
      <c r="AM308"/>
      <c r="AN308"/>
      <c r="AO308"/>
      <c r="AP308"/>
    </row>
    <row r="309" spans="1:42" hidden="1">
      <c r="A309" s="1" t="s">
        <v>49</v>
      </c>
      <c r="B309" s="1">
        <v>220308</v>
      </c>
      <c r="C309" s="1">
        <v>8210066</v>
      </c>
      <c r="D309" s="1" t="s">
        <v>822</v>
      </c>
      <c r="E309" s="1" t="s">
        <v>1312</v>
      </c>
      <c r="F309" t="s">
        <v>1312</v>
      </c>
      <c r="G309"/>
      <c r="H309" s="1" t="s">
        <v>570</v>
      </c>
      <c r="I309" s="1" t="s">
        <v>571</v>
      </c>
      <c r="J309" s="1" t="s">
        <v>18</v>
      </c>
      <c r="K309" s="1" t="s">
        <v>50</v>
      </c>
      <c r="L309" s="1">
        <v>32237</v>
      </c>
      <c r="M309" s="1">
        <v>37</v>
      </c>
      <c r="N309" s="1">
        <v>1500</v>
      </c>
      <c r="O309" s="1" t="s">
        <v>572</v>
      </c>
      <c r="P309" s="1">
        <v>2150</v>
      </c>
      <c r="Q309" s="1"/>
      <c r="R309" s="1">
        <v>650</v>
      </c>
      <c r="S309">
        <v>380000</v>
      </c>
      <c r="T309">
        <v>19057</v>
      </c>
      <c r="U309" t="s">
        <v>814</v>
      </c>
      <c r="V309">
        <v>34770</v>
      </c>
      <c r="W309" s="1">
        <v>46779</v>
      </c>
      <c r="X309" s="1" t="s">
        <v>55</v>
      </c>
      <c r="Y309" s="1" t="s">
        <v>51</v>
      </c>
      <c r="Z309" s="1" t="s">
        <v>1361</v>
      </c>
      <c r="AA309" s="1" t="s">
        <v>1362</v>
      </c>
      <c r="AB309" s="1" t="s">
        <v>1363</v>
      </c>
      <c r="AC309" s="1">
        <v>45044</v>
      </c>
      <c r="AD309" s="1">
        <v>44623</v>
      </c>
      <c r="AE309" s="1"/>
      <c r="AF309" s="1"/>
      <c r="AG309" s="1">
        <v>22.05</v>
      </c>
      <c r="AH309" s="1" t="s">
        <v>54</v>
      </c>
      <c r="AI309" s="1" t="s">
        <v>1364</v>
      </c>
      <c r="AJ309" s="31">
        <v>44623</v>
      </c>
      <c r="AK309"/>
      <c r="AL309"/>
      <c r="AM309" t="s">
        <v>2466</v>
      </c>
      <c r="AN309">
        <v>45505</v>
      </c>
      <c r="AO309"/>
      <c r="AP309"/>
    </row>
    <row r="310" spans="1:42" hidden="1">
      <c r="A310" s="1" t="s">
        <v>49</v>
      </c>
      <c r="B310" s="1">
        <v>220309</v>
      </c>
      <c r="D310" s="1" t="s">
        <v>548</v>
      </c>
      <c r="E310" s="1" t="s">
        <v>549</v>
      </c>
      <c r="F310"/>
      <c r="G310"/>
      <c r="H310" s="1" t="s">
        <v>573</v>
      </c>
      <c r="I310" s="1" t="s">
        <v>574</v>
      </c>
      <c r="J310" s="1" t="s">
        <v>18</v>
      </c>
      <c r="K310" s="1" t="s">
        <v>50</v>
      </c>
      <c r="L310" s="1">
        <v>32273</v>
      </c>
      <c r="M310" s="1">
        <v>37</v>
      </c>
      <c r="N310" s="1">
        <v>1450</v>
      </c>
      <c r="P310" s="1">
        <v>1900</v>
      </c>
      <c r="Q310" s="1"/>
      <c r="R310" s="1">
        <v>450</v>
      </c>
      <c r="S310">
        <v>260000</v>
      </c>
      <c r="T310">
        <v>13039</v>
      </c>
      <c r="U310" t="s">
        <v>814</v>
      </c>
      <c r="V310">
        <v>23790</v>
      </c>
      <c r="W310" s="1">
        <v>46825</v>
      </c>
      <c r="X310" s="1" t="s">
        <v>55</v>
      </c>
      <c r="Y310" s="1" t="s">
        <v>51</v>
      </c>
      <c r="Z310" s="1" t="s">
        <v>556</v>
      </c>
      <c r="AA310" s="1" t="s">
        <v>837</v>
      </c>
      <c r="AB310" s="1" t="s">
        <v>575</v>
      </c>
      <c r="AC310" s="1">
        <v>44632</v>
      </c>
      <c r="AD310" s="1">
        <v>44627</v>
      </c>
      <c r="AE310" s="1"/>
      <c r="AF310" s="1"/>
      <c r="AG310" s="1">
        <v>22.05</v>
      </c>
      <c r="AH310" s="1" t="s">
        <v>54</v>
      </c>
      <c r="AI310" s="1"/>
      <c r="AJ310" s="31">
        <v>44627</v>
      </c>
      <c r="AK310"/>
      <c r="AL310"/>
      <c r="AM310"/>
      <c r="AN310"/>
      <c r="AO310"/>
      <c r="AP310"/>
    </row>
    <row r="311" spans="1:42" hidden="1">
      <c r="A311" s="1" t="s">
        <v>2542</v>
      </c>
      <c r="B311" s="1">
        <v>220310</v>
      </c>
      <c r="D311" s="1" t="s">
        <v>447</v>
      </c>
      <c r="E311" s="1" t="s">
        <v>741</v>
      </c>
      <c r="F311" t="s">
        <v>2744</v>
      </c>
      <c r="G311"/>
      <c r="H311" s="1" t="s">
        <v>2907</v>
      </c>
      <c r="I311" s="1" t="s">
        <v>3328</v>
      </c>
      <c r="J311" s="1" t="s">
        <v>18</v>
      </c>
      <c r="K311" s="1" t="s">
        <v>50</v>
      </c>
      <c r="L311" s="1">
        <v>34392</v>
      </c>
      <c r="M311" s="1">
        <v>31</v>
      </c>
      <c r="N311" s="1">
        <v>1300</v>
      </c>
      <c r="P311" s="1">
        <v>1700</v>
      </c>
      <c r="Q311" s="1"/>
      <c r="R311" s="1">
        <v>400</v>
      </c>
      <c r="S311"/>
      <c r="T311" t="s">
        <v>55</v>
      </c>
      <c r="U311" t="s">
        <v>814</v>
      </c>
      <c r="V311" t="s">
        <v>55</v>
      </c>
      <c r="W311" s="1">
        <v>44875</v>
      </c>
      <c r="X311" s="1" t="s">
        <v>55</v>
      </c>
      <c r="Y311" s="1" t="s">
        <v>51</v>
      </c>
      <c r="Z311" s="1" t="s">
        <v>448</v>
      </c>
      <c r="AA311" s="1" t="s">
        <v>449</v>
      </c>
      <c r="AB311" s="1" t="s">
        <v>492</v>
      </c>
      <c r="AC311" s="1">
        <v>44623</v>
      </c>
      <c r="AD311" s="1">
        <v>44628</v>
      </c>
      <c r="AE311" s="1">
        <v>44719</v>
      </c>
      <c r="AF311" s="1"/>
      <c r="AG311" s="1">
        <v>22.05</v>
      </c>
      <c r="AH311" s="1" t="s">
        <v>54</v>
      </c>
      <c r="AI311" s="1"/>
      <c r="AJ311" s="31">
        <v>44628</v>
      </c>
      <c r="AK311"/>
      <c r="AL311"/>
      <c r="AM311"/>
      <c r="AN311"/>
      <c r="AO311"/>
      <c r="AP311"/>
    </row>
    <row r="312" spans="1:42" hidden="1">
      <c r="A312" s="1" t="s">
        <v>2542</v>
      </c>
      <c r="B312" s="1">
        <v>220311</v>
      </c>
      <c r="C312" s="1">
        <v>242035</v>
      </c>
      <c r="D312" s="1" t="s">
        <v>69</v>
      </c>
      <c r="E312" s="1" t="s">
        <v>310</v>
      </c>
      <c r="F312" t="s">
        <v>744</v>
      </c>
      <c r="G312" t="s">
        <v>393</v>
      </c>
      <c r="H312" s="1" t="s">
        <v>3320</v>
      </c>
      <c r="I312" s="1" t="s">
        <v>3321</v>
      </c>
      <c r="J312" s="1" t="s">
        <v>18</v>
      </c>
      <c r="K312" s="1" t="s">
        <v>50</v>
      </c>
      <c r="L312" s="1">
        <v>30422</v>
      </c>
      <c r="M312" s="1">
        <v>42</v>
      </c>
      <c r="N312" s="1">
        <v>1400</v>
      </c>
      <c r="P312" s="1">
        <v>1760</v>
      </c>
      <c r="Q312" s="1"/>
      <c r="R312" s="1">
        <v>360</v>
      </c>
      <c r="S312">
        <v>180000</v>
      </c>
      <c r="T312">
        <v>9027</v>
      </c>
      <c r="U312">
        <v>1431</v>
      </c>
      <c r="V312">
        <v>16470</v>
      </c>
      <c r="W312" s="1">
        <v>45400</v>
      </c>
      <c r="X312" s="1" t="s">
        <v>55</v>
      </c>
      <c r="Y312" s="1" t="s">
        <v>51</v>
      </c>
      <c r="Z312" s="1" t="s">
        <v>470</v>
      </c>
      <c r="AA312" s="1" t="s">
        <v>576</v>
      </c>
      <c r="AB312" s="1" t="s">
        <v>577</v>
      </c>
      <c r="AC312" s="1">
        <v>44626</v>
      </c>
      <c r="AD312" s="1">
        <v>44628</v>
      </c>
      <c r="AE312" s="1">
        <v>45169</v>
      </c>
      <c r="AF312" s="1">
        <v>45182</v>
      </c>
      <c r="AG312" s="1">
        <v>22.05</v>
      </c>
      <c r="AH312" s="1" t="s">
        <v>54</v>
      </c>
      <c r="AI312" s="1"/>
      <c r="AJ312" s="31">
        <v>44628</v>
      </c>
      <c r="AK312"/>
      <c r="AL312"/>
      <c r="AM312"/>
      <c r="AN312"/>
      <c r="AO312"/>
      <c r="AP312"/>
    </row>
    <row r="313" spans="1:42" hidden="1">
      <c r="A313" s="1" t="s">
        <v>2542</v>
      </c>
      <c r="B313" s="1">
        <v>220312</v>
      </c>
      <c r="C313" s="1">
        <v>242034</v>
      </c>
      <c r="D313" s="1" t="s">
        <v>69</v>
      </c>
      <c r="E313" s="1" t="s">
        <v>3317</v>
      </c>
      <c r="F313"/>
      <c r="G313"/>
      <c r="H313" s="1" t="s">
        <v>3318</v>
      </c>
      <c r="I313" s="1" t="s">
        <v>3319</v>
      </c>
      <c r="J313" s="1" t="s">
        <v>18</v>
      </c>
      <c r="K313" s="1" t="s">
        <v>50</v>
      </c>
      <c r="L313" s="1">
        <v>35779</v>
      </c>
      <c r="M313" s="1">
        <v>27</v>
      </c>
      <c r="N313" s="1">
        <v>1350</v>
      </c>
      <c r="P313" s="1">
        <v>1750</v>
      </c>
      <c r="Q313" s="1"/>
      <c r="R313" s="1">
        <v>400</v>
      </c>
      <c r="S313"/>
      <c r="T313" t="s">
        <v>55</v>
      </c>
      <c r="U313" t="s">
        <v>814</v>
      </c>
      <c r="V313" t="s">
        <v>55</v>
      </c>
      <c r="W313" s="1">
        <v>44954</v>
      </c>
      <c r="X313" s="1" t="s">
        <v>55</v>
      </c>
      <c r="Y313" s="1" t="s">
        <v>51</v>
      </c>
      <c r="Z313" s="1" t="s">
        <v>427</v>
      </c>
      <c r="AA313" s="1" t="s">
        <v>461</v>
      </c>
      <c r="AB313" s="1" t="s">
        <v>569</v>
      </c>
      <c r="AC313" s="1"/>
      <c r="AD313" s="1">
        <v>44628</v>
      </c>
      <c r="AE313" s="1">
        <v>44742</v>
      </c>
      <c r="AF313" s="1"/>
      <c r="AG313" s="1">
        <v>22.05</v>
      </c>
      <c r="AH313" s="1" t="s">
        <v>54</v>
      </c>
      <c r="AI313" s="1"/>
      <c r="AJ313" s="31">
        <v>44628</v>
      </c>
      <c r="AK313"/>
      <c r="AL313"/>
      <c r="AM313"/>
      <c r="AN313"/>
      <c r="AO313"/>
      <c r="AP313"/>
    </row>
    <row r="314" spans="1:42" hidden="1">
      <c r="A314" s="1" t="s">
        <v>2542</v>
      </c>
      <c r="B314" s="1">
        <v>220313</v>
      </c>
      <c r="C314" s="1">
        <v>242036</v>
      </c>
      <c r="D314" s="1" t="s">
        <v>69</v>
      </c>
      <c r="E314" s="1" t="s">
        <v>306</v>
      </c>
      <c r="F314" t="s">
        <v>3322</v>
      </c>
      <c r="G314" t="s">
        <v>2126</v>
      </c>
      <c r="H314" s="1" t="s">
        <v>3323</v>
      </c>
      <c r="I314" s="1" t="s">
        <v>3324</v>
      </c>
      <c r="J314" s="1" t="s">
        <v>18</v>
      </c>
      <c r="K314" s="1" t="s">
        <v>404</v>
      </c>
      <c r="L314" s="1">
        <v>35182</v>
      </c>
      <c r="M314" s="1">
        <v>29</v>
      </c>
      <c r="N314" s="1">
        <v>1300</v>
      </c>
      <c r="P314" s="1">
        <v>1750</v>
      </c>
      <c r="Q314" s="1"/>
      <c r="R314" s="1">
        <v>450</v>
      </c>
      <c r="S314">
        <v>260000</v>
      </c>
      <c r="T314">
        <v>13039</v>
      </c>
      <c r="U314" t="s">
        <v>814</v>
      </c>
      <c r="V314">
        <v>23790</v>
      </c>
      <c r="W314" s="1">
        <v>46321</v>
      </c>
      <c r="X314" s="1" t="s">
        <v>55</v>
      </c>
      <c r="Y314" s="1" t="s">
        <v>540</v>
      </c>
      <c r="Z314" s="1" t="s">
        <v>3325</v>
      </c>
      <c r="AA314" s="1" t="s">
        <v>3326</v>
      </c>
      <c r="AB314" s="1" t="s">
        <v>3327</v>
      </c>
      <c r="AC314" s="1" t="s">
        <v>53</v>
      </c>
      <c r="AD314" s="1">
        <v>44628</v>
      </c>
      <c r="AE314" s="1">
        <v>45251</v>
      </c>
      <c r="AF314" s="1"/>
      <c r="AG314" s="1">
        <v>22.05</v>
      </c>
      <c r="AH314" s="1" t="s">
        <v>54</v>
      </c>
      <c r="AI314" s="1"/>
      <c r="AJ314" s="31">
        <v>44628</v>
      </c>
      <c r="AK314"/>
      <c r="AL314"/>
      <c r="AM314"/>
      <c r="AN314"/>
      <c r="AO314"/>
      <c r="AP314"/>
    </row>
    <row r="315" spans="1:42" hidden="1">
      <c r="A315" s="1" t="s">
        <v>2542</v>
      </c>
      <c r="B315" s="1">
        <v>220315</v>
      </c>
      <c r="C315" s="1">
        <v>8210037</v>
      </c>
      <c r="D315" s="1" t="s">
        <v>822</v>
      </c>
      <c r="E315" s="1" t="s">
        <v>3306</v>
      </c>
      <c r="F315"/>
      <c r="G315"/>
      <c r="H315" s="1" t="s">
        <v>2204</v>
      </c>
      <c r="I315" s="1" t="s">
        <v>2205</v>
      </c>
      <c r="J315" s="1" t="s">
        <v>18</v>
      </c>
      <c r="K315" s="1" t="s">
        <v>50</v>
      </c>
      <c r="L315" s="1">
        <v>34262</v>
      </c>
      <c r="M315" s="1">
        <v>32</v>
      </c>
      <c r="N315" s="1">
        <v>1400</v>
      </c>
      <c r="P315" s="1">
        <v>1960</v>
      </c>
      <c r="Q315" s="1"/>
      <c r="R315" s="1">
        <v>560</v>
      </c>
      <c r="S315"/>
      <c r="T315" t="s">
        <v>55</v>
      </c>
      <c r="U315" t="s">
        <v>814</v>
      </c>
      <c r="V315" t="s">
        <v>55</v>
      </c>
      <c r="W315" s="1">
        <v>45482</v>
      </c>
      <c r="X315" s="1" t="s">
        <v>55</v>
      </c>
      <c r="Y315" s="1" t="s">
        <v>51</v>
      </c>
      <c r="Z315" s="1" t="s">
        <v>3195</v>
      </c>
      <c r="AA315" s="1" t="s">
        <v>3196</v>
      </c>
      <c r="AB315" s="1" t="s">
        <v>3197</v>
      </c>
      <c r="AC315" s="1">
        <v>44633</v>
      </c>
      <c r="AD315" s="1">
        <v>44634</v>
      </c>
      <c r="AE315" s="1">
        <v>44951</v>
      </c>
      <c r="AF315" s="1"/>
      <c r="AG315" s="1">
        <v>22.05</v>
      </c>
      <c r="AH315" s="1" t="s">
        <v>54</v>
      </c>
      <c r="AI315" s="1"/>
      <c r="AJ315" s="31">
        <v>44634</v>
      </c>
      <c r="AK315"/>
      <c r="AL315"/>
      <c r="AM315"/>
      <c r="AN315"/>
      <c r="AO315"/>
      <c r="AP315"/>
    </row>
    <row r="316" spans="1:42" hidden="1">
      <c r="A316" s="1" t="s">
        <v>2542</v>
      </c>
      <c r="B316" s="1">
        <v>220317</v>
      </c>
      <c r="C316" s="1">
        <v>232050</v>
      </c>
      <c r="D316" s="1" t="s">
        <v>83</v>
      </c>
      <c r="E316" s="1" t="s">
        <v>307</v>
      </c>
      <c r="F316" t="s">
        <v>2251</v>
      </c>
      <c r="G316" t="s">
        <v>2252</v>
      </c>
      <c r="H316" s="1" t="s">
        <v>235</v>
      </c>
      <c r="I316" s="1" t="s">
        <v>236</v>
      </c>
      <c r="J316" s="1" t="s">
        <v>18</v>
      </c>
      <c r="K316" s="1" t="s">
        <v>50</v>
      </c>
      <c r="L316" s="1">
        <v>34464</v>
      </c>
      <c r="M316" s="1">
        <v>31</v>
      </c>
      <c r="N316" s="1">
        <v>1420</v>
      </c>
      <c r="P316" s="1">
        <v>1860</v>
      </c>
      <c r="Q316" s="1"/>
      <c r="R316" s="1">
        <v>440</v>
      </c>
      <c r="S316">
        <v>260000</v>
      </c>
      <c r="T316">
        <v>13039</v>
      </c>
      <c r="U316" t="s">
        <v>814</v>
      </c>
      <c r="V316">
        <v>23790</v>
      </c>
      <c r="W316" s="1">
        <v>46446</v>
      </c>
      <c r="X316" s="1" t="s">
        <v>55</v>
      </c>
      <c r="Y316" s="1" t="s">
        <v>51</v>
      </c>
      <c r="Z316" s="1" t="s">
        <v>110</v>
      </c>
      <c r="AA316" s="1" t="s">
        <v>113</v>
      </c>
      <c r="AB316" s="1" t="s">
        <v>3675</v>
      </c>
      <c r="AC316" s="1"/>
      <c r="AD316" s="1">
        <v>44637</v>
      </c>
      <c r="AE316" s="1">
        <v>45868</v>
      </c>
      <c r="AF316" s="1"/>
      <c r="AG316" s="1">
        <v>22.06</v>
      </c>
      <c r="AH316" s="1" t="s">
        <v>54</v>
      </c>
      <c r="AI316" s="1"/>
      <c r="AJ316" s="31">
        <v>44637</v>
      </c>
      <c r="AK316"/>
      <c r="AL316"/>
      <c r="AM316"/>
      <c r="AN316"/>
      <c r="AO316"/>
      <c r="AP316"/>
    </row>
    <row r="317" spans="1:42" hidden="1">
      <c r="A317" s="1" t="s">
        <v>2542</v>
      </c>
      <c r="B317" s="1">
        <v>220316</v>
      </c>
      <c r="C317" s="1">
        <v>60064</v>
      </c>
      <c r="D317" s="1" t="s">
        <v>168</v>
      </c>
      <c r="E317" s="1" t="s">
        <v>169</v>
      </c>
      <c r="F317"/>
      <c r="G317"/>
      <c r="H317" s="1" t="s">
        <v>237</v>
      </c>
      <c r="I317" s="1" t="s">
        <v>238</v>
      </c>
      <c r="J317" s="1" t="s">
        <v>18</v>
      </c>
      <c r="K317" s="1" t="s">
        <v>50</v>
      </c>
      <c r="L317" s="1">
        <v>35348</v>
      </c>
      <c r="M317" s="1">
        <v>29</v>
      </c>
      <c r="N317" s="1">
        <v>1450</v>
      </c>
      <c r="P317" s="1">
        <v>2000</v>
      </c>
      <c r="Q317" s="1"/>
      <c r="R317" s="1">
        <v>550</v>
      </c>
      <c r="S317">
        <v>360000</v>
      </c>
      <c r="T317">
        <v>18054</v>
      </c>
      <c r="U317" t="s">
        <v>814</v>
      </c>
      <c r="V317">
        <v>32940</v>
      </c>
      <c r="W317" s="1">
        <v>47491</v>
      </c>
      <c r="X317" s="1" t="s">
        <v>55</v>
      </c>
      <c r="Y317" s="1" t="s">
        <v>51</v>
      </c>
      <c r="Z317" s="1" t="s">
        <v>1365</v>
      </c>
      <c r="AA317" s="1" t="s">
        <v>3942</v>
      </c>
      <c r="AB317" s="1"/>
      <c r="AC317" s="1" t="s">
        <v>53</v>
      </c>
      <c r="AD317" s="1">
        <v>44637</v>
      </c>
      <c r="AE317" s="1">
        <v>45834</v>
      </c>
      <c r="AF317" s="1">
        <v>45192</v>
      </c>
      <c r="AG317" s="1">
        <v>22.04</v>
      </c>
      <c r="AH317" s="1" t="s">
        <v>54</v>
      </c>
      <c r="AI317" s="1"/>
      <c r="AJ317" s="31">
        <v>44637</v>
      </c>
      <c r="AK317"/>
      <c r="AL317"/>
      <c r="AM317"/>
      <c r="AN317"/>
      <c r="AO317"/>
      <c r="AP317"/>
    </row>
    <row r="318" spans="1:42" hidden="1">
      <c r="A318" s="1" t="s">
        <v>2542</v>
      </c>
      <c r="B318" s="1">
        <v>220318</v>
      </c>
      <c r="C318" s="1">
        <v>232051</v>
      </c>
      <c r="D318" s="1" t="s">
        <v>83</v>
      </c>
      <c r="E318" s="1" t="s">
        <v>307</v>
      </c>
      <c r="F318" t="s">
        <v>2655</v>
      </c>
      <c r="G318"/>
      <c r="H318" s="1" t="s">
        <v>3329</v>
      </c>
      <c r="I318" s="1" t="s">
        <v>3330</v>
      </c>
      <c r="J318" s="1" t="s">
        <v>18</v>
      </c>
      <c r="K318" s="1" t="s">
        <v>50</v>
      </c>
      <c r="L318" s="1">
        <v>34977</v>
      </c>
      <c r="M318" s="1">
        <v>30</v>
      </c>
      <c r="N318" s="1">
        <v>1400</v>
      </c>
      <c r="P318" s="1">
        <v>1750</v>
      </c>
      <c r="Q318" s="1"/>
      <c r="R318" s="1">
        <v>350</v>
      </c>
      <c r="S318">
        <v>180000</v>
      </c>
      <c r="T318">
        <v>9027</v>
      </c>
      <c r="U318" t="s">
        <v>814</v>
      </c>
      <c r="V318">
        <v>16470</v>
      </c>
      <c r="W318" s="1">
        <v>45351</v>
      </c>
      <c r="X318" s="1" t="s">
        <v>55</v>
      </c>
      <c r="Y318" s="1" t="s">
        <v>51</v>
      </c>
      <c r="Z318" s="1" t="s">
        <v>110</v>
      </c>
      <c r="AA318" s="1" t="s">
        <v>113</v>
      </c>
      <c r="AB318" s="1" t="s">
        <v>372</v>
      </c>
      <c r="AC318" s="1"/>
      <c r="AD318" s="1">
        <v>44637</v>
      </c>
      <c r="AE318" s="1">
        <v>44999</v>
      </c>
      <c r="AF318" s="1"/>
      <c r="AG318" s="1">
        <v>22.06</v>
      </c>
      <c r="AH318" s="1" t="s">
        <v>54</v>
      </c>
      <c r="AI318" s="1"/>
      <c r="AJ318" s="31">
        <v>44637</v>
      </c>
      <c r="AK318"/>
      <c r="AL318"/>
      <c r="AM318"/>
      <c r="AN318"/>
      <c r="AO318"/>
      <c r="AP318"/>
    </row>
    <row r="319" spans="1:42" hidden="1">
      <c r="A319" s="1" t="s">
        <v>2542</v>
      </c>
      <c r="B319" s="1">
        <v>220319</v>
      </c>
      <c r="D319" s="1" t="s">
        <v>168</v>
      </c>
      <c r="F319"/>
      <c r="G319"/>
      <c r="H319" s="1" t="s">
        <v>3331</v>
      </c>
      <c r="I319" s="1" t="s">
        <v>3332</v>
      </c>
      <c r="J319" s="1" t="s">
        <v>18</v>
      </c>
      <c r="K319" s="1" t="s">
        <v>50</v>
      </c>
      <c r="L319" s="1">
        <v>34107</v>
      </c>
      <c r="M319" s="1">
        <v>32</v>
      </c>
      <c r="N319" s="1">
        <v>1400</v>
      </c>
      <c r="P319" s="1">
        <v>2000</v>
      </c>
      <c r="Q319" s="1"/>
      <c r="R319" s="1">
        <v>600</v>
      </c>
      <c r="S319"/>
      <c r="T319" t="s">
        <v>55</v>
      </c>
      <c r="U319" t="s">
        <v>814</v>
      </c>
      <c r="V319" t="s">
        <v>55</v>
      </c>
      <c r="W319" s="1">
        <v>45341</v>
      </c>
      <c r="X319" s="1" t="s">
        <v>55</v>
      </c>
      <c r="Y319" s="1" t="s">
        <v>51</v>
      </c>
      <c r="Z319" s="1" t="s">
        <v>2806</v>
      </c>
      <c r="AA319" s="1" t="s">
        <v>2862</v>
      </c>
      <c r="AB319" s="1" t="s">
        <v>2891</v>
      </c>
      <c r="AC319" s="1">
        <v>44635</v>
      </c>
      <c r="AD319" s="1">
        <v>44637</v>
      </c>
      <c r="AE319" s="1">
        <v>44803</v>
      </c>
      <c r="AF319" s="1"/>
      <c r="AG319" s="1">
        <v>22.06</v>
      </c>
      <c r="AH319" s="1" t="s">
        <v>3333</v>
      </c>
      <c r="AI319" s="1" t="s">
        <v>3334</v>
      </c>
      <c r="AJ319" s="31">
        <v>44637</v>
      </c>
      <c r="AK319"/>
      <c r="AL319"/>
      <c r="AM319"/>
      <c r="AN319"/>
      <c r="AO319"/>
      <c r="AP319"/>
    </row>
    <row r="320" spans="1:42" hidden="1">
      <c r="A320" s="1" t="s">
        <v>2542</v>
      </c>
      <c r="B320" s="1">
        <v>220320</v>
      </c>
      <c r="C320" s="1">
        <v>8210038</v>
      </c>
      <c r="D320" s="1" t="s">
        <v>818</v>
      </c>
      <c r="E320" s="1" t="s">
        <v>2637</v>
      </c>
      <c r="F320" s="1" t="s">
        <v>819</v>
      </c>
      <c r="G320"/>
      <c r="H320" s="1" t="s">
        <v>2988</v>
      </c>
      <c r="I320" s="1" t="s">
        <v>2989</v>
      </c>
      <c r="J320" s="1" t="s">
        <v>18</v>
      </c>
      <c r="K320" s="1" t="s">
        <v>50</v>
      </c>
      <c r="L320" s="1">
        <v>33921</v>
      </c>
      <c r="M320" s="1">
        <v>33</v>
      </c>
      <c r="N320" s="1">
        <v>1400</v>
      </c>
      <c r="P320" s="1">
        <v>1960</v>
      </c>
      <c r="Q320" s="1"/>
      <c r="R320" s="1">
        <v>560</v>
      </c>
      <c r="S320">
        <v>180000</v>
      </c>
      <c r="T320">
        <v>9027</v>
      </c>
      <c r="U320" t="s">
        <v>814</v>
      </c>
      <c r="V320">
        <v>16470</v>
      </c>
      <c r="W320" s="1">
        <v>45691</v>
      </c>
      <c r="X320" s="1" t="s">
        <v>55</v>
      </c>
      <c r="Y320" s="1" t="s">
        <v>51</v>
      </c>
      <c r="Z320" s="1" t="s">
        <v>578</v>
      </c>
      <c r="AA320" s="1" t="s">
        <v>579</v>
      </c>
      <c r="AB320" s="1" t="s">
        <v>3335</v>
      </c>
      <c r="AC320" s="1" t="s">
        <v>53</v>
      </c>
      <c r="AD320" s="1">
        <v>44638</v>
      </c>
      <c r="AE320" s="1">
        <v>45119</v>
      </c>
      <c r="AF320" s="1"/>
      <c r="AG320" s="1">
        <v>22.06</v>
      </c>
      <c r="AH320" s="1" t="s">
        <v>54</v>
      </c>
      <c r="AI320" s="1"/>
      <c r="AJ320" s="31">
        <v>44638</v>
      </c>
      <c r="AK320"/>
      <c r="AL320"/>
      <c r="AM320"/>
      <c r="AN320"/>
      <c r="AO320"/>
      <c r="AP320"/>
    </row>
    <row r="321" spans="1:42" hidden="1">
      <c r="A321" s="1" t="s">
        <v>49</v>
      </c>
      <c r="B321" s="1">
        <v>220321</v>
      </c>
      <c r="C321" s="1">
        <v>8210039</v>
      </c>
      <c r="D321" s="1" t="s">
        <v>823</v>
      </c>
      <c r="E321" s="1" t="s">
        <v>838</v>
      </c>
      <c r="F321" s="1" t="s">
        <v>838</v>
      </c>
      <c r="G321"/>
      <c r="H321" s="1" t="s">
        <v>580</v>
      </c>
      <c r="I321" s="1" t="s">
        <v>581</v>
      </c>
      <c r="J321" s="1" t="s">
        <v>18</v>
      </c>
      <c r="K321" s="1" t="s">
        <v>50</v>
      </c>
      <c r="L321" s="1">
        <v>35710</v>
      </c>
      <c r="M321" s="1">
        <v>28</v>
      </c>
      <c r="N321" s="1">
        <v>1500</v>
      </c>
      <c r="P321" s="1">
        <v>2150</v>
      </c>
      <c r="Q321" s="1"/>
      <c r="R321" s="1">
        <v>650</v>
      </c>
      <c r="S321">
        <v>360000</v>
      </c>
      <c r="T321">
        <v>18054</v>
      </c>
      <c r="U321" t="s">
        <v>814</v>
      </c>
      <c r="V321">
        <v>32940</v>
      </c>
      <c r="W321" s="1">
        <v>46058</v>
      </c>
      <c r="X321" s="1">
        <v>63</v>
      </c>
      <c r="Y321" s="1" t="s">
        <v>51</v>
      </c>
      <c r="Z321" s="1" t="s">
        <v>463</v>
      </c>
      <c r="AA321" s="1" t="s">
        <v>2994</v>
      </c>
      <c r="AB321" s="1" t="s">
        <v>531</v>
      </c>
      <c r="AC321" s="1">
        <v>44955</v>
      </c>
      <c r="AD321" s="1">
        <v>44641</v>
      </c>
      <c r="AE321" s="1"/>
      <c r="AF321" s="1"/>
      <c r="AG321" s="1">
        <v>22.06</v>
      </c>
      <c r="AH321" s="1" t="s">
        <v>54</v>
      </c>
      <c r="AI321" s="1" t="s">
        <v>582</v>
      </c>
      <c r="AJ321" s="31">
        <v>44641</v>
      </c>
      <c r="AK321"/>
      <c r="AL321"/>
      <c r="AM321" t="s">
        <v>2466</v>
      </c>
      <c r="AN321">
        <v>45903</v>
      </c>
      <c r="AO321"/>
      <c r="AP321"/>
    </row>
    <row r="322" spans="1:42" hidden="1">
      <c r="A322" s="1" t="s">
        <v>2542</v>
      </c>
      <c r="B322" s="1">
        <v>220322</v>
      </c>
      <c r="C322" s="1">
        <v>222043</v>
      </c>
      <c r="D322" s="1" t="s">
        <v>95</v>
      </c>
      <c r="E322" s="1" t="s">
        <v>3938</v>
      </c>
      <c r="F322" s="1" t="s">
        <v>392</v>
      </c>
      <c r="G322"/>
      <c r="H322" s="1" t="s">
        <v>3336</v>
      </c>
      <c r="I322" s="1" t="s">
        <v>3337</v>
      </c>
      <c r="J322" s="1" t="s">
        <v>18</v>
      </c>
      <c r="K322" s="1" t="s">
        <v>50</v>
      </c>
      <c r="L322" s="1">
        <v>35247</v>
      </c>
      <c r="M322" s="1">
        <v>29</v>
      </c>
      <c r="N322" s="1">
        <v>1370</v>
      </c>
      <c r="P322" s="1">
        <v>1770</v>
      </c>
      <c r="Q322" s="1"/>
      <c r="R322" s="1">
        <v>400</v>
      </c>
      <c r="S322"/>
      <c r="T322" t="s">
        <v>55</v>
      </c>
      <c r="U322" t="s">
        <v>814</v>
      </c>
      <c r="V322" t="s">
        <v>55</v>
      </c>
      <c r="W322" s="1">
        <v>45226</v>
      </c>
      <c r="X322" s="1" t="s">
        <v>55</v>
      </c>
      <c r="Y322" s="1" t="s">
        <v>51</v>
      </c>
      <c r="Z322" s="1" t="s">
        <v>91</v>
      </c>
      <c r="AA322" s="1" t="s">
        <v>158</v>
      </c>
      <c r="AB322" s="1" t="s">
        <v>219</v>
      </c>
      <c r="AC322" s="1">
        <v>44637</v>
      </c>
      <c r="AD322" s="1">
        <v>44643</v>
      </c>
      <c r="AE322" s="1">
        <v>44862</v>
      </c>
      <c r="AF322" s="1"/>
      <c r="AG322" s="1">
        <v>44682</v>
      </c>
      <c r="AH322" s="1">
        <v>44669</v>
      </c>
      <c r="AI322" s="1"/>
      <c r="AJ322" s="31">
        <v>44643</v>
      </c>
      <c r="AK322"/>
      <c r="AL322"/>
      <c r="AM322"/>
      <c r="AN322"/>
      <c r="AO322"/>
      <c r="AP322"/>
    </row>
    <row r="323" spans="1:42" hidden="1">
      <c r="A323" s="1" t="s">
        <v>2542</v>
      </c>
      <c r="B323" s="1">
        <v>220323</v>
      </c>
      <c r="C323" s="1">
        <v>60065</v>
      </c>
      <c r="D323" s="1" t="s">
        <v>168</v>
      </c>
      <c r="E323" s="1" t="s">
        <v>226</v>
      </c>
      <c r="F323"/>
      <c r="G323"/>
      <c r="H323" s="1" t="s">
        <v>3338</v>
      </c>
      <c r="I323" s="1" t="s">
        <v>3339</v>
      </c>
      <c r="J323" s="1" t="s">
        <v>18</v>
      </c>
      <c r="K323" s="1" t="s">
        <v>50</v>
      </c>
      <c r="L323" s="1">
        <v>33826</v>
      </c>
      <c r="M323" s="1">
        <v>33</v>
      </c>
      <c r="N323" s="1">
        <v>1500</v>
      </c>
      <c r="P323" s="1">
        <v>2200</v>
      </c>
      <c r="Q323" s="1"/>
      <c r="R323" s="1">
        <v>700</v>
      </c>
      <c r="S323"/>
      <c r="T323" t="s">
        <v>55</v>
      </c>
      <c r="U323" t="s">
        <v>814</v>
      </c>
      <c r="V323" t="s">
        <v>55</v>
      </c>
      <c r="W323" s="1">
        <v>45712</v>
      </c>
      <c r="X323" s="1" t="s">
        <v>55</v>
      </c>
      <c r="Y323" s="1" t="s">
        <v>51</v>
      </c>
      <c r="Z323" s="1" t="s">
        <v>3340</v>
      </c>
      <c r="AA323" s="1" t="s">
        <v>3341</v>
      </c>
      <c r="AB323" s="1" t="s">
        <v>3342</v>
      </c>
      <c r="AC323" s="1">
        <v>44661</v>
      </c>
      <c r="AD323" s="1">
        <v>44645</v>
      </c>
      <c r="AE323" s="1">
        <v>44854</v>
      </c>
      <c r="AF323" s="1"/>
      <c r="AG323" s="1">
        <v>44713</v>
      </c>
      <c r="AH323" s="1">
        <v>44669</v>
      </c>
      <c r="AI323" s="1"/>
      <c r="AJ323" s="31">
        <v>44645</v>
      </c>
      <c r="AK323"/>
      <c r="AL323"/>
      <c r="AM323"/>
      <c r="AN323"/>
      <c r="AO323"/>
      <c r="AP323"/>
    </row>
    <row r="324" spans="1:42" hidden="1">
      <c r="A324" s="1" t="s">
        <v>2542</v>
      </c>
      <c r="B324" s="1">
        <v>220324</v>
      </c>
      <c r="C324" s="1">
        <v>242042</v>
      </c>
      <c r="D324" s="1" t="s">
        <v>69</v>
      </c>
      <c r="E324" s="1" t="s">
        <v>310</v>
      </c>
      <c r="F324" t="s">
        <v>744</v>
      </c>
      <c r="G324" t="s">
        <v>1093</v>
      </c>
      <c r="H324" s="1" t="s">
        <v>3343</v>
      </c>
      <c r="I324" s="1" t="s">
        <v>3344</v>
      </c>
      <c r="J324" s="1" t="s">
        <v>18</v>
      </c>
      <c r="K324" s="1" t="s">
        <v>50</v>
      </c>
      <c r="L324" s="1">
        <v>35332</v>
      </c>
      <c r="M324" s="1">
        <v>29</v>
      </c>
      <c r="N324" s="1">
        <v>1400</v>
      </c>
      <c r="P324" s="1">
        <v>1760</v>
      </c>
      <c r="Q324" s="1"/>
      <c r="R324" s="1">
        <v>360</v>
      </c>
      <c r="S324">
        <v>280000</v>
      </c>
      <c r="T324">
        <v>14042</v>
      </c>
      <c r="U324" t="s">
        <v>814</v>
      </c>
      <c r="V324">
        <v>25620</v>
      </c>
      <c r="W324" s="1">
        <v>45587</v>
      </c>
      <c r="X324" s="1" t="s">
        <v>55</v>
      </c>
      <c r="Y324" s="1" t="s">
        <v>51</v>
      </c>
      <c r="Z324" s="1" t="s">
        <v>485</v>
      </c>
      <c r="AA324" s="1" t="s">
        <v>486</v>
      </c>
      <c r="AB324" s="1" t="s">
        <v>1595</v>
      </c>
      <c r="AC324" s="1">
        <v>44681</v>
      </c>
      <c r="AD324" s="1">
        <v>44649</v>
      </c>
      <c r="AE324" s="1">
        <v>45285</v>
      </c>
      <c r="AF324" s="1"/>
      <c r="AG324" s="1" t="s">
        <v>243</v>
      </c>
      <c r="AH324" s="1">
        <v>44671</v>
      </c>
      <c r="AI324" s="1" t="s">
        <v>3345</v>
      </c>
      <c r="AJ324" s="31">
        <v>44649</v>
      </c>
      <c r="AK324"/>
      <c r="AL324"/>
      <c r="AM324"/>
      <c r="AN324"/>
      <c r="AO324"/>
      <c r="AP324"/>
    </row>
    <row r="325" spans="1:42" hidden="1">
      <c r="A325" s="1" t="s">
        <v>2542</v>
      </c>
      <c r="B325" s="1">
        <v>220325</v>
      </c>
      <c r="C325" s="1">
        <v>232052</v>
      </c>
      <c r="D325" s="1" t="s">
        <v>83</v>
      </c>
      <c r="E325" s="1" t="s">
        <v>307</v>
      </c>
      <c r="F325" t="s">
        <v>2251</v>
      </c>
      <c r="G325" t="s">
        <v>2252</v>
      </c>
      <c r="H325" s="1" t="s">
        <v>239</v>
      </c>
      <c r="I325" s="1" t="s">
        <v>240</v>
      </c>
      <c r="J325" s="1" t="s">
        <v>18</v>
      </c>
      <c r="K325" s="1" t="s">
        <v>50</v>
      </c>
      <c r="L325" s="1">
        <v>32632</v>
      </c>
      <c r="M325" s="1">
        <v>36</v>
      </c>
      <c r="N325" s="1">
        <v>1410</v>
      </c>
      <c r="P325" s="1">
        <v>1820</v>
      </c>
      <c r="Q325" s="1"/>
      <c r="R325" s="1">
        <v>410</v>
      </c>
      <c r="S325">
        <v>260000</v>
      </c>
      <c r="T325">
        <v>13039</v>
      </c>
      <c r="U325" t="s">
        <v>814</v>
      </c>
      <c r="V325">
        <v>23790</v>
      </c>
      <c r="W325" s="1">
        <v>46464</v>
      </c>
      <c r="X325" s="1" t="s">
        <v>55</v>
      </c>
      <c r="Y325" s="1" t="s">
        <v>51</v>
      </c>
      <c r="Z325" s="1" t="s">
        <v>211</v>
      </c>
      <c r="AA325" s="1" t="s">
        <v>1366</v>
      </c>
      <c r="AB325" s="1" t="s">
        <v>1367</v>
      </c>
      <c r="AC325" s="1" t="s">
        <v>53</v>
      </c>
      <c r="AD325" s="1">
        <v>44649</v>
      </c>
      <c r="AE325" s="1">
        <v>45727</v>
      </c>
      <c r="AF325" s="1"/>
      <c r="AG325" s="1" t="s">
        <v>241</v>
      </c>
      <c r="AH325" s="1" t="s">
        <v>242</v>
      </c>
      <c r="AI325" s="1"/>
      <c r="AJ325" s="31">
        <v>44649</v>
      </c>
      <c r="AK325"/>
      <c r="AL325"/>
      <c r="AM325"/>
      <c r="AN325"/>
      <c r="AO325"/>
      <c r="AP325"/>
    </row>
    <row r="326" spans="1:42" hidden="1">
      <c r="A326" s="1" t="s">
        <v>2542</v>
      </c>
      <c r="B326" s="1">
        <v>220326</v>
      </c>
      <c r="D326" s="1" t="s">
        <v>464</v>
      </c>
      <c r="E326" s="1" t="s">
        <v>465</v>
      </c>
      <c r="F326"/>
      <c r="G326"/>
      <c r="H326" s="1" t="s">
        <v>3346</v>
      </c>
      <c r="I326" s="1" t="s">
        <v>3347</v>
      </c>
      <c r="J326" s="1" t="s">
        <v>18</v>
      </c>
      <c r="K326" s="1" t="s">
        <v>50</v>
      </c>
      <c r="L326" s="1">
        <v>34602</v>
      </c>
      <c r="M326" s="1">
        <v>31</v>
      </c>
      <c r="N326" s="1">
        <v>1400</v>
      </c>
      <c r="P326" s="1">
        <v>2000</v>
      </c>
      <c r="Q326" s="1" t="s">
        <v>2787</v>
      </c>
      <c r="R326" s="1">
        <v>600</v>
      </c>
      <c r="S326">
        <v>260000</v>
      </c>
      <c r="T326">
        <v>13039</v>
      </c>
      <c r="U326" t="s">
        <v>814</v>
      </c>
      <c r="V326">
        <v>23790</v>
      </c>
      <c r="W326" s="1">
        <v>45325</v>
      </c>
      <c r="X326" s="1" t="s">
        <v>55</v>
      </c>
      <c r="Y326" s="1" t="s">
        <v>51</v>
      </c>
      <c r="Z326" s="1" t="s">
        <v>2900</v>
      </c>
      <c r="AA326" s="1" t="s">
        <v>2901</v>
      </c>
      <c r="AB326" s="1" t="s">
        <v>3348</v>
      </c>
      <c r="AC326" s="1">
        <v>44649</v>
      </c>
      <c r="AD326" s="1">
        <v>44650</v>
      </c>
      <c r="AE326" s="1">
        <v>45247</v>
      </c>
      <c r="AF326" s="1"/>
      <c r="AG326" s="1" t="s">
        <v>3349</v>
      </c>
      <c r="AH326" s="1">
        <v>44671</v>
      </c>
      <c r="AI326" s="1"/>
      <c r="AJ326" s="31">
        <v>44650</v>
      </c>
      <c r="AK326"/>
      <c r="AL326"/>
      <c r="AM326"/>
      <c r="AN326"/>
      <c r="AO326"/>
      <c r="AP326"/>
    </row>
    <row r="327" spans="1:42" hidden="1">
      <c r="A327" s="1" t="s">
        <v>2542</v>
      </c>
      <c r="B327" s="1">
        <v>220327</v>
      </c>
      <c r="C327" s="1">
        <v>232053</v>
      </c>
      <c r="D327" s="1" t="s">
        <v>83</v>
      </c>
      <c r="E327" s="1" t="s">
        <v>307</v>
      </c>
      <c r="F327" t="s">
        <v>2655</v>
      </c>
      <c r="G327"/>
      <c r="H327" s="1" t="s">
        <v>3350</v>
      </c>
      <c r="I327" s="1" t="s">
        <v>3351</v>
      </c>
      <c r="J327" s="1" t="s">
        <v>18</v>
      </c>
      <c r="K327" s="1" t="s">
        <v>50</v>
      </c>
      <c r="L327" s="1">
        <v>34277</v>
      </c>
      <c r="M327" s="1">
        <v>32</v>
      </c>
      <c r="N327" s="1">
        <v>1350</v>
      </c>
      <c r="P327" s="1">
        <v>1750</v>
      </c>
      <c r="Q327" s="1"/>
      <c r="R327" s="1">
        <v>400</v>
      </c>
      <c r="S327"/>
      <c r="T327" t="s">
        <v>55</v>
      </c>
      <c r="U327" t="s">
        <v>814</v>
      </c>
      <c r="V327" t="s">
        <v>55</v>
      </c>
      <c r="W327" s="1">
        <v>44940</v>
      </c>
      <c r="X327" s="1" t="s">
        <v>55</v>
      </c>
      <c r="Y327" s="1" t="s">
        <v>51</v>
      </c>
      <c r="Z327" s="1" t="s">
        <v>110</v>
      </c>
      <c r="AA327" s="1" t="s">
        <v>134</v>
      </c>
      <c r="AB327" s="1" t="s">
        <v>373</v>
      </c>
      <c r="AC327" s="1">
        <v>44647</v>
      </c>
      <c r="AD327" s="1">
        <v>44651</v>
      </c>
      <c r="AE327" s="1">
        <v>44831</v>
      </c>
      <c r="AF327" s="1">
        <v>44849</v>
      </c>
      <c r="AG327" s="1" t="s">
        <v>243</v>
      </c>
      <c r="AH327" s="1">
        <v>44671</v>
      </c>
      <c r="AI327" s="1"/>
      <c r="AJ327" s="31">
        <v>44651</v>
      </c>
      <c r="AK327"/>
      <c r="AL327"/>
      <c r="AM327"/>
      <c r="AN327"/>
      <c r="AO327"/>
      <c r="AP327"/>
    </row>
    <row r="328" spans="1:42" hidden="1">
      <c r="A328" s="1" t="s">
        <v>2542</v>
      </c>
      <c r="B328" s="1">
        <v>220401</v>
      </c>
      <c r="C328" s="1">
        <v>232054</v>
      </c>
      <c r="D328" s="1" t="s">
        <v>83</v>
      </c>
      <c r="E328" s="1" t="s">
        <v>3352</v>
      </c>
      <c r="F328" t="s">
        <v>3353</v>
      </c>
      <c r="G328"/>
      <c r="H328" s="1" t="s">
        <v>3354</v>
      </c>
      <c r="I328" s="1" t="s">
        <v>3355</v>
      </c>
      <c r="J328" s="1" t="s">
        <v>17</v>
      </c>
      <c r="K328" s="1" t="s">
        <v>50</v>
      </c>
      <c r="L328" s="1">
        <v>35437</v>
      </c>
      <c r="M328" s="1">
        <v>28</v>
      </c>
      <c r="N328" s="1">
        <v>1250</v>
      </c>
      <c r="P328" s="1">
        <v>1660</v>
      </c>
      <c r="Q328" s="1"/>
      <c r="R328" s="1">
        <v>410</v>
      </c>
      <c r="S328">
        <v>180000</v>
      </c>
      <c r="T328">
        <v>9027</v>
      </c>
      <c r="U328" t="s">
        <v>814</v>
      </c>
      <c r="V328">
        <v>16470</v>
      </c>
      <c r="W328" s="1">
        <v>45098</v>
      </c>
      <c r="X328" s="1" t="s">
        <v>55</v>
      </c>
      <c r="Y328" s="1" t="s">
        <v>51</v>
      </c>
      <c r="Z328" s="1" t="s">
        <v>110</v>
      </c>
      <c r="AA328" s="1" t="s">
        <v>87</v>
      </c>
      <c r="AB328" s="1" t="s">
        <v>839</v>
      </c>
      <c r="AC328" s="1">
        <v>44963</v>
      </c>
      <c r="AD328" s="1">
        <v>44655</v>
      </c>
      <c r="AE328" s="1">
        <v>45040</v>
      </c>
      <c r="AF328" s="1"/>
      <c r="AG328" s="1" t="s">
        <v>243</v>
      </c>
      <c r="AH328" s="1">
        <v>44671</v>
      </c>
      <c r="AI328" s="1"/>
      <c r="AJ328" s="31">
        <v>44655</v>
      </c>
      <c r="AK328"/>
      <c r="AL328"/>
      <c r="AM328"/>
      <c r="AN328"/>
      <c r="AO328"/>
      <c r="AP328"/>
    </row>
    <row r="329" spans="1:42" hidden="1">
      <c r="A329" s="1" t="s">
        <v>2542</v>
      </c>
      <c r="B329" s="1">
        <v>220402</v>
      </c>
      <c r="D329" s="1" t="s">
        <v>3356</v>
      </c>
      <c r="F329"/>
      <c r="G329"/>
      <c r="H329" s="1" t="s">
        <v>3357</v>
      </c>
      <c r="I329" s="1" t="s">
        <v>3358</v>
      </c>
      <c r="J329" s="1" t="s">
        <v>18</v>
      </c>
      <c r="K329" s="1" t="s">
        <v>50</v>
      </c>
      <c r="L329" s="1">
        <v>31531</v>
      </c>
      <c r="M329" s="1">
        <v>39</v>
      </c>
      <c r="N329" s="1">
        <v>1400</v>
      </c>
      <c r="P329" s="1">
        <v>1800</v>
      </c>
      <c r="Q329" s="1"/>
      <c r="R329" s="1">
        <v>400</v>
      </c>
      <c r="S329">
        <v>180000</v>
      </c>
      <c r="T329">
        <v>9027</v>
      </c>
      <c r="U329" t="s">
        <v>814</v>
      </c>
      <c r="V329">
        <v>16470</v>
      </c>
      <c r="W329" s="1">
        <v>45273</v>
      </c>
      <c r="X329" s="1" t="s">
        <v>55</v>
      </c>
      <c r="Y329" s="1" t="s">
        <v>51</v>
      </c>
      <c r="Z329" s="1" t="s">
        <v>3359</v>
      </c>
      <c r="AA329" s="1" t="s">
        <v>3360</v>
      </c>
      <c r="AB329" s="1" t="s">
        <v>3361</v>
      </c>
      <c r="AC329" s="1" t="s">
        <v>53</v>
      </c>
      <c r="AD329" s="1">
        <v>44655</v>
      </c>
      <c r="AE329" s="1">
        <v>45105</v>
      </c>
      <c r="AF329" s="1"/>
      <c r="AG329" s="1" t="s">
        <v>3362</v>
      </c>
      <c r="AH329" s="1">
        <v>44671</v>
      </c>
      <c r="AI329" s="1"/>
      <c r="AJ329" s="31">
        <v>44655</v>
      </c>
      <c r="AK329"/>
      <c r="AL329"/>
      <c r="AM329"/>
      <c r="AN329"/>
      <c r="AO329"/>
      <c r="AP329"/>
    </row>
    <row r="330" spans="1:42" hidden="1">
      <c r="A330" s="1" t="s">
        <v>2542</v>
      </c>
      <c r="B330" s="1">
        <v>220403</v>
      </c>
      <c r="C330" s="1">
        <v>242038</v>
      </c>
      <c r="D330" s="1" t="s">
        <v>69</v>
      </c>
      <c r="E330" s="1" t="s">
        <v>310</v>
      </c>
      <c r="F330" t="s">
        <v>749</v>
      </c>
      <c r="G330" t="s">
        <v>1093</v>
      </c>
      <c r="H330" s="1" t="s">
        <v>583</v>
      </c>
      <c r="I330" s="1" t="s">
        <v>584</v>
      </c>
      <c r="J330" s="1" t="s">
        <v>18</v>
      </c>
      <c r="K330" s="1" t="s">
        <v>50</v>
      </c>
      <c r="L330" s="1">
        <v>34748</v>
      </c>
      <c r="M330" s="1">
        <v>30</v>
      </c>
      <c r="N330" s="1">
        <v>1420</v>
      </c>
      <c r="P330" s="1">
        <v>1820</v>
      </c>
      <c r="Q330" s="1"/>
      <c r="R330" s="1">
        <v>400</v>
      </c>
      <c r="S330">
        <v>300000</v>
      </c>
      <c r="T330">
        <v>15045</v>
      </c>
      <c r="U330" t="s">
        <v>814</v>
      </c>
      <c r="V330">
        <v>27450</v>
      </c>
      <c r="W330" s="1">
        <v>46723</v>
      </c>
      <c r="X330" s="1" t="s">
        <v>55</v>
      </c>
      <c r="Y330" s="1" t="s">
        <v>51</v>
      </c>
      <c r="Z330" s="1" t="s">
        <v>427</v>
      </c>
      <c r="AA330" s="1" t="s">
        <v>428</v>
      </c>
      <c r="AB330" s="1" t="s">
        <v>662</v>
      </c>
      <c r="AC330" s="1" t="s">
        <v>53</v>
      </c>
      <c r="AD330" s="1">
        <v>44658</v>
      </c>
      <c r="AE330" s="1">
        <v>45762</v>
      </c>
      <c r="AF330" s="1"/>
      <c r="AG330" s="1" t="s">
        <v>241</v>
      </c>
      <c r="AH330" s="1">
        <v>44671</v>
      </c>
      <c r="AI330" s="1"/>
      <c r="AJ330" s="31">
        <v>44658</v>
      </c>
      <c r="AK330"/>
      <c r="AL330"/>
      <c r="AM330"/>
      <c r="AN330"/>
      <c r="AO330" t="s">
        <v>4164</v>
      </c>
      <c r="AP330"/>
    </row>
    <row r="331" spans="1:42" hidden="1">
      <c r="A331" s="1" t="s">
        <v>49</v>
      </c>
      <c r="B331" s="1">
        <v>220406</v>
      </c>
      <c r="C331" s="1">
        <v>232055</v>
      </c>
      <c r="D331" s="1" t="s">
        <v>83</v>
      </c>
      <c r="E331" s="1" t="s">
        <v>307</v>
      </c>
      <c r="F331" s="1" t="s">
        <v>2251</v>
      </c>
      <c r="G331" t="s">
        <v>2252</v>
      </c>
      <c r="H331" s="1" t="s">
        <v>245</v>
      </c>
      <c r="I331" s="1" t="s">
        <v>246</v>
      </c>
      <c r="J331" s="1" t="s">
        <v>18</v>
      </c>
      <c r="K331" s="1" t="s">
        <v>200</v>
      </c>
      <c r="L331" s="1">
        <v>32908</v>
      </c>
      <c r="M331" s="1">
        <v>35</v>
      </c>
      <c r="N331" s="1">
        <v>1410</v>
      </c>
      <c r="P331" s="1">
        <v>1850</v>
      </c>
      <c r="Q331" s="1"/>
      <c r="R331" s="1">
        <v>440</v>
      </c>
      <c r="S331">
        <v>300000</v>
      </c>
      <c r="T331">
        <v>15045</v>
      </c>
      <c r="U331" t="s">
        <v>814</v>
      </c>
      <c r="V331">
        <v>27450</v>
      </c>
      <c r="W331" s="1">
        <v>46017</v>
      </c>
      <c r="X331" s="1">
        <v>22</v>
      </c>
      <c r="Y331" s="1" t="s">
        <v>51</v>
      </c>
      <c r="Z331" s="1" t="s">
        <v>110</v>
      </c>
      <c r="AA331" s="1" t="s">
        <v>134</v>
      </c>
      <c r="AB331" s="1" t="s">
        <v>247</v>
      </c>
      <c r="AC331" s="1">
        <v>44656</v>
      </c>
      <c r="AD331" s="1">
        <v>44659</v>
      </c>
      <c r="AE331" s="1">
        <v>46017</v>
      </c>
      <c r="AF331" s="1"/>
      <c r="AG331" s="1" t="s">
        <v>243</v>
      </c>
      <c r="AH331" s="1">
        <v>44679</v>
      </c>
      <c r="AI331" s="1"/>
      <c r="AJ331" s="31">
        <v>44659</v>
      </c>
      <c r="AK331"/>
      <c r="AL331"/>
      <c r="AM331"/>
      <c r="AN331"/>
      <c r="AO331"/>
      <c r="AP331"/>
    </row>
    <row r="332" spans="1:42" hidden="1">
      <c r="A332" s="1" t="s">
        <v>2542</v>
      </c>
      <c r="B332" s="1">
        <v>220404</v>
      </c>
      <c r="D332" s="1" t="s">
        <v>62</v>
      </c>
      <c r="E332" s="1" t="s">
        <v>3365</v>
      </c>
      <c r="F332"/>
      <c r="G332"/>
      <c r="H332" s="1" t="s">
        <v>3366</v>
      </c>
      <c r="I332" s="1" t="s">
        <v>3367</v>
      </c>
      <c r="J332" s="1" t="s">
        <v>18</v>
      </c>
      <c r="K332" s="1" t="s">
        <v>404</v>
      </c>
      <c r="L332" s="1">
        <v>22349</v>
      </c>
      <c r="M332" s="1">
        <v>64</v>
      </c>
      <c r="N332" s="1">
        <v>1400</v>
      </c>
      <c r="P332" s="1">
        <v>1750</v>
      </c>
      <c r="Q332" s="1"/>
      <c r="R332" s="1">
        <v>350</v>
      </c>
      <c r="S332"/>
      <c r="T332" t="s">
        <v>55</v>
      </c>
      <c r="U332" t="s">
        <v>814</v>
      </c>
      <c r="V332" t="s">
        <v>55</v>
      </c>
      <c r="W332" s="1">
        <v>43616</v>
      </c>
      <c r="X332" s="1" t="s">
        <v>55</v>
      </c>
      <c r="Y332" s="1" t="s">
        <v>51</v>
      </c>
      <c r="Z332" s="1" t="s">
        <v>3368</v>
      </c>
      <c r="AA332" s="1" t="s">
        <v>3369</v>
      </c>
      <c r="AB332" s="1" t="s">
        <v>3370</v>
      </c>
      <c r="AC332" s="1">
        <v>44658</v>
      </c>
      <c r="AD332" s="1">
        <v>44659</v>
      </c>
      <c r="AE332" s="1">
        <v>44715</v>
      </c>
      <c r="AF332" s="1"/>
      <c r="AG332" s="1">
        <v>44713</v>
      </c>
      <c r="AH332" s="1">
        <v>44669</v>
      </c>
      <c r="AI332" s="1" t="s">
        <v>3371</v>
      </c>
      <c r="AJ332" s="31">
        <v>44659</v>
      </c>
      <c r="AK332"/>
      <c r="AL332"/>
      <c r="AM332"/>
      <c r="AN332"/>
      <c r="AO332"/>
      <c r="AP332"/>
    </row>
    <row r="333" spans="1:42" hidden="1">
      <c r="A333" s="1" t="s">
        <v>2542</v>
      </c>
      <c r="B333" s="1">
        <v>220405</v>
      </c>
      <c r="D333" s="1" t="s">
        <v>83</v>
      </c>
      <c r="F333"/>
      <c r="G333"/>
      <c r="H333" s="1" t="s">
        <v>3363</v>
      </c>
      <c r="I333" s="1" t="s">
        <v>3364</v>
      </c>
      <c r="J333" s="1" t="s">
        <v>18</v>
      </c>
      <c r="K333" s="1" t="s">
        <v>50</v>
      </c>
      <c r="L333" s="1">
        <v>35762</v>
      </c>
      <c r="M333" s="1">
        <v>28</v>
      </c>
      <c r="N333" s="1">
        <v>1350</v>
      </c>
      <c r="P333" s="1">
        <v>1750</v>
      </c>
      <c r="Q333" s="1"/>
      <c r="R333" s="1">
        <v>400</v>
      </c>
      <c r="S333"/>
      <c r="T333" t="s">
        <v>55</v>
      </c>
      <c r="U333" t="s">
        <v>814</v>
      </c>
      <c r="V333" t="s">
        <v>55</v>
      </c>
      <c r="W333" s="1">
        <v>44911</v>
      </c>
      <c r="X333" s="1" t="s">
        <v>55</v>
      </c>
      <c r="Y333" s="1" t="s">
        <v>51</v>
      </c>
      <c r="Z333" s="1" t="s">
        <v>110</v>
      </c>
      <c r="AA333" s="1" t="s">
        <v>111</v>
      </c>
      <c r="AB333" s="1" t="s">
        <v>152</v>
      </c>
      <c r="AC333" s="1">
        <v>44652</v>
      </c>
      <c r="AD333" s="1">
        <v>44659</v>
      </c>
      <c r="AE333" s="1">
        <v>44680</v>
      </c>
      <c r="AF333" s="1"/>
      <c r="AG333" s="1"/>
      <c r="AH333" s="1">
        <v>44678</v>
      </c>
      <c r="AI333" s="1"/>
      <c r="AJ333" s="31">
        <v>44659</v>
      </c>
      <c r="AK333"/>
      <c r="AL333"/>
      <c r="AM333"/>
      <c r="AN333"/>
      <c r="AO333"/>
      <c r="AP333"/>
    </row>
    <row r="334" spans="1:42" hidden="1">
      <c r="A334" s="1" t="s">
        <v>2542</v>
      </c>
      <c r="B334" s="1">
        <v>220407</v>
      </c>
      <c r="D334" s="1" t="s">
        <v>436</v>
      </c>
      <c r="E334" s="1" t="s">
        <v>503</v>
      </c>
      <c r="F334"/>
      <c r="G334"/>
      <c r="H334" s="1" t="s">
        <v>3372</v>
      </c>
      <c r="I334" s="1" t="s">
        <v>3373</v>
      </c>
      <c r="J334" s="1" t="s">
        <v>18</v>
      </c>
      <c r="K334" s="1" t="s">
        <v>50</v>
      </c>
      <c r="L334" s="1">
        <v>32210</v>
      </c>
      <c r="M334" s="1">
        <v>37</v>
      </c>
      <c r="N334" s="1">
        <v>1600</v>
      </c>
      <c r="O334" s="1" t="s">
        <v>3374</v>
      </c>
      <c r="P334" s="1">
        <v>2100</v>
      </c>
      <c r="Q334" s="1"/>
      <c r="R334" s="1">
        <v>500</v>
      </c>
      <c r="S334">
        <v>410000</v>
      </c>
      <c r="T334">
        <v>20561</v>
      </c>
      <c r="U334" t="s">
        <v>814</v>
      </c>
      <c r="V334">
        <v>37515</v>
      </c>
      <c r="W334" s="1">
        <v>46324</v>
      </c>
      <c r="X334" s="1" t="s">
        <v>55</v>
      </c>
      <c r="Y334" s="1" t="s">
        <v>51</v>
      </c>
      <c r="Z334" s="1" t="s">
        <v>437</v>
      </c>
      <c r="AA334" s="1" t="s">
        <v>505</v>
      </c>
      <c r="AB334" s="1" t="s">
        <v>2503</v>
      </c>
      <c r="AC334" s="1">
        <v>44662</v>
      </c>
      <c r="AD334" s="1">
        <v>44663</v>
      </c>
      <c r="AE334" s="1">
        <v>45321</v>
      </c>
      <c r="AF334" s="1"/>
      <c r="AG334" s="1" t="s">
        <v>3362</v>
      </c>
      <c r="AH334" s="1">
        <v>44672</v>
      </c>
      <c r="AI334" s="1"/>
      <c r="AJ334" s="31">
        <v>44663</v>
      </c>
      <c r="AK334"/>
      <c r="AL334"/>
      <c r="AM334"/>
      <c r="AN334"/>
      <c r="AO334"/>
      <c r="AP334"/>
    </row>
    <row r="335" spans="1:42" hidden="1">
      <c r="A335" s="1" t="s">
        <v>2542</v>
      </c>
      <c r="B335" s="1">
        <v>220307</v>
      </c>
      <c r="C335" s="1">
        <v>104</v>
      </c>
      <c r="D335" s="1" t="s">
        <v>61</v>
      </c>
      <c r="F335"/>
      <c r="G335"/>
      <c r="H335" s="1" t="s">
        <v>3375</v>
      </c>
      <c r="I335" s="1" t="s">
        <v>3376</v>
      </c>
      <c r="J335" s="1" t="s">
        <v>18</v>
      </c>
      <c r="K335" s="1" t="s">
        <v>50</v>
      </c>
      <c r="L335" s="1">
        <v>34917</v>
      </c>
      <c r="M335" s="1">
        <v>30</v>
      </c>
      <c r="N335" s="1">
        <v>1300</v>
      </c>
      <c r="P335" s="1">
        <v>1750</v>
      </c>
      <c r="Q335" s="1"/>
      <c r="R335" s="1">
        <v>450</v>
      </c>
      <c r="S335">
        <v>180000</v>
      </c>
      <c r="T335">
        <v>9027</v>
      </c>
      <c r="U335" t="s">
        <v>814</v>
      </c>
      <c r="V335">
        <v>16470</v>
      </c>
      <c r="W335" s="1">
        <v>45282</v>
      </c>
      <c r="X335" s="1" t="s">
        <v>55</v>
      </c>
      <c r="Y335" s="1" t="s">
        <v>51</v>
      </c>
      <c r="Z335" s="1" t="s">
        <v>102</v>
      </c>
      <c r="AA335" s="1" t="s">
        <v>103</v>
      </c>
      <c r="AB335" s="1" t="s">
        <v>104</v>
      </c>
      <c r="AC335" s="1">
        <v>44955</v>
      </c>
      <c r="AD335" s="1">
        <v>44664</v>
      </c>
      <c r="AE335" s="1">
        <v>45044</v>
      </c>
      <c r="AF335" s="1">
        <v>45061</v>
      </c>
      <c r="AG335" s="1">
        <v>44682</v>
      </c>
      <c r="AH335" s="1" t="s">
        <v>54</v>
      </c>
      <c r="AI335" s="1" t="s">
        <v>3377</v>
      </c>
      <c r="AJ335" s="31">
        <v>44664</v>
      </c>
      <c r="AK335"/>
      <c r="AL335"/>
      <c r="AM335"/>
      <c r="AN335"/>
      <c r="AO335"/>
      <c r="AP335"/>
    </row>
    <row r="336" spans="1:42" hidden="1">
      <c r="A336" s="1" t="s">
        <v>2542</v>
      </c>
      <c r="B336" s="1">
        <v>220408</v>
      </c>
      <c r="D336" s="1" t="s">
        <v>168</v>
      </c>
      <c r="H336" s="1" t="s">
        <v>3378</v>
      </c>
      <c r="I336" s="1" t="s">
        <v>3379</v>
      </c>
      <c r="J336" s="1" t="s">
        <v>18</v>
      </c>
      <c r="K336" s="1" t="s">
        <v>50</v>
      </c>
      <c r="L336" s="1">
        <v>34783</v>
      </c>
      <c r="M336" s="1">
        <v>30</v>
      </c>
      <c r="N336" s="1">
        <v>1400</v>
      </c>
      <c r="P336" s="1">
        <v>2000</v>
      </c>
      <c r="Q336" s="1"/>
      <c r="R336" s="1">
        <v>600</v>
      </c>
      <c r="S336"/>
      <c r="T336" t="s">
        <v>55</v>
      </c>
      <c r="U336" t="s">
        <v>814</v>
      </c>
      <c r="V336" t="s">
        <v>55</v>
      </c>
      <c r="W336" s="1">
        <v>46463</v>
      </c>
      <c r="X336" s="1" t="s">
        <v>55</v>
      </c>
      <c r="Y336" s="1" t="s">
        <v>51</v>
      </c>
      <c r="Z336" s="1" t="s">
        <v>3380</v>
      </c>
      <c r="AA336" s="1" t="s">
        <v>3381</v>
      </c>
      <c r="AB336" s="1" t="s">
        <v>3382</v>
      </c>
      <c r="AC336" s="1" t="s">
        <v>53</v>
      </c>
      <c r="AD336" s="1">
        <v>44664</v>
      </c>
      <c r="AE336" s="1">
        <v>44701</v>
      </c>
      <c r="AF336" s="1"/>
      <c r="AG336" s="1" t="s">
        <v>243</v>
      </c>
      <c r="AH336" s="1">
        <v>44679</v>
      </c>
      <c r="AI336" s="1"/>
      <c r="AJ336" s="31">
        <v>44664</v>
      </c>
      <c r="AK336"/>
      <c r="AL336"/>
      <c r="AM336"/>
      <c r="AO336"/>
      <c r="AP336" s="1"/>
    </row>
    <row r="337" spans="1:42" hidden="1">
      <c r="A337" s="1" t="s">
        <v>2542</v>
      </c>
      <c r="B337" s="1">
        <v>220410</v>
      </c>
      <c r="D337" s="1" t="s">
        <v>548</v>
      </c>
      <c r="E337" s="1" t="s">
        <v>549</v>
      </c>
      <c r="H337" s="1" t="s">
        <v>3383</v>
      </c>
      <c r="I337" s="1" t="s">
        <v>3384</v>
      </c>
      <c r="J337" s="1" t="s">
        <v>18</v>
      </c>
      <c r="K337" s="1" t="s">
        <v>50</v>
      </c>
      <c r="L337" s="1">
        <v>35090</v>
      </c>
      <c r="M337" s="1">
        <v>29</v>
      </c>
      <c r="N337" s="1">
        <v>1400</v>
      </c>
      <c r="P337" s="1">
        <v>1900</v>
      </c>
      <c r="Q337" s="1"/>
      <c r="R337" s="1">
        <v>500</v>
      </c>
      <c r="S337">
        <v>240000</v>
      </c>
      <c r="T337">
        <v>12036</v>
      </c>
      <c r="U337" t="s">
        <v>814</v>
      </c>
      <c r="V337">
        <v>21960</v>
      </c>
      <c r="W337" s="1">
        <v>45687</v>
      </c>
      <c r="X337" s="1" t="s">
        <v>55</v>
      </c>
      <c r="Y337" s="1" t="s">
        <v>51</v>
      </c>
      <c r="Z337" s="1" t="s">
        <v>585</v>
      </c>
      <c r="AA337" s="1" t="s">
        <v>840</v>
      </c>
      <c r="AB337" s="1" t="s">
        <v>3385</v>
      </c>
      <c r="AC337" s="1">
        <v>44664</v>
      </c>
      <c r="AD337" s="1">
        <v>44665</v>
      </c>
      <c r="AE337" s="1">
        <v>45428</v>
      </c>
      <c r="AF337" s="1"/>
      <c r="AG337" s="1" t="s">
        <v>243</v>
      </c>
      <c r="AH337" s="1">
        <v>44678</v>
      </c>
      <c r="AI337" s="1"/>
      <c r="AJ337" s="31">
        <v>44665</v>
      </c>
      <c r="AK337"/>
      <c r="AL337"/>
      <c r="AM337"/>
      <c r="AO337"/>
      <c r="AP337" s="1"/>
    </row>
    <row r="338" spans="1:42" hidden="1">
      <c r="A338" s="1" t="s">
        <v>2542</v>
      </c>
      <c r="B338" s="1">
        <v>220411</v>
      </c>
      <c r="C338" s="1">
        <v>242039</v>
      </c>
      <c r="D338" s="1" t="s">
        <v>69</v>
      </c>
      <c r="E338" s="1" t="s">
        <v>306</v>
      </c>
      <c r="F338" s="1" t="s">
        <v>740</v>
      </c>
      <c r="G338" s="1" t="s">
        <v>317</v>
      </c>
      <c r="H338" s="1" t="s">
        <v>3386</v>
      </c>
      <c r="I338" s="1" t="s">
        <v>3387</v>
      </c>
      <c r="J338" s="1" t="s">
        <v>18</v>
      </c>
      <c r="K338" s="1" t="s">
        <v>50</v>
      </c>
      <c r="L338" s="1">
        <v>30672</v>
      </c>
      <c r="M338" s="1">
        <v>41</v>
      </c>
      <c r="N338" s="1">
        <v>1400</v>
      </c>
      <c r="P338" s="1">
        <v>1770</v>
      </c>
      <c r="Q338" s="1"/>
      <c r="R338" s="1">
        <v>370</v>
      </c>
      <c r="S338">
        <v>280000</v>
      </c>
      <c r="T338">
        <v>14042</v>
      </c>
      <c r="U338">
        <v>2226</v>
      </c>
      <c r="V338">
        <v>25620</v>
      </c>
      <c r="W338" s="1">
        <v>45272</v>
      </c>
      <c r="X338" s="1" t="s">
        <v>55</v>
      </c>
      <c r="Y338" s="1" t="s">
        <v>51</v>
      </c>
      <c r="Z338" s="1" t="s">
        <v>586</v>
      </c>
      <c r="AA338" s="1" t="s">
        <v>587</v>
      </c>
      <c r="AB338" s="1" t="s">
        <v>588</v>
      </c>
      <c r="AC338" s="1">
        <v>44665</v>
      </c>
      <c r="AD338" s="1">
        <v>44669</v>
      </c>
      <c r="AE338" s="1">
        <v>45184</v>
      </c>
      <c r="AF338" s="1"/>
      <c r="AG338" s="1" t="s">
        <v>248</v>
      </c>
      <c r="AH338" s="1">
        <v>44671</v>
      </c>
      <c r="AI338" s="1"/>
      <c r="AJ338" s="31">
        <v>44669</v>
      </c>
      <c r="AK338"/>
      <c r="AL338"/>
      <c r="AM338"/>
      <c r="AO338"/>
      <c r="AP338" s="1"/>
    </row>
    <row r="339" spans="1:42">
      <c r="A339" s="1" t="s">
        <v>49</v>
      </c>
      <c r="B339" s="1">
        <v>241202</v>
      </c>
      <c r="C339" s="1">
        <v>212052</v>
      </c>
      <c r="D339" s="1" t="s">
        <v>75</v>
      </c>
      <c r="E339" s="1" t="s">
        <v>3934</v>
      </c>
      <c r="F339" t="s">
        <v>736</v>
      </c>
      <c r="G339" t="s">
        <v>317</v>
      </c>
      <c r="H339" s="1" t="s">
        <v>3982</v>
      </c>
      <c r="I339" s="1" t="s">
        <v>3983</v>
      </c>
      <c r="J339" s="1" t="s">
        <v>18</v>
      </c>
      <c r="K339" s="1" t="s">
        <v>50</v>
      </c>
      <c r="L339" s="1">
        <v>37056</v>
      </c>
      <c r="M339" s="1">
        <v>24</v>
      </c>
      <c r="N339" s="1">
        <v>1250</v>
      </c>
      <c r="P339" s="1">
        <v>1650</v>
      </c>
      <c r="Q339" s="1"/>
      <c r="R339" s="1">
        <v>400</v>
      </c>
      <c r="S339">
        <v>260000</v>
      </c>
      <c r="T339">
        <v>13039</v>
      </c>
      <c r="U339" t="s">
        <v>814</v>
      </c>
      <c r="V339">
        <v>23790</v>
      </c>
      <c r="W339" s="1">
        <v>46358</v>
      </c>
      <c r="X339" s="1" t="s">
        <v>55</v>
      </c>
      <c r="Y339" s="1" t="s">
        <v>51</v>
      </c>
      <c r="Z339" s="1" t="s">
        <v>67</v>
      </c>
      <c r="AA339" s="1" t="s">
        <v>209</v>
      </c>
      <c r="AB339" s="1" t="s">
        <v>286</v>
      </c>
      <c r="AC339" s="1"/>
      <c r="AD339" s="1">
        <v>45631</v>
      </c>
      <c r="AE339" s="1"/>
      <c r="AF339" s="1"/>
      <c r="AG339" s="1">
        <v>45631</v>
      </c>
      <c r="AH339" s="1" t="s">
        <v>4004</v>
      </c>
      <c r="AI339" s="1"/>
      <c r="AJ339" s="31">
        <v>45631</v>
      </c>
      <c r="AK339"/>
      <c r="AL339"/>
      <c r="AM339"/>
      <c r="AN339"/>
      <c r="AO339"/>
      <c r="AP339"/>
    </row>
    <row r="340" spans="1:42" hidden="1">
      <c r="A340" s="1" t="s">
        <v>2542</v>
      </c>
      <c r="B340" s="1">
        <v>220413</v>
      </c>
      <c r="D340" s="1" t="s">
        <v>436</v>
      </c>
      <c r="E340" s="1" t="s">
        <v>503</v>
      </c>
      <c r="F340"/>
      <c r="G340"/>
      <c r="H340" s="1" t="s">
        <v>591</v>
      </c>
      <c r="I340" s="1" t="s">
        <v>592</v>
      </c>
      <c r="J340" s="1" t="s">
        <v>18</v>
      </c>
      <c r="K340" s="1" t="s">
        <v>50</v>
      </c>
      <c r="L340" s="1">
        <v>31966</v>
      </c>
      <c r="M340" s="1">
        <v>38</v>
      </c>
      <c r="N340" s="1">
        <v>1500</v>
      </c>
      <c r="O340" s="1" t="s">
        <v>3374</v>
      </c>
      <c r="P340" s="1">
        <v>2100</v>
      </c>
      <c r="Q340" s="1"/>
      <c r="R340" s="1">
        <v>600</v>
      </c>
      <c r="S340">
        <v>180000</v>
      </c>
      <c r="T340">
        <v>9027</v>
      </c>
      <c r="U340" t="s">
        <v>814</v>
      </c>
      <c r="V340">
        <v>16470</v>
      </c>
      <c r="W340" s="1">
        <v>45350</v>
      </c>
      <c r="X340" s="1" t="s">
        <v>55</v>
      </c>
      <c r="Y340" s="1" t="s">
        <v>51</v>
      </c>
      <c r="Z340" s="1" t="s">
        <v>504</v>
      </c>
      <c r="AA340" s="1" t="s">
        <v>505</v>
      </c>
      <c r="AB340" s="1" t="s">
        <v>516</v>
      </c>
      <c r="AC340" s="1">
        <v>44670</v>
      </c>
      <c r="AD340" s="1">
        <v>44670</v>
      </c>
      <c r="AE340" s="1">
        <v>44944</v>
      </c>
      <c r="AF340" s="1"/>
      <c r="AG340" s="1" t="s">
        <v>248</v>
      </c>
      <c r="AH340" s="1">
        <v>44678</v>
      </c>
      <c r="AI340" s="1"/>
      <c r="AJ340" s="31">
        <v>44670</v>
      </c>
      <c r="AK340"/>
      <c r="AL340"/>
      <c r="AM340"/>
      <c r="AN340"/>
      <c r="AO340"/>
      <c r="AP340"/>
    </row>
    <row r="341" spans="1:42" hidden="1">
      <c r="A341" s="1" t="s">
        <v>2542</v>
      </c>
      <c r="B341" s="1">
        <v>220414</v>
      </c>
      <c r="D341" s="1" t="s">
        <v>436</v>
      </c>
      <c r="E341" s="1" t="s">
        <v>503</v>
      </c>
      <c r="F341"/>
      <c r="G341"/>
      <c r="H341" s="1" t="s">
        <v>3388</v>
      </c>
      <c r="I341" s="1" t="s">
        <v>3389</v>
      </c>
      <c r="J341" s="1" t="s">
        <v>18</v>
      </c>
      <c r="K341" s="1" t="s">
        <v>50</v>
      </c>
      <c r="L341" s="1">
        <v>33020</v>
      </c>
      <c r="M341" s="1">
        <v>35</v>
      </c>
      <c r="N341" s="1">
        <v>1600</v>
      </c>
      <c r="O341" s="1" t="s">
        <v>3374</v>
      </c>
      <c r="P341" s="1">
        <v>2100</v>
      </c>
      <c r="Q341" s="1"/>
      <c r="R341" s="1">
        <v>500</v>
      </c>
      <c r="S341">
        <v>440000</v>
      </c>
      <c r="T341">
        <v>22066</v>
      </c>
      <c r="U341" t="s">
        <v>814</v>
      </c>
      <c r="V341">
        <v>40260</v>
      </c>
      <c r="W341" s="1">
        <v>45493</v>
      </c>
      <c r="X341" s="1" t="s">
        <v>55</v>
      </c>
      <c r="Y341" s="1" t="s">
        <v>51</v>
      </c>
      <c r="Z341" s="1" t="s">
        <v>437</v>
      </c>
      <c r="AA341" s="1" t="s">
        <v>3188</v>
      </c>
      <c r="AB341" s="1" t="s">
        <v>3189</v>
      </c>
      <c r="AC341" s="1">
        <v>44670</v>
      </c>
      <c r="AD341" s="1">
        <v>44671</v>
      </c>
      <c r="AE341" s="1">
        <v>45307</v>
      </c>
      <c r="AF341" s="1"/>
      <c r="AG341" s="1" t="s">
        <v>248</v>
      </c>
      <c r="AH341" s="1">
        <v>44678</v>
      </c>
      <c r="AI341" s="1"/>
      <c r="AJ341" s="31">
        <v>44671</v>
      </c>
      <c r="AK341"/>
      <c r="AL341"/>
      <c r="AM341"/>
      <c r="AN341"/>
      <c r="AO341"/>
      <c r="AP341"/>
    </row>
    <row r="342" spans="1:42" hidden="1">
      <c r="A342" s="1" t="s">
        <v>2542</v>
      </c>
      <c r="B342" s="1">
        <v>220415</v>
      </c>
      <c r="C342" s="1">
        <v>242041</v>
      </c>
      <c r="D342" s="1" t="s">
        <v>69</v>
      </c>
      <c r="E342" s="1" t="s">
        <v>306</v>
      </c>
      <c r="F342" t="s">
        <v>742</v>
      </c>
      <c r="G342" t="s">
        <v>317</v>
      </c>
      <c r="H342" s="1" t="s">
        <v>3390</v>
      </c>
      <c r="I342" s="1" t="s">
        <v>3391</v>
      </c>
      <c r="J342" s="1" t="s">
        <v>18</v>
      </c>
      <c r="K342" s="1" t="s">
        <v>50</v>
      </c>
      <c r="L342" s="1">
        <v>34731</v>
      </c>
      <c r="M342" s="1">
        <v>30</v>
      </c>
      <c r="N342" s="1">
        <v>1400</v>
      </c>
      <c r="P342" s="1">
        <v>1780</v>
      </c>
      <c r="Q342" s="1"/>
      <c r="R342" s="1">
        <v>380</v>
      </c>
      <c r="S342">
        <v>280000</v>
      </c>
      <c r="T342">
        <v>14042</v>
      </c>
      <c r="U342" t="s">
        <v>814</v>
      </c>
      <c r="V342">
        <v>25620</v>
      </c>
      <c r="W342" s="1">
        <v>45645</v>
      </c>
      <c r="X342" s="1" t="s">
        <v>55</v>
      </c>
      <c r="Y342" s="1" t="s">
        <v>51</v>
      </c>
      <c r="Z342" s="1" t="s">
        <v>485</v>
      </c>
      <c r="AA342" s="1" t="s">
        <v>486</v>
      </c>
      <c r="AB342" s="1" t="s">
        <v>593</v>
      </c>
      <c r="AC342" s="1">
        <v>44699</v>
      </c>
      <c r="AD342" s="1">
        <v>44673</v>
      </c>
      <c r="AE342" s="1">
        <v>45306</v>
      </c>
      <c r="AF342" s="1"/>
      <c r="AG342" s="1" t="s">
        <v>248</v>
      </c>
      <c r="AH342" s="1">
        <v>44697</v>
      </c>
      <c r="AI342" s="1"/>
      <c r="AJ342" s="31">
        <v>44673</v>
      </c>
      <c r="AK342"/>
      <c r="AL342"/>
      <c r="AM342"/>
      <c r="AN342"/>
      <c r="AO342"/>
      <c r="AP342"/>
    </row>
    <row r="343" spans="1:42" hidden="1">
      <c r="A343" s="1" t="s">
        <v>2542</v>
      </c>
      <c r="B343" s="1">
        <v>220416</v>
      </c>
      <c r="D343" s="1" t="s">
        <v>548</v>
      </c>
      <c r="E343" s="1" t="s">
        <v>549</v>
      </c>
      <c r="F343"/>
      <c r="G343"/>
      <c r="H343" s="1" t="s">
        <v>3392</v>
      </c>
      <c r="I343" s="1" t="s">
        <v>3393</v>
      </c>
      <c r="J343" s="1" t="s">
        <v>18</v>
      </c>
      <c r="K343" s="1" t="s">
        <v>50</v>
      </c>
      <c r="L343" s="1">
        <v>35596</v>
      </c>
      <c r="M343" s="1">
        <v>28</v>
      </c>
      <c r="N343" s="1">
        <v>1400</v>
      </c>
      <c r="P343" s="1">
        <v>1900</v>
      </c>
      <c r="Q343" s="1"/>
      <c r="R343" s="1">
        <v>500</v>
      </c>
      <c r="S343"/>
      <c r="T343" t="s">
        <v>55</v>
      </c>
      <c r="U343" t="s">
        <v>814</v>
      </c>
      <c r="V343" t="s">
        <v>55</v>
      </c>
      <c r="W343" s="1">
        <v>45624</v>
      </c>
      <c r="X343" s="1" t="s">
        <v>55</v>
      </c>
      <c r="Y343" s="1" t="s">
        <v>51</v>
      </c>
      <c r="Z343" s="1" t="s">
        <v>585</v>
      </c>
      <c r="AA343" s="1" t="s">
        <v>840</v>
      </c>
      <c r="AB343" s="1" t="s">
        <v>3385</v>
      </c>
      <c r="AC343" s="1"/>
      <c r="AD343" s="1">
        <v>44676</v>
      </c>
      <c r="AE343" s="1">
        <v>44946</v>
      </c>
      <c r="AF343" s="1"/>
      <c r="AG343" s="1" t="s">
        <v>248</v>
      </c>
      <c r="AH343" s="1">
        <v>44697</v>
      </c>
      <c r="AI343" s="1"/>
      <c r="AJ343" s="31">
        <v>44676</v>
      </c>
      <c r="AK343"/>
      <c r="AL343"/>
      <c r="AM343"/>
      <c r="AN343"/>
      <c r="AO343"/>
      <c r="AP343"/>
    </row>
    <row r="344" spans="1:42" hidden="1">
      <c r="A344" s="1" t="s">
        <v>49</v>
      </c>
      <c r="B344" s="1">
        <v>220502</v>
      </c>
      <c r="C344" s="1">
        <v>232057</v>
      </c>
      <c r="D344" s="1" t="s">
        <v>83</v>
      </c>
      <c r="E344" s="1" t="s">
        <v>307</v>
      </c>
      <c r="F344" t="s">
        <v>2251</v>
      </c>
      <c r="G344" t="s">
        <v>2252</v>
      </c>
      <c r="H344" s="1" t="s">
        <v>250</v>
      </c>
      <c r="I344" s="1" t="s">
        <v>251</v>
      </c>
      <c r="J344" s="1" t="s">
        <v>18</v>
      </c>
      <c r="K344" s="1" t="s">
        <v>50</v>
      </c>
      <c r="L344" s="1">
        <v>34432</v>
      </c>
      <c r="M344" s="1">
        <v>31</v>
      </c>
      <c r="N344" s="1">
        <v>1410</v>
      </c>
      <c r="P344" s="1">
        <v>1830</v>
      </c>
      <c r="Q344" s="1"/>
      <c r="R344" s="1">
        <v>420</v>
      </c>
      <c r="S344">
        <v>280000</v>
      </c>
      <c r="T344">
        <v>14042</v>
      </c>
      <c r="U344" t="s">
        <v>814</v>
      </c>
      <c r="V344">
        <v>25620</v>
      </c>
      <c r="W344" s="1">
        <v>46436</v>
      </c>
      <c r="X344" s="1" t="s">
        <v>55</v>
      </c>
      <c r="Y344" s="1" t="s">
        <v>51</v>
      </c>
      <c r="Z344" s="1" t="s">
        <v>110</v>
      </c>
      <c r="AA344" s="1" t="s">
        <v>111</v>
      </c>
      <c r="AB344" s="1" t="s">
        <v>152</v>
      </c>
      <c r="AC344" s="1">
        <v>44687</v>
      </c>
      <c r="AD344" s="1">
        <v>44690</v>
      </c>
      <c r="AE344" s="1"/>
      <c r="AF344" s="1"/>
      <c r="AG344" s="1" t="s">
        <v>248</v>
      </c>
      <c r="AH344" s="1" t="s">
        <v>249</v>
      </c>
      <c r="AI344" s="1"/>
      <c r="AJ344" s="31">
        <v>44690</v>
      </c>
      <c r="AK344"/>
      <c r="AL344"/>
      <c r="AM344"/>
      <c r="AN344"/>
      <c r="AO344"/>
      <c r="AP344"/>
    </row>
    <row r="345" spans="1:42" hidden="1">
      <c r="A345" s="1" t="s">
        <v>2542</v>
      </c>
      <c r="B345" s="1">
        <v>220501</v>
      </c>
      <c r="C345" s="1">
        <v>410014</v>
      </c>
      <c r="D345" s="1" t="s">
        <v>447</v>
      </c>
      <c r="E345" s="1" t="s">
        <v>1270</v>
      </c>
      <c r="F345" t="s">
        <v>1271</v>
      </c>
      <c r="G345" t="s">
        <v>1267</v>
      </c>
      <c r="H345" s="1" t="s">
        <v>598</v>
      </c>
      <c r="I345" s="1" t="s">
        <v>599</v>
      </c>
      <c r="J345" s="1" t="s">
        <v>18</v>
      </c>
      <c r="K345" s="1" t="s">
        <v>50</v>
      </c>
      <c r="L345" s="1">
        <v>34992</v>
      </c>
      <c r="M345" s="1">
        <v>30</v>
      </c>
      <c r="N345" s="1">
        <v>1320</v>
      </c>
      <c r="P345" s="1">
        <v>1750</v>
      </c>
      <c r="Q345" s="1"/>
      <c r="R345" s="1">
        <v>430</v>
      </c>
      <c r="S345">
        <v>300000</v>
      </c>
      <c r="T345">
        <v>15045</v>
      </c>
      <c r="U345" t="s">
        <v>814</v>
      </c>
      <c r="V345">
        <v>27450</v>
      </c>
      <c r="W345" s="1">
        <v>46716</v>
      </c>
      <c r="X345" s="1" t="s">
        <v>55</v>
      </c>
      <c r="Y345" s="1" t="s">
        <v>51</v>
      </c>
      <c r="Z345" s="1" t="s">
        <v>448</v>
      </c>
      <c r="AA345" s="1" t="s">
        <v>478</v>
      </c>
      <c r="AB345" s="1" t="s">
        <v>841</v>
      </c>
      <c r="AC345" s="1" t="s">
        <v>53</v>
      </c>
      <c r="AD345" s="1">
        <v>44690</v>
      </c>
      <c r="AE345" s="1">
        <v>45733</v>
      </c>
      <c r="AF345" s="1"/>
      <c r="AG345" s="1" t="s">
        <v>248</v>
      </c>
      <c r="AH345" s="1" t="s">
        <v>249</v>
      </c>
      <c r="AI345" s="1"/>
      <c r="AJ345" s="31">
        <v>44690</v>
      </c>
      <c r="AK345"/>
      <c r="AL345"/>
      <c r="AM345"/>
      <c r="AN345"/>
      <c r="AO345"/>
      <c r="AP345"/>
    </row>
    <row r="346" spans="1:42" hidden="1">
      <c r="A346" s="1" t="s">
        <v>49</v>
      </c>
      <c r="B346" s="1">
        <v>220504</v>
      </c>
      <c r="C346" s="1">
        <v>5547</v>
      </c>
      <c r="D346" s="1" t="s">
        <v>846</v>
      </c>
      <c r="E346" s="1" t="s">
        <v>1234</v>
      </c>
      <c r="F346" s="1" t="s">
        <v>1583</v>
      </c>
      <c r="G346" t="s">
        <v>1514</v>
      </c>
      <c r="H346" s="1" t="s">
        <v>253</v>
      </c>
      <c r="I346" s="1" t="s">
        <v>254</v>
      </c>
      <c r="J346" s="1" t="s">
        <v>18</v>
      </c>
      <c r="K346" s="1" t="s">
        <v>50</v>
      </c>
      <c r="L346" s="1">
        <v>35828</v>
      </c>
      <c r="M346" s="1">
        <v>27</v>
      </c>
      <c r="N346" s="1">
        <v>1330</v>
      </c>
      <c r="O346" s="1" t="s">
        <v>4355</v>
      </c>
      <c r="P346" s="1">
        <v>1745</v>
      </c>
      <c r="Q346" s="1" t="s">
        <v>4356</v>
      </c>
      <c r="R346" s="1">
        <v>415</v>
      </c>
      <c r="S346">
        <v>280000</v>
      </c>
      <c r="T346">
        <v>14042</v>
      </c>
      <c r="U346" t="s">
        <v>814</v>
      </c>
      <c r="V346">
        <v>25620</v>
      </c>
      <c r="W346" s="1">
        <v>46536</v>
      </c>
      <c r="X346" s="1" t="s">
        <v>55</v>
      </c>
      <c r="Y346" s="1" t="s">
        <v>51</v>
      </c>
      <c r="Z346" s="1" t="s">
        <v>901</v>
      </c>
      <c r="AA346" s="1" t="s">
        <v>902</v>
      </c>
      <c r="AB346" s="1" t="s">
        <v>1097</v>
      </c>
      <c r="AC346" s="1">
        <v>45025</v>
      </c>
      <c r="AD346" s="1">
        <v>44690</v>
      </c>
      <c r="AE346" s="1"/>
      <c r="AF346" s="1"/>
      <c r="AG346" s="1" t="s">
        <v>248</v>
      </c>
      <c r="AH346" s="1" t="s">
        <v>249</v>
      </c>
      <c r="AI346" s="1" t="s">
        <v>1098</v>
      </c>
      <c r="AJ346" s="31">
        <v>44690</v>
      </c>
      <c r="AK346"/>
      <c r="AL346"/>
      <c r="AM346"/>
      <c r="AN346"/>
      <c r="AO346"/>
      <c r="AP346"/>
    </row>
    <row r="347" spans="1:42">
      <c r="A347" s="1" t="s">
        <v>49</v>
      </c>
      <c r="B347" s="1">
        <v>250224</v>
      </c>
      <c r="C347" s="1">
        <v>212054</v>
      </c>
      <c r="D347" s="1" t="s">
        <v>75</v>
      </c>
      <c r="E347" s="1" t="s">
        <v>3934</v>
      </c>
      <c r="F347" t="s">
        <v>736</v>
      </c>
      <c r="G347" t="s">
        <v>317</v>
      </c>
      <c r="H347" s="1" t="s">
        <v>4155</v>
      </c>
      <c r="I347" s="1" t="s">
        <v>4156</v>
      </c>
      <c r="J347" s="1" t="s">
        <v>18</v>
      </c>
      <c r="K347" s="1" t="s">
        <v>50</v>
      </c>
      <c r="L347" s="1">
        <v>36739</v>
      </c>
      <c r="M347" s="1">
        <v>25</v>
      </c>
      <c r="N347" s="1">
        <v>1250</v>
      </c>
      <c r="P347" s="1">
        <v>1650</v>
      </c>
      <c r="Q347" s="1"/>
      <c r="R347" s="1">
        <v>400</v>
      </c>
      <c r="S347">
        <v>200000</v>
      </c>
      <c r="T347">
        <v>10030</v>
      </c>
      <c r="U347" t="s">
        <v>814</v>
      </c>
      <c r="V347">
        <v>18300</v>
      </c>
      <c r="W347" s="1">
        <v>46797</v>
      </c>
      <c r="X347" s="1" t="s">
        <v>55</v>
      </c>
      <c r="Y347" s="1" t="s">
        <v>51</v>
      </c>
      <c r="Z347" s="1" t="s">
        <v>67</v>
      </c>
      <c r="AA347" s="1" t="s">
        <v>209</v>
      </c>
      <c r="AB347" s="1" t="s">
        <v>286</v>
      </c>
      <c r="AC347" s="1">
        <v>45702</v>
      </c>
      <c r="AD347" s="1">
        <v>45707</v>
      </c>
      <c r="AE347" s="1"/>
      <c r="AF347" s="1"/>
      <c r="AG347" s="1">
        <v>45707</v>
      </c>
      <c r="AH347" s="1" t="s">
        <v>4195</v>
      </c>
      <c r="AI347" s="1"/>
      <c r="AJ347" s="31">
        <v>45707</v>
      </c>
      <c r="AK347"/>
      <c r="AL347"/>
      <c r="AM347"/>
      <c r="AN347"/>
      <c r="AO347"/>
      <c r="AP347"/>
    </row>
    <row r="348" spans="1:42" s="81" customFormat="1">
      <c r="A348" s="1" t="s">
        <v>49</v>
      </c>
      <c r="B348" s="1">
        <v>250608</v>
      </c>
      <c r="C348" s="1">
        <v>212058</v>
      </c>
      <c r="D348" s="1" t="s">
        <v>75</v>
      </c>
      <c r="E348" s="1" t="s">
        <v>3934</v>
      </c>
      <c r="F348" t="s">
        <v>736</v>
      </c>
      <c r="G348" t="s">
        <v>4500</v>
      </c>
      <c r="H348" s="1" t="s">
        <v>4405</v>
      </c>
      <c r="I348" s="1" t="s">
        <v>4406</v>
      </c>
      <c r="J348" s="1" t="s">
        <v>18</v>
      </c>
      <c r="K348" s="1" t="s">
        <v>50</v>
      </c>
      <c r="L348" s="1">
        <v>36548</v>
      </c>
      <c r="M348" s="1">
        <v>25</v>
      </c>
      <c r="N348" s="1">
        <v>1200</v>
      </c>
      <c r="O348" s="1"/>
      <c r="P348" s="1">
        <v>1650</v>
      </c>
      <c r="Q348" s="1"/>
      <c r="R348" s="1">
        <v>450</v>
      </c>
      <c r="S348">
        <v>180000</v>
      </c>
      <c r="T348">
        <v>9027</v>
      </c>
      <c r="U348" t="s">
        <v>814</v>
      </c>
      <c r="V348">
        <v>16470</v>
      </c>
      <c r="W348" s="1">
        <v>46837</v>
      </c>
      <c r="X348" s="1" t="s">
        <v>55</v>
      </c>
      <c r="Y348" s="1" t="s">
        <v>51</v>
      </c>
      <c r="Z348" s="1" t="s">
        <v>91</v>
      </c>
      <c r="AA348" s="1" t="s">
        <v>158</v>
      </c>
      <c r="AB348" s="1" t="s">
        <v>190</v>
      </c>
      <c r="AC348" s="1">
        <v>45830</v>
      </c>
      <c r="AD348" s="1">
        <v>45838</v>
      </c>
      <c r="AE348" s="1"/>
      <c r="AF348" s="1"/>
      <c r="AG348" s="1"/>
      <c r="AH348" s="1" t="s">
        <v>4394</v>
      </c>
      <c r="AI348" s="1" t="s">
        <v>4407</v>
      </c>
      <c r="AJ348" s="31">
        <v>45838</v>
      </c>
      <c r="AK348"/>
      <c r="AL348"/>
      <c r="AM348"/>
      <c r="AN348"/>
      <c r="AO348"/>
      <c r="AP348"/>
    </row>
    <row r="349" spans="1:42" hidden="1">
      <c r="A349" s="1" t="s">
        <v>2542</v>
      </c>
      <c r="B349" s="1">
        <v>220506</v>
      </c>
      <c r="C349" s="1">
        <v>242044</v>
      </c>
      <c r="D349" s="1" t="s">
        <v>69</v>
      </c>
      <c r="E349" s="1" t="s">
        <v>310</v>
      </c>
      <c r="F349" t="s">
        <v>1587</v>
      </c>
      <c r="G349" t="s">
        <v>1093</v>
      </c>
      <c r="H349" s="1" t="s">
        <v>603</v>
      </c>
      <c r="I349" s="1" t="s">
        <v>604</v>
      </c>
      <c r="J349" s="1" t="s">
        <v>18</v>
      </c>
      <c r="K349" s="1" t="s">
        <v>50</v>
      </c>
      <c r="L349" s="1">
        <v>35364</v>
      </c>
      <c r="M349" s="1">
        <v>29</v>
      </c>
      <c r="N349" s="1">
        <v>1310</v>
      </c>
      <c r="P349" s="1">
        <v>1700</v>
      </c>
      <c r="Q349" s="1"/>
      <c r="R349" s="1">
        <v>390</v>
      </c>
      <c r="S349">
        <v>300000</v>
      </c>
      <c r="T349">
        <v>15045</v>
      </c>
      <c r="U349" t="s">
        <v>814</v>
      </c>
      <c r="V349">
        <v>27450</v>
      </c>
      <c r="W349" s="1">
        <v>46549</v>
      </c>
      <c r="X349" s="1" t="s">
        <v>55</v>
      </c>
      <c r="Y349" s="1" t="s">
        <v>51</v>
      </c>
      <c r="Z349" s="1" t="s">
        <v>427</v>
      </c>
      <c r="AA349" s="1" t="s">
        <v>600</v>
      </c>
      <c r="AB349" s="1" t="s">
        <v>601</v>
      </c>
      <c r="AC349" s="1">
        <v>44680</v>
      </c>
      <c r="AD349" s="1">
        <v>44691</v>
      </c>
      <c r="AE349" s="1">
        <v>45687</v>
      </c>
      <c r="AF349" s="1"/>
      <c r="AG349" s="1" t="s">
        <v>248</v>
      </c>
      <c r="AH349" s="1" t="s">
        <v>249</v>
      </c>
      <c r="AI349" s="1"/>
      <c r="AJ349" s="31">
        <v>44691</v>
      </c>
      <c r="AK349"/>
      <c r="AL349"/>
      <c r="AM349"/>
      <c r="AN349"/>
      <c r="AO349"/>
      <c r="AP349"/>
    </row>
    <row r="350" spans="1:42" hidden="1">
      <c r="A350" s="1" t="s">
        <v>2542</v>
      </c>
      <c r="B350" s="1">
        <v>220507</v>
      </c>
      <c r="C350" s="1">
        <v>242043</v>
      </c>
      <c r="D350" s="1" t="s">
        <v>447</v>
      </c>
      <c r="E350" s="1" t="s">
        <v>310</v>
      </c>
      <c r="F350" s="1" t="s">
        <v>737</v>
      </c>
      <c r="G350" t="s">
        <v>393</v>
      </c>
      <c r="H350" s="1" t="s">
        <v>3394</v>
      </c>
      <c r="I350" s="1" t="s">
        <v>3395</v>
      </c>
      <c r="J350" s="1" t="s">
        <v>18</v>
      </c>
      <c r="K350" s="1" t="s">
        <v>50</v>
      </c>
      <c r="L350" s="1">
        <v>35433</v>
      </c>
      <c r="M350" s="1">
        <v>28</v>
      </c>
      <c r="N350" s="1">
        <v>1300</v>
      </c>
      <c r="P350" s="1">
        <v>1670</v>
      </c>
      <c r="Q350" s="1"/>
      <c r="R350" s="1">
        <v>370</v>
      </c>
      <c r="S350">
        <v>280000</v>
      </c>
      <c r="T350">
        <v>14042</v>
      </c>
      <c r="U350" t="s">
        <v>814</v>
      </c>
      <c r="V350">
        <v>25620</v>
      </c>
      <c r="W350" s="1">
        <v>45424</v>
      </c>
      <c r="X350" s="1" t="s">
        <v>55</v>
      </c>
      <c r="Y350" s="1" t="s">
        <v>51</v>
      </c>
      <c r="Z350" s="1" t="s">
        <v>427</v>
      </c>
      <c r="AA350" s="1" t="s">
        <v>600</v>
      </c>
      <c r="AB350" s="1" t="s">
        <v>601</v>
      </c>
      <c r="AC350" s="1">
        <v>44680</v>
      </c>
      <c r="AD350" s="1">
        <v>44691</v>
      </c>
      <c r="AE350" s="1">
        <v>45259</v>
      </c>
      <c r="AF350" s="1"/>
      <c r="AG350" s="1" t="s">
        <v>248</v>
      </c>
      <c r="AH350" s="1" t="s">
        <v>249</v>
      </c>
      <c r="AI350" s="1" t="s">
        <v>3396</v>
      </c>
      <c r="AJ350" s="31">
        <v>44691</v>
      </c>
      <c r="AK350"/>
      <c r="AL350"/>
      <c r="AM350"/>
      <c r="AN350"/>
      <c r="AO350"/>
      <c r="AP350"/>
    </row>
    <row r="351" spans="1:42">
      <c r="A351" s="1" t="s">
        <v>49</v>
      </c>
      <c r="B351" s="1">
        <v>220505</v>
      </c>
      <c r="C351" s="1">
        <v>212028</v>
      </c>
      <c r="D351" s="1" t="s">
        <v>75</v>
      </c>
      <c r="E351" s="1" t="s">
        <v>3934</v>
      </c>
      <c r="F351" s="1" t="s">
        <v>739</v>
      </c>
      <c r="G351" t="s">
        <v>1092</v>
      </c>
      <c r="H351" s="1" t="s">
        <v>255</v>
      </c>
      <c r="I351" s="1" t="s">
        <v>256</v>
      </c>
      <c r="J351" s="1" t="s">
        <v>18</v>
      </c>
      <c r="K351" s="1" t="s">
        <v>50</v>
      </c>
      <c r="L351" s="1">
        <v>35477</v>
      </c>
      <c r="M351" s="1">
        <v>28</v>
      </c>
      <c r="N351" s="1">
        <v>1310</v>
      </c>
      <c r="P351" s="1">
        <v>1720</v>
      </c>
      <c r="Q351" s="1"/>
      <c r="R351" s="1">
        <v>410</v>
      </c>
      <c r="S351">
        <v>240000</v>
      </c>
      <c r="T351">
        <v>12036</v>
      </c>
      <c r="U351" t="s">
        <v>814</v>
      </c>
      <c r="V351">
        <v>21960</v>
      </c>
      <c r="W351" s="1">
        <v>46536</v>
      </c>
      <c r="X351" s="1" t="s">
        <v>55</v>
      </c>
      <c r="Y351" s="1" t="s">
        <v>51</v>
      </c>
      <c r="Z351" s="1" t="s">
        <v>91</v>
      </c>
      <c r="AA351" s="1" t="s">
        <v>158</v>
      </c>
      <c r="AB351" s="1" t="s">
        <v>190</v>
      </c>
      <c r="AC351" s="1">
        <v>44675</v>
      </c>
      <c r="AD351" s="1">
        <v>44690</v>
      </c>
      <c r="AE351" s="1"/>
      <c r="AF351" s="1"/>
      <c r="AG351" s="1" t="s">
        <v>248</v>
      </c>
      <c r="AH351" s="1" t="s">
        <v>249</v>
      </c>
      <c r="AI351" s="1"/>
      <c r="AJ351" s="31">
        <v>44690</v>
      </c>
      <c r="AK351"/>
      <c r="AL351"/>
      <c r="AM351"/>
      <c r="AN351"/>
      <c r="AO351" t="s">
        <v>4169</v>
      </c>
      <c r="AP351"/>
    </row>
    <row r="352" spans="1:42" hidden="1">
      <c r="A352" s="1" t="s">
        <v>2542</v>
      </c>
      <c r="B352" s="1">
        <v>220509</v>
      </c>
      <c r="D352" s="1" t="s">
        <v>548</v>
      </c>
      <c r="F352"/>
      <c r="G352"/>
      <c r="H352" s="1" t="s">
        <v>3397</v>
      </c>
      <c r="I352" s="1" t="s">
        <v>3398</v>
      </c>
      <c r="J352" s="1" t="s">
        <v>18</v>
      </c>
      <c r="K352" s="1" t="s">
        <v>50</v>
      </c>
      <c r="L352" s="1">
        <v>35578</v>
      </c>
      <c r="M352" s="1">
        <v>28</v>
      </c>
      <c r="N352" s="1">
        <v>1400</v>
      </c>
      <c r="P352" s="1">
        <v>1900</v>
      </c>
      <c r="Q352" s="1"/>
      <c r="R352" s="1">
        <v>500</v>
      </c>
      <c r="S352"/>
      <c r="T352" t="s">
        <v>55</v>
      </c>
      <c r="U352" t="s">
        <v>814</v>
      </c>
      <c r="V352" t="s">
        <v>55</v>
      </c>
      <c r="W352" s="1">
        <v>44905</v>
      </c>
      <c r="X352" s="1" t="s">
        <v>55</v>
      </c>
      <c r="Y352" s="1" t="s">
        <v>51</v>
      </c>
      <c r="Z352" s="1" t="s">
        <v>585</v>
      </c>
      <c r="AA352" s="1" t="s">
        <v>840</v>
      </c>
      <c r="AB352" s="1" t="s">
        <v>3385</v>
      </c>
      <c r="AC352" s="1">
        <v>44691</v>
      </c>
      <c r="AD352" s="1">
        <v>44692</v>
      </c>
      <c r="AE352" s="1">
        <v>44701</v>
      </c>
      <c r="AF352" s="1"/>
      <c r="AG352" s="1" t="s">
        <v>248</v>
      </c>
      <c r="AH352" s="1" t="s">
        <v>259</v>
      </c>
      <c r="AI352" s="1"/>
      <c r="AJ352" s="31">
        <v>44692</v>
      </c>
      <c r="AK352"/>
      <c r="AL352"/>
      <c r="AM352"/>
      <c r="AN352"/>
      <c r="AO352"/>
      <c r="AP352"/>
    </row>
    <row r="353" spans="1:42" s="81" customFormat="1" hidden="1">
      <c r="A353" s="1" t="s">
        <v>2542</v>
      </c>
      <c r="B353" s="1">
        <v>220510</v>
      </c>
      <c r="C353" s="1">
        <v>212031</v>
      </c>
      <c r="D353" s="1" t="s">
        <v>75</v>
      </c>
      <c r="E353" s="1" t="s">
        <v>3934</v>
      </c>
      <c r="F353" t="s">
        <v>739</v>
      </c>
      <c r="G353" t="s">
        <v>1092</v>
      </c>
      <c r="H353" s="1" t="s">
        <v>3399</v>
      </c>
      <c r="I353" s="1" t="s">
        <v>3400</v>
      </c>
      <c r="J353" s="1" t="s">
        <v>18</v>
      </c>
      <c r="K353" s="1" t="s">
        <v>50</v>
      </c>
      <c r="L353" s="1">
        <v>35784</v>
      </c>
      <c r="M353" s="1">
        <v>27</v>
      </c>
      <c r="N353" s="1">
        <v>1250</v>
      </c>
      <c r="O353" s="1"/>
      <c r="P353" s="1">
        <v>1660</v>
      </c>
      <c r="Q353" s="1"/>
      <c r="R353" s="1">
        <v>410</v>
      </c>
      <c r="S353">
        <v>180000</v>
      </c>
      <c r="T353">
        <v>9027</v>
      </c>
      <c r="U353" t="s">
        <v>814</v>
      </c>
      <c r="V353">
        <v>16470</v>
      </c>
      <c r="W353" s="1">
        <v>45408</v>
      </c>
      <c r="X353" s="1" t="s">
        <v>55</v>
      </c>
      <c r="Y353" s="1" t="s">
        <v>51</v>
      </c>
      <c r="Z353" s="1" t="s">
        <v>67</v>
      </c>
      <c r="AA353" s="1" t="s">
        <v>209</v>
      </c>
      <c r="AB353" s="1" t="s">
        <v>286</v>
      </c>
      <c r="AC353" s="1">
        <v>45039</v>
      </c>
      <c r="AD353" s="1">
        <v>44692</v>
      </c>
      <c r="AE353" s="1">
        <v>45107</v>
      </c>
      <c r="AF353" s="1"/>
      <c r="AG353" s="1" t="s">
        <v>248</v>
      </c>
      <c r="AH353" s="1" t="s">
        <v>259</v>
      </c>
      <c r="AI353" s="1"/>
      <c r="AJ353" s="31">
        <v>44692</v>
      </c>
      <c r="AK353"/>
      <c r="AL353"/>
      <c r="AM353"/>
      <c r="AN353"/>
      <c r="AO353"/>
      <c r="AP353"/>
    </row>
    <row r="354" spans="1:42" hidden="1">
      <c r="A354" s="1" t="s">
        <v>49</v>
      </c>
      <c r="B354" s="1">
        <v>220511</v>
      </c>
      <c r="C354" s="1">
        <v>5548</v>
      </c>
      <c r="D354" s="1" t="s">
        <v>846</v>
      </c>
      <c r="E354" s="1" t="s">
        <v>1232</v>
      </c>
      <c r="F354" t="s">
        <v>1237</v>
      </c>
      <c r="G354" t="s">
        <v>1514</v>
      </c>
      <c r="H354" s="1" t="s">
        <v>260</v>
      </c>
      <c r="I354" s="1" t="s">
        <v>261</v>
      </c>
      <c r="J354" s="1" t="s">
        <v>18</v>
      </c>
      <c r="K354" s="1" t="s">
        <v>50</v>
      </c>
      <c r="L354" s="1">
        <v>34305</v>
      </c>
      <c r="M354" s="1">
        <v>32</v>
      </c>
      <c r="N354" s="1">
        <v>1350</v>
      </c>
      <c r="O354" s="1" t="s">
        <v>4357</v>
      </c>
      <c r="P354" s="1">
        <v>1775</v>
      </c>
      <c r="Q354" s="1" t="s">
        <v>4358</v>
      </c>
      <c r="R354" s="1">
        <v>425</v>
      </c>
      <c r="S354">
        <v>280000</v>
      </c>
      <c r="T354">
        <v>14042</v>
      </c>
      <c r="U354" t="s">
        <v>814</v>
      </c>
      <c r="V354">
        <v>25620</v>
      </c>
      <c r="W354" s="1">
        <v>46536</v>
      </c>
      <c r="X354" s="1" t="s">
        <v>55</v>
      </c>
      <c r="Y354" s="1" t="s">
        <v>51</v>
      </c>
      <c r="Z354" s="1" t="s">
        <v>901</v>
      </c>
      <c r="AA354" s="1" t="s">
        <v>902</v>
      </c>
      <c r="AB354" s="1" t="s">
        <v>1097</v>
      </c>
      <c r="AC354" s="1">
        <v>45025</v>
      </c>
      <c r="AD354" s="1">
        <v>44692</v>
      </c>
      <c r="AE354" s="1"/>
      <c r="AF354" s="1"/>
      <c r="AG354" s="1" t="s">
        <v>248</v>
      </c>
      <c r="AH354" s="1" t="s">
        <v>259</v>
      </c>
      <c r="AI354" s="1" t="s">
        <v>1099</v>
      </c>
      <c r="AJ354" s="31">
        <v>44692</v>
      </c>
      <c r="AK354"/>
      <c r="AL354"/>
      <c r="AM354"/>
      <c r="AN354"/>
      <c r="AO354"/>
      <c r="AP354"/>
    </row>
    <row r="355" spans="1:42" hidden="1">
      <c r="A355" s="1" t="s">
        <v>2542</v>
      </c>
      <c r="B355" s="1">
        <v>220512</v>
      </c>
      <c r="C355" s="1">
        <v>232060</v>
      </c>
      <c r="D355" s="1" t="s">
        <v>83</v>
      </c>
      <c r="E355" s="1" t="s">
        <v>307</v>
      </c>
      <c r="F355" t="s">
        <v>2655</v>
      </c>
      <c r="G355" t="s">
        <v>2656</v>
      </c>
      <c r="H355" s="1" t="s">
        <v>3407</v>
      </c>
      <c r="I355" s="1" t="s">
        <v>3408</v>
      </c>
      <c r="J355" s="1" t="s">
        <v>18</v>
      </c>
      <c r="K355" s="1" t="s">
        <v>50</v>
      </c>
      <c r="L355" s="1">
        <v>35685</v>
      </c>
      <c r="M355" s="1">
        <v>28</v>
      </c>
      <c r="N355" s="1">
        <v>1300</v>
      </c>
      <c r="P355" s="1">
        <v>1670</v>
      </c>
      <c r="Q355" s="1"/>
      <c r="R355" s="1">
        <v>370</v>
      </c>
      <c r="S355">
        <v>180000</v>
      </c>
      <c r="T355">
        <v>9027</v>
      </c>
      <c r="U355" t="s">
        <v>814</v>
      </c>
      <c r="V355">
        <v>16470</v>
      </c>
      <c r="W355" s="1">
        <v>45408</v>
      </c>
      <c r="X355" s="1" t="s">
        <v>55</v>
      </c>
      <c r="Y355" s="1" t="s">
        <v>51</v>
      </c>
      <c r="Z355" s="1" t="s">
        <v>264</v>
      </c>
      <c r="AA355" s="1" t="s">
        <v>3405</v>
      </c>
      <c r="AB355" s="1" t="s">
        <v>3406</v>
      </c>
      <c r="AC355" s="1">
        <v>44690</v>
      </c>
      <c r="AD355" s="1">
        <v>44693</v>
      </c>
      <c r="AE355" s="1">
        <v>45168</v>
      </c>
      <c r="AF355" s="1"/>
      <c r="AG355" s="1" t="s">
        <v>248</v>
      </c>
      <c r="AH355" s="1" t="s">
        <v>259</v>
      </c>
      <c r="AI355" s="1"/>
      <c r="AJ355" s="31">
        <v>44693</v>
      </c>
      <c r="AK355"/>
      <c r="AL355"/>
      <c r="AM355"/>
      <c r="AN355"/>
      <c r="AO355"/>
      <c r="AP355"/>
    </row>
    <row r="356" spans="1:42" hidden="1">
      <c r="A356" s="1" t="s">
        <v>2542</v>
      </c>
      <c r="B356" s="1">
        <v>220513</v>
      </c>
      <c r="C356" s="1">
        <v>232059</v>
      </c>
      <c r="D356" s="1" t="s">
        <v>83</v>
      </c>
      <c r="E356" s="1" t="s">
        <v>307</v>
      </c>
      <c r="F356" t="s">
        <v>2251</v>
      </c>
      <c r="G356" t="s">
        <v>2252</v>
      </c>
      <c r="H356" s="1" t="s">
        <v>262</v>
      </c>
      <c r="I356" s="1" t="s">
        <v>263</v>
      </c>
      <c r="J356" s="1" t="s">
        <v>18</v>
      </c>
      <c r="K356" s="1" t="s">
        <v>50</v>
      </c>
      <c r="L356" s="1">
        <v>35602</v>
      </c>
      <c r="M356" s="1">
        <v>28</v>
      </c>
      <c r="N356" s="1">
        <v>1310</v>
      </c>
      <c r="P356" s="1">
        <v>1700</v>
      </c>
      <c r="Q356" s="1"/>
      <c r="R356" s="1">
        <v>390</v>
      </c>
      <c r="S356">
        <v>240000</v>
      </c>
      <c r="T356">
        <v>12036</v>
      </c>
      <c r="U356" t="s">
        <v>814</v>
      </c>
      <c r="V356">
        <v>21960</v>
      </c>
      <c r="W356" s="1">
        <v>46503</v>
      </c>
      <c r="X356" s="1" t="s">
        <v>55</v>
      </c>
      <c r="Y356" s="1" t="s">
        <v>51</v>
      </c>
      <c r="Z356" s="1" t="s">
        <v>264</v>
      </c>
      <c r="AA356" s="1" t="s">
        <v>758</v>
      </c>
      <c r="AB356" s="1" t="s">
        <v>3885</v>
      </c>
      <c r="AC356" s="1">
        <v>45457</v>
      </c>
      <c r="AD356" s="1">
        <v>44693</v>
      </c>
      <c r="AE356" s="1">
        <v>45686</v>
      </c>
      <c r="AF356" s="1"/>
      <c r="AG356" s="1" t="s">
        <v>248</v>
      </c>
      <c r="AH356" s="1" t="s">
        <v>259</v>
      </c>
      <c r="AI356" s="1"/>
      <c r="AJ356" s="31">
        <v>44693</v>
      </c>
      <c r="AK356"/>
      <c r="AL356"/>
      <c r="AM356"/>
      <c r="AN356"/>
      <c r="AO356"/>
      <c r="AP356"/>
    </row>
    <row r="357" spans="1:42" hidden="1">
      <c r="A357" s="1" t="s">
        <v>2542</v>
      </c>
      <c r="B357" s="1">
        <v>220514</v>
      </c>
      <c r="C357" s="1">
        <v>232058</v>
      </c>
      <c r="D357" s="1" t="s">
        <v>83</v>
      </c>
      <c r="E357" s="1" t="s">
        <v>307</v>
      </c>
      <c r="F357" t="s">
        <v>2655</v>
      </c>
      <c r="G357"/>
      <c r="H357" s="1" t="s">
        <v>3403</v>
      </c>
      <c r="I357" s="1" t="s">
        <v>3404</v>
      </c>
      <c r="J357" s="1" t="s">
        <v>18</v>
      </c>
      <c r="K357" s="1" t="s">
        <v>50</v>
      </c>
      <c r="L357" s="1">
        <v>35113</v>
      </c>
      <c r="M357" s="1">
        <v>29</v>
      </c>
      <c r="N357" s="1">
        <v>1220</v>
      </c>
      <c r="P357" s="1">
        <v>1650</v>
      </c>
      <c r="Q357" s="1"/>
      <c r="R357" s="1">
        <v>430</v>
      </c>
      <c r="S357">
        <v>180000</v>
      </c>
      <c r="T357">
        <v>9027</v>
      </c>
      <c r="U357" t="s">
        <v>814</v>
      </c>
      <c r="V357">
        <v>16470</v>
      </c>
      <c r="W357" s="1">
        <v>45042</v>
      </c>
      <c r="X357" s="1" t="s">
        <v>55</v>
      </c>
      <c r="Y357" s="1" t="s">
        <v>51</v>
      </c>
      <c r="Z357" s="1" t="s">
        <v>264</v>
      </c>
      <c r="AA357" s="1" t="s">
        <v>3405</v>
      </c>
      <c r="AB357" s="1" t="s">
        <v>3406</v>
      </c>
      <c r="AC357" s="1">
        <v>44690</v>
      </c>
      <c r="AD357" s="1">
        <v>44693</v>
      </c>
      <c r="AE357" s="1">
        <v>44985</v>
      </c>
      <c r="AF357" s="1"/>
      <c r="AG357" s="1" t="s">
        <v>248</v>
      </c>
      <c r="AH357" s="1" t="s">
        <v>259</v>
      </c>
      <c r="AI357" s="1"/>
      <c r="AJ357" s="31">
        <v>44693</v>
      </c>
      <c r="AK357"/>
      <c r="AL357"/>
      <c r="AM357"/>
      <c r="AN357"/>
      <c r="AO357"/>
      <c r="AP357"/>
    </row>
    <row r="358" spans="1:42" hidden="1">
      <c r="A358" s="1" t="s">
        <v>2542</v>
      </c>
      <c r="B358" s="1">
        <v>220516</v>
      </c>
      <c r="C358" s="1">
        <v>222046</v>
      </c>
      <c r="D358" s="1" t="s">
        <v>62</v>
      </c>
      <c r="E358" s="1" t="s">
        <v>3935</v>
      </c>
      <c r="F358" t="s">
        <v>2666</v>
      </c>
      <c r="G358" t="s">
        <v>391</v>
      </c>
      <c r="H358" s="1" t="s">
        <v>3401</v>
      </c>
      <c r="I358" s="1" t="s">
        <v>3402</v>
      </c>
      <c r="J358" s="1" t="s">
        <v>18</v>
      </c>
      <c r="K358" s="1" t="s">
        <v>50</v>
      </c>
      <c r="L358" s="1">
        <v>36111</v>
      </c>
      <c r="M358" s="1">
        <v>27</v>
      </c>
      <c r="N358" s="1">
        <v>1220</v>
      </c>
      <c r="P358" s="1">
        <v>1660</v>
      </c>
      <c r="Q358" s="1"/>
      <c r="R358" s="1">
        <v>440</v>
      </c>
      <c r="S358">
        <v>180000</v>
      </c>
      <c r="T358">
        <v>9027</v>
      </c>
      <c r="U358" t="s">
        <v>814</v>
      </c>
      <c r="V358">
        <v>16470</v>
      </c>
      <c r="W358" s="1">
        <v>45408</v>
      </c>
      <c r="X358" s="1" t="s">
        <v>55</v>
      </c>
      <c r="Y358" s="1" t="s">
        <v>51</v>
      </c>
      <c r="Z358" s="1" t="s">
        <v>217</v>
      </c>
      <c r="AA358" s="1" t="s">
        <v>158</v>
      </c>
      <c r="AB358" s="1" t="s">
        <v>219</v>
      </c>
      <c r="AC358" s="1">
        <v>44864</v>
      </c>
      <c r="AD358" s="1">
        <v>44693</v>
      </c>
      <c r="AE358" s="1">
        <v>45106</v>
      </c>
      <c r="AF358" s="1"/>
      <c r="AG358" s="1" t="s">
        <v>248</v>
      </c>
      <c r="AH358" s="1" t="s">
        <v>259</v>
      </c>
      <c r="AI358" s="1"/>
      <c r="AJ358" s="31">
        <v>44693</v>
      </c>
      <c r="AK358"/>
      <c r="AL358"/>
      <c r="AM358"/>
      <c r="AN358"/>
      <c r="AO358"/>
      <c r="AP358"/>
    </row>
    <row r="359" spans="1:42">
      <c r="A359" s="1" t="s">
        <v>49</v>
      </c>
      <c r="B359" s="1">
        <v>221202</v>
      </c>
      <c r="C359" s="1">
        <v>212035</v>
      </c>
      <c r="D359" s="1" t="s">
        <v>75</v>
      </c>
      <c r="E359" s="1" t="s">
        <v>3934</v>
      </c>
      <c r="F359" t="s">
        <v>739</v>
      </c>
      <c r="G359" t="s">
        <v>1092</v>
      </c>
      <c r="H359" s="1" t="s">
        <v>857</v>
      </c>
      <c r="I359" s="1" t="s">
        <v>858</v>
      </c>
      <c r="J359" s="1" t="s">
        <v>18</v>
      </c>
      <c r="K359" s="1" t="s">
        <v>50</v>
      </c>
      <c r="L359" s="1">
        <v>35703</v>
      </c>
      <c r="M359" s="1">
        <v>28</v>
      </c>
      <c r="N359" s="1">
        <v>1310</v>
      </c>
      <c r="P359" s="1">
        <v>1690</v>
      </c>
      <c r="Q359" s="1"/>
      <c r="R359" s="1">
        <v>380</v>
      </c>
      <c r="S359">
        <v>240000</v>
      </c>
      <c r="T359">
        <v>12036</v>
      </c>
      <c r="U359" t="s">
        <v>814</v>
      </c>
      <c r="V359">
        <v>21960</v>
      </c>
      <c r="W359" s="1">
        <v>46058</v>
      </c>
      <c r="X359" s="1">
        <v>63</v>
      </c>
      <c r="Y359" s="1" t="s">
        <v>51</v>
      </c>
      <c r="Z359" s="1" t="s">
        <v>182</v>
      </c>
      <c r="AA359" s="1" t="s">
        <v>183</v>
      </c>
      <c r="AB359" s="1" t="s">
        <v>184</v>
      </c>
      <c r="AC359" s="1">
        <v>44893</v>
      </c>
      <c r="AD359" s="1">
        <v>44896</v>
      </c>
      <c r="AE359" s="1"/>
      <c r="AF359" s="1"/>
      <c r="AG359" s="1" t="s">
        <v>855</v>
      </c>
      <c r="AH359" s="1" t="s">
        <v>856</v>
      </c>
      <c r="AI359" s="1"/>
      <c r="AJ359" s="31">
        <v>44896</v>
      </c>
      <c r="AK359"/>
      <c r="AL359"/>
      <c r="AM359"/>
      <c r="AN359"/>
      <c r="AO359"/>
      <c r="AP359"/>
    </row>
    <row r="360" spans="1:42" hidden="1">
      <c r="A360" s="1" t="s">
        <v>2542</v>
      </c>
      <c r="B360" s="1">
        <v>220517</v>
      </c>
      <c r="C360" s="1">
        <v>242046</v>
      </c>
      <c r="D360" s="1" t="s">
        <v>69</v>
      </c>
      <c r="E360" s="1" t="s">
        <v>306</v>
      </c>
      <c r="F360" t="s">
        <v>740</v>
      </c>
      <c r="G360"/>
      <c r="H360" s="1" t="s">
        <v>3409</v>
      </c>
      <c r="I360" s="1" t="s">
        <v>3410</v>
      </c>
      <c r="J360" s="1" t="s">
        <v>18</v>
      </c>
      <c r="K360" s="1" t="s">
        <v>50</v>
      </c>
      <c r="L360" s="1">
        <v>35641</v>
      </c>
      <c r="M360" s="1">
        <v>28</v>
      </c>
      <c r="N360" s="1">
        <v>1210</v>
      </c>
      <c r="P360" s="1">
        <v>1650</v>
      </c>
      <c r="Q360" s="1"/>
      <c r="R360" s="1">
        <v>440</v>
      </c>
      <c r="S360"/>
      <c r="T360" t="s">
        <v>55</v>
      </c>
      <c r="U360" t="s">
        <v>814</v>
      </c>
      <c r="V360" t="s">
        <v>55</v>
      </c>
      <c r="W360" s="1">
        <v>45042</v>
      </c>
      <c r="X360" s="1" t="s">
        <v>55</v>
      </c>
      <c r="Y360" s="1" t="s">
        <v>51</v>
      </c>
      <c r="Z360" s="1" t="s">
        <v>485</v>
      </c>
      <c r="AA360" s="1" t="s">
        <v>486</v>
      </c>
      <c r="AB360" s="1" t="s">
        <v>3886</v>
      </c>
      <c r="AC360" s="1" t="s">
        <v>53</v>
      </c>
      <c r="AD360" s="1">
        <v>44694</v>
      </c>
      <c r="AE360" s="1">
        <v>44855</v>
      </c>
      <c r="AF360" s="1"/>
      <c r="AG360" s="1" t="s">
        <v>248</v>
      </c>
      <c r="AH360" s="1" t="s">
        <v>259</v>
      </c>
      <c r="AI360" s="1"/>
      <c r="AJ360" s="31">
        <v>44694</v>
      </c>
      <c r="AK360"/>
      <c r="AL360"/>
      <c r="AM360"/>
      <c r="AN360"/>
      <c r="AO360"/>
      <c r="AP360"/>
    </row>
    <row r="361" spans="1:42" hidden="1">
      <c r="A361" s="1" t="s">
        <v>2542</v>
      </c>
      <c r="B361" s="1">
        <v>220518</v>
      </c>
      <c r="D361" s="1" t="s">
        <v>528</v>
      </c>
      <c r="E361" s="1" t="s">
        <v>532</v>
      </c>
      <c r="F361"/>
      <c r="G361"/>
      <c r="H361" s="1" t="s">
        <v>3411</v>
      </c>
      <c r="I361" s="1" t="s">
        <v>3412</v>
      </c>
      <c r="J361" s="1" t="s">
        <v>18</v>
      </c>
      <c r="K361" s="1" t="s">
        <v>50</v>
      </c>
      <c r="L361" s="1">
        <v>34362</v>
      </c>
      <c r="M361" s="1">
        <v>31</v>
      </c>
      <c r="N361" s="1">
        <v>1400</v>
      </c>
      <c r="P361" s="1">
        <v>1900</v>
      </c>
      <c r="Q361" s="1"/>
      <c r="R361" s="1">
        <v>500</v>
      </c>
      <c r="S361"/>
      <c r="T361" t="s">
        <v>55</v>
      </c>
      <c r="U361" t="s">
        <v>814</v>
      </c>
      <c r="V361" t="s">
        <v>55</v>
      </c>
      <c r="W361" s="1">
        <v>45181</v>
      </c>
      <c r="X361" s="1" t="s">
        <v>55</v>
      </c>
      <c r="Y361" s="1" t="s">
        <v>51</v>
      </c>
      <c r="Z361" s="1" t="s">
        <v>607</v>
      </c>
      <c r="AA361" s="1" t="s">
        <v>608</v>
      </c>
      <c r="AB361" s="1" t="s">
        <v>609</v>
      </c>
      <c r="AC361" s="1">
        <v>44732</v>
      </c>
      <c r="AD361" s="1">
        <v>44704</v>
      </c>
      <c r="AE361" s="1">
        <v>44824</v>
      </c>
      <c r="AF361" s="1"/>
      <c r="AG361" s="1" t="s">
        <v>248</v>
      </c>
      <c r="AH361" s="1" t="s">
        <v>267</v>
      </c>
      <c r="AI361" s="1"/>
      <c r="AJ361" s="31">
        <v>44704</v>
      </c>
      <c r="AK361"/>
      <c r="AL361"/>
      <c r="AM361"/>
      <c r="AN361"/>
      <c r="AO361"/>
      <c r="AP361"/>
    </row>
    <row r="362" spans="1:42" hidden="1">
      <c r="A362" s="1" t="s">
        <v>2542</v>
      </c>
      <c r="B362" s="1">
        <v>220519</v>
      </c>
      <c r="D362" s="1" t="s">
        <v>61</v>
      </c>
      <c r="F362"/>
      <c r="G362"/>
      <c r="H362" s="1" t="s">
        <v>3413</v>
      </c>
      <c r="I362" s="1" t="s">
        <v>3414</v>
      </c>
      <c r="J362" s="1" t="s">
        <v>18</v>
      </c>
      <c r="K362" s="1" t="s">
        <v>50</v>
      </c>
      <c r="L362" s="1">
        <v>34372</v>
      </c>
      <c r="M362" s="1">
        <v>31</v>
      </c>
      <c r="N362" s="1">
        <v>1300</v>
      </c>
      <c r="P362" s="1">
        <v>1750</v>
      </c>
      <c r="Q362" s="1"/>
      <c r="R362" s="1">
        <v>450</v>
      </c>
      <c r="S362"/>
      <c r="T362" t="s">
        <v>55</v>
      </c>
      <c r="U362" t="s">
        <v>814</v>
      </c>
      <c r="V362" t="s">
        <v>55</v>
      </c>
      <c r="W362" s="1">
        <v>45132</v>
      </c>
      <c r="X362" s="1" t="s">
        <v>55</v>
      </c>
      <c r="Y362" s="1" t="s">
        <v>51</v>
      </c>
      <c r="Z362" s="1" t="s">
        <v>3415</v>
      </c>
      <c r="AA362" s="1" t="s">
        <v>3416</v>
      </c>
      <c r="AB362" s="1" t="s">
        <v>3417</v>
      </c>
      <c r="AC362" s="1">
        <v>44701</v>
      </c>
      <c r="AD362" s="1">
        <v>44704</v>
      </c>
      <c r="AE362" s="1">
        <v>44894</v>
      </c>
      <c r="AF362" s="1"/>
      <c r="AG362" s="1" t="s">
        <v>248</v>
      </c>
      <c r="AH362" s="1" t="s">
        <v>3418</v>
      </c>
      <c r="AI362" s="1" t="s">
        <v>3419</v>
      </c>
      <c r="AJ362" s="31">
        <v>44704</v>
      </c>
      <c r="AK362"/>
      <c r="AL362"/>
      <c r="AM362"/>
      <c r="AN362"/>
      <c r="AO362"/>
      <c r="AP362"/>
    </row>
    <row r="363" spans="1:42" hidden="1">
      <c r="A363" s="1" t="s">
        <v>2542</v>
      </c>
      <c r="B363" s="1">
        <v>220520</v>
      </c>
      <c r="C363" s="1">
        <v>222047</v>
      </c>
      <c r="D363" s="1" t="s">
        <v>95</v>
      </c>
      <c r="E363" s="1" t="s">
        <v>3938</v>
      </c>
      <c r="F363" t="s">
        <v>392</v>
      </c>
      <c r="G363"/>
      <c r="H363" s="1" t="s">
        <v>3420</v>
      </c>
      <c r="I363" s="1" t="s">
        <v>3421</v>
      </c>
      <c r="J363" s="1" t="s">
        <v>18</v>
      </c>
      <c r="K363" s="1" t="s">
        <v>50</v>
      </c>
      <c r="L363" s="1">
        <v>34352</v>
      </c>
      <c r="M363" s="1">
        <v>31</v>
      </c>
      <c r="N363" s="1">
        <v>1200</v>
      </c>
      <c r="P363" s="1">
        <v>1650</v>
      </c>
      <c r="Q363" s="1"/>
      <c r="R363" s="1">
        <v>450</v>
      </c>
      <c r="S363"/>
      <c r="T363" t="s">
        <v>55</v>
      </c>
      <c r="U363" t="s">
        <v>814</v>
      </c>
      <c r="V363" t="s">
        <v>55</v>
      </c>
      <c r="W363" s="1">
        <v>45062</v>
      </c>
      <c r="X363" s="1" t="s">
        <v>55</v>
      </c>
      <c r="Y363" s="1" t="s">
        <v>51</v>
      </c>
      <c r="Z363" s="1" t="s">
        <v>91</v>
      </c>
      <c r="AA363" s="1" t="s">
        <v>158</v>
      </c>
      <c r="AB363" s="1" t="s">
        <v>159</v>
      </c>
      <c r="AC363" s="1">
        <v>44704</v>
      </c>
      <c r="AD363" s="1">
        <v>44705</v>
      </c>
      <c r="AE363" s="1">
        <v>44923</v>
      </c>
      <c r="AF363" s="1"/>
      <c r="AG363" s="1" t="s">
        <v>248</v>
      </c>
      <c r="AH363" s="1" t="s">
        <v>267</v>
      </c>
      <c r="AI363" s="1"/>
      <c r="AJ363" s="31">
        <v>44705</v>
      </c>
      <c r="AK363"/>
      <c r="AL363"/>
      <c r="AM363"/>
      <c r="AN363"/>
      <c r="AO363"/>
      <c r="AP363"/>
    </row>
    <row r="364" spans="1:42" hidden="1">
      <c r="A364" s="1" t="s">
        <v>49</v>
      </c>
      <c r="B364" s="1">
        <v>220521</v>
      </c>
      <c r="D364" s="1" t="s">
        <v>447</v>
      </c>
      <c r="E364" s="1" t="s">
        <v>1270</v>
      </c>
      <c r="F364" t="s">
        <v>1271</v>
      </c>
      <c r="G364" t="s">
        <v>1267</v>
      </c>
      <c r="H364" s="1" t="s">
        <v>611</v>
      </c>
      <c r="I364" s="1" t="s">
        <v>602</v>
      </c>
      <c r="J364" s="1" t="s">
        <v>18</v>
      </c>
      <c r="K364" s="1" t="s">
        <v>50</v>
      </c>
      <c r="L364" s="1">
        <v>33244</v>
      </c>
      <c r="M364" s="1">
        <v>34</v>
      </c>
      <c r="N364" s="1">
        <v>1310</v>
      </c>
      <c r="P364" s="1">
        <v>1700</v>
      </c>
      <c r="Q364" s="1"/>
      <c r="R364" s="1">
        <v>390</v>
      </c>
      <c r="S364">
        <v>220000</v>
      </c>
      <c r="T364">
        <v>11033</v>
      </c>
      <c r="U364" t="s">
        <v>814</v>
      </c>
      <c r="V364">
        <v>20130</v>
      </c>
      <c r="W364" s="1">
        <v>46558</v>
      </c>
      <c r="X364" s="1" t="s">
        <v>55</v>
      </c>
      <c r="Y364" s="1" t="s">
        <v>51</v>
      </c>
      <c r="Z364" s="1" t="s">
        <v>448</v>
      </c>
      <c r="AA364" s="1" t="s">
        <v>449</v>
      </c>
      <c r="AB364" s="1" t="s">
        <v>450</v>
      </c>
      <c r="AC364" s="1">
        <v>44704</v>
      </c>
      <c r="AD364" s="1">
        <v>44706</v>
      </c>
      <c r="AE364" s="1"/>
      <c r="AF364" s="1"/>
      <c r="AG364" s="1" t="s">
        <v>248</v>
      </c>
      <c r="AH364" s="1" t="s">
        <v>267</v>
      </c>
      <c r="AI364" s="1"/>
      <c r="AJ364" s="31">
        <v>44706</v>
      </c>
      <c r="AK364"/>
      <c r="AL364"/>
      <c r="AM364"/>
      <c r="AN364"/>
      <c r="AO364"/>
      <c r="AP364"/>
    </row>
    <row r="365" spans="1:42">
      <c r="A365" s="1" t="s">
        <v>49</v>
      </c>
      <c r="B365" s="1">
        <v>221209</v>
      </c>
      <c r="C365" s="1">
        <v>212037</v>
      </c>
      <c r="D365" s="1" t="s">
        <v>75</v>
      </c>
      <c r="E365" s="1" t="s">
        <v>3934</v>
      </c>
      <c r="F365" t="s">
        <v>739</v>
      </c>
      <c r="G365" t="s">
        <v>1092</v>
      </c>
      <c r="H365" s="1" t="s">
        <v>875</v>
      </c>
      <c r="I365" s="1" t="s">
        <v>876</v>
      </c>
      <c r="J365" s="1" t="s">
        <v>18</v>
      </c>
      <c r="K365" s="1" t="s">
        <v>50</v>
      </c>
      <c r="L365" s="1">
        <v>34048</v>
      </c>
      <c r="M365" s="1">
        <v>32</v>
      </c>
      <c r="N365" s="1">
        <v>1310</v>
      </c>
      <c r="P365" s="1">
        <v>1720</v>
      </c>
      <c r="Q365" s="1"/>
      <c r="R365" s="1">
        <v>410</v>
      </c>
      <c r="S365">
        <v>260000</v>
      </c>
      <c r="T365">
        <v>13039</v>
      </c>
      <c r="U365" t="s">
        <v>814</v>
      </c>
      <c r="V365">
        <v>23790</v>
      </c>
      <c r="W365" s="1">
        <v>46740</v>
      </c>
      <c r="X365" s="1" t="s">
        <v>55</v>
      </c>
      <c r="Y365" s="1" t="s">
        <v>51</v>
      </c>
      <c r="Z365" s="1" t="s">
        <v>91</v>
      </c>
      <c r="AA365" s="1" t="s">
        <v>167</v>
      </c>
      <c r="AB365" s="1" t="s">
        <v>2490</v>
      </c>
      <c r="AC365" s="1">
        <v>45500</v>
      </c>
      <c r="AD365" s="1">
        <v>44907</v>
      </c>
      <c r="AE365" s="1"/>
      <c r="AF365" s="1"/>
      <c r="AG365" s="1" t="s">
        <v>855</v>
      </c>
      <c r="AH365" s="1" t="s">
        <v>874</v>
      </c>
      <c r="AI365" s="1"/>
      <c r="AJ365" s="31">
        <v>44907</v>
      </c>
      <c r="AK365"/>
      <c r="AL365"/>
      <c r="AM365"/>
      <c r="AN365"/>
      <c r="AO365" t="s">
        <v>4165</v>
      </c>
      <c r="AP365"/>
    </row>
    <row r="366" spans="1:42" hidden="1">
      <c r="A366" s="1" t="s">
        <v>2542</v>
      </c>
      <c r="B366" s="1">
        <v>220523</v>
      </c>
      <c r="D366" s="1" t="s">
        <v>471</v>
      </c>
      <c r="F366"/>
      <c r="G366"/>
      <c r="H366" s="1" t="s">
        <v>3422</v>
      </c>
      <c r="I366" s="1" t="s">
        <v>3423</v>
      </c>
      <c r="J366" s="1" t="s">
        <v>18</v>
      </c>
      <c r="K366" s="1" t="s">
        <v>50</v>
      </c>
      <c r="L366" s="1">
        <v>34818</v>
      </c>
      <c r="M366" s="1">
        <v>30</v>
      </c>
      <c r="N366" s="1">
        <v>1400</v>
      </c>
      <c r="P366" s="1">
        <v>1900</v>
      </c>
      <c r="Q366" s="1"/>
      <c r="R366" s="1">
        <v>500</v>
      </c>
      <c r="S366">
        <v>0</v>
      </c>
      <c r="T366" t="s">
        <v>55</v>
      </c>
      <c r="U366" t="s">
        <v>814</v>
      </c>
      <c r="V366">
        <v>0</v>
      </c>
      <c r="W366" s="1">
        <v>45687</v>
      </c>
      <c r="X366" s="1" t="s">
        <v>55</v>
      </c>
      <c r="Y366" s="1" t="s">
        <v>51</v>
      </c>
      <c r="Z366" s="1" t="s">
        <v>115</v>
      </c>
      <c r="AA366" s="1" t="s">
        <v>2862</v>
      </c>
      <c r="AB366" s="1" t="s">
        <v>2891</v>
      </c>
      <c r="AC366" s="1">
        <v>44704</v>
      </c>
      <c r="AD366" s="1">
        <v>44708</v>
      </c>
      <c r="AE366" s="1">
        <v>44978</v>
      </c>
      <c r="AF366" s="1">
        <v>44973</v>
      </c>
      <c r="AG366" s="1" t="s">
        <v>248</v>
      </c>
      <c r="AH366" s="1" t="s">
        <v>267</v>
      </c>
      <c r="AI366" s="1"/>
      <c r="AJ366" s="31">
        <v>44708</v>
      </c>
      <c r="AK366"/>
      <c r="AL366"/>
      <c r="AM366"/>
      <c r="AN366"/>
      <c r="AO366"/>
      <c r="AP366"/>
    </row>
    <row r="367" spans="1:42" hidden="1">
      <c r="A367" s="1" t="s">
        <v>49</v>
      </c>
      <c r="B367" s="1">
        <v>220524</v>
      </c>
      <c r="D367" s="1" t="s">
        <v>528</v>
      </c>
      <c r="E367" s="1" t="s">
        <v>532</v>
      </c>
      <c r="F367"/>
      <c r="G367"/>
      <c r="H367" s="1" t="s">
        <v>614</v>
      </c>
      <c r="I367" s="1" t="s">
        <v>610</v>
      </c>
      <c r="J367" s="1" t="s">
        <v>18</v>
      </c>
      <c r="K367" s="1" t="s">
        <v>50</v>
      </c>
      <c r="L367" s="1">
        <v>35030</v>
      </c>
      <c r="M367" s="1">
        <v>30</v>
      </c>
      <c r="N367" s="1">
        <v>1450</v>
      </c>
      <c r="P367" s="1">
        <v>1900</v>
      </c>
      <c r="Q367" s="1"/>
      <c r="R367" s="1">
        <v>450</v>
      </c>
      <c r="S367">
        <v>240000</v>
      </c>
      <c r="T367">
        <v>12036</v>
      </c>
      <c r="U367" t="s">
        <v>814</v>
      </c>
      <c r="V367">
        <v>21960</v>
      </c>
      <c r="W367" s="1">
        <v>46074</v>
      </c>
      <c r="X367" s="1">
        <v>79</v>
      </c>
      <c r="Y367" s="1" t="s">
        <v>51</v>
      </c>
      <c r="Z367" s="1" t="s">
        <v>607</v>
      </c>
      <c r="AA367" s="1" t="s">
        <v>608</v>
      </c>
      <c r="AB367" s="1" t="s">
        <v>609</v>
      </c>
      <c r="AC367" s="1">
        <v>44732</v>
      </c>
      <c r="AD367" s="1">
        <v>44708</v>
      </c>
      <c r="AE367" s="1"/>
      <c r="AF367" s="1"/>
      <c r="AG367" s="1" t="s">
        <v>248</v>
      </c>
      <c r="AH367" s="1" t="s">
        <v>267</v>
      </c>
      <c r="AI367" s="1"/>
      <c r="AJ367" s="31">
        <v>44708</v>
      </c>
      <c r="AK367"/>
      <c r="AL367"/>
      <c r="AM367"/>
      <c r="AN367"/>
      <c r="AO367"/>
      <c r="AP367"/>
    </row>
    <row r="368" spans="1:42" hidden="1">
      <c r="A368" s="1" t="s">
        <v>2542</v>
      </c>
      <c r="B368" s="1">
        <v>220525</v>
      </c>
      <c r="D368" s="1" t="s">
        <v>447</v>
      </c>
      <c r="E368" s="1" t="s">
        <v>1270</v>
      </c>
      <c r="F368" t="s">
        <v>1271</v>
      </c>
      <c r="G368" t="s">
        <v>1267</v>
      </c>
      <c r="H368" s="1" t="s">
        <v>615</v>
      </c>
      <c r="I368" s="1" t="s">
        <v>613</v>
      </c>
      <c r="J368" s="1" t="s">
        <v>18</v>
      </c>
      <c r="K368" s="1" t="s">
        <v>50</v>
      </c>
      <c r="L368" s="1">
        <v>35816</v>
      </c>
      <c r="M368" s="1">
        <v>27</v>
      </c>
      <c r="N368" s="1">
        <v>1310</v>
      </c>
      <c r="P368" s="1">
        <v>1700</v>
      </c>
      <c r="Q368" s="1"/>
      <c r="R368" s="1">
        <v>390</v>
      </c>
      <c r="S368">
        <v>360000</v>
      </c>
      <c r="T368">
        <v>18054</v>
      </c>
      <c r="U368" t="s">
        <v>814</v>
      </c>
      <c r="V368">
        <v>32940</v>
      </c>
      <c r="W368" s="1">
        <v>46558</v>
      </c>
      <c r="X368" s="1" t="s">
        <v>55</v>
      </c>
      <c r="Y368" s="1" t="s">
        <v>51</v>
      </c>
      <c r="Z368" s="1" t="s">
        <v>448</v>
      </c>
      <c r="AA368" s="1" t="s">
        <v>449</v>
      </c>
      <c r="AB368" s="1" t="s">
        <v>450</v>
      </c>
      <c r="AC368" s="1">
        <v>44708</v>
      </c>
      <c r="AD368" s="1">
        <v>44711</v>
      </c>
      <c r="AE368" s="1">
        <v>45554</v>
      </c>
      <c r="AF368" s="1"/>
      <c r="AG368" s="1" t="s">
        <v>248</v>
      </c>
      <c r="AH368" s="1" t="s">
        <v>267</v>
      </c>
      <c r="AI368" s="1"/>
      <c r="AJ368" s="31">
        <v>44711</v>
      </c>
      <c r="AK368"/>
      <c r="AL368"/>
      <c r="AM368"/>
      <c r="AN368"/>
      <c r="AO368"/>
      <c r="AP368"/>
    </row>
    <row r="369" spans="1:42" hidden="1">
      <c r="A369" s="1" t="s">
        <v>2542</v>
      </c>
      <c r="B369" s="1">
        <v>210315</v>
      </c>
      <c r="D369" s="1" t="s">
        <v>464</v>
      </c>
      <c r="E369" s="1" t="s">
        <v>465</v>
      </c>
      <c r="F369"/>
      <c r="G369"/>
      <c r="H369" s="1" t="s">
        <v>2732</v>
      </c>
      <c r="I369" s="1" t="s">
        <v>2733</v>
      </c>
      <c r="J369" s="1" t="s">
        <v>18</v>
      </c>
      <c r="K369" s="1" t="s">
        <v>50</v>
      </c>
      <c r="L369" s="1">
        <v>33176</v>
      </c>
      <c r="M369" s="1">
        <v>35</v>
      </c>
      <c r="N369" s="1">
        <v>1400</v>
      </c>
      <c r="P369" s="1">
        <v>2100</v>
      </c>
      <c r="Q369" s="1" t="s">
        <v>1994</v>
      </c>
      <c r="R369" s="1">
        <v>700</v>
      </c>
      <c r="S369">
        <v>240000</v>
      </c>
      <c r="T369">
        <v>12036</v>
      </c>
      <c r="U369" t="s">
        <v>814</v>
      </c>
      <c r="V369">
        <v>21960</v>
      </c>
      <c r="W369" s="1">
        <v>46165</v>
      </c>
      <c r="X369" s="1" t="s">
        <v>55</v>
      </c>
      <c r="Y369" s="1" t="s">
        <v>51</v>
      </c>
      <c r="Z369" s="1" t="s">
        <v>2900</v>
      </c>
      <c r="AA369" s="1" t="s">
        <v>2901</v>
      </c>
      <c r="AB369" s="1" t="s">
        <v>2902</v>
      </c>
      <c r="AC369" s="1">
        <v>44711</v>
      </c>
      <c r="AD369" s="1">
        <v>44712</v>
      </c>
      <c r="AE369" s="1">
        <v>45317</v>
      </c>
      <c r="AF369" s="1"/>
      <c r="AG369" s="1">
        <v>44774</v>
      </c>
      <c r="AH369" s="1" t="s">
        <v>3424</v>
      </c>
      <c r="AI369" s="1" t="s">
        <v>3425</v>
      </c>
      <c r="AJ369" s="31">
        <v>44712</v>
      </c>
      <c r="AK369"/>
      <c r="AL369"/>
      <c r="AM369"/>
      <c r="AN369"/>
      <c r="AO369"/>
      <c r="AP369"/>
    </row>
    <row r="370" spans="1:42" hidden="1">
      <c r="A370" s="1" t="s">
        <v>2542</v>
      </c>
      <c r="B370" s="1">
        <v>220526</v>
      </c>
      <c r="D370" s="1" t="s">
        <v>464</v>
      </c>
      <c r="E370" s="1" t="s">
        <v>465</v>
      </c>
      <c r="F370"/>
      <c r="G370"/>
      <c r="H370" s="1" t="s">
        <v>616</v>
      </c>
      <c r="I370" s="1" t="s">
        <v>617</v>
      </c>
      <c r="J370" s="1" t="s">
        <v>18</v>
      </c>
      <c r="K370" s="1" t="s">
        <v>50</v>
      </c>
      <c r="L370" s="1">
        <v>34688</v>
      </c>
      <c r="M370" s="1">
        <v>30</v>
      </c>
      <c r="N370" s="1">
        <v>1450</v>
      </c>
      <c r="P370" s="1">
        <v>2100</v>
      </c>
      <c r="Q370" s="1" t="s">
        <v>1994</v>
      </c>
      <c r="R370" s="1">
        <v>650</v>
      </c>
      <c r="S370">
        <v>280000</v>
      </c>
      <c r="T370">
        <v>14042</v>
      </c>
      <c r="U370" t="s">
        <v>814</v>
      </c>
      <c r="V370">
        <v>25620</v>
      </c>
      <c r="W370" s="1">
        <v>46047</v>
      </c>
      <c r="X370" s="1" t="s">
        <v>55</v>
      </c>
      <c r="Y370" s="1" t="s">
        <v>51</v>
      </c>
      <c r="Z370" s="1" t="s">
        <v>489</v>
      </c>
      <c r="AA370" s="1" t="s">
        <v>490</v>
      </c>
      <c r="AB370" s="1" t="s">
        <v>491</v>
      </c>
      <c r="AC370" s="1">
        <v>44711</v>
      </c>
      <c r="AD370" s="1">
        <v>44712</v>
      </c>
      <c r="AE370" s="1">
        <v>45796</v>
      </c>
      <c r="AF370" s="1"/>
      <c r="AG370" s="1" t="s">
        <v>248</v>
      </c>
      <c r="AH370" s="1" t="s">
        <v>267</v>
      </c>
      <c r="AI370" s="1"/>
      <c r="AJ370" s="31">
        <v>44712</v>
      </c>
      <c r="AK370"/>
      <c r="AL370"/>
      <c r="AM370"/>
      <c r="AN370"/>
      <c r="AO370"/>
      <c r="AP370"/>
    </row>
    <row r="371" spans="1:42" hidden="1">
      <c r="A371" s="1" t="s">
        <v>2542</v>
      </c>
      <c r="B371" s="1">
        <v>210412</v>
      </c>
      <c r="C371" s="1">
        <v>8210040</v>
      </c>
      <c r="D371" s="1" t="s">
        <v>815</v>
      </c>
      <c r="E371" s="1" t="s">
        <v>3426</v>
      </c>
      <c r="F371" t="s">
        <v>3427</v>
      </c>
      <c r="G371"/>
      <c r="H371" s="1" t="s">
        <v>2778</v>
      </c>
      <c r="I371" s="1" t="s">
        <v>2779</v>
      </c>
      <c r="J371" s="1" t="s">
        <v>18</v>
      </c>
      <c r="K371" s="1" t="s">
        <v>50</v>
      </c>
      <c r="L371" s="1">
        <v>30793</v>
      </c>
      <c r="M371" s="1">
        <v>41</v>
      </c>
      <c r="N371" s="1">
        <v>1500</v>
      </c>
      <c r="O371" s="1" t="s">
        <v>3428</v>
      </c>
      <c r="P371" s="1">
        <v>1990</v>
      </c>
      <c r="Q371" s="1"/>
      <c r="R371" s="1">
        <v>490</v>
      </c>
      <c r="S371">
        <v>340000</v>
      </c>
      <c r="T371">
        <v>17051</v>
      </c>
      <c r="U371">
        <v>2703</v>
      </c>
      <c r="V371">
        <v>31110</v>
      </c>
      <c r="W371" s="1">
        <v>45766</v>
      </c>
      <c r="X371" s="1" t="s">
        <v>55</v>
      </c>
      <c r="Y371" s="1" t="s">
        <v>51</v>
      </c>
      <c r="Z371" s="1" t="s">
        <v>530</v>
      </c>
      <c r="AA371" s="1" t="s">
        <v>2994</v>
      </c>
      <c r="AB371" s="1" t="s">
        <v>531</v>
      </c>
      <c r="AC371" s="1">
        <v>44808</v>
      </c>
      <c r="AD371" s="1">
        <v>44713</v>
      </c>
      <c r="AE371" s="1">
        <v>45457</v>
      </c>
      <c r="AF371" s="1"/>
      <c r="AG371" s="1">
        <v>44713</v>
      </c>
      <c r="AH371" s="1" t="s">
        <v>3424</v>
      </c>
      <c r="AI371" s="1" t="s">
        <v>3429</v>
      </c>
      <c r="AJ371" s="31">
        <v>44713</v>
      </c>
      <c r="AK371"/>
      <c r="AL371"/>
      <c r="AM371"/>
      <c r="AN371"/>
      <c r="AO371"/>
      <c r="AP371"/>
    </row>
    <row r="372" spans="1:42" hidden="1">
      <c r="A372" s="1" t="s">
        <v>2542</v>
      </c>
      <c r="B372" s="1">
        <v>210710</v>
      </c>
      <c r="C372" s="1">
        <v>8210041</v>
      </c>
      <c r="D372" s="1" t="s">
        <v>815</v>
      </c>
      <c r="E372" s="1" t="s">
        <v>750</v>
      </c>
      <c r="F372"/>
      <c r="G372"/>
      <c r="H372" s="1" t="s">
        <v>596</v>
      </c>
      <c r="I372" s="1" t="s">
        <v>597</v>
      </c>
      <c r="J372" s="1" t="s">
        <v>18</v>
      </c>
      <c r="K372" s="1" t="s">
        <v>50</v>
      </c>
      <c r="L372" s="1">
        <v>33139</v>
      </c>
      <c r="M372" s="1">
        <v>35</v>
      </c>
      <c r="N372" s="1">
        <v>1400</v>
      </c>
      <c r="P372" s="1">
        <v>1990</v>
      </c>
      <c r="Q372" s="1"/>
      <c r="R372" s="1">
        <v>590</v>
      </c>
      <c r="S372">
        <v>240000</v>
      </c>
      <c r="T372">
        <v>12036</v>
      </c>
      <c r="U372" t="s">
        <v>814</v>
      </c>
      <c r="V372">
        <v>21960</v>
      </c>
      <c r="W372" s="1">
        <v>45441</v>
      </c>
      <c r="X372" s="1" t="s">
        <v>55</v>
      </c>
      <c r="Y372" s="1" t="s">
        <v>51</v>
      </c>
      <c r="Z372" s="1" t="s">
        <v>2925</v>
      </c>
      <c r="AA372" s="1" t="s">
        <v>2926</v>
      </c>
      <c r="AB372" s="1" t="s">
        <v>2927</v>
      </c>
      <c r="AC372" s="1" t="s">
        <v>53</v>
      </c>
      <c r="AD372" s="1">
        <v>44713</v>
      </c>
      <c r="AE372" s="1">
        <v>44939</v>
      </c>
      <c r="AF372" s="1"/>
      <c r="AG372" s="1">
        <v>44713</v>
      </c>
      <c r="AH372" s="1" t="s">
        <v>3424</v>
      </c>
      <c r="AI372" s="1" t="s">
        <v>3430</v>
      </c>
      <c r="AJ372" s="31">
        <v>44713</v>
      </c>
      <c r="AK372"/>
      <c r="AL372"/>
      <c r="AM372"/>
      <c r="AN372"/>
      <c r="AO372"/>
      <c r="AP372"/>
    </row>
    <row r="373" spans="1:42" hidden="1">
      <c r="A373" s="1" t="s">
        <v>2542</v>
      </c>
      <c r="B373" s="1">
        <v>220601</v>
      </c>
      <c r="C373" s="1">
        <v>222049</v>
      </c>
      <c r="D373" s="1" t="s">
        <v>62</v>
      </c>
      <c r="E373" s="1" t="s">
        <v>3935</v>
      </c>
      <c r="F373" t="s">
        <v>794</v>
      </c>
      <c r="G373" t="s">
        <v>316</v>
      </c>
      <c r="H373" s="1" t="s">
        <v>268</v>
      </c>
      <c r="I373" s="1" t="s">
        <v>269</v>
      </c>
      <c r="J373" s="1" t="s">
        <v>18</v>
      </c>
      <c r="K373" s="1" t="s">
        <v>50</v>
      </c>
      <c r="L373" s="1">
        <v>35954</v>
      </c>
      <c r="M373" s="1">
        <v>27</v>
      </c>
      <c r="N373" s="1">
        <v>1310</v>
      </c>
      <c r="P373" s="1">
        <v>1690</v>
      </c>
      <c r="Q373" s="1"/>
      <c r="R373" s="1">
        <v>380</v>
      </c>
      <c r="S373">
        <v>300000</v>
      </c>
      <c r="T373">
        <v>15045</v>
      </c>
      <c r="U373" t="s">
        <v>814</v>
      </c>
      <c r="V373">
        <v>27450</v>
      </c>
      <c r="W373" s="1">
        <v>46601</v>
      </c>
      <c r="X373" s="1" t="s">
        <v>55</v>
      </c>
      <c r="Y373" s="1" t="s">
        <v>51</v>
      </c>
      <c r="Z373" s="1" t="s">
        <v>182</v>
      </c>
      <c r="AA373" s="1" t="s">
        <v>183</v>
      </c>
      <c r="AB373" s="1" t="s">
        <v>184</v>
      </c>
      <c r="AC373" s="1">
        <v>45032</v>
      </c>
      <c r="AD373" s="1">
        <v>44713</v>
      </c>
      <c r="AE373" s="1">
        <v>45681</v>
      </c>
      <c r="AF373" s="1"/>
      <c r="AG373" s="1">
        <v>44774</v>
      </c>
      <c r="AH373" s="1" t="s">
        <v>267</v>
      </c>
      <c r="AI373" s="1"/>
      <c r="AJ373" s="31">
        <v>44713</v>
      </c>
      <c r="AK373"/>
      <c r="AL373"/>
      <c r="AM373"/>
      <c r="AN373"/>
      <c r="AO373"/>
      <c r="AP373"/>
    </row>
    <row r="374" spans="1:42">
      <c r="A374" s="1" t="s">
        <v>49</v>
      </c>
      <c r="B374" s="1">
        <v>230812</v>
      </c>
      <c r="C374" s="1">
        <v>212040</v>
      </c>
      <c r="D374" s="1" t="s">
        <v>75</v>
      </c>
      <c r="E374" s="1" t="s">
        <v>3934</v>
      </c>
      <c r="F374" t="s">
        <v>739</v>
      </c>
      <c r="G374" t="s">
        <v>1092</v>
      </c>
      <c r="H374" s="1" t="s">
        <v>1424</v>
      </c>
      <c r="I374" s="1" t="s">
        <v>1425</v>
      </c>
      <c r="J374" s="1" t="s">
        <v>18</v>
      </c>
      <c r="K374" s="1" t="s">
        <v>50</v>
      </c>
      <c r="L374" s="1">
        <v>34092</v>
      </c>
      <c r="M374" s="1">
        <v>32</v>
      </c>
      <c r="N374" s="1">
        <v>1310</v>
      </c>
      <c r="P374" s="1">
        <v>1680</v>
      </c>
      <c r="Q374" s="1"/>
      <c r="R374" s="1">
        <v>370</v>
      </c>
      <c r="S374">
        <v>220000</v>
      </c>
      <c r="T374">
        <v>11033</v>
      </c>
      <c r="U374" t="s">
        <v>814</v>
      </c>
      <c r="V374">
        <v>20130</v>
      </c>
      <c r="W374" s="1">
        <v>47015</v>
      </c>
      <c r="X374" s="1"/>
      <c r="Y374" s="1" t="s">
        <v>51</v>
      </c>
      <c r="Z374" s="1" t="s">
        <v>817</v>
      </c>
      <c r="AA374" s="1" t="s">
        <v>2288</v>
      </c>
      <c r="AB374" s="1" t="s">
        <v>3894</v>
      </c>
      <c r="AC374" s="1">
        <v>45133</v>
      </c>
      <c r="AD374" s="1">
        <v>45139</v>
      </c>
      <c r="AE374" s="1"/>
      <c r="AF374" s="1"/>
      <c r="AG374" s="1" t="s">
        <v>1392</v>
      </c>
      <c r="AH374" s="1" t="s">
        <v>1388</v>
      </c>
      <c r="AI374" s="1"/>
      <c r="AJ374" s="31">
        <v>45139</v>
      </c>
      <c r="AK374"/>
      <c r="AL374"/>
      <c r="AM374"/>
      <c r="AN374"/>
      <c r="AO374"/>
      <c r="AP374"/>
    </row>
    <row r="375" spans="1:42">
      <c r="A375" s="1" t="s">
        <v>49</v>
      </c>
      <c r="B375" s="1">
        <v>231206</v>
      </c>
      <c r="C375" s="1">
        <v>212046</v>
      </c>
      <c r="D375" s="1" t="s">
        <v>75</v>
      </c>
      <c r="E375" s="1" t="s">
        <v>3934</v>
      </c>
      <c r="F375" t="s">
        <v>739</v>
      </c>
      <c r="G375" t="s">
        <v>1092</v>
      </c>
      <c r="H375" s="1" t="s">
        <v>1622</v>
      </c>
      <c r="I375" s="1" t="s">
        <v>1623</v>
      </c>
      <c r="J375" s="1" t="s">
        <v>18</v>
      </c>
      <c r="K375" s="1" t="s">
        <v>50</v>
      </c>
      <c r="L375" s="1">
        <v>36983</v>
      </c>
      <c r="M375" s="1">
        <v>24</v>
      </c>
      <c r="N375" s="1">
        <v>1300</v>
      </c>
      <c r="P375" s="1">
        <v>1680</v>
      </c>
      <c r="Q375" s="1"/>
      <c r="R375" s="1">
        <v>380</v>
      </c>
      <c r="S375">
        <v>240000</v>
      </c>
      <c r="T375">
        <v>12036</v>
      </c>
      <c r="U375" t="s">
        <v>814</v>
      </c>
      <c r="V375">
        <v>21960</v>
      </c>
      <c r="W375" s="1">
        <v>47084</v>
      </c>
      <c r="X375" s="1" t="s">
        <v>55</v>
      </c>
      <c r="Y375" s="1" t="s">
        <v>51</v>
      </c>
      <c r="Z375" s="1" t="s">
        <v>217</v>
      </c>
      <c r="AA375" s="1" t="s">
        <v>218</v>
      </c>
      <c r="AB375" s="1" t="s">
        <v>1717</v>
      </c>
      <c r="AC375" s="1">
        <v>45257</v>
      </c>
      <c r="AD375" s="1">
        <v>45261</v>
      </c>
      <c r="AE375" s="1"/>
      <c r="AF375" s="1"/>
      <c r="AG375" s="1" t="s">
        <v>1714</v>
      </c>
      <c r="AH375" s="1" t="s">
        <v>874</v>
      </c>
      <c r="AI375" s="1"/>
      <c r="AJ375" s="31">
        <v>45261</v>
      </c>
      <c r="AK375"/>
      <c r="AL375"/>
      <c r="AM375"/>
      <c r="AN375"/>
      <c r="AO375"/>
      <c r="AP375"/>
    </row>
    <row r="376" spans="1:42" hidden="1">
      <c r="A376" s="1" t="s">
        <v>49</v>
      </c>
      <c r="B376" s="1">
        <v>220605</v>
      </c>
      <c r="C376" s="1">
        <v>232061</v>
      </c>
      <c r="D376" s="1" t="s">
        <v>83</v>
      </c>
      <c r="E376" s="1" t="s">
        <v>307</v>
      </c>
      <c r="F376" t="s">
        <v>2251</v>
      </c>
      <c r="G376" t="s">
        <v>2252</v>
      </c>
      <c r="H376" s="1" t="s">
        <v>274</v>
      </c>
      <c r="I376" s="1" t="s">
        <v>275</v>
      </c>
      <c r="J376" s="1" t="s">
        <v>18</v>
      </c>
      <c r="K376" s="1" t="s">
        <v>200</v>
      </c>
      <c r="L376" s="1">
        <v>35115</v>
      </c>
      <c r="M376" s="1">
        <v>29</v>
      </c>
      <c r="N376" s="1">
        <v>1410</v>
      </c>
      <c r="P376" s="1">
        <v>1840</v>
      </c>
      <c r="Q376" s="1"/>
      <c r="R376" s="1">
        <v>430</v>
      </c>
      <c r="S376">
        <v>280000</v>
      </c>
      <c r="T376">
        <v>14042</v>
      </c>
      <c r="U376" t="s">
        <v>814</v>
      </c>
      <c r="V376">
        <v>25620</v>
      </c>
      <c r="W376" s="1">
        <v>46115</v>
      </c>
      <c r="X376" s="1" t="s">
        <v>55</v>
      </c>
      <c r="Y376" s="1" t="s">
        <v>51</v>
      </c>
      <c r="Z376" s="1" t="s">
        <v>110</v>
      </c>
      <c r="AA376" s="1" t="s">
        <v>276</v>
      </c>
      <c r="AB376" s="1" t="s">
        <v>277</v>
      </c>
      <c r="AC376" s="1">
        <v>44717</v>
      </c>
      <c r="AD376" s="1">
        <v>44718</v>
      </c>
      <c r="AE376" s="1"/>
      <c r="AF376" s="1"/>
      <c r="AG376" s="1"/>
      <c r="AH376" s="1" t="s">
        <v>278</v>
      </c>
      <c r="AI376" s="1" t="s">
        <v>279</v>
      </c>
      <c r="AJ376" s="31">
        <v>44718</v>
      </c>
      <c r="AK376"/>
      <c r="AL376"/>
      <c r="AM376"/>
      <c r="AN376"/>
      <c r="AO376"/>
      <c r="AP376"/>
    </row>
    <row r="377" spans="1:42" hidden="1">
      <c r="A377" s="1" t="s">
        <v>49</v>
      </c>
      <c r="B377" s="1">
        <v>220606</v>
      </c>
      <c r="C377" s="1">
        <v>232063</v>
      </c>
      <c r="D377" s="1" t="s">
        <v>83</v>
      </c>
      <c r="E377" s="1" t="s">
        <v>307</v>
      </c>
      <c r="F377" t="s">
        <v>2251</v>
      </c>
      <c r="G377" t="s">
        <v>2252</v>
      </c>
      <c r="H377" s="1" t="s">
        <v>280</v>
      </c>
      <c r="I377" s="1" t="s">
        <v>281</v>
      </c>
      <c r="J377" s="1" t="s">
        <v>18</v>
      </c>
      <c r="K377" s="1" t="s">
        <v>200</v>
      </c>
      <c r="L377" s="1">
        <v>32955</v>
      </c>
      <c r="M377" s="1">
        <v>35</v>
      </c>
      <c r="N377" s="1">
        <v>1410</v>
      </c>
      <c r="P377" s="1">
        <v>1840</v>
      </c>
      <c r="Q377" s="1"/>
      <c r="R377" s="1">
        <v>430</v>
      </c>
      <c r="S377">
        <v>280000</v>
      </c>
      <c r="T377">
        <v>14042</v>
      </c>
      <c r="U377" t="s">
        <v>814</v>
      </c>
      <c r="V377">
        <v>25620</v>
      </c>
      <c r="W377" s="1">
        <v>46112</v>
      </c>
      <c r="X377" s="1" t="s">
        <v>55</v>
      </c>
      <c r="Y377" s="1" t="s">
        <v>51</v>
      </c>
      <c r="Z377" s="1" t="s">
        <v>110</v>
      </c>
      <c r="AA377" s="1" t="s">
        <v>113</v>
      </c>
      <c r="AB377" s="1" t="s">
        <v>282</v>
      </c>
      <c r="AC377" s="1">
        <v>44583</v>
      </c>
      <c r="AD377" s="1">
        <v>44718</v>
      </c>
      <c r="AE377" s="1"/>
      <c r="AF377" s="1"/>
      <c r="AG377" s="1"/>
      <c r="AH377" s="1" t="s">
        <v>278</v>
      </c>
      <c r="AI377" s="1" t="s">
        <v>279</v>
      </c>
      <c r="AJ377" s="31">
        <v>44718</v>
      </c>
      <c r="AK377"/>
      <c r="AL377"/>
      <c r="AM377"/>
      <c r="AN377"/>
      <c r="AO377"/>
      <c r="AP377"/>
    </row>
    <row r="378" spans="1:42" hidden="1">
      <c r="A378" s="1" t="s">
        <v>2542</v>
      </c>
      <c r="B378" s="1">
        <v>220604</v>
      </c>
      <c r="C378" s="1">
        <v>242048</v>
      </c>
      <c r="D378" s="1" t="s">
        <v>69</v>
      </c>
      <c r="E378" s="1" t="s">
        <v>306</v>
      </c>
      <c r="F378" t="s">
        <v>742</v>
      </c>
      <c r="G378" t="s">
        <v>317</v>
      </c>
      <c r="H378" s="1" t="s">
        <v>618</v>
      </c>
      <c r="I378" s="1" t="s">
        <v>619</v>
      </c>
      <c r="J378" s="1" t="s">
        <v>18</v>
      </c>
      <c r="K378" s="1" t="s">
        <v>50</v>
      </c>
      <c r="L378" s="1">
        <v>35608</v>
      </c>
      <c r="M378" s="1">
        <v>28</v>
      </c>
      <c r="N378" s="1">
        <v>1350</v>
      </c>
      <c r="P378" s="1">
        <v>1710</v>
      </c>
      <c r="Q378" s="1"/>
      <c r="R378" s="1">
        <v>360</v>
      </c>
      <c r="S378">
        <v>260000</v>
      </c>
      <c r="T378">
        <v>13039</v>
      </c>
      <c r="U378" t="s">
        <v>814</v>
      </c>
      <c r="V378">
        <v>23790</v>
      </c>
      <c r="W378" s="1">
        <v>46558</v>
      </c>
      <c r="X378" s="1" t="s">
        <v>55</v>
      </c>
      <c r="Y378" s="1" t="s">
        <v>51</v>
      </c>
      <c r="Z378" s="1" t="s">
        <v>620</v>
      </c>
      <c r="AA378" s="1" t="s">
        <v>621</v>
      </c>
      <c r="AB378" s="1" t="s">
        <v>622</v>
      </c>
      <c r="AC378" s="1">
        <v>44717</v>
      </c>
      <c r="AD378" s="1">
        <v>44718</v>
      </c>
      <c r="AE378" s="1">
        <v>45562</v>
      </c>
      <c r="AF378" s="1"/>
      <c r="AG378" s="1" t="s">
        <v>283</v>
      </c>
      <c r="AH378" s="1" t="s">
        <v>623</v>
      </c>
      <c r="AI378" s="1"/>
      <c r="AJ378" s="31">
        <v>44718</v>
      </c>
      <c r="AK378"/>
      <c r="AL378"/>
      <c r="AM378"/>
      <c r="AN378"/>
      <c r="AO378"/>
      <c r="AP378"/>
    </row>
    <row r="379" spans="1:42" hidden="1">
      <c r="A379" s="1" t="s">
        <v>2542</v>
      </c>
      <c r="B379" s="1">
        <v>220607</v>
      </c>
      <c r="C379" s="1">
        <v>232062</v>
      </c>
      <c r="D379" s="1" t="s">
        <v>83</v>
      </c>
      <c r="E379" s="1" t="s">
        <v>307</v>
      </c>
      <c r="F379" t="s">
        <v>2655</v>
      </c>
      <c r="G379" t="s">
        <v>2656</v>
      </c>
      <c r="H379" s="1" t="s">
        <v>3431</v>
      </c>
      <c r="I379" s="1" t="s">
        <v>3432</v>
      </c>
      <c r="J379" s="1" t="s">
        <v>18</v>
      </c>
      <c r="K379" s="1" t="s">
        <v>200</v>
      </c>
      <c r="L379" s="1">
        <v>34784</v>
      </c>
      <c r="M379" s="1">
        <v>30</v>
      </c>
      <c r="N379" s="1">
        <v>1400</v>
      </c>
      <c r="P379" s="1">
        <v>1820</v>
      </c>
      <c r="Q379" s="1"/>
      <c r="R379" s="1">
        <v>420</v>
      </c>
      <c r="S379">
        <v>320000</v>
      </c>
      <c r="T379">
        <v>16048</v>
      </c>
      <c r="U379" t="s">
        <v>814</v>
      </c>
      <c r="V379">
        <v>29280</v>
      </c>
      <c r="W379" s="1">
        <v>46112</v>
      </c>
      <c r="X379" s="1" t="s">
        <v>55</v>
      </c>
      <c r="Y379" s="1" t="s">
        <v>51</v>
      </c>
      <c r="Z379" s="1" t="s">
        <v>110</v>
      </c>
      <c r="AA379" s="1" t="s">
        <v>276</v>
      </c>
      <c r="AB379" s="1" t="s">
        <v>751</v>
      </c>
      <c r="AC379" s="1">
        <v>44737</v>
      </c>
      <c r="AD379" s="1">
        <v>44718</v>
      </c>
      <c r="AE379" s="1">
        <v>45457</v>
      </c>
      <c r="AF379" s="1"/>
      <c r="AG379" s="1"/>
      <c r="AH379" s="1" t="s">
        <v>278</v>
      </c>
      <c r="AI379" s="1" t="s">
        <v>279</v>
      </c>
      <c r="AJ379" s="31">
        <v>44718</v>
      </c>
      <c r="AK379"/>
      <c r="AL379"/>
      <c r="AM379"/>
      <c r="AN379"/>
      <c r="AO379"/>
      <c r="AP379"/>
    </row>
    <row r="380" spans="1:42" hidden="1">
      <c r="A380" s="1" t="s">
        <v>2542</v>
      </c>
      <c r="B380" s="1">
        <v>220608</v>
      </c>
      <c r="D380" s="1" t="s">
        <v>447</v>
      </c>
      <c r="E380" s="1" t="s">
        <v>741</v>
      </c>
      <c r="F380" t="s">
        <v>2744</v>
      </c>
      <c r="G380"/>
      <c r="H380" s="1" t="s">
        <v>3433</v>
      </c>
      <c r="I380" s="1" t="s">
        <v>3434</v>
      </c>
      <c r="J380" s="1" t="s">
        <v>18</v>
      </c>
      <c r="K380" s="1" t="s">
        <v>50</v>
      </c>
      <c r="L380" s="1">
        <v>33071</v>
      </c>
      <c r="M380" s="1">
        <v>35</v>
      </c>
      <c r="N380" s="1">
        <v>1200</v>
      </c>
      <c r="P380" s="1">
        <v>1700</v>
      </c>
      <c r="Q380" s="1"/>
      <c r="R380" s="1">
        <v>500</v>
      </c>
      <c r="S380"/>
      <c r="T380" t="s">
        <v>55</v>
      </c>
      <c r="U380" t="s">
        <v>814</v>
      </c>
      <c r="V380" t="s">
        <v>55</v>
      </c>
      <c r="W380" s="1">
        <v>45081</v>
      </c>
      <c r="X380" s="1" t="s">
        <v>55</v>
      </c>
      <c r="Y380" s="1" t="s">
        <v>51</v>
      </c>
      <c r="Z380" s="1" t="s">
        <v>448</v>
      </c>
      <c r="AA380" s="1" t="s">
        <v>449</v>
      </c>
      <c r="AB380" s="1" t="s">
        <v>484</v>
      </c>
      <c r="AC380" s="1">
        <v>44719</v>
      </c>
      <c r="AD380" s="1">
        <v>44725</v>
      </c>
      <c r="AE380" s="1">
        <v>44862</v>
      </c>
      <c r="AF380" s="1"/>
      <c r="AG380" s="1" t="s">
        <v>283</v>
      </c>
      <c r="AH380" s="1" t="s">
        <v>623</v>
      </c>
      <c r="AI380" s="1"/>
      <c r="AJ380" s="31">
        <v>44725</v>
      </c>
      <c r="AK380"/>
      <c r="AL380"/>
      <c r="AM380"/>
      <c r="AN380"/>
      <c r="AO380"/>
      <c r="AP380"/>
    </row>
    <row r="381" spans="1:42" hidden="1">
      <c r="A381" s="1" t="s">
        <v>2542</v>
      </c>
      <c r="B381" s="1">
        <v>220610</v>
      </c>
      <c r="D381" s="1" t="s">
        <v>519</v>
      </c>
      <c r="E381" s="1" t="s">
        <v>3119</v>
      </c>
      <c r="F381"/>
      <c r="G381"/>
      <c r="H381" s="1" t="s">
        <v>3435</v>
      </c>
      <c r="I381" s="1" t="s">
        <v>3436</v>
      </c>
      <c r="J381" s="1" t="s">
        <v>18</v>
      </c>
      <c r="K381" s="1" t="s">
        <v>50</v>
      </c>
      <c r="L381" s="1">
        <v>30761</v>
      </c>
      <c r="M381" s="1">
        <v>41</v>
      </c>
      <c r="N381" s="1">
        <v>1500</v>
      </c>
      <c r="P381" s="1">
        <v>1900</v>
      </c>
      <c r="Q381" s="1"/>
      <c r="R381" s="1">
        <v>400</v>
      </c>
      <c r="S381">
        <v>260000</v>
      </c>
      <c r="T381">
        <v>13039</v>
      </c>
      <c r="U381">
        <v>2067</v>
      </c>
      <c r="V381">
        <v>23790</v>
      </c>
      <c r="W381" s="1">
        <v>45701</v>
      </c>
      <c r="X381" s="1" t="s">
        <v>55</v>
      </c>
      <c r="Y381" s="1" t="s">
        <v>51</v>
      </c>
      <c r="Z381" s="1" t="s">
        <v>3122</v>
      </c>
      <c r="AA381" s="1" t="s">
        <v>3123</v>
      </c>
      <c r="AB381" s="1" t="s">
        <v>3124</v>
      </c>
      <c r="AC381" s="1">
        <v>44722</v>
      </c>
      <c r="AD381" s="1">
        <v>44725</v>
      </c>
      <c r="AE381" s="1">
        <v>45219</v>
      </c>
      <c r="AF381" s="1"/>
      <c r="AG381" s="1" t="s">
        <v>283</v>
      </c>
      <c r="AH381" s="1" t="s">
        <v>623</v>
      </c>
      <c r="AI381" s="1"/>
      <c r="AJ381" s="31">
        <v>44725</v>
      </c>
      <c r="AK381"/>
      <c r="AL381"/>
      <c r="AM381"/>
      <c r="AN381"/>
      <c r="AO381"/>
      <c r="AP381"/>
    </row>
    <row r="382" spans="1:42" hidden="1">
      <c r="A382" s="1" t="s">
        <v>2542</v>
      </c>
      <c r="B382" s="1">
        <v>220611</v>
      </c>
      <c r="D382" s="1" t="s">
        <v>436</v>
      </c>
      <c r="E382" s="1" t="s">
        <v>2659</v>
      </c>
      <c r="F382"/>
      <c r="G382"/>
      <c r="H382" s="1" t="s">
        <v>499</v>
      </c>
      <c r="I382" s="1" t="s">
        <v>2956</v>
      </c>
      <c r="J382" s="1" t="s">
        <v>18</v>
      </c>
      <c r="K382" s="1" t="s">
        <v>50</v>
      </c>
      <c r="L382" s="1">
        <v>33147</v>
      </c>
      <c r="M382" s="1">
        <v>35</v>
      </c>
      <c r="N382" s="1">
        <v>1500</v>
      </c>
      <c r="P382" s="1">
        <v>2000</v>
      </c>
      <c r="Q382" s="1"/>
      <c r="R382" s="1">
        <v>500</v>
      </c>
      <c r="S382">
        <v>340000</v>
      </c>
      <c r="T382">
        <v>17051</v>
      </c>
      <c r="U382" t="s">
        <v>814</v>
      </c>
      <c r="V382">
        <v>31110</v>
      </c>
      <c r="W382" s="1">
        <v>45703</v>
      </c>
      <c r="X382" s="1" t="s">
        <v>55</v>
      </c>
      <c r="Y382" s="1" t="s">
        <v>51</v>
      </c>
      <c r="Z382" s="1" t="s">
        <v>437</v>
      </c>
      <c r="AA382" s="1" t="s">
        <v>3437</v>
      </c>
      <c r="AB382" s="1" t="s">
        <v>3438</v>
      </c>
      <c r="AC382" s="1" t="s">
        <v>53</v>
      </c>
      <c r="AD382" s="1">
        <v>44725</v>
      </c>
      <c r="AE382" s="1">
        <v>45309</v>
      </c>
      <c r="AF382" s="1">
        <v>44864</v>
      </c>
      <c r="AG382" s="1" t="s">
        <v>283</v>
      </c>
      <c r="AH382" s="1" t="s">
        <v>284</v>
      </c>
      <c r="AI382" s="1"/>
      <c r="AJ382" s="31">
        <v>44725</v>
      </c>
      <c r="AK382"/>
      <c r="AL382"/>
      <c r="AM382"/>
      <c r="AN382"/>
      <c r="AO382"/>
      <c r="AP382"/>
    </row>
    <row r="383" spans="1:42">
      <c r="A383" s="1" t="s">
        <v>49</v>
      </c>
      <c r="B383" s="1">
        <v>250117</v>
      </c>
      <c r="C383" s="1">
        <v>212053</v>
      </c>
      <c r="D383" s="1" t="s">
        <v>75</v>
      </c>
      <c r="E383" s="1" t="s">
        <v>3934</v>
      </c>
      <c r="F383" t="s">
        <v>739</v>
      </c>
      <c r="G383" t="s">
        <v>1092</v>
      </c>
      <c r="H383" s="1" t="s">
        <v>4093</v>
      </c>
      <c r="I383" s="1" t="s">
        <v>4094</v>
      </c>
      <c r="J383" s="1" t="s">
        <v>18</v>
      </c>
      <c r="K383" s="1" t="s">
        <v>50</v>
      </c>
      <c r="L383" s="1">
        <v>36656</v>
      </c>
      <c r="M383" s="1">
        <v>25</v>
      </c>
      <c r="N383" s="1">
        <v>1250</v>
      </c>
      <c r="P383" s="1">
        <v>1650</v>
      </c>
      <c r="Q383" s="1"/>
      <c r="R383" s="1">
        <v>400</v>
      </c>
      <c r="S383">
        <v>220000</v>
      </c>
      <c r="T383">
        <v>11033</v>
      </c>
      <c r="U383" t="s">
        <v>814</v>
      </c>
      <c r="V383">
        <v>20130</v>
      </c>
      <c r="W383" s="1">
        <v>46042</v>
      </c>
      <c r="X383" s="1">
        <v>47</v>
      </c>
      <c r="Y383" s="1" t="s">
        <v>51</v>
      </c>
      <c r="Z383" s="1" t="s">
        <v>182</v>
      </c>
      <c r="AA383" s="1" t="s">
        <v>2317</v>
      </c>
      <c r="AB383" s="1" t="s">
        <v>2318</v>
      </c>
      <c r="AC383" s="1"/>
      <c r="AD383" s="1">
        <v>45680</v>
      </c>
      <c r="AE383" s="1"/>
      <c r="AF383" s="1"/>
      <c r="AG383" s="1">
        <v>45680</v>
      </c>
      <c r="AH383" s="1" t="s">
        <v>4186</v>
      </c>
      <c r="AI383" s="1"/>
      <c r="AJ383" s="31">
        <v>45680</v>
      </c>
      <c r="AK383"/>
      <c r="AL383"/>
      <c r="AM383"/>
      <c r="AN383"/>
      <c r="AO383"/>
      <c r="AP383"/>
    </row>
    <row r="384" spans="1:42" hidden="1">
      <c r="A384" s="1" t="s">
        <v>2542</v>
      </c>
      <c r="B384" s="1">
        <v>220612</v>
      </c>
      <c r="C384" s="1">
        <v>60066</v>
      </c>
      <c r="D384" s="1" t="s">
        <v>168</v>
      </c>
      <c r="E384" s="1" t="s">
        <v>193</v>
      </c>
      <c r="G384"/>
      <c r="H384" s="1" t="s">
        <v>3439</v>
      </c>
      <c r="I384" s="1" t="s">
        <v>3440</v>
      </c>
      <c r="J384" s="1" t="s">
        <v>18</v>
      </c>
      <c r="K384" s="1" t="s">
        <v>50</v>
      </c>
      <c r="L384" s="1">
        <v>32574</v>
      </c>
      <c r="M384" s="1">
        <v>36</v>
      </c>
      <c r="N384" s="1">
        <v>1400</v>
      </c>
      <c r="P384" s="1">
        <v>2000</v>
      </c>
      <c r="Q384" s="1"/>
      <c r="R384" s="1">
        <v>600</v>
      </c>
      <c r="S384"/>
      <c r="T384" t="s">
        <v>55</v>
      </c>
      <c r="U384" t="s">
        <v>814</v>
      </c>
      <c r="V384" t="s">
        <v>55</v>
      </c>
      <c r="W384" s="1">
        <v>45029</v>
      </c>
      <c r="X384" s="1" t="s">
        <v>55</v>
      </c>
      <c r="Y384" s="1" t="s">
        <v>51</v>
      </c>
      <c r="Z384" s="1" t="s">
        <v>3340</v>
      </c>
      <c r="AA384" s="1" t="s">
        <v>3341</v>
      </c>
      <c r="AB384" s="1" t="s">
        <v>3441</v>
      </c>
      <c r="AC384" s="1">
        <v>44726</v>
      </c>
      <c r="AD384" s="1">
        <v>44726</v>
      </c>
      <c r="AE384" s="1">
        <v>44856</v>
      </c>
      <c r="AF384" s="1"/>
      <c r="AG384" s="1" t="s">
        <v>283</v>
      </c>
      <c r="AH384" s="1" t="s">
        <v>284</v>
      </c>
      <c r="AI384" s="1"/>
      <c r="AJ384" s="31">
        <v>44726</v>
      </c>
      <c r="AK384"/>
      <c r="AL384"/>
      <c r="AM384"/>
      <c r="AN384"/>
      <c r="AO384"/>
      <c r="AP384"/>
    </row>
    <row r="385" spans="1:51" hidden="1">
      <c r="A385" s="1" t="s">
        <v>2542</v>
      </c>
      <c r="B385" s="1">
        <v>220613</v>
      </c>
      <c r="C385" s="1">
        <v>242049</v>
      </c>
      <c r="D385" s="1" t="s">
        <v>69</v>
      </c>
      <c r="E385" s="1" t="s">
        <v>306</v>
      </c>
      <c r="F385" t="s">
        <v>740</v>
      </c>
      <c r="G385" t="s">
        <v>317</v>
      </c>
      <c r="H385" s="1" t="s">
        <v>624</v>
      </c>
      <c r="I385" s="1" t="s">
        <v>625</v>
      </c>
      <c r="J385" s="1" t="s">
        <v>18</v>
      </c>
      <c r="K385" s="1" t="s">
        <v>50</v>
      </c>
      <c r="L385" s="1">
        <v>35721</v>
      </c>
      <c r="M385" s="1">
        <v>28</v>
      </c>
      <c r="N385" s="1">
        <v>1300</v>
      </c>
      <c r="P385" s="1">
        <v>1700</v>
      </c>
      <c r="Q385" s="1"/>
      <c r="R385" s="1">
        <v>400</v>
      </c>
      <c r="S385">
        <v>320000</v>
      </c>
      <c r="T385">
        <v>16048</v>
      </c>
      <c r="U385" t="s">
        <v>814</v>
      </c>
      <c r="V385">
        <v>29280</v>
      </c>
      <c r="W385" s="1">
        <v>46558</v>
      </c>
      <c r="X385" s="1" t="s">
        <v>55</v>
      </c>
      <c r="Y385" s="1" t="s">
        <v>51</v>
      </c>
      <c r="Z385" s="1" t="s">
        <v>264</v>
      </c>
      <c r="AA385" s="1" t="s">
        <v>621</v>
      </c>
      <c r="AB385" s="1" t="s">
        <v>622</v>
      </c>
      <c r="AC385" s="1">
        <v>44721</v>
      </c>
      <c r="AD385" s="1">
        <v>44726</v>
      </c>
      <c r="AE385" s="1">
        <v>45546</v>
      </c>
      <c r="AF385" s="1"/>
      <c r="AG385" s="1"/>
      <c r="AH385" s="1" t="s">
        <v>278</v>
      </c>
      <c r="AI385" s="1" t="s">
        <v>279</v>
      </c>
      <c r="AJ385" s="31">
        <v>44726</v>
      </c>
      <c r="AK385"/>
      <c r="AL385"/>
      <c r="AM385"/>
      <c r="AN385"/>
      <c r="AO385"/>
      <c r="AP385"/>
    </row>
    <row r="386" spans="1:51" hidden="1">
      <c r="A386" s="1" t="s">
        <v>2542</v>
      </c>
      <c r="B386" s="1">
        <v>220614</v>
      </c>
      <c r="C386" s="1">
        <v>242050</v>
      </c>
      <c r="D386" s="1" t="s">
        <v>69</v>
      </c>
      <c r="E386" s="1" t="s">
        <v>306</v>
      </c>
      <c r="F386" t="s">
        <v>742</v>
      </c>
      <c r="G386" t="s">
        <v>317</v>
      </c>
      <c r="H386" s="1" t="s">
        <v>626</v>
      </c>
      <c r="I386" s="1" t="s">
        <v>627</v>
      </c>
      <c r="J386" s="1" t="s">
        <v>18</v>
      </c>
      <c r="K386" s="1" t="s">
        <v>50</v>
      </c>
      <c r="L386" s="1">
        <v>35729</v>
      </c>
      <c r="M386" s="1">
        <v>28</v>
      </c>
      <c r="N386" s="1">
        <v>1300</v>
      </c>
      <c r="P386" s="1">
        <v>1700</v>
      </c>
      <c r="Q386" s="1"/>
      <c r="R386" s="1">
        <v>400</v>
      </c>
      <c r="S386">
        <v>320000</v>
      </c>
      <c r="T386">
        <v>16048</v>
      </c>
      <c r="U386" t="s">
        <v>814</v>
      </c>
      <c r="V386">
        <v>29280</v>
      </c>
      <c r="W386" s="1">
        <v>46558</v>
      </c>
      <c r="X386" s="1" t="s">
        <v>55</v>
      </c>
      <c r="Y386" s="1" t="s">
        <v>51</v>
      </c>
      <c r="Z386" s="1" t="s">
        <v>264</v>
      </c>
      <c r="AA386" s="1" t="s">
        <v>621</v>
      </c>
      <c r="AB386" s="1" t="s">
        <v>622</v>
      </c>
      <c r="AC386" s="1">
        <v>44721</v>
      </c>
      <c r="AD386" s="1">
        <v>44726</v>
      </c>
      <c r="AE386" s="1">
        <v>45534</v>
      </c>
      <c r="AF386" s="1"/>
      <c r="AG386" s="1"/>
      <c r="AH386" s="1" t="s">
        <v>278</v>
      </c>
      <c r="AI386" s="1" t="s">
        <v>279</v>
      </c>
      <c r="AJ386" s="31">
        <v>44726</v>
      </c>
      <c r="AK386"/>
      <c r="AL386"/>
      <c r="AM386"/>
      <c r="AN386"/>
      <c r="AO386"/>
      <c r="AP386"/>
    </row>
    <row r="387" spans="1:51" hidden="1">
      <c r="A387" s="1" t="s">
        <v>2542</v>
      </c>
      <c r="B387" s="1">
        <v>220615</v>
      </c>
      <c r="D387" s="1" t="s">
        <v>548</v>
      </c>
      <c r="E387" s="1" t="s">
        <v>549</v>
      </c>
      <c r="F387"/>
      <c r="G387"/>
      <c r="H387" s="1" t="s">
        <v>3445</v>
      </c>
      <c r="I387" s="1" t="s">
        <v>3446</v>
      </c>
      <c r="J387" s="1" t="s">
        <v>18</v>
      </c>
      <c r="K387" s="1" t="s">
        <v>50</v>
      </c>
      <c r="L387" s="1">
        <v>33279</v>
      </c>
      <c r="M387" s="1">
        <v>34</v>
      </c>
      <c r="N387" s="1">
        <v>1400</v>
      </c>
      <c r="P387" s="1">
        <v>1900</v>
      </c>
      <c r="Q387" s="1"/>
      <c r="R387" s="1">
        <v>500</v>
      </c>
      <c r="S387">
        <v>180000</v>
      </c>
      <c r="T387">
        <v>9027</v>
      </c>
      <c r="U387" t="s">
        <v>814</v>
      </c>
      <c r="V387">
        <v>16470</v>
      </c>
      <c r="W387" s="1">
        <v>44978</v>
      </c>
      <c r="X387" s="1" t="s">
        <v>55</v>
      </c>
      <c r="Y387" s="1" t="s">
        <v>51</v>
      </c>
      <c r="Z387" s="1" t="s">
        <v>3447</v>
      </c>
      <c r="AA387" s="1" t="s">
        <v>3448</v>
      </c>
      <c r="AB387" s="1" t="s">
        <v>3449</v>
      </c>
      <c r="AC387" s="1">
        <v>44726</v>
      </c>
      <c r="AD387" s="1">
        <v>44727</v>
      </c>
      <c r="AE387" s="1">
        <v>45044</v>
      </c>
      <c r="AF387" s="1"/>
      <c r="AG387" s="1" t="s">
        <v>283</v>
      </c>
      <c r="AH387" s="1" t="s">
        <v>284</v>
      </c>
      <c r="AI387" s="1"/>
      <c r="AJ387" s="31">
        <v>44727</v>
      </c>
      <c r="AK387"/>
      <c r="AL387"/>
      <c r="AM387"/>
      <c r="AN387"/>
      <c r="AO387"/>
      <c r="AP387"/>
      <c r="AQ387" s="81"/>
      <c r="AR387" s="81"/>
      <c r="AS387" s="81"/>
      <c r="AT387" s="81"/>
    </row>
    <row r="388" spans="1:51" hidden="1">
      <c r="A388" s="1" t="s">
        <v>2542</v>
      </c>
      <c r="B388" s="1">
        <v>220717</v>
      </c>
      <c r="C388" s="1">
        <v>232073</v>
      </c>
      <c r="D388" s="1" t="s">
        <v>83</v>
      </c>
      <c r="E388" s="1" t="s">
        <v>309</v>
      </c>
      <c r="F388" t="s">
        <v>2243</v>
      </c>
      <c r="G388" t="s">
        <v>3442</v>
      </c>
      <c r="H388" s="1" t="s">
        <v>3443</v>
      </c>
      <c r="I388" s="1" t="s">
        <v>3444</v>
      </c>
      <c r="J388" s="1" t="s">
        <v>18</v>
      </c>
      <c r="K388" s="1" t="s">
        <v>50</v>
      </c>
      <c r="L388" s="1">
        <v>33364</v>
      </c>
      <c r="M388" s="1">
        <v>34</v>
      </c>
      <c r="N388" s="1">
        <v>1250</v>
      </c>
      <c r="P388" s="1">
        <v>1670</v>
      </c>
      <c r="Q388" s="1"/>
      <c r="R388" s="1">
        <v>420</v>
      </c>
      <c r="S388">
        <v>180000</v>
      </c>
      <c r="T388">
        <v>9027</v>
      </c>
      <c r="U388" t="s">
        <v>814</v>
      </c>
      <c r="V388">
        <v>16470</v>
      </c>
      <c r="W388" s="1">
        <v>45456</v>
      </c>
      <c r="X388" s="1" t="s">
        <v>55</v>
      </c>
      <c r="Y388" s="1" t="s">
        <v>51</v>
      </c>
      <c r="Z388" s="1" t="s">
        <v>110</v>
      </c>
      <c r="AA388" s="1" t="s">
        <v>2299</v>
      </c>
      <c r="AB388" s="1" t="s">
        <v>210</v>
      </c>
      <c r="AC388" s="1">
        <v>44774</v>
      </c>
      <c r="AD388" s="1">
        <v>44727</v>
      </c>
      <c r="AE388" s="1">
        <v>45180</v>
      </c>
      <c r="AF388" s="1"/>
      <c r="AG388" s="1" t="s">
        <v>283</v>
      </c>
      <c r="AH388" s="1" t="s">
        <v>313</v>
      </c>
      <c r="AI388" s="1" t="s">
        <v>279</v>
      </c>
      <c r="AJ388" s="31">
        <v>44727</v>
      </c>
      <c r="AK388"/>
      <c r="AL388"/>
      <c r="AM388"/>
      <c r="AN388"/>
      <c r="AO388"/>
      <c r="AP388"/>
      <c r="AQ388" s="81"/>
      <c r="AR388" s="81"/>
      <c r="AS388" s="81"/>
      <c r="AT388" s="81"/>
    </row>
    <row r="389" spans="1:51" hidden="1">
      <c r="A389" s="1" t="s">
        <v>2542</v>
      </c>
      <c r="B389" s="1">
        <v>210704</v>
      </c>
      <c r="D389" s="1" t="s">
        <v>464</v>
      </c>
      <c r="E389" s="1" t="s">
        <v>465</v>
      </c>
      <c r="F389"/>
      <c r="G389"/>
      <c r="H389" s="1" t="s">
        <v>185</v>
      </c>
      <c r="I389" s="1" t="s">
        <v>2899</v>
      </c>
      <c r="J389" s="1" t="s">
        <v>18</v>
      </c>
      <c r="K389" s="1" t="s">
        <v>50</v>
      </c>
      <c r="L389" s="1">
        <v>34208</v>
      </c>
      <c r="M389" s="1">
        <v>32</v>
      </c>
      <c r="N389" s="1">
        <v>1400</v>
      </c>
      <c r="P389" s="1">
        <v>2000</v>
      </c>
      <c r="Q389" s="1"/>
      <c r="R389" s="1">
        <v>600</v>
      </c>
      <c r="S389">
        <v>180000</v>
      </c>
      <c r="T389">
        <v>9027</v>
      </c>
      <c r="U389" t="s">
        <v>814</v>
      </c>
      <c r="V389">
        <v>16470</v>
      </c>
      <c r="W389" s="1">
        <v>45492</v>
      </c>
      <c r="X389" s="1" t="s">
        <v>55</v>
      </c>
      <c r="Y389" s="1" t="s">
        <v>51</v>
      </c>
      <c r="Z389" s="1" t="s">
        <v>2900</v>
      </c>
      <c r="AA389" s="1" t="s">
        <v>2901</v>
      </c>
      <c r="AB389" s="1" t="s">
        <v>3348</v>
      </c>
      <c r="AC389" s="1"/>
      <c r="AD389" s="1">
        <v>44732</v>
      </c>
      <c r="AE389" s="1">
        <v>45029</v>
      </c>
      <c r="AF389" s="1"/>
      <c r="AG389" s="1" t="s">
        <v>283</v>
      </c>
      <c r="AH389" s="1" t="s">
        <v>623</v>
      </c>
      <c r="AI389" s="1"/>
      <c r="AJ389" s="31">
        <v>44732</v>
      </c>
      <c r="AK389"/>
      <c r="AL389"/>
      <c r="AM389"/>
      <c r="AN389"/>
      <c r="AO389"/>
      <c r="AP389"/>
      <c r="AQ389" s="81"/>
      <c r="AR389" s="81"/>
      <c r="AS389" s="81"/>
      <c r="AT389" s="81"/>
    </row>
    <row r="390" spans="1:51" hidden="1">
      <c r="A390" s="1" t="s">
        <v>2542</v>
      </c>
      <c r="B390" s="1">
        <v>220616</v>
      </c>
      <c r="D390" s="1" t="s">
        <v>436</v>
      </c>
      <c r="E390" s="1" t="s">
        <v>503</v>
      </c>
      <c r="F390"/>
      <c r="G390"/>
      <c r="H390" s="1" t="s">
        <v>3450</v>
      </c>
      <c r="I390" s="1" t="s">
        <v>3451</v>
      </c>
      <c r="J390" s="1" t="s">
        <v>18</v>
      </c>
      <c r="K390" s="1" t="s">
        <v>50</v>
      </c>
      <c r="L390" s="1">
        <v>32696</v>
      </c>
      <c r="M390" s="1">
        <v>36</v>
      </c>
      <c r="N390" s="1">
        <v>1500</v>
      </c>
      <c r="O390" s="1" t="s">
        <v>3452</v>
      </c>
      <c r="P390" s="1">
        <v>2000</v>
      </c>
      <c r="Q390" s="1"/>
      <c r="R390" s="1">
        <v>500</v>
      </c>
      <c r="S390">
        <v>320000</v>
      </c>
      <c r="T390">
        <v>16048</v>
      </c>
      <c r="U390" t="s">
        <v>814</v>
      </c>
      <c r="V390">
        <v>29280</v>
      </c>
      <c r="W390" s="1">
        <v>46376</v>
      </c>
      <c r="X390" s="1" t="s">
        <v>55</v>
      </c>
      <c r="Y390" s="1" t="s">
        <v>51</v>
      </c>
      <c r="Z390" s="1" t="s">
        <v>504</v>
      </c>
      <c r="AA390" s="1" t="s">
        <v>505</v>
      </c>
      <c r="AB390" s="1" t="s">
        <v>2513</v>
      </c>
      <c r="AC390" s="1">
        <v>44735</v>
      </c>
      <c r="AD390" s="1">
        <v>44735</v>
      </c>
      <c r="AE390" s="1">
        <v>45331</v>
      </c>
      <c r="AF390" s="1"/>
      <c r="AG390" s="1" t="s">
        <v>312</v>
      </c>
      <c r="AH390" s="1" t="s">
        <v>3453</v>
      </c>
      <c r="AI390" s="1"/>
      <c r="AJ390" s="31">
        <v>44735</v>
      </c>
      <c r="AK390"/>
      <c r="AL390"/>
      <c r="AM390"/>
      <c r="AN390"/>
      <c r="AO390"/>
      <c r="AP390"/>
      <c r="AQ390" s="81"/>
      <c r="AR390" s="81"/>
      <c r="AS390" s="81"/>
      <c r="AT390" s="81"/>
    </row>
    <row r="391" spans="1:51" hidden="1">
      <c r="A391" s="1" t="s">
        <v>2542</v>
      </c>
      <c r="B391" s="1">
        <v>220702</v>
      </c>
      <c r="C391" s="1">
        <v>232120</v>
      </c>
      <c r="D391" s="1" t="s">
        <v>83</v>
      </c>
      <c r="E391" s="1" t="s">
        <v>311</v>
      </c>
      <c r="F391" t="s">
        <v>2253</v>
      </c>
      <c r="G391" t="s">
        <v>364</v>
      </c>
      <c r="H391" s="1" t="s">
        <v>628</v>
      </c>
      <c r="I391" s="1" t="s">
        <v>629</v>
      </c>
      <c r="J391" s="1" t="s">
        <v>17</v>
      </c>
      <c r="K391" s="1" t="s">
        <v>50</v>
      </c>
      <c r="L391" s="1">
        <v>35338</v>
      </c>
      <c r="M391" s="1">
        <v>29</v>
      </c>
      <c r="N391" s="1">
        <v>1310</v>
      </c>
      <c r="P391" s="1">
        <v>1650</v>
      </c>
      <c r="Q391" s="1"/>
      <c r="R391" s="1">
        <v>340</v>
      </c>
      <c r="S391">
        <v>200000</v>
      </c>
      <c r="T391">
        <v>10030</v>
      </c>
      <c r="U391" t="s">
        <v>814</v>
      </c>
      <c r="V391">
        <v>18300</v>
      </c>
      <c r="W391" s="1">
        <v>46186</v>
      </c>
      <c r="X391" s="1" t="s">
        <v>55</v>
      </c>
      <c r="Y391" s="1" t="s">
        <v>51</v>
      </c>
      <c r="Z391" s="1" t="s">
        <v>110</v>
      </c>
      <c r="AA391" s="1" t="s">
        <v>111</v>
      </c>
      <c r="AB391" s="1" t="s">
        <v>1705</v>
      </c>
      <c r="AC391" s="1">
        <v>45165</v>
      </c>
      <c r="AD391" s="1">
        <v>44743</v>
      </c>
      <c r="AE391" s="1">
        <v>45975</v>
      </c>
      <c r="AF391" s="1"/>
      <c r="AG391" s="1" t="s">
        <v>312</v>
      </c>
      <c r="AH391" s="1" t="s">
        <v>313</v>
      </c>
      <c r="AI391" s="1" t="s">
        <v>4491</v>
      </c>
      <c r="AJ391" s="31">
        <v>44743</v>
      </c>
      <c r="AK391"/>
      <c r="AL391"/>
      <c r="AM391"/>
      <c r="AN391"/>
      <c r="AO391"/>
      <c r="AP391"/>
      <c r="AQ391" s="81"/>
      <c r="AR391" s="81"/>
      <c r="AS391" s="81"/>
      <c r="AT391" s="81"/>
    </row>
    <row r="392" spans="1:51" hidden="1">
      <c r="A392" s="1" t="s">
        <v>2542</v>
      </c>
      <c r="B392" s="1">
        <v>220701</v>
      </c>
      <c r="D392" s="1" t="s">
        <v>464</v>
      </c>
      <c r="E392" s="1" t="s">
        <v>465</v>
      </c>
      <c r="F392"/>
      <c r="G392"/>
      <c r="H392" s="1" t="s">
        <v>3454</v>
      </c>
      <c r="I392" s="1" t="s">
        <v>3455</v>
      </c>
      <c r="J392" s="1" t="s">
        <v>18</v>
      </c>
      <c r="K392" s="1" t="s">
        <v>50</v>
      </c>
      <c r="L392" s="1">
        <v>35976</v>
      </c>
      <c r="M392" s="1">
        <v>27</v>
      </c>
      <c r="N392" s="1">
        <v>1400</v>
      </c>
      <c r="P392" s="1">
        <v>2000</v>
      </c>
      <c r="Q392" s="1"/>
      <c r="R392" s="1">
        <v>600</v>
      </c>
      <c r="S392">
        <v>260000</v>
      </c>
      <c r="T392">
        <v>13039</v>
      </c>
      <c r="U392" t="s">
        <v>814</v>
      </c>
      <c r="V392">
        <v>23790</v>
      </c>
      <c r="W392" s="1">
        <v>45742</v>
      </c>
      <c r="X392" s="1" t="s">
        <v>55</v>
      </c>
      <c r="Y392" s="1" t="s">
        <v>51</v>
      </c>
      <c r="Z392" s="1" t="s">
        <v>2900</v>
      </c>
      <c r="AA392" s="1" t="s">
        <v>2901</v>
      </c>
      <c r="AB392" s="1" t="s">
        <v>3348</v>
      </c>
      <c r="AC392" s="1">
        <v>44740</v>
      </c>
      <c r="AD392" s="1">
        <v>44743</v>
      </c>
      <c r="AE392" s="1">
        <v>45281</v>
      </c>
      <c r="AF392" s="1"/>
      <c r="AG392" s="1" t="s">
        <v>312</v>
      </c>
      <c r="AH392" s="1" t="s">
        <v>351</v>
      </c>
      <c r="AI392" s="1"/>
      <c r="AJ392" s="31">
        <v>44743</v>
      </c>
      <c r="AK392"/>
      <c r="AL392"/>
      <c r="AM392"/>
      <c r="AN392"/>
      <c r="AO392"/>
      <c r="AP392"/>
      <c r="AQ392" s="81"/>
      <c r="AR392" s="81"/>
      <c r="AS392" s="81"/>
      <c r="AT392" s="81"/>
    </row>
    <row r="393" spans="1:51" hidden="1">
      <c r="A393" s="1" t="s">
        <v>2542</v>
      </c>
      <c r="B393" s="1">
        <v>220703</v>
      </c>
      <c r="D393" s="1" t="s">
        <v>813</v>
      </c>
      <c r="E393" s="1" t="s">
        <v>1268</v>
      </c>
      <c r="F393" t="s">
        <v>1269</v>
      </c>
      <c r="G393" t="s">
        <v>1266</v>
      </c>
      <c r="H393" s="1" t="s">
        <v>3456</v>
      </c>
      <c r="I393" s="1" t="s">
        <v>3457</v>
      </c>
      <c r="J393" s="1" t="s">
        <v>17</v>
      </c>
      <c r="K393" s="1" t="s">
        <v>50</v>
      </c>
      <c r="L393" s="1">
        <v>32814</v>
      </c>
      <c r="M393" s="1">
        <v>36</v>
      </c>
      <c r="N393" s="1">
        <v>1300</v>
      </c>
      <c r="P393" s="1">
        <v>1800</v>
      </c>
      <c r="Q393" s="1"/>
      <c r="R393" s="1">
        <v>500</v>
      </c>
      <c r="S393">
        <v>220000</v>
      </c>
      <c r="T393">
        <v>11033</v>
      </c>
      <c r="U393" t="s">
        <v>814</v>
      </c>
      <c r="V393">
        <v>20130</v>
      </c>
      <c r="W393" s="1">
        <v>45471</v>
      </c>
      <c r="X393" s="1" t="s">
        <v>55</v>
      </c>
      <c r="Y393" s="1" t="s">
        <v>51</v>
      </c>
      <c r="Z393" s="1" t="s">
        <v>52</v>
      </c>
      <c r="AA393" s="1" t="s">
        <v>816</v>
      </c>
      <c r="AB393" s="1" t="s">
        <v>1329</v>
      </c>
      <c r="AC393" s="1">
        <v>44742</v>
      </c>
      <c r="AD393" s="1">
        <v>44743</v>
      </c>
      <c r="AE393" s="1">
        <v>45366</v>
      </c>
      <c r="AF393" s="1"/>
      <c r="AG393" s="1" t="s">
        <v>312</v>
      </c>
      <c r="AH393" s="1" t="s">
        <v>313</v>
      </c>
      <c r="AI393" s="1" t="s">
        <v>3458</v>
      </c>
      <c r="AJ393" s="31">
        <v>44743</v>
      </c>
      <c r="AK393"/>
      <c r="AL393"/>
      <c r="AM393"/>
      <c r="AN393"/>
      <c r="AO393"/>
      <c r="AP393"/>
      <c r="AQ393" s="81"/>
      <c r="AR393" s="81"/>
      <c r="AS393" s="81"/>
      <c r="AT393" s="81"/>
      <c r="AU393" s="81"/>
      <c r="AV393" s="81"/>
      <c r="AW393" s="81"/>
      <c r="AX393" s="81"/>
      <c r="AY393" s="81"/>
    </row>
    <row r="394" spans="1:51" hidden="1">
      <c r="A394" s="1" t="s">
        <v>2542</v>
      </c>
      <c r="B394" s="1">
        <v>220704</v>
      </c>
      <c r="C394" s="1">
        <v>242051</v>
      </c>
      <c r="D394" s="1" t="s">
        <v>69</v>
      </c>
      <c r="E394" s="1" t="s">
        <v>306</v>
      </c>
      <c r="F394" t="s">
        <v>742</v>
      </c>
      <c r="G394" t="s">
        <v>317</v>
      </c>
      <c r="H394" s="1" t="s">
        <v>3459</v>
      </c>
      <c r="I394" s="1" t="s">
        <v>3460</v>
      </c>
      <c r="J394" s="1" t="s">
        <v>18</v>
      </c>
      <c r="K394" s="1" t="s">
        <v>50</v>
      </c>
      <c r="L394" s="1">
        <v>36093</v>
      </c>
      <c r="M394" s="1">
        <v>27</v>
      </c>
      <c r="N394" s="1">
        <v>1300</v>
      </c>
      <c r="P394" s="1">
        <v>1660</v>
      </c>
      <c r="Q394" s="1"/>
      <c r="R394" s="1">
        <v>360</v>
      </c>
      <c r="S394">
        <v>260000</v>
      </c>
      <c r="T394">
        <v>13039</v>
      </c>
      <c r="U394" t="s">
        <v>814</v>
      </c>
      <c r="V394">
        <v>23790</v>
      </c>
      <c r="W394" s="1">
        <v>45417</v>
      </c>
      <c r="X394" s="1" t="s">
        <v>55</v>
      </c>
      <c r="Y394" s="1" t="s">
        <v>51</v>
      </c>
      <c r="Z394" s="1" t="s">
        <v>493</v>
      </c>
      <c r="AA394" s="1" t="s">
        <v>494</v>
      </c>
      <c r="AB394" s="1" t="s">
        <v>495</v>
      </c>
      <c r="AC394" s="1">
        <v>44747</v>
      </c>
      <c r="AD394" s="1">
        <v>44750</v>
      </c>
      <c r="AE394" s="1">
        <v>45253</v>
      </c>
      <c r="AF394" s="1"/>
      <c r="AG394" s="1" t="s">
        <v>312</v>
      </c>
      <c r="AH394" s="1" t="s">
        <v>623</v>
      </c>
      <c r="AI394" s="1" t="s">
        <v>3461</v>
      </c>
      <c r="AJ394" s="31">
        <v>44750</v>
      </c>
      <c r="AK394"/>
      <c r="AL394"/>
      <c r="AM394"/>
      <c r="AN394"/>
      <c r="AO394"/>
      <c r="AP394"/>
      <c r="AQ394" s="81"/>
      <c r="AR394" s="81"/>
      <c r="AS394" s="81"/>
      <c r="AT394" s="81"/>
      <c r="AU394" s="81"/>
      <c r="AV394" s="81"/>
      <c r="AW394" s="81"/>
      <c r="AX394" s="81"/>
      <c r="AY394" s="81"/>
    </row>
    <row r="395" spans="1:51" hidden="1">
      <c r="A395" s="1" t="s">
        <v>2542</v>
      </c>
      <c r="B395" s="1">
        <v>220705</v>
      </c>
      <c r="D395" s="1" t="s">
        <v>447</v>
      </c>
      <c r="E395" s="1" t="s">
        <v>1270</v>
      </c>
      <c r="F395" t="s">
        <v>1271</v>
      </c>
      <c r="G395" t="s">
        <v>1267</v>
      </c>
      <c r="H395" s="1" t="s">
        <v>752</v>
      </c>
      <c r="I395" s="1" t="s">
        <v>630</v>
      </c>
      <c r="J395" s="1" t="s">
        <v>18</v>
      </c>
      <c r="K395" s="1" t="s">
        <v>50</v>
      </c>
      <c r="L395" s="1">
        <v>35856</v>
      </c>
      <c r="M395" s="1">
        <v>27</v>
      </c>
      <c r="N395" s="1">
        <v>1320</v>
      </c>
      <c r="P395" s="1">
        <v>1700</v>
      </c>
      <c r="Q395" s="1"/>
      <c r="R395" s="1">
        <v>380</v>
      </c>
      <c r="S395">
        <v>300000</v>
      </c>
      <c r="T395">
        <v>15045</v>
      </c>
      <c r="U395" t="s">
        <v>814</v>
      </c>
      <c r="V395">
        <v>27450</v>
      </c>
      <c r="W395" s="1">
        <v>46597</v>
      </c>
      <c r="X395" s="1" t="s">
        <v>55</v>
      </c>
      <c r="Y395" s="1" t="s">
        <v>51</v>
      </c>
      <c r="Z395" s="1" t="s">
        <v>448</v>
      </c>
      <c r="AA395" s="1" t="s">
        <v>449</v>
      </c>
      <c r="AB395" s="1" t="s">
        <v>501</v>
      </c>
      <c r="AC395" s="1">
        <v>44750</v>
      </c>
      <c r="AD395" s="1">
        <v>44753</v>
      </c>
      <c r="AE395" s="1">
        <v>45674</v>
      </c>
      <c r="AF395" s="1"/>
      <c r="AG395" s="1" t="s">
        <v>312</v>
      </c>
      <c r="AH395" s="1" t="s">
        <v>623</v>
      </c>
      <c r="AI395" s="1" t="s">
        <v>631</v>
      </c>
      <c r="AJ395" s="31">
        <v>44753</v>
      </c>
      <c r="AK395"/>
      <c r="AL395"/>
      <c r="AM395"/>
      <c r="AN395"/>
      <c r="AO395"/>
      <c r="AP395"/>
      <c r="AQ395" s="81"/>
      <c r="AR395" s="81"/>
      <c r="AS395" s="81"/>
      <c r="AT395" s="81"/>
      <c r="AU395" s="81"/>
      <c r="AV395" s="81"/>
      <c r="AW395" s="81"/>
      <c r="AX395" s="81"/>
      <c r="AY395" s="81"/>
    </row>
    <row r="396" spans="1:51" hidden="1">
      <c r="A396" s="1" t="s">
        <v>2542</v>
      </c>
      <c r="B396" s="1">
        <v>220706</v>
      </c>
      <c r="C396" s="1">
        <v>222052</v>
      </c>
      <c r="D396" s="1" t="s">
        <v>62</v>
      </c>
      <c r="E396" s="1" t="s">
        <v>2469</v>
      </c>
      <c r="F396" t="s">
        <v>753</v>
      </c>
      <c r="G396" t="s">
        <v>388</v>
      </c>
      <c r="H396" s="1" t="s">
        <v>3462</v>
      </c>
      <c r="I396" s="1" t="s">
        <v>842</v>
      </c>
      <c r="J396" s="1" t="s">
        <v>18</v>
      </c>
      <c r="K396" s="1" t="s">
        <v>404</v>
      </c>
      <c r="L396" s="1">
        <v>28323</v>
      </c>
      <c r="M396" s="1">
        <v>48</v>
      </c>
      <c r="N396" s="1">
        <v>1450</v>
      </c>
      <c r="P396" s="1">
        <v>1800</v>
      </c>
      <c r="Q396" s="1"/>
      <c r="R396" s="1">
        <v>350</v>
      </c>
      <c r="S396">
        <v>300000</v>
      </c>
      <c r="T396">
        <v>15045</v>
      </c>
      <c r="U396">
        <v>2385</v>
      </c>
      <c r="V396">
        <v>27450</v>
      </c>
      <c r="W396" s="1">
        <v>46675</v>
      </c>
      <c r="X396" s="1" t="s">
        <v>55</v>
      </c>
      <c r="Y396" s="1" t="s">
        <v>540</v>
      </c>
      <c r="Z396" s="1" t="s">
        <v>80</v>
      </c>
      <c r="AA396" s="1" t="s">
        <v>632</v>
      </c>
      <c r="AB396" s="1" t="s">
        <v>633</v>
      </c>
      <c r="AC396" s="1" t="s">
        <v>53</v>
      </c>
      <c r="AD396" s="1">
        <v>44760</v>
      </c>
      <c r="AE396" s="1">
        <v>45792</v>
      </c>
      <c r="AF396" s="1"/>
      <c r="AG396" s="1" t="s">
        <v>283</v>
      </c>
      <c r="AH396" s="1" t="s">
        <v>313</v>
      </c>
      <c r="AI396" s="1"/>
      <c r="AJ396" s="31">
        <v>44760</v>
      </c>
      <c r="AK396"/>
      <c r="AL396"/>
      <c r="AM396"/>
      <c r="AN396"/>
      <c r="AO396"/>
      <c r="AP396"/>
      <c r="AQ396" s="81"/>
      <c r="AR396" s="81"/>
      <c r="AS396" s="81"/>
      <c r="AT396" s="81"/>
      <c r="AU396" s="81"/>
      <c r="AV396" s="81"/>
      <c r="AW396" s="81"/>
      <c r="AX396" s="81"/>
      <c r="AY396" s="81"/>
    </row>
    <row r="397" spans="1:51" hidden="1">
      <c r="A397" s="1" t="s">
        <v>2542</v>
      </c>
      <c r="B397" s="1">
        <v>210422</v>
      </c>
      <c r="D397" s="1" t="s">
        <v>464</v>
      </c>
      <c r="F397"/>
      <c r="G397"/>
      <c r="H397" s="1" t="s">
        <v>2809</v>
      </c>
      <c r="I397" s="1" t="s">
        <v>2810</v>
      </c>
      <c r="J397" s="1" t="s">
        <v>18</v>
      </c>
      <c r="K397" s="1" t="s">
        <v>50</v>
      </c>
      <c r="L397" s="1">
        <v>32470</v>
      </c>
      <c r="M397" s="1">
        <v>37</v>
      </c>
      <c r="N397" s="1">
        <v>1450</v>
      </c>
      <c r="P397" s="1">
        <v>2100</v>
      </c>
      <c r="Q397" s="1" t="s">
        <v>3463</v>
      </c>
      <c r="R397" s="1">
        <v>650</v>
      </c>
      <c r="S397">
        <v>260000</v>
      </c>
      <c r="T397">
        <v>13039</v>
      </c>
      <c r="U397" t="s">
        <v>814</v>
      </c>
      <c r="V397">
        <v>23790</v>
      </c>
      <c r="W397" s="1">
        <v>45796</v>
      </c>
      <c r="X397" s="1" t="s">
        <v>55</v>
      </c>
      <c r="Y397" s="1" t="s">
        <v>51</v>
      </c>
      <c r="Z397" s="1" t="s">
        <v>2900</v>
      </c>
      <c r="AA397" s="1" t="s">
        <v>2901</v>
      </c>
      <c r="AB397" s="1" t="s">
        <v>2902</v>
      </c>
      <c r="AC397" s="1">
        <v>44756</v>
      </c>
      <c r="AD397" s="1">
        <v>44761</v>
      </c>
      <c r="AE397" s="1">
        <v>45454</v>
      </c>
      <c r="AF397" s="1"/>
      <c r="AG397" s="1" t="s">
        <v>352</v>
      </c>
      <c r="AH397" s="1" t="s">
        <v>3464</v>
      </c>
      <c r="AI397" s="1"/>
      <c r="AJ397" s="31">
        <v>44761</v>
      </c>
      <c r="AK397"/>
      <c r="AL397"/>
      <c r="AM397"/>
      <c r="AN397"/>
      <c r="AO397"/>
      <c r="AP397"/>
      <c r="AQ397" s="81"/>
      <c r="AR397" s="81"/>
      <c r="AS397" s="81"/>
      <c r="AT397" s="81"/>
      <c r="AU397" s="81"/>
      <c r="AV397" s="81"/>
      <c r="AW397" s="81"/>
      <c r="AX397" s="81"/>
      <c r="AY397" s="81"/>
    </row>
    <row r="398" spans="1:51" hidden="1">
      <c r="A398" s="1" t="s">
        <v>49</v>
      </c>
      <c r="B398" s="1">
        <v>220709</v>
      </c>
      <c r="C398" s="1">
        <v>232067</v>
      </c>
      <c r="D398" s="1" t="s">
        <v>83</v>
      </c>
      <c r="E398" s="1" t="s">
        <v>307</v>
      </c>
      <c r="F398" t="s">
        <v>2251</v>
      </c>
      <c r="G398" t="s">
        <v>2252</v>
      </c>
      <c r="H398" s="1" t="s">
        <v>289</v>
      </c>
      <c r="I398" s="1" t="s">
        <v>290</v>
      </c>
      <c r="J398" s="1" t="s">
        <v>18</v>
      </c>
      <c r="K398" s="1" t="s">
        <v>200</v>
      </c>
      <c r="L398" s="1">
        <v>35149</v>
      </c>
      <c r="M398" s="1">
        <v>29</v>
      </c>
      <c r="N398" s="1">
        <v>1410</v>
      </c>
      <c r="P398" s="1">
        <v>1850</v>
      </c>
      <c r="Q398" s="1"/>
      <c r="R398" s="1">
        <v>440</v>
      </c>
      <c r="S398">
        <v>280000</v>
      </c>
      <c r="T398">
        <v>14042</v>
      </c>
      <c r="U398" t="s">
        <v>814</v>
      </c>
      <c r="V398">
        <v>25620</v>
      </c>
      <c r="W398" s="1">
        <v>46374</v>
      </c>
      <c r="X398" s="1" t="s">
        <v>55</v>
      </c>
      <c r="Y398" s="1" t="s">
        <v>51</v>
      </c>
      <c r="Z398" s="1" t="s">
        <v>110</v>
      </c>
      <c r="AA398" s="1" t="s">
        <v>276</v>
      </c>
      <c r="AB398" s="1" t="s">
        <v>1996</v>
      </c>
      <c r="AC398" s="1">
        <v>44849</v>
      </c>
      <c r="AD398" s="1">
        <v>44762</v>
      </c>
      <c r="AE398" s="1"/>
      <c r="AF398" s="1"/>
      <c r="AG398" s="1" t="s">
        <v>312</v>
      </c>
      <c r="AH398" s="1" t="s">
        <v>351</v>
      </c>
      <c r="AI398" s="1" t="s">
        <v>353</v>
      </c>
      <c r="AJ398" s="31">
        <v>44762</v>
      </c>
      <c r="AK398"/>
      <c r="AL398"/>
      <c r="AM398"/>
      <c r="AN398"/>
      <c r="AO398"/>
      <c r="AP398"/>
      <c r="AQ398" s="81"/>
      <c r="AR398" s="81"/>
      <c r="AS398" s="81"/>
      <c r="AT398" s="81"/>
      <c r="AU398" s="81"/>
      <c r="AV398" s="81"/>
      <c r="AW398" s="81"/>
      <c r="AX398" s="81"/>
      <c r="AY398" s="81"/>
    </row>
    <row r="399" spans="1:51" hidden="1">
      <c r="A399" s="1" t="s">
        <v>49</v>
      </c>
      <c r="B399" s="1">
        <v>220710</v>
      </c>
      <c r="C399" s="1">
        <v>232064</v>
      </c>
      <c r="D399" s="1" t="s">
        <v>83</v>
      </c>
      <c r="E399" s="1" t="s">
        <v>307</v>
      </c>
      <c r="F399" t="s">
        <v>2251</v>
      </c>
      <c r="G399" t="s">
        <v>2252</v>
      </c>
      <c r="H399" s="1" t="s">
        <v>291</v>
      </c>
      <c r="I399" s="1" t="s">
        <v>292</v>
      </c>
      <c r="J399" s="1" t="s">
        <v>18</v>
      </c>
      <c r="K399" s="1" t="s">
        <v>200</v>
      </c>
      <c r="L399" s="1">
        <v>34769</v>
      </c>
      <c r="M399" s="1">
        <v>30</v>
      </c>
      <c r="N399" s="1">
        <v>1410</v>
      </c>
      <c r="P399" s="1">
        <v>1840</v>
      </c>
      <c r="Q399" s="1"/>
      <c r="R399" s="1">
        <v>430</v>
      </c>
      <c r="S399">
        <v>280000</v>
      </c>
      <c r="T399">
        <v>14042</v>
      </c>
      <c r="U399" t="s">
        <v>814</v>
      </c>
      <c r="V399">
        <v>25620</v>
      </c>
      <c r="W399" s="1">
        <v>46374</v>
      </c>
      <c r="X399" s="1" t="s">
        <v>55</v>
      </c>
      <c r="Y399" s="1" t="s">
        <v>51</v>
      </c>
      <c r="Z399" s="1" t="s">
        <v>110</v>
      </c>
      <c r="AA399" s="1" t="s">
        <v>122</v>
      </c>
      <c r="AB399" s="1" t="s">
        <v>826</v>
      </c>
      <c r="AC399" s="1">
        <v>45024</v>
      </c>
      <c r="AD399" s="1">
        <v>44762</v>
      </c>
      <c r="AE399" s="1"/>
      <c r="AF399" s="1"/>
      <c r="AG399" s="1" t="s">
        <v>312</v>
      </c>
      <c r="AH399" s="1" t="s">
        <v>354</v>
      </c>
      <c r="AI399" s="1" t="s">
        <v>353</v>
      </c>
      <c r="AJ399" s="31">
        <v>44762</v>
      </c>
      <c r="AK399"/>
      <c r="AL399"/>
      <c r="AM399"/>
      <c r="AN399"/>
      <c r="AO399"/>
      <c r="AP399"/>
      <c r="AQ399" s="81"/>
      <c r="AR399" s="81"/>
      <c r="AS399" s="81"/>
      <c r="AT399" s="81"/>
      <c r="AU399" s="81"/>
      <c r="AV399" s="81"/>
      <c r="AW399" s="81"/>
      <c r="AX399" s="81"/>
      <c r="AY399" s="81"/>
    </row>
    <row r="400" spans="1:51" hidden="1">
      <c r="A400" s="1" t="s">
        <v>49</v>
      </c>
      <c r="B400" s="1">
        <v>220711</v>
      </c>
      <c r="C400" s="1">
        <v>232066</v>
      </c>
      <c r="D400" s="1" t="s">
        <v>83</v>
      </c>
      <c r="E400" s="1" t="s">
        <v>307</v>
      </c>
      <c r="F400" t="s">
        <v>2251</v>
      </c>
      <c r="G400" t="s">
        <v>2252</v>
      </c>
      <c r="H400" s="1" t="s">
        <v>293</v>
      </c>
      <c r="I400" s="1" t="s">
        <v>294</v>
      </c>
      <c r="J400" s="1" t="s">
        <v>18</v>
      </c>
      <c r="K400" s="1" t="s">
        <v>200</v>
      </c>
      <c r="L400" s="1">
        <v>34900</v>
      </c>
      <c r="M400" s="1">
        <v>30</v>
      </c>
      <c r="N400" s="1">
        <v>1410</v>
      </c>
      <c r="P400" s="1">
        <v>1840</v>
      </c>
      <c r="Q400" s="1"/>
      <c r="R400" s="1">
        <v>430</v>
      </c>
      <c r="S400">
        <v>240000</v>
      </c>
      <c r="T400">
        <v>12036</v>
      </c>
      <c r="U400" t="s">
        <v>814</v>
      </c>
      <c r="V400">
        <v>21960</v>
      </c>
      <c r="W400" s="1">
        <v>46374</v>
      </c>
      <c r="X400" s="1" t="s">
        <v>55</v>
      </c>
      <c r="Y400" s="1" t="s">
        <v>51</v>
      </c>
      <c r="Z400" s="1" t="s">
        <v>110</v>
      </c>
      <c r="AA400" s="1" t="s">
        <v>122</v>
      </c>
      <c r="AB400" s="1" t="s">
        <v>1315</v>
      </c>
      <c r="AC400" s="1">
        <v>45087</v>
      </c>
      <c r="AD400" s="1">
        <v>44762</v>
      </c>
      <c r="AE400" s="1"/>
      <c r="AF400" s="1"/>
      <c r="AG400" s="1" t="s">
        <v>312</v>
      </c>
      <c r="AH400" s="1" t="s">
        <v>351</v>
      </c>
      <c r="AI400" s="1" t="s">
        <v>353</v>
      </c>
      <c r="AJ400" s="31">
        <v>44762</v>
      </c>
      <c r="AK400"/>
      <c r="AL400"/>
      <c r="AM400"/>
      <c r="AN400"/>
      <c r="AO400"/>
      <c r="AP400"/>
      <c r="AQ400" s="81"/>
      <c r="AR400" s="81"/>
      <c r="AS400" s="81"/>
      <c r="AT400" s="81"/>
      <c r="AU400" s="81"/>
      <c r="AV400" s="81"/>
      <c r="AW400" s="81"/>
      <c r="AX400" s="81"/>
      <c r="AY400" s="81"/>
    </row>
    <row r="401" spans="1:51" hidden="1">
      <c r="A401" s="1" t="s">
        <v>2542</v>
      </c>
      <c r="B401" s="1">
        <v>220712</v>
      </c>
      <c r="C401" s="1">
        <v>232068</v>
      </c>
      <c r="D401" s="1" t="s">
        <v>83</v>
      </c>
      <c r="E401" s="1" t="s">
        <v>309</v>
      </c>
      <c r="F401" t="s">
        <v>369</v>
      </c>
      <c r="G401" t="s">
        <v>2239</v>
      </c>
      <c r="H401" s="1" t="s">
        <v>295</v>
      </c>
      <c r="I401" s="1" t="s">
        <v>296</v>
      </c>
      <c r="J401" s="1" t="s">
        <v>18</v>
      </c>
      <c r="K401" s="1" t="s">
        <v>200</v>
      </c>
      <c r="L401" s="1">
        <v>33796</v>
      </c>
      <c r="M401" s="1">
        <v>33</v>
      </c>
      <c r="N401" s="1">
        <v>1410</v>
      </c>
      <c r="P401" s="1">
        <v>1840</v>
      </c>
      <c r="Q401" s="1"/>
      <c r="R401" s="1">
        <v>430</v>
      </c>
      <c r="S401">
        <v>280000</v>
      </c>
      <c r="T401">
        <v>14042</v>
      </c>
      <c r="U401" t="s">
        <v>814</v>
      </c>
      <c r="V401">
        <v>25620</v>
      </c>
      <c r="W401" s="1">
        <v>46217</v>
      </c>
      <c r="X401" s="1" t="s">
        <v>55</v>
      </c>
      <c r="Y401" s="1" t="s">
        <v>51</v>
      </c>
      <c r="Z401" s="1" t="s">
        <v>110</v>
      </c>
      <c r="AA401" s="1" t="s">
        <v>113</v>
      </c>
      <c r="AB401" s="1" t="s">
        <v>3887</v>
      </c>
      <c r="AC401" s="1">
        <v>44750</v>
      </c>
      <c r="AD401" s="1">
        <v>44762</v>
      </c>
      <c r="AE401" s="1">
        <v>45961</v>
      </c>
      <c r="AF401" s="1"/>
      <c r="AG401" s="1" t="s">
        <v>312</v>
      </c>
      <c r="AH401" s="1" t="s">
        <v>355</v>
      </c>
      <c r="AI401" s="1"/>
      <c r="AJ401" s="31">
        <v>44762</v>
      </c>
      <c r="AK401"/>
      <c r="AL401"/>
      <c r="AM401"/>
      <c r="AN401"/>
      <c r="AO401"/>
      <c r="AP401"/>
      <c r="AQ401" s="81"/>
      <c r="AR401" s="81"/>
      <c r="AS401" s="81"/>
      <c r="AT401" s="81"/>
      <c r="AU401" s="81"/>
      <c r="AV401" s="81"/>
      <c r="AW401" s="81"/>
      <c r="AX401" s="81"/>
      <c r="AY401" s="81"/>
    </row>
    <row r="402" spans="1:51" hidden="1">
      <c r="A402" s="1" t="s">
        <v>49</v>
      </c>
      <c r="B402" s="1">
        <v>220714</v>
      </c>
      <c r="C402" s="1">
        <v>232070</v>
      </c>
      <c r="D402" s="1" t="s">
        <v>83</v>
      </c>
      <c r="E402" s="1" t="s">
        <v>309</v>
      </c>
      <c r="F402" t="s">
        <v>369</v>
      </c>
      <c r="G402" t="s">
        <v>2239</v>
      </c>
      <c r="H402" s="1" t="s">
        <v>297</v>
      </c>
      <c r="I402" s="1" t="s">
        <v>298</v>
      </c>
      <c r="J402" s="1" t="s">
        <v>18</v>
      </c>
      <c r="K402" s="1" t="s">
        <v>200</v>
      </c>
      <c r="L402" s="1">
        <v>34412</v>
      </c>
      <c r="M402" s="1">
        <v>31</v>
      </c>
      <c r="N402" s="1">
        <v>1410</v>
      </c>
      <c r="P402" s="1">
        <v>1810</v>
      </c>
      <c r="Q402" s="1"/>
      <c r="R402" s="1">
        <v>400</v>
      </c>
      <c r="S402">
        <v>280000</v>
      </c>
      <c r="T402">
        <v>14042</v>
      </c>
      <c r="U402" t="s">
        <v>814</v>
      </c>
      <c r="V402">
        <v>25620</v>
      </c>
      <c r="W402" s="1">
        <v>46217</v>
      </c>
      <c r="X402" s="1" t="s">
        <v>55</v>
      </c>
      <c r="Y402" s="1" t="s">
        <v>51</v>
      </c>
      <c r="Z402" s="1" t="s">
        <v>110</v>
      </c>
      <c r="AA402" s="1" t="s">
        <v>127</v>
      </c>
      <c r="AB402" s="1" t="s">
        <v>1869</v>
      </c>
      <c r="AC402" s="1">
        <v>44750</v>
      </c>
      <c r="AD402" s="1">
        <v>44762</v>
      </c>
      <c r="AE402" s="1"/>
      <c r="AF402" s="1"/>
      <c r="AG402" s="1" t="s">
        <v>312</v>
      </c>
      <c r="AH402" s="1" t="s">
        <v>355</v>
      </c>
      <c r="AI402" s="1"/>
      <c r="AJ402" s="31">
        <v>44762</v>
      </c>
      <c r="AK402"/>
      <c r="AL402"/>
      <c r="AM402"/>
      <c r="AN402"/>
      <c r="AO402"/>
      <c r="AP402"/>
      <c r="AQ402" s="81"/>
      <c r="AR402" s="81"/>
      <c r="AS402" s="81"/>
      <c r="AT402" s="81"/>
      <c r="AU402" s="81"/>
      <c r="AV402" s="81"/>
      <c r="AW402" s="81"/>
      <c r="AX402" s="81"/>
      <c r="AY402" s="81"/>
    </row>
    <row r="403" spans="1:51" hidden="1">
      <c r="A403" s="1" t="s">
        <v>2542</v>
      </c>
      <c r="B403" s="1">
        <v>220708</v>
      </c>
      <c r="C403" s="1">
        <v>232065</v>
      </c>
      <c r="D403" s="1" t="s">
        <v>83</v>
      </c>
      <c r="E403" s="1" t="s">
        <v>307</v>
      </c>
      <c r="F403" t="s">
        <v>2251</v>
      </c>
      <c r="G403" t="s">
        <v>2252</v>
      </c>
      <c r="H403" s="1" t="s">
        <v>287</v>
      </c>
      <c r="I403" s="1" t="s">
        <v>288</v>
      </c>
      <c r="J403" s="1" t="s">
        <v>18</v>
      </c>
      <c r="K403" s="1" t="s">
        <v>200</v>
      </c>
      <c r="L403" s="1">
        <v>34409</v>
      </c>
      <c r="M403" s="1">
        <v>31</v>
      </c>
      <c r="N403" s="1">
        <v>1400</v>
      </c>
      <c r="P403" s="1">
        <v>1810</v>
      </c>
      <c r="Q403" s="1"/>
      <c r="R403" s="1">
        <v>410</v>
      </c>
      <c r="S403">
        <v>300000</v>
      </c>
      <c r="T403">
        <v>15045</v>
      </c>
      <c r="U403" t="s">
        <v>814</v>
      </c>
      <c r="V403">
        <v>27450</v>
      </c>
      <c r="W403" s="1">
        <v>46374</v>
      </c>
      <c r="X403" s="1" t="s">
        <v>55</v>
      </c>
      <c r="Y403" s="1" t="s">
        <v>51</v>
      </c>
      <c r="Z403" s="1" t="s">
        <v>110</v>
      </c>
      <c r="AA403" s="1" t="s">
        <v>131</v>
      </c>
      <c r="AB403" s="1" t="s">
        <v>754</v>
      </c>
      <c r="AC403" s="1">
        <v>44849</v>
      </c>
      <c r="AD403" s="1">
        <v>44762</v>
      </c>
      <c r="AE403" s="1">
        <v>45506</v>
      </c>
      <c r="AF403" s="1"/>
      <c r="AG403" s="1" t="s">
        <v>312</v>
      </c>
      <c r="AH403" s="1" t="s">
        <v>351</v>
      </c>
      <c r="AI403" s="1" t="s">
        <v>353</v>
      </c>
      <c r="AJ403" s="31">
        <v>44762</v>
      </c>
      <c r="AK403"/>
      <c r="AL403"/>
      <c r="AM403"/>
      <c r="AN403"/>
      <c r="AO403"/>
      <c r="AP403"/>
      <c r="AQ403" s="81"/>
      <c r="AR403" s="81"/>
      <c r="AS403" s="81"/>
      <c r="AT403" s="81"/>
      <c r="AU403" s="81"/>
      <c r="AV403" s="81"/>
      <c r="AW403" s="81"/>
      <c r="AX403" s="81"/>
      <c r="AY403" s="81"/>
    </row>
    <row r="404" spans="1:51" hidden="1">
      <c r="A404" s="1" t="s">
        <v>2542</v>
      </c>
      <c r="B404" s="1">
        <v>220713</v>
      </c>
      <c r="C404" s="1">
        <v>232069</v>
      </c>
      <c r="D404" s="1" t="s">
        <v>83</v>
      </c>
      <c r="E404" s="1" t="s">
        <v>309</v>
      </c>
      <c r="F404" t="s">
        <v>369</v>
      </c>
      <c r="G404" t="s">
        <v>1085</v>
      </c>
      <c r="H404" s="1" t="s">
        <v>3465</v>
      </c>
      <c r="I404" s="1" t="s">
        <v>3466</v>
      </c>
      <c r="J404" s="1" t="s">
        <v>18</v>
      </c>
      <c r="K404" s="1" t="s">
        <v>200</v>
      </c>
      <c r="L404" s="1">
        <v>35012</v>
      </c>
      <c r="M404" s="1">
        <v>30</v>
      </c>
      <c r="N404" s="1">
        <v>1400</v>
      </c>
      <c r="P404" s="1">
        <v>1770</v>
      </c>
      <c r="Q404" s="1"/>
      <c r="R404" s="1">
        <v>370</v>
      </c>
      <c r="S404">
        <v>180000</v>
      </c>
      <c r="T404">
        <v>9027</v>
      </c>
      <c r="U404" t="s">
        <v>814</v>
      </c>
      <c r="V404">
        <v>16470</v>
      </c>
      <c r="W404" s="1">
        <v>46217</v>
      </c>
      <c r="X404" s="1" t="s">
        <v>55</v>
      </c>
      <c r="Y404" s="1" t="s">
        <v>51</v>
      </c>
      <c r="Z404" s="1" t="s">
        <v>110</v>
      </c>
      <c r="AA404" s="1" t="s">
        <v>127</v>
      </c>
      <c r="AB404" s="1" t="s">
        <v>3467</v>
      </c>
      <c r="AC404" s="1">
        <v>45080</v>
      </c>
      <c r="AD404" s="1">
        <v>44762</v>
      </c>
      <c r="AE404" s="1">
        <v>45184</v>
      </c>
      <c r="AF404" s="1"/>
      <c r="AG404" s="1" t="s">
        <v>312</v>
      </c>
      <c r="AH404" s="1" t="s">
        <v>355</v>
      </c>
      <c r="AI404" s="1"/>
      <c r="AJ404" s="31">
        <v>44762</v>
      </c>
      <c r="AK404"/>
      <c r="AL404"/>
      <c r="AM404"/>
      <c r="AN404"/>
      <c r="AO404"/>
      <c r="AP404"/>
      <c r="AQ404" s="81"/>
      <c r="AR404" s="81"/>
      <c r="AS404" s="81"/>
      <c r="AT404" s="81"/>
      <c r="AU404" s="81"/>
      <c r="AV404" s="81"/>
      <c r="AW404" s="81"/>
      <c r="AX404" s="81"/>
      <c r="AY404" s="81"/>
    </row>
    <row r="405" spans="1:51" hidden="1">
      <c r="A405" s="1" t="s">
        <v>2542</v>
      </c>
      <c r="B405" s="1">
        <v>220715</v>
      </c>
      <c r="C405" s="1">
        <v>232071</v>
      </c>
      <c r="D405" s="1" t="s">
        <v>83</v>
      </c>
      <c r="E405" s="1" t="s">
        <v>309</v>
      </c>
      <c r="F405" t="s">
        <v>369</v>
      </c>
      <c r="G405" t="s">
        <v>2239</v>
      </c>
      <c r="H405" s="1" t="s">
        <v>299</v>
      </c>
      <c r="I405" s="1" t="s">
        <v>300</v>
      </c>
      <c r="J405" s="1" t="s">
        <v>18</v>
      </c>
      <c r="K405" s="1" t="s">
        <v>200</v>
      </c>
      <c r="L405" s="1">
        <v>34951</v>
      </c>
      <c r="M405" s="1">
        <v>30</v>
      </c>
      <c r="N405" s="1">
        <v>1410</v>
      </c>
      <c r="P405" s="1">
        <v>1820</v>
      </c>
      <c r="Q405" s="1"/>
      <c r="R405" s="1">
        <v>410</v>
      </c>
      <c r="S405">
        <v>260000</v>
      </c>
      <c r="T405">
        <v>13039</v>
      </c>
      <c r="U405" t="s">
        <v>814</v>
      </c>
      <c r="V405">
        <v>23790</v>
      </c>
      <c r="W405" s="1">
        <v>46112</v>
      </c>
      <c r="X405" s="1" t="s">
        <v>55</v>
      </c>
      <c r="Y405" s="1" t="s">
        <v>51</v>
      </c>
      <c r="Z405" s="1" t="s">
        <v>110</v>
      </c>
      <c r="AA405" s="1" t="s">
        <v>111</v>
      </c>
      <c r="AB405" s="1" t="s">
        <v>112</v>
      </c>
      <c r="AC405" s="1">
        <v>44760</v>
      </c>
      <c r="AD405" s="1">
        <v>44762</v>
      </c>
      <c r="AE405" s="1">
        <v>45654</v>
      </c>
      <c r="AF405" s="1"/>
      <c r="AG405" s="1" t="s">
        <v>312</v>
      </c>
      <c r="AH405" s="1" t="s">
        <v>313</v>
      </c>
      <c r="AI405" s="1" t="s">
        <v>279</v>
      </c>
      <c r="AJ405" s="31">
        <v>44762</v>
      </c>
      <c r="AK405"/>
      <c r="AL405"/>
      <c r="AM405"/>
      <c r="AN405"/>
      <c r="AO405"/>
      <c r="AP405"/>
      <c r="AQ405" s="81"/>
      <c r="AR405" s="81"/>
      <c r="AS405" s="81"/>
      <c r="AT405" s="81"/>
      <c r="AU405" s="81"/>
      <c r="AV405" s="81"/>
      <c r="AW405" s="81"/>
      <c r="AX405" s="81"/>
      <c r="AY405" s="81"/>
    </row>
    <row r="406" spans="1:51">
      <c r="A406" s="1" t="s">
        <v>49</v>
      </c>
      <c r="B406" s="1">
        <v>220209</v>
      </c>
      <c r="C406" s="1">
        <v>212023</v>
      </c>
      <c r="D406" s="1" t="s">
        <v>75</v>
      </c>
      <c r="E406" s="1" t="s">
        <v>3934</v>
      </c>
      <c r="F406" t="s">
        <v>739</v>
      </c>
      <c r="G406" t="s">
        <v>1092</v>
      </c>
      <c r="H406" s="1" t="s">
        <v>222</v>
      </c>
      <c r="I406" s="1" t="s">
        <v>223</v>
      </c>
      <c r="J406" s="1" t="s">
        <v>18</v>
      </c>
      <c r="K406" s="1" t="s">
        <v>50</v>
      </c>
      <c r="L406" s="1">
        <v>35544</v>
      </c>
      <c r="M406" s="1">
        <v>28</v>
      </c>
      <c r="N406" s="1">
        <v>1410</v>
      </c>
      <c r="P406" s="1">
        <v>1830</v>
      </c>
      <c r="Q406" s="1"/>
      <c r="R406" s="1">
        <v>420</v>
      </c>
      <c r="S406">
        <v>220000</v>
      </c>
      <c r="T406">
        <v>11033</v>
      </c>
      <c r="U406" t="s">
        <v>814</v>
      </c>
      <c r="V406">
        <v>20130</v>
      </c>
      <c r="W406" s="1">
        <v>46742</v>
      </c>
      <c r="X406" s="1" t="s">
        <v>55</v>
      </c>
      <c r="Y406" s="1" t="s">
        <v>51</v>
      </c>
      <c r="Z406" s="1" t="s">
        <v>67</v>
      </c>
      <c r="AA406" s="1" t="s">
        <v>748</v>
      </c>
      <c r="AB406" s="1" t="s">
        <v>785</v>
      </c>
      <c r="AC406" s="1">
        <v>44632</v>
      </c>
      <c r="AD406" s="1">
        <v>45789</v>
      </c>
      <c r="AE406" s="1"/>
      <c r="AF406" s="1"/>
      <c r="AG406" s="1">
        <v>45789</v>
      </c>
      <c r="AH406" s="1" t="s">
        <v>4283</v>
      </c>
      <c r="AI406" s="1"/>
      <c r="AJ406" s="31">
        <v>45789</v>
      </c>
      <c r="AK406"/>
      <c r="AL406"/>
      <c r="AM406"/>
      <c r="AN406"/>
      <c r="AO406"/>
      <c r="AP406"/>
      <c r="AQ406" s="81"/>
      <c r="AR406" s="81"/>
      <c r="AS406" s="81"/>
      <c r="AT406" s="81"/>
      <c r="AU406" s="81"/>
      <c r="AV406" s="81"/>
      <c r="AW406" s="81"/>
      <c r="AX406" s="81"/>
      <c r="AY406" s="81"/>
    </row>
    <row r="407" spans="1:51" hidden="1">
      <c r="A407" s="1" t="s">
        <v>2542</v>
      </c>
      <c r="B407" s="1">
        <v>220716</v>
      </c>
      <c r="C407" s="1">
        <v>232072</v>
      </c>
      <c r="D407" s="1" t="s">
        <v>83</v>
      </c>
      <c r="E407" s="1" t="s">
        <v>309</v>
      </c>
      <c r="F407" t="s">
        <v>369</v>
      </c>
      <c r="G407" t="s">
        <v>2239</v>
      </c>
      <c r="H407" s="1" t="s">
        <v>301</v>
      </c>
      <c r="I407" s="1" t="s">
        <v>302</v>
      </c>
      <c r="J407" s="1" t="s">
        <v>18</v>
      </c>
      <c r="K407" s="1" t="s">
        <v>50</v>
      </c>
      <c r="L407" s="1">
        <v>34495</v>
      </c>
      <c r="M407" s="1">
        <v>31</v>
      </c>
      <c r="N407" s="1">
        <v>1440</v>
      </c>
      <c r="P407" s="1">
        <v>1840</v>
      </c>
      <c r="Q407" s="1"/>
      <c r="R407" s="1">
        <v>400</v>
      </c>
      <c r="S407">
        <v>280000</v>
      </c>
      <c r="T407">
        <v>14042</v>
      </c>
      <c r="U407" t="s">
        <v>814</v>
      </c>
      <c r="V407">
        <v>25620</v>
      </c>
      <c r="W407" s="1">
        <v>46118</v>
      </c>
      <c r="X407" s="1" t="s">
        <v>55</v>
      </c>
      <c r="Y407" s="1" t="s">
        <v>51</v>
      </c>
      <c r="Z407" s="1" t="s">
        <v>110</v>
      </c>
      <c r="AA407" s="1" t="s">
        <v>231</v>
      </c>
      <c r="AB407" s="1" t="s">
        <v>212</v>
      </c>
      <c r="AC407" s="1">
        <v>44620</v>
      </c>
      <c r="AD407" s="1">
        <v>44767</v>
      </c>
      <c r="AE407" s="1">
        <v>45602</v>
      </c>
      <c r="AF407" s="1"/>
      <c r="AG407" s="1" t="s">
        <v>283</v>
      </c>
      <c r="AH407" s="1" t="s">
        <v>313</v>
      </c>
      <c r="AI407" s="1" t="s">
        <v>279</v>
      </c>
      <c r="AJ407" s="31">
        <v>44767</v>
      </c>
      <c r="AK407"/>
      <c r="AL407"/>
      <c r="AM407"/>
      <c r="AN407"/>
      <c r="AO407"/>
      <c r="AP407"/>
      <c r="AQ407" s="81"/>
      <c r="AR407" s="81"/>
      <c r="AS407" s="81"/>
      <c r="AT407" s="81"/>
      <c r="AU407" s="81"/>
      <c r="AV407" s="81"/>
      <c r="AW407" s="81"/>
      <c r="AX407" s="81"/>
      <c r="AY407" s="81"/>
    </row>
    <row r="408" spans="1:51" hidden="1">
      <c r="A408" s="1" t="s">
        <v>2542</v>
      </c>
      <c r="B408" s="1">
        <v>220718</v>
      </c>
      <c r="D408" s="1" t="s">
        <v>447</v>
      </c>
      <c r="E408" s="1" t="s">
        <v>1270</v>
      </c>
      <c r="F408" t="s">
        <v>1271</v>
      </c>
      <c r="G408" t="s">
        <v>1267</v>
      </c>
      <c r="H408" s="1" t="s">
        <v>637</v>
      </c>
      <c r="I408" s="1" t="s">
        <v>638</v>
      </c>
      <c r="J408" s="1" t="s">
        <v>18</v>
      </c>
      <c r="K408" s="1" t="s">
        <v>50</v>
      </c>
      <c r="L408" s="1">
        <v>35707</v>
      </c>
      <c r="M408" s="1">
        <v>28</v>
      </c>
      <c r="N408" s="1">
        <v>1310</v>
      </c>
      <c r="P408" s="1">
        <v>1700</v>
      </c>
      <c r="Q408" s="1"/>
      <c r="R408" s="1">
        <v>390</v>
      </c>
      <c r="S408">
        <v>240000</v>
      </c>
      <c r="T408">
        <v>12036</v>
      </c>
      <c r="U408" t="s">
        <v>814</v>
      </c>
      <c r="V408">
        <v>21960</v>
      </c>
      <c r="W408" s="1">
        <v>46597</v>
      </c>
      <c r="X408" s="1" t="s">
        <v>55</v>
      </c>
      <c r="Y408" s="1" t="s">
        <v>51</v>
      </c>
      <c r="Z408" s="1" t="s">
        <v>448</v>
      </c>
      <c r="AA408" s="1" t="s">
        <v>449</v>
      </c>
      <c r="AB408" s="1" t="s">
        <v>450</v>
      </c>
      <c r="AC408" s="1">
        <v>44773</v>
      </c>
      <c r="AD408" s="1">
        <v>44767</v>
      </c>
      <c r="AE408" s="1">
        <v>45960</v>
      </c>
      <c r="AF408" s="1"/>
      <c r="AG408" s="1" t="s">
        <v>283</v>
      </c>
      <c r="AH408" s="1" t="s">
        <v>639</v>
      </c>
      <c r="AI408" s="1" t="s">
        <v>640</v>
      </c>
      <c r="AJ408" s="31">
        <v>44767</v>
      </c>
      <c r="AK408"/>
      <c r="AL408"/>
      <c r="AM408"/>
      <c r="AN408"/>
      <c r="AO408"/>
      <c r="AP408"/>
      <c r="AQ408" s="81"/>
      <c r="AR408" s="81"/>
      <c r="AS408" s="81"/>
      <c r="AT408" s="81"/>
      <c r="AU408" s="81"/>
      <c r="AV408" s="81"/>
      <c r="AW408" s="81"/>
      <c r="AX408" s="81"/>
      <c r="AY408" s="81"/>
    </row>
    <row r="409" spans="1:51" hidden="1">
      <c r="A409" s="1" t="s">
        <v>2542</v>
      </c>
      <c r="B409" s="1">
        <v>220719</v>
      </c>
      <c r="D409" s="1" t="s">
        <v>414</v>
      </c>
      <c r="E409" s="1" t="s">
        <v>1065</v>
      </c>
      <c r="F409" t="s">
        <v>1083</v>
      </c>
      <c r="G409" t="s">
        <v>1068</v>
      </c>
      <c r="H409" s="1" t="s">
        <v>3468</v>
      </c>
      <c r="I409" s="1" t="s">
        <v>3469</v>
      </c>
      <c r="J409" s="1" t="s">
        <v>18</v>
      </c>
      <c r="K409" s="1" t="s">
        <v>50</v>
      </c>
      <c r="L409" s="1">
        <v>30453</v>
      </c>
      <c r="M409" s="1">
        <v>42</v>
      </c>
      <c r="N409" s="1">
        <v>1300</v>
      </c>
      <c r="P409" s="1">
        <v>1650</v>
      </c>
      <c r="Q409" s="1"/>
      <c r="R409" s="1">
        <v>350</v>
      </c>
      <c r="S409">
        <v>180000</v>
      </c>
      <c r="T409">
        <v>9027</v>
      </c>
      <c r="U409">
        <v>1431</v>
      </c>
      <c r="V409">
        <v>16470</v>
      </c>
      <c r="W409" s="1">
        <v>45254</v>
      </c>
      <c r="X409" s="1" t="s">
        <v>55</v>
      </c>
      <c r="Y409" s="1" t="s">
        <v>51</v>
      </c>
      <c r="Z409" s="1" t="s">
        <v>3470</v>
      </c>
      <c r="AA409" s="1" t="s">
        <v>3471</v>
      </c>
      <c r="AB409" s="1" t="s">
        <v>3472</v>
      </c>
      <c r="AC409" s="1" t="s">
        <v>53</v>
      </c>
      <c r="AD409" s="1">
        <v>44770</v>
      </c>
      <c r="AE409" s="1">
        <v>45042</v>
      </c>
      <c r="AF409" s="1"/>
      <c r="AG409" s="1" t="s">
        <v>283</v>
      </c>
      <c r="AH409" s="1" t="s">
        <v>3473</v>
      </c>
      <c r="AI409" s="1"/>
      <c r="AJ409" s="31">
        <v>44770</v>
      </c>
      <c r="AK409"/>
      <c r="AL409"/>
      <c r="AM409"/>
      <c r="AN409"/>
      <c r="AO409"/>
      <c r="AP409"/>
      <c r="AQ409" s="81"/>
      <c r="AR409" s="81"/>
      <c r="AS409" s="81"/>
      <c r="AT409" s="81"/>
      <c r="AU409" s="81"/>
      <c r="AV409" s="81"/>
      <c r="AW409" s="81"/>
      <c r="AX409" s="81"/>
      <c r="AY409" s="81"/>
    </row>
    <row r="410" spans="1:51" hidden="1">
      <c r="A410" s="1" t="s">
        <v>2542</v>
      </c>
      <c r="B410" s="1">
        <v>220801</v>
      </c>
      <c r="D410" s="1" t="s">
        <v>436</v>
      </c>
      <c r="E410" s="1" t="s">
        <v>503</v>
      </c>
      <c r="F410"/>
      <c r="G410"/>
      <c r="H410" s="1" t="s">
        <v>479</v>
      </c>
      <c r="I410" s="1" t="s">
        <v>641</v>
      </c>
      <c r="J410" s="1" t="s">
        <v>18</v>
      </c>
      <c r="K410" s="1" t="s">
        <v>50</v>
      </c>
      <c r="L410" s="1">
        <v>35041</v>
      </c>
      <c r="M410" s="1">
        <v>29</v>
      </c>
      <c r="N410" s="1">
        <v>1600</v>
      </c>
      <c r="P410" s="1">
        <v>2100</v>
      </c>
      <c r="Q410" s="1" t="s">
        <v>3474</v>
      </c>
      <c r="R410" s="1">
        <v>500</v>
      </c>
      <c r="S410">
        <v>360000</v>
      </c>
      <c r="T410">
        <v>18054</v>
      </c>
      <c r="U410" t="s">
        <v>814</v>
      </c>
      <c r="V410">
        <v>32940</v>
      </c>
      <c r="W410" s="1">
        <v>46651</v>
      </c>
      <c r="X410" s="1" t="s">
        <v>55</v>
      </c>
      <c r="Y410" s="1" t="s">
        <v>51</v>
      </c>
      <c r="Z410" s="1" t="s">
        <v>437</v>
      </c>
      <c r="AA410" s="1" t="s">
        <v>843</v>
      </c>
      <c r="AB410" s="1" t="s">
        <v>844</v>
      </c>
      <c r="AC410" s="1">
        <v>44943</v>
      </c>
      <c r="AD410" s="1">
        <v>44775</v>
      </c>
      <c r="AE410" s="1">
        <v>45653</v>
      </c>
      <c r="AF410" s="1"/>
      <c r="AG410" s="1" t="s">
        <v>352</v>
      </c>
      <c r="AH410" s="1" t="s">
        <v>642</v>
      </c>
      <c r="AI410" s="1"/>
      <c r="AJ410" s="31">
        <v>44775</v>
      </c>
      <c r="AK410"/>
      <c r="AL410"/>
      <c r="AM410"/>
      <c r="AN410"/>
      <c r="AO410"/>
      <c r="AP410"/>
      <c r="AQ410" s="81"/>
      <c r="AR410" s="81"/>
      <c r="AS410" s="81"/>
      <c r="AT410" s="81"/>
      <c r="AU410" s="81"/>
      <c r="AV410" s="81"/>
      <c r="AW410" s="81"/>
      <c r="AX410" s="81"/>
      <c r="AY410" s="81"/>
    </row>
    <row r="411" spans="1:51" hidden="1">
      <c r="A411" s="1" t="s">
        <v>2542</v>
      </c>
      <c r="B411" s="1">
        <v>220802</v>
      </c>
      <c r="C411" s="1">
        <v>6545</v>
      </c>
      <c r="D411" s="1" t="s">
        <v>1612</v>
      </c>
      <c r="E411" s="1" t="s">
        <v>845</v>
      </c>
      <c r="F411" t="s">
        <v>741</v>
      </c>
      <c r="G411" t="s">
        <v>1183</v>
      </c>
      <c r="H411" s="1" t="s">
        <v>644</v>
      </c>
      <c r="I411" s="1" t="s">
        <v>645</v>
      </c>
      <c r="J411" s="1" t="s">
        <v>18</v>
      </c>
      <c r="K411" s="1" t="s">
        <v>50</v>
      </c>
      <c r="L411" s="1">
        <v>34604</v>
      </c>
      <c r="M411" s="1">
        <v>31</v>
      </c>
      <c r="N411" s="1">
        <v>1400</v>
      </c>
      <c r="P411" s="1">
        <v>1900</v>
      </c>
      <c r="Q411" s="1"/>
      <c r="R411" s="1">
        <v>500</v>
      </c>
      <c r="S411">
        <v>260000</v>
      </c>
      <c r="T411">
        <v>13039</v>
      </c>
      <c r="U411" t="s">
        <v>814</v>
      </c>
      <c r="V411">
        <v>23790</v>
      </c>
      <c r="W411" s="1">
        <v>46214</v>
      </c>
      <c r="X411" s="1" t="s">
        <v>55</v>
      </c>
      <c r="Y411" s="1" t="s">
        <v>51</v>
      </c>
      <c r="Z411" s="1" t="s">
        <v>110</v>
      </c>
      <c r="AA411" s="1" t="s">
        <v>2267</v>
      </c>
      <c r="AB411" s="1" t="s">
        <v>2268</v>
      </c>
      <c r="AC411" s="1">
        <v>44772</v>
      </c>
      <c r="AD411" s="1">
        <v>44775</v>
      </c>
      <c r="AE411" s="1">
        <v>45684</v>
      </c>
      <c r="AF411" s="1"/>
      <c r="AG411" s="1" t="s">
        <v>352</v>
      </c>
      <c r="AH411" s="1" t="s">
        <v>646</v>
      </c>
      <c r="AI411" s="1" t="s">
        <v>2269</v>
      </c>
      <c r="AJ411" s="31">
        <v>44775</v>
      </c>
      <c r="AK411"/>
      <c r="AL411"/>
      <c r="AM411"/>
      <c r="AN411"/>
      <c r="AO411"/>
      <c r="AP411"/>
      <c r="AQ411" s="81"/>
      <c r="AR411" s="81"/>
      <c r="AS411" s="81"/>
      <c r="AT411" s="81"/>
      <c r="AU411" s="81"/>
      <c r="AV411" s="81"/>
      <c r="AW411" s="81"/>
      <c r="AX411" s="81"/>
      <c r="AY411" s="81"/>
    </row>
    <row r="412" spans="1:51" hidden="1">
      <c r="A412" s="1" t="s">
        <v>49</v>
      </c>
      <c r="B412" s="1">
        <v>220812</v>
      </c>
      <c r="C412" s="1">
        <v>232074</v>
      </c>
      <c r="D412" s="1" t="s">
        <v>83</v>
      </c>
      <c r="E412" s="1" t="s">
        <v>309</v>
      </c>
      <c r="F412" s="1" t="s">
        <v>369</v>
      </c>
      <c r="G412" s="1" t="s">
        <v>2239</v>
      </c>
      <c r="H412" s="1" t="s">
        <v>374</v>
      </c>
      <c r="I412" s="1" t="s">
        <v>375</v>
      </c>
      <c r="J412" s="1" t="s">
        <v>18</v>
      </c>
      <c r="K412" s="1" t="s">
        <v>50</v>
      </c>
      <c r="L412" s="1">
        <v>35659</v>
      </c>
      <c r="M412" s="1">
        <v>28</v>
      </c>
      <c r="N412" s="1">
        <v>1310</v>
      </c>
      <c r="P412" s="1">
        <v>1680</v>
      </c>
      <c r="Q412" s="1"/>
      <c r="R412" s="1">
        <v>370</v>
      </c>
      <c r="S412">
        <v>240000</v>
      </c>
      <c r="T412">
        <v>12036</v>
      </c>
      <c r="U412" t="s">
        <v>814</v>
      </c>
      <c r="V412">
        <v>21960</v>
      </c>
      <c r="W412" s="1">
        <v>46230</v>
      </c>
      <c r="X412" s="1" t="s">
        <v>55</v>
      </c>
      <c r="Y412" s="1" t="s">
        <v>51</v>
      </c>
      <c r="Z412" s="1" t="s">
        <v>110</v>
      </c>
      <c r="AA412" s="1" t="s">
        <v>134</v>
      </c>
      <c r="AB412" s="1" t="s">
        <v>303</v>
      </c>
      <c r="AC412" s="1">
        <v>44770</v>
      </c>
      <c r="AD412" s="1">
        <v>44776</v>
      </c>
      <c r="AE412" s="1"/>
      <c r="AF412" s="1"/>
      <c r="AG412" s="1" t="s">
        <v>352</v>
      </c>
      <c r="AH412" s="1" t="s">
        <v>376</v>
      </c>
      <c r="AI412" s="1"/>
      <c r="AJ412" s="31">
        <v>44776</v>
      </c>
      <c r="AK412"/>
      <c r="AL412"/>
      <c r="AM412"/>
      <c r="AO412"/>
      <c r="AP412" s="1"/>
      <c r="AQ412" s="81"/>
      <c r="AR412" s="81"/>
      <c r="AS412" s="81"/>
      <c r="AT412" s="81"/>
      <c r="AU412" s="81"/>
      <c r="AV412" s="81"/>
      <c r="AW412" s="81"/>
      <c r="AX412" s="81"/>
      <c r="AY412" s="81"/>
    </row>
    <row r="413" spans="1:51" hidden="1">
      <c r="A413" s="1" t="s">
        <v>2542</v>
      </c>
      <c r="B413" s="1">
        <v>220813</v>
      </c>
      <c r="C413" s="1">
        <v>232075</v>
      </c>
      <c r="D413" s="1" t="s">
        <v>83</v>
      </c>
      <c r="E413" s="1" t="s">
        <v>309</v>
      </c>
      <c r="F413" t="s">
        <v>369</v>
      </c>
      <c r="G413" t="s">
        <v>1085</v>
      </c>
      <c r="H413" s="1" t="s">
        <v>3475</v>
      </c>
      <c r="I413" s="1" t="s">
        <v>3476</v>
      </c>
      <c r="J413" s="1" t="s">
        <v>18</v>
      </c>
      <c r="K413" s="1" t="s">
        <v>50</v>
      </c>
      <c r="L413" s="1">
        <v>35528</v>
      </c>
      <c r="M413" s="1">
        <v>28</v>
      </c>
      <c r="N413" s="1">
        <v>1250</v>
      </c>
      <c r="P413" s="1">
        <v>1680</v>
      </c>
      <c r="Q413" s="1"/>
      <c r="R413" s="1">
        <v>430</v>
      </c>
      <c r="S413">
        <v>240000</v>
      </c>
      <c r="T413">
        <v>12036</v>
      </c>
      <c r="U413" t="s">
        <v>814</v>
      </c>
      <c r="V413">
        <v>21960</v>
      </c>
      <c r="W413" s="1">
        <v>46230</v>
      </c>
      <c r="X413" s="1" t="s">
        <v>55</v>
      </c>
      <c r="Y413" s="1" t="s">
        <v>51</v>
      </c>
      <c r="Z413" s="1" t="s">
        <v>110</v>
      </c>
      <c r="AA413" s="1" t="s">
        <v>134</v>
      </c>
      <c r="AB413" s="1" t="s">
        <v>303</v>
      </c>
      <c r="AC413" s="1">
        <v>44770</v>
      </c>
      <c r="AD413" s="1">
        <v>44776</v>
      </c>
      <c r="AE413" s="1">
        <v>45223</v>
      </c>
      <c r="AF413" s="1"/>
      <c r="AG413" s="1" t="s">
        <v>352</v>
      </c>
      <c r="AH413" s="1" t="s">
        <v>376</v>
      </c>
      <c r="AI413" s="1"/>
      <c r="AJ413" s="31">
        <v>44776</v>
      </c>
      <c r="AK413"/>
      <c r="AL413"/>
      <c r="AM413"/>
      <c r="AN413"/>
      <c r="AO413"/>
      <c r="AP413"/>
      <c r="AQ413" s="81"/>
      <c r="AR413" s="81"/>
      <c r="AS413" s="81"/>
      <c r="AT413" s="81"/>
      <c r="AU413" s="81"/>
      <c r="AV413" s="81"/>
      <c r="AW413" s="81"/>
      <c r="AX413" s="81"/>
      <c r="AY413" s="81"/>
    </row>
    <row r="414" spans="1:51" hidden="1">
      <c r="A414" s="1" t="s">
        <v>2542</v>
      </c>
      <c r="B414" s="1">
        <v>220803</v>
      </c>
      <c r="D414" s="1" t="s">
        <v>813</v>
      </c>
      <c r="E414" s="1" t="s">
        <v>1268</v>
      </c>
      <c r="F414" t="s">
        <v>1269</v>
      </c>
      <c r="G414" t="s">
        <v>1266</v>
      </c>
      <c r="H414" s="1" t="s">
        <v>647</v>
      </c>
      <c r="I414" s="1" t="s">
        <v>648</v>
      </c>
      <c r="J414" s="1" t="s">
        <v>17</v>
      </c>
      <c r="K414" s="1" t="s">
        <v>50</v>
      </c>
      <c r="L414" s="1">
        <v>32402</v>
      </c>
      <c r="M414" s="1">
        <v>37</v>
      </c>
      <c r="N414" s="1">
        <v>1300</v>
      </c>
      <c r="P414" s="1">
        <v>1700</v>
      </c>
      <c r="Q414" s="1"/>
      <c r="R414" s="1">
        <v>400</v>
      </c>
      <c r="S414">
        <v>260000</v>
      </c>
      <c r="T414">
        <v>13039</v>
      </c>
      <c r="U414" t="s">
        <v>814</v>
      </c>
      <c r="V414">
        <v>23790</v>
      </c>
      <c r="W414" s="1">
        <v>46580</v>
      </c>
      <c r="X414" s="1" t="s">
        <v>55</v>
      </c>
      <c r="Y414" s="1" t="s">
        <v>51</v>
      </c>
      <c r="Z414" s="1" t="s">
        <v>649</v>
      </c>
      <c r="AA414" s="1" t="s">
        <v>1101</v>
      </c>
      <c r="AB414" s="1" t="s">
        <v>1102</v>
      </c>
      <c r="AC414" s="1" t="s">
        <v>53</v>
      </c>
      <c r="AD414" s="1">
        <v>44795</v>
      </c>
      <c r="AE414" s="1">
        <v>45792</v>
      </c>
      <c r="AF414" s="1"/>
      <c r="AG414" s="1" t="s">
        <v>352</v>
      </c>
      <c r="AH414" s="1" t="s">
        <v>650</v>
      </c>
      <c r="AI414" s="1"/>
      <c r="AJ414" s="31">
        <v>44795</v>
      </c>
      <c r="AK414"/>
      <c r="AL414"/>
      <c r="AM414"/>
      <c r="AN414"/>
      <c r="AO414"/>
      <c r="AP414"/>
      <c r="AQ414" s="81"/>
      <c r="AR414" s="81"/>
      <c r="AS414" s="81"/>
      <c r="AT414" s="81"/>
      <c r="AU414" s="81"/>
      <c r="AV414" s="81"/>
      <c r="AW414" s="81"/>
      <c r="AX414" s="81"/>
      <c r="AY414" s="81"/>
    </row>
    <row r="415" spans="1:51" hidden="1">
      <c r="A415" s="1" t="s">
        <v>2542</v>
      </c>
      <c r="B415" s="1">
        <v>220804</v>
      </c>
      <c r="D415" s="1" t="s">
        <v>61</v>
      </c>
      <c r="F415"/>
      <c r="G415"/>
      <c r="H415" s="1" t="s">
        <v>3477</v>
      </c>
      <c r="I415" s="1" t="s">
        <v>3478</v>
      </c>
      <c r="J415" s="1" t="s">
        <v>18</v>
      </c>
      <c r="K415" s="1" t="s">
        <v>50</v>
      </c>
      <c r="L415" s="1">
        <v>34471</v>
      </c>
      <c r="M415" s="1">
        <v>31</v>
      </c>
      <c r="N415" s="1">
        <v>1400</v>
      </c>
      <c r="P415" s="1">
        <v>1800</v>
      </c>
      <c r="Q415" s="1"/>
      <c r="R415" s="1">
        <v>400</v>
      </c>
      <c r="S415">
        <v>180000</v>
      </c>
      <c r="T415">
        <v>9027</v>
      </c>
      <c r="U415" t="s">
        <v>814</v>
      </c>
      <c r="V415">
        <v>16470</v>
      </c>
      <c r="W415" s="1">
        <v>45361</v>
      </c>
      <c r="X415" s="1" t="s">
        <v>55</v>
      </c>
      <c r="Y415" s="1" t="s">
        <v>51</v>
      </c>
      <c r="Z415" s="1" t="s">
        <v>3479</v>
      </c>
      <c r="AA415" s="1" t="s">
        <v>3480</v>
      </c>
      <c r="AB415" s="1" t="s">
        <v>3481</v>
      </c>
      <c r="AC415" s="1">
        <v>44807</v>
      </c>
      <c r="AD415" s="1">
        <v>44795</v>
      </c>
      <c r="AE415" s="1">
        <v>45198</v>
      </c>
      <c r="AF415" s="1"/>
      <c r="AG415" s="1" t="s">
        <v>352</v>
      </c>
      <c r="AH415" s="1" t="s">
        <v>650</v>
      </c>
      <c r="AI415" s="1"/>
      <c r="AJ415" s="31">
        <v>44795</v>
      </c>
      <c r="AK415"/>
      <c r="AL415"/>
      <c r="AM415"/>
      <c r="AN415"/>
      <c r="AO415"/>
      <c r="AP415"/>
      <c r="AQ415" s="81"/>
      <c r="AR415" s="81"/>
      <c r="AS415" s="81"/>
      <c r="AT415" s="81"/>
      <c r="AU415" s="81"/>
      <c r="AV415" s="81"/>
      <c r="AW415" s="81"/>
      <c r="AX415" s="81"/>
      <c r="AY415" s="81"/>
    </row>
    <row r="416" spans="1:51" hidden="1">
      <c r="A416" s="1" t="s">
        <v>2542</v>
      </c>
      <c r="B416" s="1">
        <v>220805</v>
      </c>
      <c r="D416" s="1" t="s">
        <v>464</v>
      </c>
      <c r="H416" s="1" t="s">
        <v>3483</v>
      </c>
      <c r="I416" s="1" t="s">
        <v>3484</v>
      </c>
      <c r="J416" s="1" t="s">
        <v>18</v>
      </c>
      <c r="K416" s="1" t="s">
        <v>50</v>
      </c>
      <c r="L416" s="1">
        <v>34257</v>
      </c>
      <c r="M416" s="1">
        <v>32</v>
      </c>
      <c r="N416" s="1">
        <v>1450</v>
      </c>
      <c r="P416" s="1">
        <v>2100</v>
      </c>
      <c r="Q416" s="1" t="s">
        <v>3463</v>
      </c>
      <c r="R416" s="1">
        <v>650</v>
      </c>
      <c r="S416">
        <v>240000</v>
      </c>
      <c r="T416">
        <v>12036</v>
      </c>
      <c r="U416" t="s">
        <v>814</v>
      </c>
      <c r="V416">
        <v>21960</v>
      </c>
      <c r="W416" s="1">
        <v>46468</v>
      </c>
      <c r="X416" s="1" t="s">
        <v>55</v>
      </c>
      <c r="Y416" s="1" t="s">
        <v>51</v>
      </c>
      <c r="Z416" s="1" t="s">
        <v>466</v>
      </c>
      <c r="AA416" s="1" t="s">
        <v>467</v>
      </c>
      <c r="AB416" s="1" t="s">
        <v>3485</v>
      </c>
      <c r="AC416" s="1">
        <v>44795</v>
      </c>
      <c r="AD416" s="1">
        <v>44798</v>
      </c>
      <c r="AE416" s="1">
        <v>45401</v>
      </c>
      <c r="AF416" s="1"/>
      <c r="AG416" s="1" t="s">
        <v>352</v>
      </c>
      <c r="AH416" s="1" t="s">
        <v>650</v>
      </c>
      <c r="AI416" s="1"/>
      <c r="AJ416" s="31">
        <v>44798</v>
      </c>
      <c r="AK416"/>
      <c r="AL416"/>
      <c r="AM416"/>
      <c r="AO416"/>
      <c r="AP416" s="1"/>
      <c r="AQ416" s="81"/>
      <c r="AR416" s="81"/>
      <c r="AS416" s="81"/>
      <c r="AT416" s="81"/>
      <c r="AU416" s="81"/>
      <c r="AV416" s="81"/>
      <c r="AW416" s="81"/>
      <c r="AX416" s="81"/>
      <c r="AY416" s="81"/>
    </row>
    <row r="417" spans="1:51" hidden="1">
      <c r="A417" s="1" t="s">
        <v>2542</v>
      </c>
      <c r="B417" s="1">
        <v>220806</v>
      </c>
      <c r="C417" s="1">
        <v>232076</v>
      </c>
      <c r="D417" s="1" t="s">
        <v>83</v>
      </c>
      <c r="E417" s="1" t="s">
        <v>307</v>
      </c>
      <c r="F417" t="s">
        <v>2655</v>
      </c>
      <c r="G417" t="s">
        <v>2656</v>
      </c>
      <c r="H417" s="1" t="s">
        <v>377</v>
      </c>
      <c r="I417" s="1" t="s">
        <v>356</v>
      </c>
      <c r="J417" s="1" t="s">
        <v>18</v>
      </c>
      <c r="K417" s="1" t="s">
        <v>50</v>
      </c>
      <c r="L417" s="1">
        <v>31723</v>
      </c>
      <c r="M417" s="1">
        <v>39</v>
      </c>
      <c r="N417" s="1">
        <v>1400</v>
      </c>
      <c r="O417" s="1" t="s">
        <v>655</v>
      </c>
      <c r="P417" s="1">
        <v>1770</v>
      </c>
      <c r="Q417" s="1"/>
      <c r="R417" s="1">
        <v>370</v>
      </c>
      <c r="S417">
        <v>320000</v>
      </c>
      <c r="T417">
        <v>16048</v>
      </c>
      <c r="U417" t="s">
        <v>814</v>
      </c>
      <c r="V417">
        <v>29280</v>
      </c>
      <c r="W417" s="1">
        <v>46291</v>
      </c>
      <c r="X417" s="1" t="s">
        <v>55</v>
      </c>
      <c r="Y417" s="1" t="s">
        <v>51</v>
      </c>
      <c r="Z417" s="1" t="s">
        <v>110</v>
      </c>
      <c r="AA417" s="1" t="s">
        <v>113</v>
      </c>
      <c r="AB417" s="1" t="s">
        <v>357</v>
      </c>
      <c r="AC417" s="1">
        <v>44409</v>
      </c>
      <c r="AD417" s="1">
        <v>44798</v>
      </c>
      <c r="AE417" s="1">
        <v>45246</v>
      </c>
      <c r="AF417" s="1"/>
      <c r="AG417" s="1" t="s">
        <v>3482</v>
      </c>
      <c r="AH417" s="1" t="s">
        <v>358</v>
      </c>
      <c r="AI417" s="1" t="s">
        <v>279</v>
      </c>
      <c r="AJ417" s="31">
        <v>44798</v>
      </c>
      <c r="AK417"/>
      <c r="AL417"/>
      <c r="AM417"/>
      <c r="AN417"/>
      <c r="AO417"/>
      <c r="AP417"/>
      <c r="AQ417" s="81"/>
      <c r="AR417" s="81"/>
      <c r="AS417" s="81"/>
      <c r="AT417" s="81"/>
      <c r="AU417" s="81"/>
      <c r="AV417" s="81"/>
      <c r="AW417" s="81"/>
      <c r="AX417" s="81"/>
      <c r="AY417" s="81"/>
    </row>
    <row r="418" spans="1:51" hidden="1">
      <c r="A418" s="1" t="s">
        <v>2542</v>
      </c>
      <c r="B418" s="1">
        <v>220807</v>
      </c>
      <c r="C418" s="1">
        <v>232077</v>
      </c>
      <c r="D418" s="1" t="s">
        <v>83</v>
      </c>
      <c r="E418" s="1" t="s">
        <v>307</v>
      </c>
      <c r="F418" t="s">
        <v>2251</v>
      </c>
      <c r="G418" t="s">
        <v>2252</v>
      </c>
      <c r="H418" s="1" t="s">
        <v>359</v>
      </c>
      <c r="I418" s="1" t="s">
        <v>360</v>
      </c>
      <c r="J418" s="1" t="s">
        <v>18</v>
      </c>
      <c r="K418" s="1" t="s">
        <v>50</v>
      </c>
      <c r="L418" s="1">
        <v>33771</v>
      </c>
      <c r="M418" s="1">
        <v>33</v>
      </c>
      <c r="N418" s="1">
        <v>1410</v>
      </c>
      <c r="O418" s="1" t="s">
        <v>847</v>
      </c>
      <c r="P418" s="1">
        <v>1820</v>
      </c>
      <c r="Q418" s="1"/>
      <c r="R418" s="1">
        <v>410</v>
      </c>
      <c r="S418">
        <v>260000</v>
      </c>
      <c r="T418">
        <v>13039</v>
      </c>
      <c r="U418" t="s">
        <v>814</v>
      </c>
      <c r="V418">
        <v>23790</v>
      </c>
      <c r="W418" s="1">
        <v>46105</v>
      </c>
      <c r="X418" s="1" t="s">
        <v>55</v>
      </c>
      <c r="Y418" s="1" t="s">
        <v>51</v>
      </c>
      <c r="Z418" s="1" t="s">
        <v>110</v>
      </c>
      <c r="AA418" s="1" t="s">
        <v>378</v>
      </c>
      <c r="AB418" s="1" t="s">
        <v>252</v>
      </c>
      <c r="AC418" s="1">
        <v>44541</v>
      </c>
      <c r="AD418" s="1">
        <v>44798</v>
      </c>
      <c r="AE418" s="1">
        <v>45562</v>
      </c>
      <c r="AF418" s="1"/>
      <c r="AG418" s="1" t="s">
        <v>379</v>
      </c>
      <c r="AH418" s="1" t="s">
        <v>358</v>
      </c>
      <c r="AI418" s="1" t="s">
        <v>279</v>
      </c>
      <c r="AJ418" s="31">
        <v>44798</v>
      </c>
      <c r="AK418"/>
      <c r="AL418"/>
      <c r="AM418"/>
      <c r="AN418"/>
      <c r="AO418"/>
      <c r="AP418"/>
      <c r="AQ418" s="81"/>
      <c r="AR418" s="81"/>
      <c r="AS418" s="81"/>
      <c r="AT418" s="81"/>
      <c r="AU418" s="81"/>
      <c r="AV418" s="81"/>
      <c r="AW418" s="81"/>
      <c r="AX418" s="81"/>
      <c r="AY418" s="81"/>
    </row>
    <row r="419" spans="1:51" hidden="1">
      <c r="A419" s="1" t="s">
        <v>2542</v>
      </c>
      <c r="B419" s="1">
        <v>220809</v>
      </c>
      <c r="C419" s="1">
        <v>5465</v>
      </c>
      <c r="D419" s="1" t="s">
        <v>846</v>
      </c>
      <c r="E419" s="1" t="s">
        <v>1234</v>
      </c>
      <c r="F419" t="s">
        <v>1584</v>
      </c>
      <c r="G419" t="s">
        <v>1514</v>
      </c>
      <c r="H419" s="1" t="s">
        <v>1198</v>
      </c>
      <c r="I419" s="1" t="s">
        <v>651</v>
      </c>
      <c r="J419" s="1" t="s">
        <v>18</v>
      </c>
      <c r="K419" s="1" t="s">
        <v>50</v>
      </c>
      <c r="L419" s="1">
        <v>34779</v>
      </c>
      <c r="M419" s="1">
        <v>30</v>
      </c>
      <c r="N419" s="1">
        <v>1300</v>
      </c>
      <c r="P419" s="1">
        <v>1700</v>
      </c>
      <c r="Q419" s="1"/>
      <c r="R419" s="1">
        <v>400</v>
      </c>
      <c r="S419">
        <v>280000</v>
      </c>
      <c r="T419">
        <v>14042</v>
      </c>
      <c r="U419" t="s">
        <v>814</v>
      </c>
      <c r="V419">
        <v>25620</v>
      </c>
      <c r="W419" s="1">
        <v>46571</v>
      </c>
      <c r="X419" s="1" t="s">
        <v>55</v>
      </c>
      <c r="Y419" s="1" t="s">
        <v>51</v>
      </c>
      <c r="Z419" s="1" t="s">
        <v>652</v>
      </c>
      <c r="AA419" s="1" t="s">
        <v>653</v>
      </c>
      <c r="AB419" s="1" t="s">
        <v>654</v>
      </c>
      <c r="AC419" s="1">
        <v>44797</v>
      </c>
      <c r="AD419" s="1">
        <v>44798</v>
      </c>
      <c r="AE419" s="1">
        <v>45575</v>
      </c>
      <c r="AF419" s="1"/>
      <c r="AG419" s="1" t="s">
        <v>352</v>
      </c>
      <c r="AH419" s="1" t="s">
        <v>650</v>
      </c>
      <c r="AI419" s="1"/>
      <c r="AJ419" s="31">
        <v>44798</v>
      </c>
      <c r="AK419"/>
      <c r="AL419"/>
      <c r="AM419"/>
      <c r="AN419"/>
      <c r="AO419"/>
      <c r="AP419"/>
      <c r="AQ419" s="81"/>
      <c r="AR419" s="81"/>
      <c r="AS419" s="81"/>
      <c r="AT419" s="81"/>
      <c r="AU419" s="81"/>
      <c r="AV419" s="81"/>
      <c r="AW419" s="81"/>
      <c r="AX419" s="81"/>
      <c r="AY419" s="81"/>
    </row>
    <row r="420" spans="1:51" hidden="1">
      <c r="A420" s="1" t="s">
        <v>2542</v>
      </c>
      <c r="B420" s="1">
        <v>220810</v>
      </c>
      <c r="C420" s="1">
        <v>5466</v>
      </c>
      <c r="D420" s="1" t="s">
        <v>846</v>
      </c>
      <c r="E420" s="1" t="s">
        <v>1232</v>
      </c>
      <c r="F420" s="1" t="s">
        <v>1237</v>
      </c>
      <c r="G420" t="s">
        <v>1514</v>
      </c>
      <c r="H420" s="1" t="s">
        <v>3486</v>
      </c>
      <c r="I420" s="1" t="s">
        <v>3487</v>
      </c>
      <c r="J420" s="1" t="s">
        <v>18</v>
      </c>
      <c r="K420" s="1" t="s">
        <v>50</v>
      </c>
      <c r="L420" s="1">
        <v>33186</v>
      </c>
      <c r="M420" s="1">
        <v>35</v>
      </c>
      <c r="N420" s="1">
        <v>1300</v>
      </c>
      <c r="P420" s="1">
        <v>1700</v>
      </c>
      <c r="Q420" s="1"/>
      <c r="R420" s="1">
        <v>400</v>
      </c>
      <c r="S420">
        <v>260000</v>
      </c>
      <c r="T420">
        <v>13039</v>
      </c>
      <c r="U420" t="s">
        <v>814</v>
      </c>
      <c r="V420">
        <v>23790</v>
      </c>
      <c r="W420" s="1">
        <v>45633</v>
      </c>
      <c r="X420" s="1" t="s">
        <v>55</v>
      </c>
      <c r="Y420" s="1" t="s">
        <v>51</v>
      </c>
      <c r="Z420" s="1" t="s">
        <v>652</v>
      </c>
      <c r="AA420" s="1" t="s">
        <v>3488</v>
      </c>
      <c r="AB420" s="1" t="s">
        <v>654</v>
      </c>
      <c r="AC420" s="1">
        <v>44803</v>
      </c>
      <c r="AD420" s="1">
        <v>44798</v>
      </c>
      <c r="AE420" s="1">
        <v>45359</v>
      </c>
      <c r="AF420" s="1"/>
      <c r="AG420" s="1" t="s">
        <v>352</v>
      </c>
      <c r="AH420" s="1" t="s">
        <v>650</v>
      </c>
      <c r="AI420" s="1"/>
      <c r="AJ420" s="31">
        <v>44798</v>
      </c>
      <c r="AK420"/>
      <c r="AL420"/>
      <c r="AM420"/>
      <c r="AN420"/>
      <c r="AO420"/>
      <c r="AP420"/>
      <c r="AQ420" s="81"/>
      <c r="AR420" s="81"/>
      <c r="AS420" s="81"/>
      <c r="AT420" s="81"/>
      <c r="AU420" s="81"/>
      <c r="AV420" s="81"/>
      <c r="AW420" s="81"/>
      <c r="AX420" s="81"/>
      <c r="AY420" s="81"/>
    </row>
    <row r="421" spans="1:51" hidden="1">
      <c r="A421" s="1" t="s">
        <v>2542</v>
      </c>
      <c r="B421" s="1">
        <v>220811</v>
      </c>
      <c r="D421" s="1" t="s">
        <v>846</v>
      </c>
      <c r="F421"/>
      <c r="G421"/>
      <c r="H421" s="1" t="s">
        <v>2587</v>
      </c>
      <c r="I421" s="1" t="s">
        <v>2588</v>
      </c>
      <c r="J421" s="1" t="s">
        <v>18</v>
      </c>
      <c r="K421" s="1" t="s">
        <v>50</v>
      </c>
      <c r="L421" s="1">
        <v>34059</v>
      </c>
      <c r="M421" s="1">
        <v>32</v>
      </c>
      <c r="N421" s="1">
        <v>1300</v>
      </c>
      <c r="P421" s="1">
        <v>1700</v>
      </c>
      <c r="Q421" s="1"/>
      <c r="R421" s="1">
        <v>400</v>
      </c>
      <c r="S421">
        <v>180000</v>
      </c>
      <c r="T421">
        <v>9027</v>
      </c>
      <c r="U421" t="s">
        <v>814</v>
      </c>
      <c r="V421">
        <v>16470</v>
      </c>
      <c r="W421" s="1">
        <v>45377</v>
      </c>
      <c r="X421" s="1" t="s">
        <v>55</v>
      </c>
      <c r="Y421" s="1" t="s">
        <v>51</v>
      </c>
      <c r="Z421" s="1" t="s">
        <v>652</v>
      </c>
      <c r="AA421" s="1" t="s">
        <v>659</v>
      </c>
      <c r="AB421" s="1" t="s">
        <v>661</v>
      </c>
      <c r="AC421" s="1">
        <v>44797</v>
      </c>
      <c r="AD421" s="1">
        <v>44798</v>
      </c>
      <c r="AE421" s="1">
        <v>45063</v>
      </c>
      <c r="AF421" s="1"/>
      <c r="AG421" s="1" t="s">
        <v>352</v>
      </c>
      <c r="AH421" s="1" t="s">
        <v>650</v>
      </c>
      <c r="AI421" s="1"/>
      <c r="AJ421" s="31">
        <v>44798</v>
      </c>
      <c r="AK421"/>
      <c r="AL421"/>
      <c r="AM421"/>
      <c r="AN421"/>
      <c r="AO421"/>
      <c r="AP421"/>
      <c r="AQ421" s="81"/>
      <c r="AR421" s="81"/>
      <c r="AS421" s="81"/>
      <c r="AT421" s="81"/>
      <c r="AU421" s="81"/>
      <c r="AV421" s="81"/>
      <c r="AW421" s="81"/>
      <c r="AX421" s="81"/>
      <c r="AY421" s="81"/>
    </row>
    <row r="422" spans="1:51" s="81" customFormat="1">
      <c r="A422" s="1" t="s">
        <v>49</v>
      </c>
      <c r="B422" s="1">
        <v>220121</v>
      </c>
      <c r="C422" s="1">
        <v>212018</v>
      </c>
      <c r="D422" s="1" t="s">
        <v>75</v>
      </c>
      <c r="E422" s="1" t="s">
        <v>3934</v>
      </c>
      <c r="F422" t="s">
        <v>739</v>
      </c>
      <c r="G422" t="s">
        <v>1092</v>
      </c>
      <c r="H422" s="1" t="s">
        <v>207</v>
      </c>
      <c r="I422" s="1" t="s">
        <v>208</v>
      </c>
      <c r="J422" s="1" t="s">
        <v>18</v>
      </c>
      <c r="K422" s="1" t="s">
        <v>50</v>
      </c>
      <c r="L422" s="1">
        <v>35377</v>
      </c>
      <c r="M422" s="1">
        <v>29</v>
      </c>
      <c r="N422" s="1">
        <v>1410</v>
      </c>
      <c r="O422" s="1"/>
      <c r="P422" s="1">
        <v>1830</v>
      </c>
      <c r="Q422" s="1"/>
      <c r="R422" s="1">
        <v>420</v>
      </c>
      <c r="S422">
        <v>240000</v>
      </c>
      <c r="T422">
        <v>12036</v>
      </c>
      <c r="U422" t="s">
        <v>814</v>
      </c>
      <c r="V422">
        <v>21960</v>
      </c>
      <c r="W422" s="1">
        <v>46496</v>
      </c>
      <c r="X422" s="1" t="s">
        <v>55</v>
      </c>
      <c r="Y422" s="1" t="s">
        <v>51</v>
      </c>
      <c r="Z422" s="1" t="s">
        <v>67</v>
      </c>
      <c r="AA422" s="1" t="s">
        <v>68</v>
      </c>
      <c r="AB422" s="1" t="s">
        <v>3877</v>
      </c>
      <c r="AC422" s="1"/>
      <c r="AD422" s="1">
        <v>45901</v>
      </c>
      <c r="AE422" s="1"/>
      <c r="AF422" s="1"/>
      <c r="AG422" s="1">
        <v>45901</v>
      </c>
      <c r="AH422" s="1" t="s">
        <v>3901</v>
      </c>
      <c r="AI422" s="1"/>
      <c r="AJ422" s="31">
        <v>45901</v>
      </c>
      <c r="AK422"/>
      <c r="AL422"/>
      <c r="AM422"/>
      <c r="AN422"/>
      <c r="AO422"/>
      <c r="AP422"/>
    </row>
    <row r="423" spans="1:51" s="81" customFormat="1" hidden="1">
      <c r="A423" s="1" t="s">
        <v>2542</v>
      </c>
      <c r="B423" s="1">
        <v>220814</v>
      </c>
      <c r="C423" s="1">
        <v>5469</v>
      </c>
      <c r="D423" s="1" t="s">
        <v>846</v>
      </c>
      <c r="E423" s="1" t="s">
        <v>1232</v>
      </c>
      <c r="F423" t="s">
        <v>3489</v>
      </c>
      <c r="G423" t="s">
        <v>1514</v>
      </c>
      <c r="H423" s="1" t="s">
        <v>3490</v>
      </c>
      <c r="I423" s="1" t="s">
        <v>3491</v>
      </c>
      <c r="J423" s="1" t="s">
        <v>18</v>
      </c>
      <c r="K423" s="1" t="s">
        <v>50</v>
      </c>
      <c r="L423" s="1">
        <v>34787</v>
      </c>
      <c r="M423" s="1">
        <v>30</v>
      </c>
      <c r="N423" s="1">
        <v>1300</v>
      </c>
      <c r="O423" s="1">
        <v>1700</v>
      </c>
      <c r="P423" s="1">
        <v>1700</v>
      </c>
      <c r="Q423" s="1"/>
      <c r="R423" s="1">
        <v>400</v>
      </c>
      <c r="S423">
        <v>280000</v>
      </c>
      <c r="T423">
        <v>14042</v>
      </c>
      <c r="U423" t="s">
        <v>814</v>
      </c>
      <c r="V423">
        <v>25620</v>
      </c>
      <c r="W423" s="1">
        <v>45746</v>
      </c>
      <c r="X423" s="1" t="s">
        <v>55</v>
      </c>
      <c r="Y423" s="1" t="s">
        <v>51</v>
      </c>
      <c r="Z423" s="1" t="s">
        <v>652</v>
      </c>
      <c r="AA423" s="1" t="s">
        <v>659</v>
      </c>
      <c r="AB423" s="1" t="s">
        <v>660</v>
      </c>
      <c r="AC423" s="1">
        <v>44803</v>
      </c>
      <c r="AD423" s="1">
        <v>44804</v>
      </c>
      <c r="AE423" s="1">
        <v>45390</v>
      </c>
      <c r="AF423" s="1"/>
      <c r="AG423" s="1" t="s">
        <v>352</v>
      </c>
      <c r="AH423" s="1" t="s">
        <v>650</v>
      </c>
      <c r="AI423" s="1"/>
      <c r="AJ423" s="31">
        <v>44804</v>
      </c>
      <c r="AK423"/>
      <c r="AL423"/>
      <c r="AM423"/>
      <c r="AN423"/>
      <c r="AO423"/>
      <c r="AP423"/>
    </row>
    <row r="424" spans="1:51" s="81" customFormat="1" hidden="1">
      <c r="A424" s="1" t="s">
        <v>2542</v>
      </c>
      <c r="B424" s="1">
        <v>220815</v>
      </c>
      <c r="C424" s="1">
        <v>5468</v>
      </c>
      <c r="D424" s="1" t="s">
        <v>846</v>
      </c>
      <c r="E424" s="1" t="s">
        <v>1232</v>
      </c>
      <c r="F424" t="s">
        <v>1240</v>
      </c>
      <c r="G424" t="s">
        <v>3492</v>
      </c>
      <c r="H424" s="1" t="s">
        <v>3493</v>
      </c>
      <c r="I424" s="1" t="s">
        <v>3494</v>
      </c>
      <c r="J424" s="1" t="s">
        <v>18</v>
      </c>
      <c r="K424" s="1" t="s">
        <v>50</v>
      </c>
      <c r="L424" s="1">
        <v>33013</v>
      </c>
      <c r="M424" s="1">
        <v>35</v>
      </c>
      <c r="N424" s="1">
        <v>1300</v>
      </c>
      <c r="O424" s="1">
        <v>1700</v>
      </c>
      <c r="P424" s="1">
        <v>1700</v>
      </c>
      <c r="Q424" s="1"/>
      <c r="R424" s="1">
        <v>400</v>
      </c>
      <c r="S424">
        <v>280000</v>
      </c>
      <c r="T424">
        <v>14042</v>
      </c>
      <c r="U424" t="s">
        <v>814</v>
      </c>
      <c r="V424">
        <v>25620</v>
      </c>
      <c r="W424" s="1">
        <v>46174</v>
      </c>
      <c r="X424" s="1" t="s">
        <v>55</v>
      </c>
      <c r="Y424" s="1" t="s">
        <v>51</v>
      </c>
      <c r="Z424" s="1" t="s">
        <v>652</v>
      </c>
      <c r="AA424" s="1" t="s">
        <v>659</v>
      </c>
      <c r="AB424" s="1" t="s">
        <v>660</v>
      </c>
      <c r="AC424" s="1">
        <v>44803</v>
      </c>
      <c r="AD424" s="1">
        <v>44804</v>
      </c>
      <c r="AE424" s="1">
        <v>45197</v>
      </c>
      <c r="AF424" s="1"/>
      <c r="AG424" s="1" t="s">
        <v>352</v>
      </c>
      <c r="AH424" s="1" t="s">
        <v>650</v>
      </c>
      <c r="AI424" s="1"/>
      <c r="AJ424" s="31">
        <v>44804</v>
      </c>
      <c r="AK424"/>
      <c r="AL424"/>
      <c r="AM424"/>
      <c r="AN424"/>
      <c r="AO424"/>
      <c r="AP424"/>
    </row>
    <row r="425" spans="1:51" hidden="1">
      <c r="A425" s="1" t="s">
        <v>2542</v>
      </c>
      <c r="B425" s="1">
        <v>220816</v>
      </c>
      <c r="C425" s="1">
        <v>5470</v>
      </c>
      <c r="D425" s="1" t="s">
        <v>846</v>
      </c>
      <c r="E425" s="1" t="s">
        <v>1232</v>
      </c>
      <c r="F425" t="s">
        <v>1240</v>
      </c>
      <c r="G425" t="s">
        <v>1514</v>
      </c>
      <c r="H425" s="1" t="s">
        <v>3495</v>
      </c>
      <c r="I425" s="1" t="s">
        <v>3496</v>
      </c>
      <c r="J425" s="1" t="s">
        <v>18</v>
      </c>
      <c r="K425" s="1" t="s">
        <v>50</v>
      </c>
      <c r="L425" s="1">
        <v>34768</v>
      </c>
      <c r="M425" s="1">
        <v>30</v>
      </c>
      <c r="N425" s="1">
        <v>1300</v>
      </c>
      <c r="O425" s="1">
        <v>1700</v>
      </c>
      <c r="P425" s="1">
        <v>1700</v>
      </c>
      <c r="Q425" s="1"/>
      <c r="R425" s="1">
        <v>400</v>
      </c>
      <c r="S425">
        <v>280000</v>
      </c>
      <c r="T425">
        <v>14042</v>
      </c>
      <c r="U425" t="s">
        <v>814</v>
      </c>
      <c r="V425">
        <v>25620</v>
      </c>
      <c r="W425" s="1">
        <v>45549</v>
      </c>
      <c r="X425" s="1" t="s">
        <v>55</v>
      </c>
      <c r="Y425" s="1" t="s">
        <v>51</v>
      </c>
      <c r="Z425" s="1" t="s">
        <v>652</v>
      </c>
      <c r="AA425" s="1" t="s">
        <v>659</v>
      </c>
      <c r="AB425" s="1" t="s">
        <v>661</v>
      </c>
      <c r="AC425" s="1">
        <v>44803</v>
      </c>
      <c r="AD425" s="1">
        <v>44804</v>
      </c>
      <c r="AE425" s="1">
        <v>45314</v>
      </c>
      <c r="AF425" s="1"/>
      <c r="AG425" s="1" t="s">
        <v>352</v>
      </c>
      <c r="AH425" s="1" t="s">
        <v>650</v>
      </c>
      <c r="AI425" s="1"/>
      <c r="AJ425" s="31">
        <v>44804</v>
      </c>
      <c r="AK425"/>
      <c r="AL425"/>
      <c r="AM425"/>
      <c r="AN425"/>
      <c r="AO425"/>
      <c r="AP425"/>
      <c r="AQ425" s="81"/>
      <c r="AR425" s="81"/>
      <c r="AS425" s="81"/>
      <c r="AT425" s="81"/>
      <c r="AU425" s="81"/>
      <c r="AV425" s="81"/>
      <c r="AW425" s="81"/>
      <c r="AX425" s="81"/>
      <c r="AY425" s="81"/>
    </row>
    <row r="426" spans="1:51" s="81" customFormat="1" hidden="1">
      <c r="A426" s="1" t="s">
        <v>2542</v>
      </c>
      <c r="B426" s="1">
        <v>220901</v>
      </c>
      <c r="C426" s="1">
        <v>242054</v>
      </c>
      <c r="D426" s="1" t="s">
        <v>69</v>
      </c>
      <c r="E426" s="1" t="s">
        <v>310</v>
      </c>
      <c r="F426" t="s">
        <v>744</v>
      </c>
      <c r="G426" t="s">
        <v>1093</v>
      </c>
      <c r="H426" s="1" t="s">
        <v>3497</v>
      </c>
      <c r="I426" s="1" t="s">
        <v>3498</v>
      </c>
      <c r="J426" s="1" t="s">
        <v>18</v>
      </c>
      <c r="K426" s="1" t="s">
        <v>50</v>
      </c>
      <c r="L426" s="1">
        <v>34555</v>
      </c>
      <c r="M426" s="1">
        <v>31</v>
      </c>
      <c r="N426" s="1">
        <v>1400</v>
      </c>
      <c r="O426" s="1"/>
      <c r="P426" s="1">
        <v>1770</v>
      </c>
      <c r="Q426" s="1"/>
      <c r="R426" s="1">
        <v>370</v>
      </c>
      <c r="S426">
        <v>240000</v>
      </c>
      <c r="T426">
        <v>12036</v>
      </c>
      <c r="U426" t="s">
        <v>814</v>
      </c>
      <c r="V426">
        <v>21960</v>
      </c>
      <c r="W426" s="1">
        <v>45563</v>
      </c>
      <c r="X426" s="1" t="s">
        <v>55</v>
      </c>
      <c r="Y426" s="1" t="s">
        <v>51</v>
      </c>
      <c r="Z426" s="1" t="s">
        <v>427</v>
      </c>
      <c r="AA426" s="1" t="s">
        <v>3499</v>
      </c>
      <c r="AB426" s="1" t="s">
        <v>662</v>
      </c>
      <c r="AC426" s="1" t="s">
        <v>53</v>
      </c>
      <c r="AD426" s="1">
        <v>44805</v>
      </c>
      <c r="AE426" s="1">
        <v>45341</v>
      </c>
      <c r="AF426" s="1"/>
      <c r="AG426" s="1" t="s">
        <v>352</v>
      </c>
      <c r="AH426" s="1" t="s">
        <v>663</v>
      </c>
      <c r="AI426" s="1"/>
      <c r="AJ426" s="31">
        <v>44805</v>
      </c>
      <c r="AK426"/>
      <c r="AL426"/>
      <c r="AM426"/>
      <c r="AN426"/>
      <c r="AO426"/>
      <c r="AP426"/>
    </row>
    <row r="427" spans="1:51" hidden="1">
      <c r="A427" s="1" t="s">
        <v>2542</v>
      </c>
      <c r="B427" s="1">
        <v>220902</v>
      </c>
      <c r="D427" s="1" t="s">
        <v>3356</v>
      </c>
      <c r="H427" s="1" t="s">
        <v>664</v>
      </c>
      <c r="I427" s="1" t="s">
        <v>665</v>
      </c>
      <c r="J427" s="1" t="s">
        <v>18</v>
      </c>
      <c r="K427" s="1" t="s">
        <v>50</v>
      </c>
      <c r="L427" s="1">
        <v>34053</v>
      </c>
      <c r="M427" s="1">
        <v>32</v>
      </c>
      <c r="N427" s="1">
        <v>1400</v>
      </c>
      <c r="P427" s="1">
        <v>1800</v>
      </c>
      <c r="Q427" s="1"/>
      <c r="R427" s="1">
        <v>400</v>
      </c>
      <c r="S427" s="81">
        <v>280000</v>
      </c>
      <c r="T427" s="81">
        <v>14042</v>
      </c>
      <c r="U427" s="81" t="s">
        <v>814</v>
      </c>
      <c r="V427" s="81">
        <v>25620</v>
      </c>
      <c r="W427" s="1">
        <v>46421</v>
      </c>
      <c r="X427" s="1" t="s">
        <v>55</v>
      </c>
      <c r="Y427" s="1" t="s">
        <v>51</v>
      </c>
      <c r="Z427" s="1" t="s">
        <v>3359</v>
      </c>
      <c r="AA427" s="1" t="s">
        <v>3360</v>
      </c>
      <c r="AB427" s="1" t="s">
        <v>3500</v>
      </c>
      <c r="AC427" s="1" t="s">
        <v>53</v>
      </c>
      <c r="AD427" s="1">
        <v>44809</v>
      </c>
      <c r="AE427" s="1">
        <v>45229</v>
      </c>
      <c r="AF427" s="1"/>
      <c r="AG427" s="1" t="s">
        <v>3501</v>
      </c>
      <c r="AH427" s="1" t="s">
        <v>3502</v>
      </c>
      <c r="AI427" s="1"/>
      <c r="AJ427" s="31">
        <v>44809</v>
      </c>
      <c r="AK427"/>
      <c r="AL427"/>
      <c r="AM427"/>
      <c r="AO427"/>
      <c r="AP427" s="1"/>
      <c r="AQ427" s="81"/>
      <c r="AR427" s="81"/>
      <c r="AS427" s="81"/>
      <c r="AT427" s="81"/>
      <c r="AU427" s="81"/>
      <c r="AV427" s="81"/>
      <c r="AW427" s="81"/>
      <c r="AX427" s="81"/>
      <c r="AY427" s="81"/>
    </row>
    <row r="428" spans="1:51" hidden="1">
      <c r="A428" s="1" t="s">
        <v>49</v>
      </c>
      <c r="B428" s="1">
        <v>220903</v>
      </c>
      <c r="D428" s="1" t="s">
        <v>447</v>
      </c>
      <c r="E428" s="1" t="s">
        <v>1270</v>
      </c>
      <c r="F428" t="s">
        <v>1271</v>
      </c>
      <c r="G428" t="s">
        <v>1267</v>
      </c>
      <c r="H428" s="1" t="s">
        <v>666</v>
      </c>
      <c r="I428" s="1" t="s">
        <v>667</v>
      </c>
      <c r="J428" s="1" t="s">
        <v>18</v>
      </c>
      <c r="K428" s="1" t="s">
        <v>50</v>
      </c>
      <c r="L428" s="1">
        <v>35833</v>
      </c>
      <c r="M428" s="1">
        <v>27</v>
      </c>
      <c r="N428" s="1">
        <v>1310</v>
      </c>
      <c r="P428" s="1">
        <v>1700</v>
      </c>
      <c r="Q428" s="1"/>
      <c r="R428" s="1">
        <v>390</v>
      </c>
      <c r="S428">
        <v>260000</v>
      </c>
      <c r="T428">
        <v>13039</v>
      </c>
      <c r="U428" t="s">
        <v>814</v>
      </c>
      <c r="V428">
        <v>23790</v>
      </c>
      <c r="W428" s="1">
        <v>46668</v>
      </c>
      <c r="X428" s="1" t="s">
        <v>55</v>
      </c>
      <c r="Y428" s="1" t="s">
        <v>51</v>
      </c>
      <c r="Z428" s="1" t="s">
        <v>448</v>
      </c>
      <c r="AA428" s="1" t="s">
        <v>449</v>
      </c>
      <c r="AB428" s="1" t="s">
        <v>1200</v>
      </c>
      <c r="AC428" s="1">
        <v>44805</v>
      </c>
      <c r="AD428" s="1">
        <v>44810</v>
      </c>
      <c r="AE428" s="1"/>
      <c r="AF428" s="1"/>
      <c r="AG428" s="1" t="s">
        <v>352</v>
      </c>
      <c r="AH428" s="1" t="s">
        <v>663</v>
      </c>
      <c r="AI428" s="1"/>
      <c r="AJ428" s="31">
        <v>44810</v>
      </c>
      <c r="AK428"/>
      <c r="AL428"/>
      <c r="AM428"/>
      <c r="AN428"/>
      <c r="AO428"/>
      <c r="AP428"/>
      <c r="AQ428" s="81"/>
      <c r="AR428" s="81"/>
      <c r="AS428" s="81"/>
      <c r="AT428" s="81"/>
      <c r="AU428" s="81"/>
      <c r="AV428" s="81"/>
      <c r="AW428" s="81"/>
      <c r="AX428" s="81"/>
      <c r="AY428" s="81"/>
    </row>
    <row r="429" spans="1:51" hidden="1">
      <c r="A429" s="1" t="s">
        <v>2542</v>
      </c>
      <c r="B429" s="1">
        <v>220904</v>
      </c>
      <c r="C429" s="1">
        <v>232078</v>
      </c>
      <c r="D429" s="1" t="s">
        <v>83</v>
      </c>
      <c r="E429" s="1" t="s">
        <v>309</v>
      </c>
      <c r="F429" t="s">
        <v>1103</v>
      </c>
      <c r="G429" t="s">
        <v>1085</v>
      </c>
      <c r="H429" s="1" t="s">
        <v>108</v>
      </c>
      <c r="I429" s="1" t="s">
        <v>380</v>
      </c>
      <c r="J429" s="1" t="s">
        <v>18</v>
      </c>
      <c r="K429" s="1" t="s">
        <v>50</v>
      </c>
      <c r="L429" s="1">
        <v>36251</v>
      </c>
      <c r="M429" s="1">
        <v>26</v>
      </c>
      <c r="N429" s="1">
        <v>1300</v>
      </c>
      <c r="P429" s="1">
        <v>1670</v>
      </c>
      <c r="Q429" s="1"/>
      <c r="R429" s="1">
        <v>370</v>
      </c>
      <c r="S429">
        <v>320000</v>
      </c>
      <c r="T429">
        <v>16048</v>
      </c>
      <c r="U429" t="s">
        <v>814</v>
      </c>
      <c r="V429">
        <v>29280</v>
      </c>
      <c r="W429" s="1">
        <v>46278</v>
      </c>
      <c r="X429" s="1" t="s">
        <v>55</v>
      </c>
      <c r="Y429" s="1" t="s">
        <v>51</v>
      </c>
      <c r="Z429" s="1" t="s">
        <v>110</v>
      </c>
      <c r="AA429" s="1" t="s">
        <v>127</v>
      </c>
      <c r="AB429" s="1" t="s">
        <v>128</v>
      </c>
      <c r="AC429" s="1">
        <v>44805</v>
      </c>
      <c r="AD429" s="1">
        <v>44812</v>
      </c>
      <c r="AE429" s="1">
        <v>45427</v>
      </c>
      <c r="AF429" s="1"/>
      <c r="AG429" s="1" t="s">
        <v>352</v>
      </c>
      <c r="AH429" s="1" t="s">
        <v>663</v>
      </c>
      <c r="AI429" s="1"/>
      <c r="AJ429" s="31">
        <v>44812</v>
      </c>
      <c r="AK429"/>
      <c r="AL429"/>
      <c r="AM429"/>
      <c r="AN429"/>
      <c r="AO429"/>
      <c r="AP429"/>
      <c r="AQ429" s="81"/>
      <c r="AR429" s="81"/>
      <c r="AS429" s="81"/>
      <c r="AT429" s="81"/>
      <c r="AU429" s="81"/>
      <c r="AV429" s="81"/>
      <c r="AW429" s="81"/>
      <c r="AX429" s="81"/>
      <c r="AY429" s="81"/>
    </row>
    <row r="430" spans="1:51" hidden="1">
      <c r="A430" s="1" t="s">
        <v>2542</v>
      </c>
      <c r="B430" s="1">
        <v>220905</v>
      </c>
      <c r="C430" s="1">
        <v>232079</v>
      </c>
      <c r="D430" s="1" t="s">
        <v>83</v>
      </c>
      <c r="E430" s="1" t="s">
        <v>309</v>
      </c>
      <c r="F430" t="s">
        <v>1103</v>
      </c>
      <c r="G430" t="s">
        <v>1085</v>
      </c>
      <c r="H430" s="1" t="s">
        <v>3503</v>
      </c>
      <c r="I430" s="1" t="s">
        <v>3504</v>
      </c>
      <c r="J430" s="1" t="s">
        <v>18</v>
      </c>
      <c r="K430" s="1" t="s">
        <v>50</v>
      </c>
      <c r="L430" s="1">
        <v>36426</v>
      </c>
      <c r="M430" s="1">
        <v>26</v>
      </c>
      <c r="N430" s="1">
        <v>1300</v>
      </c>
      <c r="P430" s="1">
        <v>1660</v>
      </c>
      <c r="Q430" s="1"/>
      <c r="R430" s="1">
        <v>360</v>
      </c>
      <c r="S430">
        <v>320000</v>
      </c>
      <c r="T430">
        <v>16048</v>
      </c>
      <c r="U430" t="s">
        <v>814</v>
      </c>
      <c r="V430">
        <v>29280</v>
      </c>
      <c r="W430" s="1">
        <v>46278</v>
      </c>
      <c r="X430" s="1" t="s">
        <v>55</v>
      </c>
      <c r="Y430" s="1" t="s">
        <v>51</v>
      </c>
      <c r="Z430" s="1" t="s">
        <v>110</v>
      </c>
      <c r="AA430" s="1" t="s">
        <v>131</v>
      </c>
      <c r="AB430" s="1" t="s">
        <v>1870</v>
      </c>
      <c r="AC430" s="1">
        <v>44864</v>
      </c>
      <c r="AD430" s="1">
        <v>44812</v>
      </c>
      <c r="AE430" s="1">
        <v>45329</v>
      </c>
      <c r="AF430" s="1"/>
      <c r="AG430" s="1" t="s">
        <v>352</v>
      </c>
      <c r="AH430" s="1" t="s">
        <v>663</v>
      </c>
      <c r="AI430" s="1"/>
      <c r="AJ430" s="31">
        <v>44812</v>
      </c>
      <c r="AK430"/>
      <c r="AL430"/>
      <c r="AM430"/>
      <c r="AN430"/>
      <c r="AO430"/>
      <c r="AP430"/>
      <c r="AQ430" s="81"/>
      <c r="AR430" s="81"/>
      <c r="AS430" s="81"/>
      <c r="AT430" s="81"/>
      <c r="AU430" s="81"/>
      <c r="AV430" s="81"/>
      <c r="AW430" s="81"/>
      <c r="AX430" s="81"/>
      <c r="AY430" s="81"/>
    </row>
    <row r="431" spans="1:51" hidden="1">
      <c r="A431" s="1" t="s">
        <v>2542</v>
      </c>
      <c r="B431" s="1">
        <v>220906</v>
      </c>
      <c r="C431" s="1">
        <v>232080</v>
      </c>
      <c r="D431" s="1" t="s">
        <v>83</v>
      </c>
      <c r="E431" s="1" t="s">
        <v>307</v>
      </c>
      <c r="F431" t="s">
        <v>2655</v>
      </c>
      <c r="G431" t="s">
        <v>2656</v>
      </c>
      <c r="H431" s="1" t="s">
        <v>3505</v>
      </c>
      <c r="I431" s="1" t="s">
        <v>3506</v>
      </c>
      <c r="J431" s="1" t="s">
        <v>18</v>
      </c>
      <c r="K431" s="1" t="s">
        <v>50</v>
      </c>
      <c r="L431" s="1">
        <v>35399</v>
      </c>
      <c r="M431" s="1">
        <v>29</v>
      </c>
      <c r="N431" s="1">
        <v>1400</v>
      </c>
      <c r="O431" s="1" t="s">
        <v>3507</v>
      </c>
      <c r="P431" s="1">
        <v>1760</v>
      </c>
      <c r="Q431" s="1"/>
      <c r="R431" s="1">
        <v>360</v>
      </c>
      <c r="S431">
        <v>300000</v>
      </c>
      <c r="T431">
        <v>15045</v>
      </c>
      <c r="U431" t="s">
        <v>814</v>
      </c>
      <c r="V431">
        <v>27450</v>
      </c>
      <c r="W431" s="1">
        <v>46242</v>
      </c>
      <c r="X431" s="1" t="s">
        <v>55</v>
      </c>
      <c r="Y431" s="1" t="s">
        <v>51</v>
      </c>
      <c r="Z431" s="1" t="s">
        <v>110</v>
      </c>
      <c r="AA431" s="1" t="s">
        <v>113</v>
      </c>
      <c r="AB431" s="1" t="s">
        <v>357</v>
      </c>
      <c r="AC431" s="1">
        <v>44409</v>
      </c>
      <c r="AD431" s="1">
        <v>44812</v>
      </c>
      <c r="AE431" s="1">
        <v>45232</v>
      </c>
      <c r="AF431" s="1"/>
      <c r="AG431" s="1"/>
      <c r="AH431" s="1" t="s">
        <v>663</v>
      </c>
      <c r="AI431" s="1" t="s">
        <v>279</v>
      </c>
      <c r="AJ431" s="31">
        <v>44812</v>
      </c>
      <c r="AK431"/>
      <c r="AL431"/>
      <c r="AM431"/>
      <c r="AN431"/>
      <c r="AO431"/>
      <c r="AP431"/>
      <c r="AQ431" s="81"/>
      <c r="AR431" s="81"/>
      <c r="AS431" s="81"/>
      <c r="AT431" s="81"/>
      <c r="AU431" s="81"/>
      <c r="AV431" s="81"/>
      <c r="AW431" s="81"/>
      <c r="AX431" s="81"/>
      <c r="AY431" s="81"/>
    </row>
    <row r="432" spans="1:51">
      <c r="A432" s="1" t="s">
        <v>49</v>
      </c>
      <c r="B432" s="1">
        <v>220603</v>
      </c>
      <c r="C432" s="1">
        <v>222050</v>
      </c>
      <c r="D432" s="1" t="s">
        <v>62</v>
      </c>
      <c r="E432" s="1" t="s">
        <v>3935</v>
      </c>
      <c r="F432" t="s">
        <v>794</v>
      </c>
      <c r="G432" t="s">
        <v>316</v>
      </c>
      <c r="H432" s="1" t="s">
        <v>272</v>
      </c>
      <c r="I432" s="1" t="s">
        <v>273</v>
      </c>
      <c r="J432" s="1" t="s">
        <v>18</v>
      </c>
      <c r="K432" s="1" t="s">
        <v>50</v>
      </c>
      <c r="L432" s="1">
        <v>36788</v>
      </c>
      <c r="M432" s="1">
        <v>25</v>
      </c>
      <c r="N432" s="1">
        <v>1310</v>
      </c>
      <c r="P432" s="1">
        <v>1700</v>
      </c>
      <c r="Q432" s="1"/>
      <c r="R432" s="1">
        <v>390</v>
      </c>
      <c r="S432">
        <v>260000</v>
      </c>
      <c r="T432">
        <v>13039</v>
      </c>
      <c r="U432" t="s">
        <v>814</v>
      </c>
      <c r="V432">
        <v>23790</v>
      </c>
      <c r="W432" s="1">
        <v>46601</v>
      </c>
      <c r="X432" s="1" t="s">
        <v>55</v>
      </c>
      <c r="Y432" s="1" t="s">
        <v>51</v>
      </c>
      <c r="Z432" s="1" t="s">
        <v>203</v>
      </c>
      <c r="AA432" s="1" t="s">
        <v>204</v>
      </c>
      <c r="AB432" s="1" t="s">
        <v>205</v>
      </c>
      <c r="AC432" s="1">
        <v>44713</v>
      </c>
      <c r="AD432" s="1">
        <v>44713</v>
      </c>
      <c r="AE432" s="1"/>
      <c r="AF432" s="1"/>
      <c r="AG432" s="1">
        <v>44774</v>
      </c>
      <c r="AH432" s="1" t="s">
        <v>267</v>
      </c>
      <c r="AI432" s="1"/>
      <c r="AJ432" s="31">
        <v>44713</v>
      </c>
      <c r="AK432"/>
      <c r="AL432"/>
      <c r="AM432"/>
      <c r="AN432"/>
      <c r="AO432"/>
      <c r="AP432"/>
      <c r="AQ432" s="81"/>
      <c r="AR432" s="81"/>
      <c r="AS432" s="81"/>
      <c r="AT432" s="81"/>
      <c r="AU432" s="81"/>
      <c r="AV432" s="81"/>
      <c r="AW432" s="81"/>
      <c r="AX432" s="81"/>
      <c r="AY432" s="81"/>
    </row>
    <row r="433" spans="1:51" hidden="1">
      <c r="A433" s="1" t="s">
        <v>49</v>
      </c>
      <c r="B433" s="1">
        <v>220908</v>
      </c>
      <c r="D433" s="1" t="s">
        <v>436</v>
      </c>
      <c r="E433" s="1" t="s">
        <v>4362</v>
      </c>
      <c r="F433" t="s">
        <v>4363</v>
      </c>
      <c r="G433" t="s">
        <v>4364</v>
      </c>
      <c r="H433" s="1" t="s">
        <v>671</v>
      </c>
      <c r="I433" s="1" t="s">
        <v>672</v>
      </c>
      <c r="J433" s="1" t="s">
        <v>18</v>
      </c>
      <c r="K433" s="1" t="s">
        <v>50</v>
      </c>
      <c r="L433" s="1">
        <v>36139</v>
      </c>
      <c r="M433" s="1">
        <v>26</v>
      </c>
      <c r="N433" s="1">
        <v>1500</v>
      </c>
      <c r="P433" s="1">
        <v>2000</v>
      </c>
      <c r="Q433" s="1" t="s">
        <v>3474</v>
      </c>
      <c r="R433" s="1">
        <v>500</v>
      </c>
      <c r="S433">
        <v>340000</v>
      </c>
      <c r="T433">
        <v>17051</v>
      </c>
      <c r="U433" t="s">
        <v>814</v>
      </c>
      <c r="V433">
        <v>31110</v>
      </c>
      <c r="W433" s="1">
        <v>46644</v>
      </c>
      <c r="X433" s="1" t="s">
        <v>55</v>
      </c>
      <c r="Y433" s="1" t="s">
        <v>51</v>
      </c>
      <c r="Z433" s="1" t="s">
        <v>504</v>
      </c>
      <c r="AA433" s="1" t="s">
        <v>505</v>
      </c>
      <c r="AB433" s="1" t="s">
        <v>673</v>
      </c>
      <c r="AC433" s="1">
        <v>44816</v>
      </c>
      <c r="AD433" s="1">
        <v>44818</v>
      </c>
      <c r="AE433" s="1"/>
      <c r="AF433" s="1"/>
      <c r="AG433" s="1" t="s">
        <v>352</v>
      </c>
      <c r="AH433" s="1"/>
      <c r="AI433" s="1"/>
      <c r="AJ433" s="31">
        <v>44818</v>
      </c>
      <c r="AK433"/>
      <c r="AL433"/>
      <c r="AM433"/>
      <c r="AN433"/>
      <c r="AO433"/>
      <c r="AP433"/>
      <c r="AQ433" s="81"/>
      <c r="AR433" s="81"/>
      <c r="AS433" s="81"/>
      <c r="AT433" s="81"/>
      <c r="AU433" s="81"/>
      <c r="AV433" s="81"/>
      <c r="AW433" s="81"/>
      <c r="AX433" s="81"/>
      <c r="AY433" s="81"/>
    </row>
    <row r="434" spans="1:51" hidden="1">
      <c r="A434" s="1" t="s">
        <v>2542</v>
      </c>
      <c r="B434" s="1">
        <v>220911</v>
      </c>
      <c r="D434" s="1" t="s">
        <v>436</v>
      </c>
      <c r="F434"/>
      <c r="G434"/>
      <c r="H434" s="1" t="s">
        <v>3509</v>
      </c>
      <c r="I434" s="1" t="s">
        <v>3510</v>
      </c>
      <c r="J434" s="1" t="s">
        <v>18</v>
      </c>
      <c r="K434" s="1" t="s">
        <v>50</v>
      </c>
      <c r="L434" s="1">
        <v>35884</v>
      </c>
      <c r="M434" s="1">
        <v>27</v>
      </c>
      <c r="N434" s="1">
        <v>1400</v>
      </c>
      <c r="P434" s="1">
        <v>2000</v>
      </c>
      <c r="Q434" s="1"/>
      <c r="R434" s="1">
        <v>600</v>
      </c>
      <c r="S434">
        <v>320000</v>
      </c>
      <c r="T434">
        <v>16048</v>
      </c>
      <c r="U434" t="s">
        <v>814</v>
      </c>
      <c r="V434">
        <v>29280</v>
      </c>
      <c r="W434" s="1">
        <v>45549</v>
      </c>
      <c r="X434" s="1" t="s">
        <v>55</v>
      </c>
      <c r="Y434" s="1" t="s">
        <v>51</v>
      </c>
      <c r="Z434" s="1" t="s">
        <v>504</v>
      </c>
      <c r="AA434" s="1" t="s">
        <v>505</v>
      </c>
      <c r="AB434" s="1" t="s">
        <v>673</v>
      </c>
      <c r="AC434" s="1">
        <v>44816</v>
      </c>
      <c r="AD434" s="1">
        <v>44818</v>
      </c>
      <c r="AE434" s="1">
        <v>45342</v>
      </c>
      <c r="AF434" s="1"/>
      <c r="AG434" s="1" t="s">
        <v>352</v>
      </c>
      <c r="AH434" s="1" t="s">
        <v>674</v>
      </c>
      <c r="AI434" s="1"/>
      <c r="AJ434" s="31">
        <v>44818</v>
      </c>
      <c r="AK434"/>
      <c r="AL434"/>
      <c r="AM434"/>
      <c r="AN434"/>
      <c r="AO434"/>
      <c r="AP434"/>
      <c r="AQ434" s="81"/>
      <c r="AR434" s="81"/>
      <c r="AS434" s="81"/>
      <c r="AT434" s="81"/>
      <c r="AU434" s="81"/>
      <c r="AV434" s="81"/>
      <c r="AW434" s="81"/>
      <c r="AX434" s="81"/>
      <c r="AY434" s="81"/>
    </row>
    <row r="435" spans="1:51" hidden="1">
      <c r="A435" s="1" t="s">
        <v>2542</v>
      </c>
      <c r="B435" s="1">
        <v>220912</v>
      </c>
      <c r="C435" s="1">
        <v>5480</v>
      </c>
      <c r="D435" s="1" t="s">
        <v>846</v>
      </c>
      <c r="E435" s="1" t="s">
        <v>1232</v>
      </c>
      <c r="F435" t="s">
        <v>1240</v>
      </c>
      <c r="G435" t="s">
        <v>1514</v>
      </c>
      <c r="H435" s="1" t="s">
        <v>675</v>
      </c>
      <c r="I435" s="1" t="s">
        <v>676</v>
      </c>
      <c r="J435" s="1" t="s">
        <v>18</v>
      </c>
      <c r="K435" s="1" t="s">
        <v>50</v>
      </c>
      <c r="L435" s="1">
        <v>35646</v>
      </c>
      <c r="M435" s="1">
        <v>28</v>
      </c>
      <c r="N435" s="1">
        <v>1300</v>
      </c>
      <c r="P435" s="1">
        <v>1700</v>
      </c>
      <c r="Q435" s="1"/>
      <c r="R435" s="1">
        <v>400</v>
      </c>
      <c r="S435">
        <v>280000</v>
      </c>
      <c r="T435">
        <v>14042</v>
      </c>
      <c r="U435" t="s">
        <v>814</v>
      </c>
      <c r="V435">
        <v>25620</v>
      </c>
      <c r="W435" s="1">
        <v>46633</v>
      </c>
      <c r="X435" s="1" t="s">
        <v>55</v>
      </c>
      <c r="Y435" s="1" t="s">
        <v>51</v>
      </c>
      <c r="Z435" s="1" t="s">
        <v>1368</v>
      </c>
      <c r="AA435" s="1" t="s">
        <v>1369</v>
      </c>
      <c r="AB435" s="1" t="s">
        <v>1370</v>
      </c>
      <c r="AC435" s="1">
        <v>45186</v>
      </c>
      <c r="AD435" s="1">
        <v>44818</v>
      </c>
      <c r="AE435" s="1">
        <v>45677</v>
      </c>
      <c r="AF435" s="1"/>
      <c r="AG435" s="1" t="s">
        <v>352</v>
      </c>
      <c r="AH435" s="1" t="s">
        <v>674</v>
      </c>
      <c r="AI435" s="1"/>
      <c r="AJ435" s="31">
        <v>44818</v>
      </c>
      <c r="AK435"/>
      <c r="AL435"/>
      <c r="AM435"/>
      <c r="AN435"/>
      <c r="AO435"/>
      <c r="AP435"/>
      <c r="AQ435" s="81"/>
      <c r="AR435" s="81"/>
      <c r="AS435" s="81"/>
      <c r="AT435" s="81"/>
      <c r="AU435" s="81"/>
      <c r="AV435" s="81"/>
      <c r="AW435" s="81"/>
      <c r="AX435" s="81"/>
      <c r="AY435" s="81"/>
    </row>
    <row r="436" spans="1:51" s="81" customFormat="1" hidden="1">
      <c r="A436" s="1" t="s">
        <v>2542</v>
      </c>
      <c r="B436" s="1">
        <v>220913</v>
      </c>
      <c r="C436" s="1"/>
      <c r="D436" s="1" t="s">
        <v>414</v>
      </c>
      <c r="E436" s="1" t="s">
        <v>1065</v>
      </c>
      <c r="F436" t="s">
        <v>1083</v>
      </c>
      <c r="G436" t="s">
        <v>1068</v>
      </c>
      <c r="H436" s="1" t="s">
        <v>3511</v>
      </c>
      <c r="I436" s="1" t="s">
        <v>3512</v>
      </c>
      <c r="J436" s="1" t="s">
        <v>18</v>
      </c>
      <c r="K436" s="1" t="s">
        <v>137</v>
      </c>
      <c r="L436" s="1">
        <v>23650</v>
      </c>
      <c r="M436" s="1">
        <v>61</v>
      </c>
      <c r="N436" s="1">
        <v>1250</v>
      </c>
      <c r="O436" s="1"/>
      <c r="P436" s="1">
        <v>1650</v>
      </c>
      <c r="Q436" s="1"/>
      <c r="R436" s="1">
        <v>400</v>
      </c>
      <c r="S436"/>
      <c r="T436" t="s">
        <v>55</v>
      </c>
      <c r="U436" t="s">
        <v>814</v>
      </c>
      <c r="V436" t="s">
        <v>55</v>
      </c>
      <c r="W436" s="1"/>
      <c r="X436" s="1" t="s">
        <v>55</v>
      </c>
      <c r="Y436" s="1"/>
      <c r="Z436" s="1" t="s">
        <v>3513</v>
      </c>
      <c r="AA436" s="1" t="s">
        <v>3514</v>
      </c>
      <c r="AB436" s="1" t="s">
        <v>3515</v>
      </c>
      <c r="AC436" s="1" t="s">
        <v>53</v>
      </c>
      <c r="AD436" s="1">
        <v>44823</v>
      </c>
      <c r="AE436" s="1">
        <v>44904</v>
      </c>
      <c r="AF436" s="1"/>
      <c r="AG436" s="1" t="s">
        <v>352</v>
      </c>
      <c r="AH436" s="1" t="s">
        <v>674</v>
      </c>
      <c r="AI436" s="1"/>
      <c r="AJ436" s="31">
        <v>44823</v>
      </c>
      <c r="AK436"/>
      <c r="AL436"/>
      <c r="AM436"/>
      <c r="AN436"/>
      <c r="AO436"/>
      <c r="AP436"/>
    </row>
    <row r="437" spans="1:51" s="81" customFormat="1" hidden="1">
      <c r="A437" s="1" t="s">
        <v>2542</v>
      </c>
      <c r="B437" s="1">
        <v>220914</v>
      </c>
      <c r="C437" s="1">
        <v>5481</v>
      </c>
      <c r="D437" s="1" t="s">
        <v>846</v>
      </c>
      <c r="E437" s="1" t="s">
        <v>1232</v>
      </c>
      <c r="F437" t="s">
        <v>3489</v>
      </c>
      <c r="G437" t="s">
        <v>1514</v>
      </c>
      <c r="H437" s="1" t="s">
        <v>3516</v>
      </c>
      <c r="I437" s="1" t="s">
        <v>3517</v>
      </c>
      <c r="J437" s="1" t="s">
        <v>18</v>
      </c>
      <c r="K437" s="1" t="s">
        <v>50</v>
      </c>
      <c r="L437" s="1">
        <v>30926</v>
      </c>
      <c r="M437" s="1">
        <v>41</v>
      </c>
      <c r="N437" s="1">
        <v>1300</v>
      </c>
      <c r="O437" s="1"/>
      <c r="P437" s="1">
        <v>1700</v>
      </c>
      <c r="Q437" s="1"/>
      <c r="R437" s="1">
        <v>400</v>
      </c>
      <c r="S437">
        <v>260000</v>
      </c>
      <c r="T437">
        <v>13039</v>
      </c>
      <c r="U437">
        <v>2067</v>
      </c>
      <c r="V437">
        <v>23790</v>
      </c>
      <c r="W437" s="1">
        <v>45471</v>
      </c>
      <c r="X437" s="1" t="s">
        <v>55</v>
      </c>
      <c r="Y437" s="1" t="s">
        <v>51</v>
      </c>
      <c r="Z437" s="1" t="s">
        <v>3518</v>
      </c>
      <c r="AA437" s="1" t="s">
        <v>3519</v>
      </c>
      <c r="AB437" s="1" t="s">
        <v>3520</v>
      </c>
      <c r="AC437" s="1">
        <v>44820</v>
      </c>
      <c r="AD437" s="1">
        <v>44823</v>
      </c>
      <c r="AE437" s="1">
        <v>45315</v>
      </c>
      <c r="AF437" s="1"/>
      <c r="AG437" s="1" t="s">
        <v>352</v>
      </c>
      <c r="AH437" s="1" t="s">
        <v>674</v>
      </c>
      <c r="AI437" s="1"/>
      <c r="AJ437" s="31">
        <v>44823</v>
      </c>
      <c r="AK437"/>
      <c r="AL437"/>
      <c r="AM437"/>
      <c r="AN437"/>
      <c r="AO437"/>
      <c r="AP437"/>
    </row>
    <row r="438" spans="1:51" s="81" customFormat="1" hidden="1">
      <c r="A438" s="1" t="s">
        <v>49</v>
      </c>
      <c r="B438" s="1">
        <v>220915</v>
      </c>
      <c r="C438" s="1">
        <v>5482</v>
      </c>
      <c r="D438" s="1" t="s">
        <v>846</v>
      </c>
      <c r="E438" s="1" t="s">
        <v>1585</v>
      </c>
      <c r="F438" t="s">
        <v>1273</v>
      </c>
      <c r="G438" t="s">
        <v>1514</v>
      </c>
      <c r="H438" s="1" t="s">
        <v>564</v>
      </c>
      <c r="I438" s="1" t="s">
        <v>565</v>
      </c>
      <c r="J438" s="1" t="s">
        <v>18</v>
      </c>
      <c r="K438" s="1" t="s">
        <v>50</v>
      </c>
      <c r="L438" s="1">
        <v>31900</v>
      </c>
      <c r="M438" s="1">
        <v>38</v>
      </c>
      <c r="N438" s="1">
        <v>1330</v>
      </c>
      <c r="O438" s="1" t="s">
        <v>4355</v>
      </c>
      <c r="P438" s="1">
        <v>1745</v>
      </c>
      <c r="Q438" s="1" t="s">
        <v>4356</v>
      </c>
      <c r="R438" s="1">
        <v>415</v>
      </c>
      <c r="S438">
        <v>280000</v>
      </c>
      <c r="T438">
        <v>14042</v>
      </c>
      <c r="U438" t="s">
        <v>814</v>
      </c>
      <c r="V438">
        <v>25620</v>
      </c>
      <c r="W438" s="1">
        <v>46164</v>
      </c>
      <c r="X438" s="1" t="s">
        <v>55</v>
      </c>
      <c r="Y438" s="1" t="s">
        <v>51</v>
      </c>
      <c r="Z438" s="1" t="s">
        <v>4275</v>
      </c>
      <c r="AA438" s="1" t="s">
        <v>4276</v>
      </c>
      <c r="AB438" s="1" t="s">
        <v>4277</v>
      </c>
      <c r="AC438" s="1">
        <v>44820</v>
      </c>
      <c r="AD438" s="1">
        <v>44823</v>
      </c>
      <c r="AE438" s="1"/>
      <c r="AF438" s="1"/>
      <c r="AG438" s="1" t="s">
        <v>352</v>
      </c>
      <c r="AH438" s="1" t="s">
        <v>674</v>
      </c>
      <c r="AI438" s="1"/>
      <c r="AJ438" s="31">
        <v>44823</v>
      </c>
      <c r="AK438"/>
      <c r="AL438"/>
      <c r="AM438"/>
      <c r="AN438"/>
      <c r="AO438"/>
      <c r="AP438"/>
    </row>
    <row r="439" spans="1:51" hidden="1">
      <c r="A439" s="1" t="s">
        <v>2542</v>
      </c>
      <c r="B439" s="1">
        <v>220916</v>
      </c>
      <c r="D439" s="1" t="s">
        <v>436</v>
      </c>
      <c r="E439" s="1" t="s">
        <v>503</v>
      </c>
      <c r="F439"/>
      <c r="G439"/>
      <c r="H439" s="1" t="s">
        <v>677</v>
      </c>
      <c r="I439" s="1" t="s">
        <v>678</v>
      </c>
      <c r="J439" s="1" t="s">
        <v>18</v>
      </c>
      <c r="K439" s="1" t="s">
        <v>50</v>
      </c>
      <c r="L439" s="1">
        <v>34617</v>
      </c>
      <c r="M439" s="1">
        <v>31</v>
      </c>
      <c r="N439" s="1">
        <v>1600</v>
      </c>
      <c r="P439" s="1">
        <v>2100</v>
      </c>
      <c r="Q439" s="1" t="s">
        <v>3474</v>
      </c>
      <c r="R439" s="1">
        <v>500</v>
      </c>
      <c r="S439">
        <v>360000</v>
      </c>
      <c r="T439">
        <v>18054</v>
      </c>
      <c r="U439" t="s">
        <v>814</v>
      </c>
      <c r="V439">
        <v>32940</v>
      </c>
      <c r="W439" s="1">
        <v>46644</v>
      </c>
      <c r="X439" s="1" t="s">
        <v>55</v>
      </c>
      <c r="Y439" s="1" t="s">
        <v>51</v>
      </c>
      <c r="Z439" s="1" t="s">
        <v>504</v>
      </c>
      <c r="AA439" s="1" t="s">
        <v>505</v>
      </c>
      <c r="AB439" s="1" t="s">
        <v>523</v>
      </c>
      <c r="AC439" s="1">
        <v>44816</v>
      </c>
      <c r="AD439" s="1">
        <v>44825</v>
      </c>
      <c r="AE439" s="1">
        <v>45814</v>
      </c>
      <c r="AF439" s="1"/>
      <c r="AG439" s="1" t="s">
        <v>352</v>
      </c>
      <c r="AH439" s="1" t="s">
        <v>679</v>
      </c>
      <c r="AI439" s="1" t="s">
        <v>849</v>
      </c>
      <c r="AJ439" s="31">
        <v>44825</v>
      </c>
      <c r="AK439"/>
      <c r="AL439"/>
      <c r="AM439"/>
      <c r="AN439"/>
      <c r="AO439"/>
      <c r="AP439"/>
      <c r="AQ439" s="81"/>
      <c r="AR439" s="81"/>
      <c r="AS439" s="81"/>
      <c r="AT439" s="81"/>
      <c r="AU439" s="81"/>
      <c r="AV439" s="81"/>
      <c r="AW439" s="81"/>
      <c r="AX439" s="81"/>
      <c r="AY439" s="81"/>
    </row>
    <row r="440" spans="1:51" hidden="1">
      <c r="A440" s="1" t="s">
        <v>2542</v>
      </c>
      <c r="B440" s="1">
        <v>220917</v>
      </c>
      <c r="D440" s="1" t="s">
        <v>436</v>
      </c>
      <c r="F440"/>
      <c r="G440"/>
      <c r="H440" s="1" t="s">
        <v>3521</v>
      </c>
      <c r="I440" s="1" t="s">
        <v>3522</v>
      </c>
      <c r="J440" s="1" t="s">
        <v>18</v>
      </c>
      <c r="K440" s="1" t="s">
        <v>50</v>
      </c>
      <c r="L440" s="1">
        <v>33963</v>
      </c>
      <c r="M440" s="1">
        <v>32</v>
      </c>
      <c r="N440" s="1">
        <v>1400</v>
      </c>
      <c r="P440" s="1">
        <v>2000</v>
      </c>
      <c r="Q440" s="1"/>
      <c r="R440" s="1">
        <v>600</v>
      </c>
      <c r="S440">
        <v>340000</v>
      </c>
      <c r="T440">
        <v>17051</v>
      </c>
      <c r="U440" t="s">
        <v>814</v>
      </c>
      <c r="V440">
        <v>31110</v>
      </c>
      <c r="W440" s="1">
        <v>45549</v>
      </c>
      <c r="X440" s="1" t="s">
        <v>55</v>
      </c>
      <c r="Y440" s="1" t="s">
        <v>51</v>
      </c>
      <c r="Z440" s="1" t="s">
        <v>504</v>
      </c>
      <c r="AA440" s="1" t="s">
        <v>505</v>
      </c>
      <c r="AB440" s="1" t="s">
        <v>2513</v>
      </c>
      <c r="AC440" s="1">
        <v>44816</v>
      </c>
      <c r="AD440" s="1">
        <v>44825</v>
      </c>
      <c r="AE440" s="1">
        <v>45350</v>
      </c>
      <c r="AF440" s="1"/>
      <c r="AG440" s="1" t="s">
        <v>352</v>
      </c>
      <c r="AH440" s="1" t="s">
        <v>679</v>
      </c>
      <c r="AI440" s="1"/>
      <c r="AJ440" s="31">
        <v>44825</v>
      </c>
      <c r="AK440"/>
      <c r="AL440"/>
      <c r="AM440"/>
      <c r="AN440"/>
      <c r="AO440"/>
      <c r="AP440"/>
      <c r="AQ440" s="81"/>
      <c r="AR440" s="81"/>
      <c r="AS440" s="81"/>
      <c r="AT440" s="81"/>
      <c r="AU440" s="81"/>
      <c r="AV440" s="81"/>
      <c r="AW440" s="81"/>
      <c r="AX440" s="81"/>
      <c r="AY440" s="81"/>
    </row>
    <row r="441" spans="1:51" hidden="1">
      <c r="A441" s="1" t="s">
        <v>2542</v>
      </c>
      <c r="B441" s="1">
        <v>220918</v>
      </c>
      <c r="C441" s="1">
        <v>232082</v>
      </c>
      <c r="D441" s="1" t="s">
        <v>83</v>
      </c>
      <c r="E441" s="1" t="s">
        <v>307</v>
      </c>
      <c r="F441" t="s">
        <v>2251</v>
      </c>
      <c r="G441" t="s">
        <v>2252</v>
      </c>
      <c r="H441" s="1" t="s">
        <v>680</v>
      </c>
      <c r="I441" s="1" t="s">
        <v>681</v>
      </c>
      <c r="J441" s="1" t="s">
        <v>18</v>
      </c>
      <c r="K441" s="1" t="s">
        <v>50</v>
      </c>
      <c r="L441" s="1">
        <v>36871</v>
      </c>
      <c r="M441" s="1">
        <v>24</v>
      </c>
      <c r="N441" s="1">
        <v>1320</v>
      </c>
      <c r="P441" s="1">
        <v>1740</v>
      </c>
      <c r="Q441" s="1"/>
      <c r="R441" s="1">
        <v>420</v>
      </c>
      <c r="S441">
        <v>300000</v>
      </c>
      <c r="T441">
        <v>15045</v>
      </c>
      <c r="U441" t="s">
        <v>814</v>
      </c>
      <c r="V441">
        <v>27450</v>
      </c>
      <c r="W441" s="1">
        <v>46281</v>
      </c>
      <c r="X441" s="1" t="s">
        <v>55</v>
      </c>
      <c r="Y441" s="1" t="s">
        <v>51</v>
      </c>
      <c r="Z441" s="1" t="s">
        <v>264</v>
      </c>
      <c r="AA441" s="1" t="s">
        <v>758</v>
      </c>
      <c r="AB441" s="1" t="s">
        <v>759</v>
      </c>
      <c r="AC441" s="1">
        <v>44849</v>
      </c>
      <c r="AD441" s="1">
        <v>44827</v>
      </c>
      <c r="AE441" s="1">
        <v>45804</v>
      </c>
      <c r="AF441" s="1"/>
      <c r="AG441" s="1" t="s">
        <v>352</v>
      </c>
      <c r="AH441" s="1" t="s">
        <v>679</v>
      </c>
      <c r="AI441" s="1"/>
      <c r="AJ441" s="31">
        <v>44827</v>
      </c>
      <c r="AK441"/>
      <c r="AL441"/>
      <c r="AM441"/>
      <c r="AN441"/>
      <c r="AO441"/>
      <c r="AP441"/>
      <c r="AQ441" s="81"/>
      <c r="AR441" s="81"/>
      <c r="AS441" s="81"/>
      <c r="AT441" s="81"/>
      <c r="AU441" s="81"/>
      <c r="AV441" s="81"/>
      <c r="AW441" s="81"/>
      <c r="AX441" s="81"/>
      <c r="AY441" s="81"/>
    </row>
    <row r="442" spans="1:51" hidden="1">
      <c r="A442" s="1" t="s">
        <v>2542</v>
      </c>
      <c r="B442" s="1">
        <v>220919</v>
      </c>
      <c r="C442" s="1">
        <v>232083</v>
      </c>
      <c r="D442" s="1" t="s">
        <v>83</v>
      </c>
      <c r="E442" s="1" t="s">
        <v>307</v>
      </c>
      <c r="F442" t="s">
        <v>2251</v>
      </c>
      <c r="G442" t="s">
        <v>2252</v>
      </c>
      <c r="H442" s="1" t="s">
        <v>682</v>
      </c>
      <c r="I442" s="1" t="s">
        <v>683</v>
      </c>
      <c r="J442" s="1" t="s">
        <v>18</v>
      </c>
      <c r="K442" s="1" t="s">
        <v>50</v>
      </c>
      <c r="L442" s="1">
        <v>36871</v>
      </c>
      <c r="M442" s="1">
        <v>24</v>
      </c>
      <c r="N442" s="1">
        <v>1320</v>
      </c>
      <c r="P442" s="1">
        <v>1740</v>
      </c>
      <c r="Q442" s="1"/>
      <c r="R442" s="1">
        <v>420</v>
      </c>
      <c r="S442">
        <v>320000</v>
      </c>
      <c r="T442">
        <v>16048</v>
      </c>
      <c r="U442" t="s">
        <v>814</v>
      </c>
      <c r="V442">
        <v>29280</v>
      </c>
      <c r="W442" s="1">
        <v>46281</v>
      </c>
      <c r="X442" s="1" t="s">
        <v>55</v>
      </c>
      <c r="Y442" s="1" t="s">
        <v>51</v>
      </c>
      <c r="Z442" s="1" t="s">
        <v>264</v>
      </c>
      <c r="AA442" s="1" t="s">
        <v>758</v>
      </c>
      <c r="AB442" s="1" t="s">
        <v>759</v>
      </c>
      <c r="AC442" s="1">
        <v>44849</v>
      </c>
      <c r="AD442" s="1">
        <v>44827</v>
      </c>
      <c r="AE442" s="1">
        <v>45807</v>
      </c>
      <c r="AF442" s="1"/>
      <c r="AG442" s="1" t="s">
        <v>352</v>
      </c>
      <c r="AH442" s="1" t="s">
        <v>679</v>
      </c>
      <c r="AI442" s="1"/>
      <c r="AJ442" s="31">
        <v>44827</v>
      </c>
      <c r="AK442"/>
      <c r="AL442"/>
      <c r="AM442"/>
      <c r="AN442"/>
      <c r="AO442"/>
      <c r="AP442"/>
      <c r="AQ442" s="81"/>
      <c r="AR442" s="81"/>
      <c r="AS442" s="81"/>
      <c r="AT442" s="81"/>
      <c r="AU442" s="81"/>
      <c r="AV442" s="81"/>
      <c r="AW442" s="81"/>
      <c r="AX442" s="81"/>
      <c r="AY442" s="81"/>
    </row>
    <row r="443" spans="1:51" hidden="1">
      <c r="A443" s="1" t="s">
        <v>2542</v>
      </c>
      <c r="B443" s="1">
        <v>220920</v>
      </c>
      <c r="C443" s="1">
        <v>232081</v>
      </c>
      <c r="D443" s="1" t="s">
        <v>83</v>
      </c>
      <c r="E443" s="1" t="s">
        <v>307</v>
      </c>
      <c r="F443" t="s">
        <v>2655</v>
      </c>
      <c r="G443" t="s">
        <v>2656</v>
      </c>
      <c r="H443" s="1" t="s">
        <v>3523</v>
      </c>
      <c r="I443" s="1" t="s">
        <v>3524</v>
      </c>
      <c r="J443" s="1" t="s">
        <v>18</v>
      </c>
      <c r="K443" s="1" t="s">
        <v>50</v>
      </c>
      <c r="L443" s="1">
        <v>36859</v>
      </c>
      <c r="M443" s="1">
        <v>25</v>
      </c>
      <c r="N443" s="1">
        <v>1300</v>
      </c>
      <c r="P443" s="1">
        <v>1660</v>
      </c>
      <c r="Q443" s="1"/>
      <c r="R443" s="1">
        <v>360</v>
      </c>
      <c r="S443">
        <v>280000</v>
      </c>
      <c r="T443">
        <v>14042</v>
      </c>
      <c r="U443" t="s">
        <v>814</v>
      </c>
      <c r="V443">
        <v>25620</v>
      </c>
      <c r="W443" s="1">
        <v>46281</v>
      </c>
      <c r="X443" s="1" t="s">
        <v>55</v>
      </c>
      <c r="Y443" s="1" t="s">
        <v>51</v>
      </c>
      <c r="Z443" s="1" t="s">
        <v>264</v>
      </c>
      <c r="AA443" s="1" t="s">
        <v>3405</v>
      </c>
      <c r="AB443" s="1" t="s">
        <v>3406</v>
      </c>
      <c r="AC443" s="1">
        <v>44820</v>
      </c>
      <c r="AD443" s="1">
        <v>44827</v>
      </c>
      <c r="AE443" s="1">
        <v>45275</v>
      </c>
      <c r="AF443" s="1"/>
      <c r="AG443" s="1" t="s">
        <v>352</v>
      </c>
      <c r="AH443" s="1" t="s">
        <v>679</v>
      </c>
      <c r="AI443" s="1"/>
      <c r="AJ443" s="31">
        <v>44827</v>
      </c>
      <c r="AK443"/>
      <c r="AL443"/>
      <c r="AM443"/>
      <c r="AN443"/>
      <c r="AO443"/>
      <c r="AP443"/>
      <c r="AQ443" s="81"/>
      <c r="AR443" s="81"/>
      <c r="AS443" s="81"/>
      <c r="AT443" s="81"/>
      <c r="AU443" s="81"/>
      <c r="AV443" s="81"/>
      <c r="AW443" s="81"/>
      <c r="AX443" s="81"/>
      <c r="AY443" s="81"/>
    </row>
    <row r="444" spans="1:51" hidden="1">
      <c r="A444" s="1" t="s">
        <v>49</v>
      </c>
      <c r="B444" s="1">
        <v>220921</v>
      </c>
      <c r="D444" s="1" t="s">
        <v>813</v>
      </c>
      <c r="E444" s="1" t="s">
        <v>1268</v>
      </c>
      <c r="F444" s="1" t="s">
        <v>1269</v>
      </c>
      <c r="G444" s="1" t="s">
        <v>1266</v>
      </c>
      <c r="H444" s="1" t="s">
        <v>684</v>
      </c>
      <c r="I444" s="1" t="s">
        <v>685</v>
      </c>
      <c r="J444" s="1" t="s">
        <v>18</v>
      </c>
      <c r="K444" s="1" t="s">
        <v>50</v>
      </c>
      <c r="L444" s="1">
        <v>35737</v>
      </c>
      <c r="M444" s="1">
        <v>28</v>
      </c>
      <c r="N444" s="1">
        <v>1300</v>
      </c>
      <c r="P444" s="1">
        <v>1800</v>
      </c>
      <c r="Q444" s="1"/>
      <c r="R444" s="1">
        <v>500</v>
      </c>
      <c r="S444" s="1">
        <v>240000</v>
      </c>
      <c r="T444" s="1">
        <v>12036</v>
      </c>
      <c r="U444" s="1" t="s">
        <v>814</v>
      </c>
      <c r="V444" s="1">
        <v>21960</v>
      </c>
      <c r="W444" s="1">
        <v>46281</v>
      </c>
      <c r="X444" s="1" t="s">
        <v>55</v>
      </c>
      <c r="Y444" s="1" t="s">
        <v>51</v>
      </c>
      <c r="Z444" s="1" t="s">
        <v>52</v>
      </c>
      <c r="AA444" s="1" t="s">
        <v>816</v>
      </c>
      <c r="AB444" s="1" t="s">
        <v>124</v>
      </c>
      <c r="AC444" s="1">
        <v>44827</v>
      </c>
      <c r="AD444" s="1">
        <v>44830</v>
      </c>
      <c r="AE444" s="1"/>
      <c r="AF444" s="1"/>
      <c r="AG444" s="1" t="s">
        <v>352</v>
      </c>
      <c r="AH444" s="1" t="s">
        <v>760</v>
      </c>
      <c r="AI444" s="1" t="s">
        <v>850</v>
      </c>
      <c r="AJ444" s="31">
        <v>44830</v>
      </c>
      <c r="AK444"/>
      <c r="AL444"/>
      <c r="AM444"/>
      <c r="AN444"/>
      <c r="AO444"/>
      <c r="AP444"/>
      <c r="AQ444" s="81"/>
      <c r="AR444" s="81"/>
      <c r="AS444" s="81"/>
      <c r="AT444" s="81"/>
      <c r="AU444" s="81"/>
      <c r="AV444" s="81"/>
      <c r="AW444" s="81"/>
      <c r="AX444" s="81"/>
      <c r="AY444" s="81"/>
    </row>
    <row r="445" spans="1:51" hidden="1">
      <c r="A445" s="1" t="s">
        <v>2542</v>
      </c>
      <c r="B445" s="1">
        <v>220922</v>
      </c>
      <c r="C445" s="1">
        <v>5493</v>
      </c>
      <c r="D445" s="1" t="s">
        <v>846</v>
      </c>
      <c r="E445" s="1" t="s">
        <v>1234</v>
      </c>
      <c r="F445" t="s">
        <v>3525</v>
      </c>
      <c r="G445" t="s">
        <v>3492</v>
      </c>
      <c r="H445" s="1" t="s">
        <v>3526</v>
      </c>
      <c r="I445" s="1" t="s">
        <v>3527</v>
      </c>
      <c r="J445" s="1" t="s">
        <v>18</v>
      </c>
      <c r="K445" s="1" t="s">
        <v>50</v>
      </c>
      <c r="L445" s="1">
        <v>34978</v>
      </c>
      <c r="M445" s="1">
        <v>30</v>
      </c>
      <c r="N445" s="1">
        <v>1300</v>
      </c>
      <c r="P445" s="1">
        <v>1700</v>
      </c>
      <c r="Q445" s="1"/>
      <c r="R445" s="1">
        <v>400</v>
      </c>
      <c r="S445">
        <v>300000</v>
      </c>
      <c r="T445">
        <v>15045</v>
      </c>
      <c r="U445" t="s">
        <v>814</v>
      </c>
      <c r="V445">
        <v>27450</v>
      </c>
      <c r="W445" s="1">
        <v>46128</v>
      </c>
      <c r="X445" s="1" t="s">
        <v>55</v>
      </c>
      <c r="Y445" s="1" t="s">
        <v>51</v>
      </c>
      <c r="Z445" s="1" t="s">
        <v>3528</v>
      </c>
      <c r="AA445" s="1" t="s">
        <v>3529</v>
      </c>
      <c r="AB445" s="1" t="s">
        <v>3530</v>
      </c>
      <c r="AC445" s="1"/>
      <c r="AD445" s="1">
        <v>44830</v>
      </c>
      <c r="AE445" s="1">
        <v>45198</v>
      </c>
      <c r="AF445" s="1"/>
      <c r="AG445" s="1" t="s">
        <v>352</v>
      </c>
      <c r="AH445" s="1" t="s">
        <v>760</v>
      </c>
      <c r="AI445" s="1"/>
      <c r="AJ445" s="31">
        <v>44830</v>
      </c>
      <c r="AK445"/>
      <c r="AL445"/>
      <c r="AM445"/>
      <c r="AN445"/>
      <c r="AO445"/>
      <c r="AP445"/>
      <c r="AQ445" s="81"/>
      <c r="AR445" s="81"/>
      <c r="AS445" s="81"/>
      <c r="AT445" s="81"/>
      <c r="AU445" s="81"/>
      <c r="AV445" s="81"/>
      <c r="AW445" s="81"/>
      <c r="AX445" s="81"/>
      <c r="AY445" s="81"/>
    </row>
    <row r="446" spans="1:51" hidden="1">
      <c r="A446" s="1" t="s">
        <v>2542</v>
      </c>
      <c r="B446" s="1">
        <v>210306</v>
      </c>
      <c r="D446" s="1" t="s">
        <v>464</v>
      </c>
      <c r="F446"/>
      <c r="G446"/>
      <c r="H446" s="1" t="s">
        <v>2709</v>
      </c>
      <c r="I446" s="1" t="s">
        <v>2710</v>
      </c>
      <c r="J446" s="1" t="s">
        <v>18</v>
      </c>
      <c r="K446" s="1" t="s">
        <v>50</v>
      </c>
      <c r="L446" s="1">
        <v>33294</v>
      </c>
      <c r="M446" s="1">
        <v>34</v>
      </c>
      <c r="N446" s="1">
        <v>1450</v>
      </c>
      <c r="P446" s="1">
        <v>2100</v>
      </c>
      <c r="Q446" s="1" t="s">
        <v>3463</v>
      </c>
      <c r="R446" s="1">
        <v>650</v>
      </c>
      <c r="S446">
        <v>240000</v>
      </c>
      <c r="T446">
        <v>12036</v>
      </c>
      <c r="U446" t="s">
        <v>814</v>
      </c>
      <c r="V446">
        <v>21960</v>
      </c>
      <c r="W446" s="1">
        <v>45850</v>
      </c>
      <c r="X446" s="1" t="s">
        <v>55</v>
      </c>
      <c r="Y446" s="1" t="s">
        <v>51</v>
      </c>
      <c r="Z446" s="1" t="s">
        <v>489</v>
      </c>
      <c r="AA446" s="1" t="s">
        <v>2905</v>
      </c>
      <c r="AB446" s="1" t="s">
        <v>3531</v>
      </c>
      <c r="AC446" s="1" t="s">
        <v>53</v>
      </c>
      <c r="AD446" s="1">
        <v>44831</v>
      </c>
      <c r="AE446" s="1">
        <v>45367</v>
      </c>
      <c r="AF446" s="1"/>
      <c r="AG446" s="1" t="s">
        <v>352</v>
      </c>
      <c r="AH446" s="1" t="s">
        <v>760</v>
      </c>
      <c r="AI446" s="1"/>
      <c r="AJ446" s="31">
        <v>44831</v>
      </c>
      <c r="AK446"/>
      <c r="AL446"/>
      <c r="AM446"/>
      <c r="AN446"/>
      <c r="AO446"/>
      <c r="AP446"/>
      <c r="AQ446" s="81"/>
      <c r="AR446" s="81"/>
      <c r="AS446" s="81"/>
      <c r="AT446" s="81"/>
      <c r="AU446" s="81"/>
      <c r="AV446" s="81"/>
      <c r="AW446" s="81"/>
      <c r="AX446" s="81"/>
      <c r="AY446" s="81"/>
    </row>
    <row r="447" spans="1:51" hidden="1">
      <c r="A447" s="1" t="s">
        <v>2542</v>
      </c>
      <c r="B447" s="1">
        <v>220923</v>
      </c>
      <c r="D447" s="1" t="s">
        <v>83</v>
      </c>
      <c r="F447"/>
      <c r="G447"/>
      <c r="H447" s="1" t="s">
        <v>3532</v>
      </c>
      <c r="I447" s="1" t="s">
        <v>686</v>
      </c>
      <c r="J447" s="1" t="s">
        <v>18</v>
      </c>
      <c r="K447" s="1" t="s">
        <v>50</v>
      </c>
      <c r="L447" s="1">
        <v>36686</v>
      </c>
      <c r="M447" s="1">
        <v>25</v>
      </c>
      <c r="N447" s="1">
        <v>1200</v>
      </c>
      <c r="P447" s="1">
        <v>1650</v>
      </c>
      <c r="Q447" s="1"/>
      <c r="R447" s="1">
        <v>450</v>
      </c>
      <c r="S447"/>
      <c r="T447" t="s">
        <v>55</v>
      </c>
      <c r="U447" t="s">
        <v>814</v>
      </c>
      <c r="V447" t="s">
        <v>55</v>
      </c>
      <c r="W447" s="1">
        <v>45192</v>
      </c>
      <c r="X447" s="1" t="s">
        <v>55</v>
      </c>
      <c r="Y447" s="1" t="s">
        <v>51</v>
      </c>
      <c r="Z447" s="1" t="s">
        <v>264</v>
      </c>
      <c r="AA447" s="1" t="s">
        <v>3405</v>
      </c>
      <c r="AB447" s="1" t="s">
        <v>3406</v>
      </c>
      <c r="AC447" s="1"/>
      <c r="AD447" s="1">
        <v>44834</v>
      </c>
      <c r="AE447" s="1">
        <v>44839</v>
      </c>
      <c r="AF447" s="1"/>
      <c r="AG447" s="1" t="s">
        <v>352</v>
      </c>
      <c r="AH447" s="1" t="s">
        <v>760</v>
      </c>
      <c r="AI447" s="1"/>
      <c r="AJ447" s="31">
        <v>44834</v>
      </c>
      <c r="AK447"/>
      <c r="AL447"/>
      <c r="AM447"/>
      <c r="AN447"/>
      <c r="AO447"/>
      <c r="AP447"/>
      <c r="AQ447" s="81"/>
      <c r="AR447" s="81"/>
      <c r="AS447" s="81"/>
      <c r="AT447" s="81"/>
      <c r="AU447" s="81"/>
      <c r="AV447" s="81"/>
      <c r="AW447" s="81"/>
      <c r="AX447" s="81"/>
      <c r="AY447" s="81"/>
    </row>
    <row r="448" spans="1:51" hidden="1">
      <c r="A448" s="1" t="s">
        <v>49</v>
      </c>
      <c r="B448" s="1">
        <v>220314</v>
      </c>
      <c r="C448" s="1">
        <v>222042</v>
      </c>
      <c r="D448" s="1" t="s">
        <v>813</v>
      </c>
      <c r="E448" s="1" t="s">
        <v>1268</v>
      </c>
      <c r="F448" t="s">
        <v>1269</v>
      </c>
      <c r="G448" t="s">
        <v>1266</v>
      </c>
      <c r="H448" s="1" t="s">
        <v>233</v>
      </c>
      <c r="I448" s="1" t="s">
        <v>234</v>
      </c>
      <c r="J448" s="1" t="s">
        <v>18</v>
      </c>
      <c r="K448" s="1" t="s">
        <v>50</v>
      </c>
      <c r="L448" s="1">
        <v>34424</v>
      </c>
      <c r="M448" s="1">
        <v>31</v>
      </c>
      <c r="N448" s="1">
        <v>1300</v>
      </c>
      <c r="P448" s="1">
        <v>1800</v>
      </c>
      <c r="Q448" s="1"/>
      <c r="R448" s="1">
        <v>500</v>
      </c>
      <c r="S448">
        <v>220000</v>
      </c>
      <c r="T448">
        <v>11033</v>
      </c>
      <c r="U448" t="s">
        <v>814</v>
      </c>
      <c r="V448">
        <v>20130</v>
      </c>
      <c r="W448" s="1">
        <v>46742</v>
      </c>
      <c r="X448" s="1" t="s">
        <v>55</v>
      </c>
      <c r="Y448" s="1" t="s">
        <v>51</v>
      </c>
      <c r="Z448" s="1" t="s">
        <v>52</v>
      </c>
      <c r="AA448" s="1" t="s">
        <v>816</v>
      </c>
      <c r="AB448" s="1" t="s">
        <v>1100</v>
      </c>
      <c r="AC448" s="1">
        <v>44835</v>
      </c>
      <c r="AD448" s="1">
        <v>44837</v>
      </c>
      <c r="AE448" s="1"/>
      <c r="AF448" s="1"/>
      <c r="AG448" s="1">
        <v>22.05</v>
      </c>
      <c r="AH448" s="1" t="s">
        <v>54</v>
      </c>
      <c r="AI448" s="1" t="s">
        <v>1371</v>
      </c>
      <c r="AJ448" s="31">
        <v>44837</v>
      </c>
      <c r="AK448"/>
      <c r="AL448"/>
      <c r="AM448"/>
      <c r="AN448"/>
      <c r="AO448"/>
      <c r="AP448"/>
      <c r="AQ448" s="81"/>
      <c r="AR448" s="81"/>
      <c r="AS448" s="81"/>
      <c r="AT448" s="81"/>
      <c r="AU448" s="81"/>
      <c r="AV448" s="81"/>
      <c r="AW448" s="81"/>
      <c r="AX448" s="81"/>
      <c r="AY448" s="81"/>
    </row>
    <row r="449" spans="1:51" hidden="1">
      <c r="A449" s="1" t="s">
        <v>2542</v>
      </c>
      <c r="B449" s="1">
        <v>221001</v>
      </c>
      <c r="C449" s="1">
        <v>6546</v>
      </c>
      <c r="D449" s="1" t="s">
        <v>688</v>
      </c>
      <c r="E449" s="1" t="s">
        <v>851</v>
      </c>
      <c r="F449" t="s">
        <v>851</v>
      </c>
      <c r="G449" t="s">
        <v>1183</v>
      </c>
      <c r="H449" s="1" t="s">
        <v>689</v>
      </c>
      <c r="I449" s="1" t="s">
        <v>690</v>
      </c>
      <c r="J449" s="1" t="s">
        <v>18</v>
      </c>
      <c r="K449" s="1" t="s">
        <v>50</v>
      </c>
      <c r="L449" s="1">
        <v>35097</v>
      </c>
      <c r="M449" s="1">
        <v>29</v>
      </c>
      <c r="N449" s="1">
        <v>1400</v>
      </c>
      <c r="P449" s="1">
        <v>1900</v>
      </c>
      <c r="Q449" s="1"/>
      <c r="R449" s="1">
        <v>500</v>
      </c>
      <c r="S449">
        <v>240000</v>
      </c>
      <c r="T449">
        <v>12036</v>
      </c>
      <c r="U449" t="s">
        <v>814</v>
      </c>
      <c r="V449">
        <v>21960</v>
      </c>
      <c r="W449" s="1">
        <v>46058</v>
      </c>
      <c r="X449" s="1" t="s">
        <v>55</v>
      </c>
      <c r="Y449" s="1" t="s">
        <v>51</v>
      </c>
      <c r="Z449" s="1" t="s">
        <v>761</v>
      </c>
      <c r="AA449" s="1" t="s">
        <v>762</v>
      </c>
      <c r="AB449" s="1" t="s">
        <v>763</v>
      </c>
      <c r="AC449" s="1">
        <v>44833</v>
      </c>
      <c r="AD449" s="1">
        <v>44837</v>
      </c>
      <c r="AE449" s="1">
        <v>45765</v>
      </c>
      <c r="AF449" s="1"/>
      <c r="AG449" s="1" t="s">
        <v>764</v>
      </c>
      <c r="AH449" s="1" t="s">
        <v>765</v>
      </c>
      <c r="AI449" s="1"/>
      <c r="AJ449" s="31">
        <v>44837</v>
      </c>
      <c r="AK449"/>
      <c r="AL449"/>
      <c r="AM449"/>
      <c r="AN449"/>
      <c r="AO449"/>
      <c r="AP449"/>
      <c r="AQ449" s="81"/>
      <c r="AR449" s="81"/>
      <c r="AS449" s="81"/>
      <c r="AT449" s="81"/>
      <c r="AU449" s="81"/>
      <c r="AV449" s="81"/>
      <c r="AW449" s="81"/>
      <c r="AX449" s="81"/>
      <c r="AY449" s="81"/>
    </row>
    <row r="450" spans="1:51" hidden="1">
      <c r="A450" s="1" t="s">
        <v>2542</v>
      </c>
      <c r="B450" s="1">
        <v>221002</v>
      </c>
      <c r="C450" s="1">
        <v>6547</v>
      </c>
      <c r="D450" s="1" t="s">
        <v>688</v>
      </c>
      <c r="E450" s="1" t="s">
        <v>851</v>
      </c>
      <c r="F450" t="s">
        <v>851</v>
      </c>
      <c r="G450" t="s">
        <v>1183</v>
      </c>
      <c r="H450" s="1" t="s">
        <v>766</v>
      </c>
      <c r="I450" s="1" t="s">
        <v>767</v>
      </c>
      <c r="J450" s="1" t="s">
        <v>18</v>
      </c>
      <c r="K450" s="1" t="s">
        <v>50</v>
      </c>
      <c r="L450" s="1">
        <v>31801</v>
      </c>
      <c r="M450" s="1">
        <v>38</v>
      </c>
      <c r="N450" s="1">
        <v>1400</v>
      </c>
      <c r="P450" s="1">
        <v>1900</v>
      </c>
      <c r="Q450" s="1"/>
      <c r="R450" s="1">
        <v>500</v>
      </c>
      <c r="S450">
        <v>260000</v>
      </c>
      <c r="T450">
        <v>13039</v>
      </c>
      <c r="U450" t="s">
        <v>814</v>
      </c>
      <c r="V450">
        <v>23790</v>
      </c>
      <c r="W450" s="1">
        <v>45911</v>
      </c>
      <c r="X450" s="1" t="s">
        <v>55</v>
      </c>
      <c r="Y450" s="1" t="s">
        <v>51</v>
      </c>
      <c r="Z450" s="1" t="s">
        <v>761</v>
      </c>
      <c r="AA450" s="1" t="s">
        <v>762</v>
      </c>
      <c r="AB450" s="1" t="s">
        <v>763</v>
      </c>
      <c r="AC450" s="1">
        <v>44833</v>
      </c>
      <c r="AD450" s="1">
        <v>44837</v>
      </c>
      <c r="AE450" s="1">
        <v>45595</v>
      </c>
      <c r="AF450" s="1"/>
      <c r="AG450" s="1" t="s">
        <v>764</v>
      </c>
      <c r="AH450" s="1" t="s">
        <v>765</v>
      </c>
      <c r="AI450" s="1"/>
      <c r="AJ450" s="31">
        <v>44837</v>
      </c>
      <c r="AK450"/>
      <c r="AL450"/>
      <c r="AM450"/>
      <c r="AN450"/>
      <c r="AO450"/>
      <c r="AP450"/>
      <c r="AQ450" s="81"/>
      <c r="AR450" s="81"/>
      <c r="AS450" s="81"/>
      <c r="AT450" s="81"/>
      <c r="AU450" s="81"/>
      <c r="AV450" s="81"/>
      <c r="AW450" s="81"/>
      <c r="AX450" s="81"/>
      <c r="AY450" s="81"/>
    </row>
    <row r="451" spans="1:51" hidden="1">
      <c r="A451" s="1" t="s">
        <v>2542</v>
      </c>
      <c r="B451" s="1">
        <v>221003</v>
      </c>
      <c r="D451" s="1" t="s">
        <v>528</v>
      </c>
      <c r="F451"/>
      <c r="G451"/>
      <c r="H451" s="1" t="s">
        <v>3533</v>
      </c>
      <c r="I451" s="1" t="s">
        <v>3534</v>
      </c>
      <c r="J451" s="1" t="s">
        <v>18</v>
      </c>
      <c r="K451" s="1" t="s">
        <v>50</v>
      </c>
      <c r="L451" s="1">
        <v>33676</v>
      </c>
      <c r="M451" s="1">
        <v>33</v>
      </c>
      <c r="N451" s="1">
        <v>1400</v>
      </c>
      <c r="P451" s="1">
        <v>1900</v>
      </c>
      <c r="Q451" s="1"/>
      <c r="R451" s="1">
        <v>500</v>
      </c>
      <c r="S451"/>
      <c r="T451" t="s">
        <v>55</v>
      </c>
      <c r="U451" t="s">
        <v>814</v>
      </c>
      <c r="V451" t="s">
        <v>55</v>
      </c>
      <c r="W451" s="1">
        <v>45965</v>
      </c>
      <c r="X451" s="1" t="s">
        <v>55</v>
      </c>
      <c r="Y451" s="1" t="s">
        <v>51</v>
      </c>
      <c r="Z451" s="1" t="s">
        <v>607</v>
      </c>
      <c r="AA451" s="1" t="s">
        <v>608</v>
      </c>
      <c r="AB451" s="1" t="s">
        <v>3535</v>
      </c>
      <c r="AC451" s="1" t="s">
        <v>53</v>
      </c>
      <c r="AD451" s="1">
        <v>44837</v>
      </c>
      <c r="AE451" s="1">
        <v>44924</v>
      </c>
      <c r="AF451" s="1"/>
      <c r="AG451" s="1" t="s">
        <v>3536</v>
      </c>
      <c r="AH451" s="1" t="s">
        <v>3537</v>
      </c>
      <c r="AI451" s="1"/>
      <c r="AJ451" s="31">
        <v>44837</v>
      </c>
      <c r="AK451"/>
      <c r="AL451"/>
      <c r="AM451"/>
      <c r="AN451"/>
      <c r="AO451"/>
      <c r="AP451"/>
      <c r="AQ451" s="81"/>
      <c r="AR451" s="81"/>
      <c r="AS451" s="81"/>
      <c r="AT451" s="81"/>
      <c r="AU451" s="81"/>
      <c r="AV451" s="81"/>
      <c r="AW451" s="81"/>
      <c r="AX451" s="81"/>
      <c r="AY451" s="81"/>
    </row>
    <row r="452" spans="1:51" hidden="1">
      <c r="A452" s="1" t="s">
        <v>2542</v>
      </c>
      <c r="B452" s="1">
        <v>221004</v>
      </c>
      <c r="D452" s="1" t="s">
        <v>643</v>
      </c>
      <c r="E452" s="1" t="s">
        <v>845</v>
      </c>
      <c r="F452" t="s">
        <v>741</v>
      </c>
      <c r="G452" t="s">
        <v>1183</v>
      </c>
      <c r="H452" s="1" t="s">
        <v>3538</v>
      </c>
      <c r="I452" s="1" t="s">
        <v>3539</v>
      </c>
      <c r="J452" s="1" t="s">
        <v>18</v>
      </c>
      <c r="K452" s="1" t="s">
        <v>50</v>
      </c>
      <c r="L452" s="1">
        <v>35966</v>
      </c>
      <c r="M452" s="1">
        <v>27</v>
      </c>
      <c r="N452" s="1">
        <v>1300</v>
      </c>
      <c r="P452" s="1">
        <v>1800</v>
      </c>
      <c r="Q452" s="1"/>
      <c r="R452" s="1">
        <v>500</v>
      </c>
      <c r="S452">
        <v>260000</v>
      </c>
      <c r="T452">
        <v>13039</v>
      </c>
      <c r="U452" t="s">
        <v>814</v>
      </c>
      <c r="V452">
        <v>23790</v>
      </c>
      <c r="W452" s="1">
        <v>45429</v>
      </c>
      <c r="X452" s="1" t="s">
        <v>55</v>
      </c>
      <c r="Y452" s="1" t="s">
        <v>51</v>
      </c>
      <c r="Z452" s="1" t="s">
        <v>3540</v>
      </c>
      <c r="AA452" s="1" t="s">
        <v>3541</v>
      </c>
      <c r="AB452" s="1" t="s">
        <v>3542</v>
      </c>
      <c r="AC452" s="1"/>
      <c r="AD452" s="1">
        <v>44837</v>
      </c>
      <c r="AE452" s="1">
        <v>45288</v>
      </c>
      <c r="AF452" s="1"/>
      <c r="AG452" s="1"/>
      <c r="AH452" s="1"/>
      <c r="AI452" s="1"/>
      <c r="AJ452" s="31">
        <v>44837</v>
      </c>
      <c r="AK452"/>
      <c r="AL452"/>
      <c r="AM452"/>
      <c r="AN452"/>
      <c r="AO452"/>
      <c r="AP452"/>
      <c r="AQ452" s="81"/>
      <c r="AR452" s="81"/>
      <c r="AS452" s="81"/>
      <c r="AT452" s="81"/>
      <c r="AU452" s="81"/>
      <c r="AV452" s="81"/>
      <c r="AW452" s="81"/>
      <c r="AX452" s="81"/>
      <c r="AY452" s="81"/>
    </row>
    <row r="453" spans="1:51" hidden="1">
      <c r="A453" s="1" t="s">
        <v>49</v>
      </c>
      <c r="B453" s="1">
        <v>221005</v>
      </c>
      <c r="D453" s="1" t="s">
        <v>447</v>
      </c>
      <c r="E453" s="1" t="s">
        <v>1270</v>
      </c>
      <c r="F453" t="s">
        <v>1271</v>
      </c>
      <c r="G453" t="s">
        <v>1267</v>
      </c>
      <c r="H453" s="1" t="s">
        <v>768</v>
      </c>
      <c r="I453" s="1" t="s">
        <v>769</v>
      </c>
      <c r="J453" s="1" t="s">
        <v>18</v>
      </c>
      <c r="K453" s="1" t="s">
        <v>50</v>
      </c>
      <c r="L453" s="1">
        <v>33118</v>
      </c>
      <c r="M453" s="1">
        <v>35</v>
      </c>
      <c r="N453" s="1">
        <v>1350</v>
      </c>
      <c r="P453" s="1">
        <v>1700</v>
      </c>
      <c r="Q453" s="1"/>
      <c r="R453" s="1">
        <v>350</v>
      </c>
      <c r="S453">
        <v>260000</v>
      </c>
      <c r="T453">
        <v>13039</v>
      </c>
      <c r="U453" t="s">
        <v>814</v>
      </c>
      <c r="V453">
        <v>23790</v>
      </c>
      <c r="W453" s="1">
        <v>46058</v>
      </c>
      <c r="X453" s="1">
        <v>63</v>
      </c>
      <c r="Y453" s="1" t="s">
        <v>51</v>
      </c>
      <c r="Z453" s="1" t="s">
        <v>448</v>
      </c>
      <c r="AA453" s="1" t="s">
        <v>449</v>
      </c>
      <c r="AB453" s="1" t="s">
        <v>498</v>
      </c>
      <c r="AC453" s="1"/>
      <c r="AD453" s="1">
        <v>44839</v>
      </c>
      <c r="AE453" s="1"/>
      <c r="AF453" s="1"/>
      <c r="AG453" s="1" t="s">
        <v>764</v>
      </c>
      <c r="AH453" s="1" t="s">
        <v>765</v>
      </c>
      <c r="AI453" s="1"/>
      <c r="AJ453" s="31">
        <v>44839</v>
      </c>
      <c r="AK453"/>
      <c r="AL453"/>
      <c r="AM453"/>
      <c r="AN453"/>
      <c r="AO453"/>
      <c r="AP453"/>
      <c r="AQ453" s="81"/>
      <c r="AR453" s="81"/>
      <c r="AS453" s="81"/>
      <c r="AT453" s="81"/>
      <c r="AU453" s="81"/>
      <c r="AV453" s="81"/>
      <c r="AW453" s="81"/>
      <c r="AX453" s="81"/>
      <c r="AY453" s="81"/>
    </row>
    <row r="454" spans="1:51" hidden="1">
      <c r="A454" s="1" t="s">
        <v>2542</v>
      </c>
      <c r="B454" s="1">
        <v>221006</v>
      </c>
      <c r="D454" s="1" t="s">
        <v>168</v>
      </c>
      <c r="F454"/>
      <c r="G454"/>
      <c r="H454" s="1" t="s">
        <v>3543</v>
      </c>
      <c r="I454" s="1" t="s">
        <v>3544</v>
      </c>
      <c r="J454" s="1" t="s">
        <v>18</v>
      </c>
      <c r="K454" s="1" t="s">
        <v>50</v>
      </c>
      <c r="L454" s="1">
        <v>32662</v>
      </c>
      <c r="M454" s="1">
        <v>36</v>
      </c>
      <c r="N454" s="1">
        <v>1400</v>
      </c>
      <c r="P454" s="1">
        <v>2000</v>
      </c>
      <c r="Q454" s="1"/>
      <c r="R454" s="1">
        <v>600</v>
      </c>
      <c r="S454"/>
      <c r="T454" t="s">
        <v>55</v>
      </c>
      <c r="U454" t="s">
        <v>814</v>
      </c>
      <c r="V454" t="s">
        <v>55</v>
      </c>
      <c r="W454" s="1">
        <v>45306</v>
      </c>
      <c r="X454" s="1" t="s">
        <v>55</v>
      </c>
      <c r="Y454" s="1" t="s">
        <v>51</v>
      </c>
      <c r="Z454" s="1" t="s">
        <v>3232</v>
      </c>
      <c r="AA454" s="1" t="s">
        <v>3233</v>
      </c>
      <c r="AB454" s="1" t="s">
        <v>3234</v>
      </c>
      <c r="AC454" s="1">
        <v>44849</v>
      </c>
      <c r="AD454" s="1">
        <v>44841</v>
      </c>
      <c r="AE454" s="1">
        <v>44876</v>
      </c>
      <c r="AF454" s="1"/>
      <c r="AG454" s="1" t="s">
        <v>764</v>
      </c>
      <c r="AH454" s="1" t="s">
        <v>770</v>
      </c>
      <c r="AI454" s="1"/>
      <c r="AJ454" s="31">
        <v>44841</v>
      </c>
      <c r="AK454"/>
      <c r="AL454"/>
      <c r="AM454"/>
      <c r="AN454"/>
      <c r="AO454"/>
      <c r="AP454"/>
      <c r="AQ454" s="81"/>
      <c r="AR454" s="81"/>
      <c r="AS454" s="81"/>
      <c r="AT454" s="81"/>
      <c r="AU454" s="81"/>
      <c r="AV454" s="81"/>
      <c r="AW454" s="81"/>
      <c r="AX454" s="81"/>
      <c r="AY454" s="81"/>
    </row>
    <row r="455" spans="1:51" hidden="1">
      <c r="A455" s="1" t="s">
        <v>2542</v>
      </c>
      <c r="B455" s="1">
        <v>221007</v>
      </c>
      <c r="D455" s="1" t="s">
        <v>168</v>
      </c>
      <c r="F455"/>
      <c r="G455"/>
      <c r="H455" s="1" t="s">
        <v>3545</v>
      </c>
      <c r="I455" s="1" t="s">
        <v>3546</v>
      </c>
      <c r="J455" s="1" t="s">
        <v>18</v>
      </c>
      <c r="K455" s="1" t="s">
        <v>50</v>
      </c>
      <c r="L455" s="1">
        <v>34976</v>
      </c>
      <c r="M455" s="1">
        <v>30</v>
      </c>
      <c r="N455" s="1">
        <v>1400</v>
      </c>
      <c r="P455" s="1">
        <v>2000</v>
      </c>
      <c r="Q455" s="1"/>
      <c r="R455" s="1">
        <v>600</v>
      </c>
      <c r="S455"/>
      <c r="T455" t="s">
        <v>55</v>
      </c>
      <c r="U455" t="s">
        <v>814</v>
      </c>
      <c r="V455" t="s">
        <v>55</v>
      </c>
      <c r="W455" s="1">
        <v>46106</v>
      </c>
      <c r="X455" s="1" t="s">
        <v>55</v>
      </c>
      <c r="Y455" s="1" t="s">
        <v>51</v>
      </c>
      <c r="Z455" s="1" t="s">
        <v>3547</v>
      </c>
      <c r="AA455" s="1" t="s">
        <v>3548</v>
      </c>
      <c r="AB455" s="1" t="s">
        <v>3549</v>
      </c>
      <c r="AC455" s="1" t="s">
        <v>53</v>
      </c>
      <c r="AD455" s="1">
        <v>44841</v>
      </c>
      <c r="AE455" s="1">
        <v>44908</v>
      </c>
      <c r="AF455" s="1"/>
      <c r="AG455" s="1" t="s">
        <v>764</v>
      </c>
      <c r="AH455" s="1" t="s">
        <v>770</v>
      </c>
      <c r="AI455" s="1"/>
      <c r="AJ455" s="31">
        <v>44841</v>
      </c>
      <c r="AK455"/>
      <c r="AL455"/>
      <c r="AM455"/>
      <c r="AN455"/>
      <c r="AO455"/>
      <c r="AP455"/>
      <c r="AQ455" s="81"/>
      <c r="AR455" s="81"/>
      <c r="AS455" s="81"/>
      <c r="AT455" s="81"/>
      <c r="AU455" s="81"/>
      <c r="AV455" s="81"/>
      <c r="AW455" s="81"/>
      <c r="AX455" s="81"/>
      <c r="AY455" s="81"/>
    </row>
    <row r="456" spans="1:51" hidden="1">
      <c r="A456" s="1" t="s">
        <v>2542</v>
      </c>
      <c r="B456" s="1">
        <v>221008</v>
      </c>
      <c r="D456" s="1" t="s">
        <v>168</v>
      </c>
      <c r="F456"/>
      <c r="G456"/>
      <c r="H456" s="1" t="s">
        <v>771</v>
      </c>
      <c r="I456" s="1" t="s">
        <v>772</v>
      </c>
      <c r="J456" s="1" t="s">
        <v>18</v>
      </c>
      <c r="K456" s="1" t="s">
        <v>50</v>
      </c>
      <c r="L456" s="1">
        <v>34670</v>
      </c>
      <c r="M456" s="1">
        <v>31</v>
      </c>
      <c r="N456" s="1">
        <v>1400</v>
      </c>
      <c r="P456" s="1">
        <v>2000</v>
      </c>
      <c r="Q456" s="1"/>
      <c r="R456" s="1">
        <v>600</v>
      </c>
      <c r="S456">
        <v>360000</v>
      </c>
      <c r="T456">
        <v>18054</v>
      </c>
      <c r="U456" t="s">
        <v>814</v>
      </c>
      <c r="V456">
        <v>32940</v>
      </c>
      <c r="W456" s="1">
        <v>45827</v>
      </c>
      <c r="X456" s="1" t="s">
        <v>55</v>
      </c>
      <c r="Y456" s="1" t="s">
        <v>51</v>
      </c>
      <c r="Z456" s="1" t="s">
        <v>773</v>
      </c>
      <c r="AA456" s="1" t="s">
        <v>774</v>
      </c>
      <c r="AB456" s="1" t="s">
        <v>775</v>
      </c>
      <c r="AC456" s="1" t="s">
        <v>53</v>
      </c>
      <c r="AD456" s="1">
        <v>44841</v>
      </c>
      <c r="AE456" s="1">
        <v>45653</v>
      </c>
      <c r="AF456" s="1"/>
      <c r="AG456" s="1" t="s">
        <v>764</v>
      </c>
      <c r="AH456" s="1" t="s">
        <v>770</v>
      </c>
      <c r="AI456" s="1"/>
      <c r="AJ456" s="31">
        <v>44841</v>
      </c>
      <c r="AK456"/>
      <c r="AL456"/>
      <c r="AM456"/>
      <c r="AN456"/>
      <c r="AO456"/>
      <c r="AP456"/>
      <c r="AQ456" s="81"/>
      <c r="AR456" s="81"/>
      <c r="AS456" s="81"/>
      <c r="AT456" s="81"/>
      <c r="AU456" s="81"/>
      <c r="AV456" s="81"/>
      <c r="AW456" s="81"/>
      <c r="AX456" s="81"/>
      <c r="AY456" s="81"/>
    </row>
    <row r="457" spans="1:51" hidden="1">
      <c r="A457" s="1" t="s">
        <v>2542</v>
      </c>
      <c r="B457" s="1">
        <v>221009</v>
      </c>
      <c r="D457" s="1" t="s">
        <v>436</v>
      </c>
      <c r="F457"/>
      <c r="G457"/>
      <c r="H457" s="1" t="s">
        <v>776</v>
      </c>
      <c r="I457" s="1" t="s">
        <v>777</v>
      </c>
      <c r="J457" s="1" t="s">
        <v>18</v>
      </c>
      <c r="K457" s="1" t="s">
        <v>50</v>
      </c>
      <c r="L457" s="1">
        <v>34791</v>
      </c>
      <c r="M457" s="1">
        <v>30</v>
      </c>
      <c r="N457" s="1">
        <v>1600</v>
      </c>
      <c r="P457" s="1">
        <v>2100</v>
      </c>
      <c r="Q457" s="1" t="s">
        <v>3474</v>
      </c>
      <c r="R457" s="1">
        <v>500</v>
      </c>
      <c r="S457">
        <v>380000</v>
      </c>
      <c r="T457">
        <v>19057</v>
      </c>
      <c r="U457" t="s">
        <v>814</v>
      </c>
      <c r="V457">
        <v>34770</v>
      </c>
      <c r="W457" s="1">
        <v>46745</v>
      </c>
      <c r="X457" s="1" t="s">
        <v>55</v>
      </c>
      <c r="Y457" s="1" t="s">
        <v>51</v>
      </c>
      <c r="Z457" s="1" t="s">
        <v>504</v>
      </c>
      <c r="AA457" s="1" t="s">
        <v>505</v>
      </c>
      <c r="AB457" s="1" t="s">
        <v>518</v>
      </c>
      <c r="AC457" s="1">
        <v>44846</v>
      </c>
      <c r="AD457" s="1">
        <v>44851</v>
      </c>
      <c r="AE457" s="1">
        <v>45742</v>
      </c>
      <c r="AF457" s="1"/>
      <c r="AG457" s="1" t="s">
        <v>764</v>
      </c>
      <c r="AH457" s="1" t="s">
        <v>770</v>
      </c>
      <c r="AI457" s="1"/>
      <c r="AJ457" s="31">
        <v>44851</v>
      </c>
      <c r="AK457"/>
      <c r="AL457"/>
      <c r="AM457"/>
      <c r="AN457"/>
      <c r="AO457"/>
      <c r="AP457"/>
      <c r="AQ457" s="81"/>
      <c r="AR457" s="81"/>
      <c r="AS457" s="81"/>
      <c r="AT457" s="81"/>
      <c r="AU457" s="81"/>
      <c r="AV457" s="81"/>
      <c r="AW457" s="81"/>
      <c r="AX457" s="81"/>
      <c r="AY457" s="81"/>
    </row>
    <row r="458" spans="1:51" hidden="1">
      <c r="A458" s="1" t="s">
        <v>2542</v>
      </c>
      <c r="B458" s="1">
        <v>221010</v>
      </c>
      <c r="C458" s="1">
        <v>5501</v>
      </c>
      <c r="D458" s="1" t="s">
        <v>846</v>
      </c>
      <c r="E458" s="1" t="s">
        <v>1585</v>
      </c>
      <c r="F458" t="s">
        <v>1273</v>
      </c>
      <c r="G458" t="s">
        <v>1514</v>
      </c>
      <c r="H458" s="1" t="s">
        <v>778</v>
      </c>
      <c r="I458" s="1" t="s">
        <v>779</v>
      </c>
      <c r="J458" s="1" t="s">
        <v>18</v>
      </c>
      <c r="K458" s="1" t="s">
        <v>50</v>
      </c>
      <c r="L458" s="1">
        <v>35133</v>
      </c>
      <c r="M458" s="1">
        <v>29</v>
      </c>
      <c r="N458" s="1">
        <v>1330</v>
      </c>
      <c r="O458" s="1" t="s">
        <v>4355</v>
      </c>
      <c r="P458" s="1">
        <v>1745</v>
      </c>
      <c r="Q458" s="1" t="s">
        <v>4356</v>
      </c>
      <c r="R458" s="1">
        <v>415</v>
      </c>
      <c r="S458">
        <v>300000</v>
      </c>
      <c r="T458">
        <v>15045</v>
      </c>
      <c r="U458" t="s">
        <v>814</v>
      </c>
      <c r="V458">
        <v>27450</v>
      </c>
      <c r="W458" s="1">
        <v>46900</v>
      </c>
      <c r="X458" s="1" t="s">
        <v>55</v>
      </c>
      <c r="Y458" s="1" t="s">
        <v>51</v>
      </c>
      <c r="Z458" s="1" t="s">
        <v>852</v>
      </c>
      <c r="AA458" s="1" t="s">
        <v>853</v>
      </c>
      <c r="AB458" s="1" t="s">
        <v>854</v>
      </c>
      <c r="AC458" s="1" t="s">
        <v>53</v>
      </c>
      <c r="AD458" s="1">
        <v>44858</v>
      </c>
      <c r="AE458" s="1">
        <v>45878</v>
      </c>
      <c r="AF458" s="1">
        <v>44983</v>
      </c>
      <c r="AG458" s="1">
        <v>44858</v>
      </c>
      <c r="AH458" s="1" t="s">
        <v>780</v>
      </c>
      <c r="AI458" s="1"/>
      <c r="AJ458" s="31">
        <v>44858</v>
      </c>
      <c r="AK458"/>
      <c r="AL458"/>
      <c r="AM458"/>
      <c r="AN458"/>
      <c r="AO458"/>
      <c r="AP458"/>
      <c r="AQ458" s="81"/>
      <c r="AR458" s="81"/>
      <c r="AS458" s="81"/>
      <c r="AT458" s="81"/>
      <c r="AU458" s="81"/>
      <c r="AV458" s="81"/>
      <c r="AW458" s="81"/>
      <c r="AX458" s="81"/>
      <c r="AY458" s="81"/>
    </row>
    <row r="459" spans="1:51" s="81" customFormat="1" hidden="1">
      <c r="A459" s="1" t="s">
        <v>2542</v>
      </c>
      <c r="B459" s="1">
        <v>221011</v>
      </c>
      <c r="C459" s="1"/>
      <c r="D459" s="1" t="s">
        <v>846</v>
      </c>
      <c r="E459" s="1"/>
      <c r="F459"/>
      <c r="G459"/>
      <c r="H459" s="1" t="s">
        <v>3550</v>
      </c>
      <c r="I459" s="1" t="s">
        <v>3551</v>
      </c>
      <c r="J459" s="1" t="s">
        <v>18</v>
      </c>
      <c r="K459" s="1" t="s">
        <v>50</v>
      </c>
      <c r="L459" s="1">
        <v>35248</v>
      </c>
      <c r="M459" s="1">
        <v>29</v>
      </c>
      <c r="N459" s="1">
        <v>1300</v>
      </c>
      <c r="O459" s="1"/>
      <c r="P459" s="1">
        <v>1700</v>
      </c>
      <c r="Q459" s="1"/>
      <c r="R459" s="1">
        <v>400</v>
      </c>
      <c r="S459">
        <v>180000</v>
      </c>
      <c r="T459">
        <v>9027</v>
      </c>
      <c r="U459" t="s">
        <v>814</v>
      </c>
      <c r="V459">
        <v>16470</v>
      </c>
      <c r="W459" s="1">
        <v>45444</v>
      </c>
      <c r="X459" s="1" t="s">
        <v>55</v>
      </c>
      <c r="Y459" s="1" t="s">
        <v>51</v>
      </c>
      <c r="Z459" s="1" t="s">
        <v>652</v>
      </c>
      <c r="AA459" s="1" t="s">
        <v>786</v>
      </c>
      <c r="AB459" s="1" t="s">
        <v>661</v>
      </c>
      <c r="AC459" s="1">
        <v>44864</v>
      </c>
      <c r="AD459" s="1">
        <v>44865</v>
      </c>
      <c r="AE459" s="1">
        <v>44956</v>
      </c>
      <c r="AF459" s="1">
        <v>44957</v>
      </c>
      <c r="AG459" s="1" t="s">
        <v>764</v>
      </c>
      <c r="AH459" s="1" t="s">
        <v>787</v>
      </c>
      <c r="AI459" s="1"/>
      <c r="AJ459" s="31">
        <v>44865</v>
      </c>
      <c r="AK459"/>
      <c r="AL459"/>
      <c r="AM459"/>
      <c r="AN459"/>
      <c r="AO459"/>
      <c r="AP459"/>
    </row>
    <row r="460" spans="1:51" hidden="1">
      <c r="A460" s="1" t="s">
        <v>2542</v>
      </c>
      <c r="B460" s="1">
        <v>221101</v>
      </c>
      <c r="D460" s="1" t="s">
        <v>402</v>
      </c>
      <c r="F460"/>
      <c r="G460"/>
      <c r="H460" s="1" t="s">
        <v>3552</v>
      </c>
      <c r="I460" s="1" t="s">
        <v>3553</v>
      </c>
      <c r="J460" s="1" t="s">
        <v>18</v>
      </c>
      <c r="K460" s="1" t="s">
        <v>404</v>
      </c>
      <c r="L460" s="1">
        <v>30501</v>
      </c>
      <c r="M460" s="1">
        <v>42</v>
      </c>
      <c r="N460" s="1">
        <v>1350</v>
      </c>
      <c r="P460" s="1">
        <v>1872</v>
      </c>
      <c r="Q460" s="1"/>
      <c r="R460" s="1">
        <v>522</v>
      </c>
      <c r="S460"/>
      <c r="T460" t="s">
        <v>55</v>
      </c>
      <c r="U460" t="s">
        <v>814</v>
      </c>
      <c r="V460" t="s">
        <v>55</v>
      </c>
      <c r="W460" s="1">
        <v>45759</v>
      </c>
      <c r="X460" s="1" t="s">
        <v>55</v>
      </c>
      <c r="Y460" s="1" t="s">
        <v>540</v>
      </c>
      <c r="Z460" s="1" t="s">
        <v>3554</v>
      </c>
      <c r="AA460" s="1" t="s">
        <v>3555</v>
      </c>
      <c r="AB460" s="1" t="s">
        <v>3556</v>
      </c>
      <c r="AC460" s="1" t="s">
        <v>53</v>
      </c>
      <c r="AD460" s="1">
        <v>44866</v>
      </c>
      <c r="AE460" s="1">
        <v>44894</v>
      </c>
      <c r="AF460" s="1"/>
      <c r="AG460" s="1" t="s">
        <v>3557</v>
      </c>
      <c r="AH460" s="1" t="s">
        <v>787</v>
      </c>
      <c r="AI460" s="1"/>
      <c r="AJ460" s="31">
        <v>44866</v>
      </c>
      <c r="AK460"/>
      <c r="AL460"/>
      <c r="AM460"/>
      <c r="AN460"/>
      <c r="AO460"/>
      <c r="AP460"/>
      <c r="AQ460" s="81"/>
      <c r="AR460" s="81"/>
      <c r="AS460" s="81"/>
      <c r="AT460" s="81"/>
      <c r="AU460" s="81"/>
      <c r="AV460" s="81"/>
      <c r="AW460" s="81"/>
      <c r="AX460" s="81"/>
      <c r="AY460" s="81"/>
    </row>
    <row r="461" spans="1:51">
      <c r="A461" s="1" t="s">
        <v>49</v>
      </c>
      <c r="B461" s="1">
        <v>231107</v>
      </c>
      <c r="C461" s="1">
        <v>222057</v>
      </c>
      <c r="D461" s="1" t="s">
        <v>62</v>
      </c>
      <c r="E461" s="1" t="s">
        <v>3935</v>
      </c>
      <c r="F461" t="s">
        <v>794</v>
      </c>
      <c r="G461" t="s">
        <v>316</v>
      </c>
      <c r="H461" s="1" t="s">
        <v>1564</v>
      </c>
      <c r="I461" s="1" t="s">
        <v>1565</v>
      </c>
      <c r="J461" s="1" t="s">
        <v>18</v>
      </c>
      <c r="K461" s="1" t="s">
        <v>50</v>
      </c>
      <c r="L461" s="1">
        <v>36408</v>
      </c>
      <c r="M461" s="1">
        <v>26</v>
      </c>
      <c r="N461" s="1">
        <v>1300</v>
      </c>
      <c r="P461" s="1">
        <v>1700</v>
      </c>
      <c r="Q461" s="1"/>
      <c r="R461" s="1">
        <v>400</v>
      </c>
      <c r="S461">
        <v>240000</v>
      </c>
      <c r="T461">
        <v>12036</v>
      </c>
      <c r="U461" t="s">
        <v>814</v>
      </c>
      <c r="V461">
        <v>21960</v>
      </c>
      <c r="W461" s="1">
        <v>47058</v>
      </c>
      <c r="X461" s="1" t="s">
        <v>55</v>
      </c>
      <c r="Y461" s="1" t="s">
        <v>51</v>
      </c>
      <c r="Z461" s="1" t="s">
        <v>1591</v>
      </c>
      <c r="AA461" s="1" t="s">
        <v>1592</v>
      </c>
      <c r="AB461" s="1" t="s">
        <v>1593</v>
      </c>
      <c r="AC461" s="1"/>
      <c r="AD461" s="1">
        <v>45232</v>
      </c>
      <c r="AE461" s="1"/>
      <c r="AF461" s="1"/>
      <c r="AG461" s="1" t="s">
        <v>1594</v>
      </c>
      <c r="AH461" s="1" t="s">
        <v>1590</v>
      </c>
      <c r="AI461" s="1"/>
      <c r="AJ461" s="31">
        <v>45232</v>
      </c>
      <c r="AK461"/>
      <c r="AL461"/>
      <c r="AM461"/>
      <c r="AN461"/>
      <c r="AO461" t="s">
        <v>4165</v>
      </c>
      <c r="AP461"/>
      <c r="AQ461" s="81"/>
      <c r="AR461" s="81"/>
      <c r="AS461" s="81"/>
      <c r="AT461" s="81"/>
      <c r="AU461" s="81"/>
      <c r="AV461" s="81"/>
      <c r="AW461" s="81"/>
      <c r="AX461" s="81"/>
      <c r="AY461" s="81"/>
    </row>
    <row r="462" spans="1:51" hidden="1">
      <c r="A462" s="1" t="s">
        <v>49</v>
      </c>
      <c r="B462" s="1">
        <v>221103</v>
      </c>
      <c r="C462" s="1">
        <v>5509</v>
      </c>
      <c r="D462" s="1" t="s">
        <v>846</v>
      </c>
      <c r="E462" s="1" t="s">
        <v>1234</v>
      </c>
      <c r="F462" t="s">
        <v>1584</v>
      </c>
      <c r="G462" t="s">
        <v>1514</v>
      </c>
      <c r="H462" s="1" t="s">
        <v>791</v>
      </c>
      <c r="I462" s="1" t="s">
        <v>792</v>
      </c>
      <c r="J462" s="1" t="s">
        <v>17</v>
      </c>
      <c r="K462" s="1" t="s">
        <v>50</v>
      </c>
      <c r="L462" s="1">
        <v>35464</v>
      </c>
      <c r="M462" s="1">
        <v>28</v>
      </c>
      <c r="N462" s="1">
        <v>1300</v>
      </c>
      <c r="P462" s="1">
        <v>1700</v>
      </c>
      <c r="Q462" s="1"/>
      <c r="R462" s="1">
        <v>400</v>
      </c>
      <c r="S462">
        <v>220000</v>
      </c>
      <c r="T462">
        <v>11033</v>
      </c>
      <c r="U462" t="s">
        <v>814</v>
      </c>
      <c r="V462">
        <v>20130</v>
      </c>
      <c r="W462" s="1">
        <v>46463</v>
      </c>
      <c r="X462" s="1" t="s">
        <v>55</v>
      </c>
      <c r="Y462" s="1" t="s">
        <v>51</v>
      </c>
      <c r="Z462" s="1" t="s">
        <v>4171</v>
      </c>
      <c r="AA462" s="1" t="s">
        <v>4172</v>
      </c>
      <c r="AB462" s="1" t="s">
        <v>4173</v>
      </c>
      <c r="AC462" s="1" t="s">
        <v>53</v>
      </c>
      <c r="AD462" s="1">
        <v>44880</v>
      </c>
      <c r="AE462" s="1"/>
      <c r="AF462" s="1"/>
      <c r="AG462" s="1" t="s">
        <v>788</v>
      </c>
      <c r="AH462" s="1" t="s">
        <v>803</v>
      </c>
      <c r="AI462" s="1"/>
      <c r="AJ462" s="31">
        <v>44880</v>
      </c>
      <c r="AK462"/>
      <c r="AL462"/>
      <c r="AM462"/>
      <c r="AN462"/>
      <c r="AO462"/>
      <c r="AP462"/>
      <c r="AQ462" s="81"/>
      <c r="AR462" s="81"/>
      <c r="AS462" s="81"/>
      <c r="AT462" s="81"/>
      <c r="AU462" s="81"/>
      <c r="AV462" s="81"/>
      <c r="AW462" s="81"/>
      <c r="AX462" s="81"/>
      <c r="AY462" s="81"/>
    </row>
    <row r="463" spans="1:51" s="81" customFormat="1" hidden="1">
      <c r="A463" s="1" t="s">
        <v>2542</v>
      </c>
      <c r="B463" s="1">
        <v>221104</v>
      </c>
      <c r="C463" s="1">
        <v>212033</v>
      </c>
      <c r="D463" s="1" t="s">
        <v>75</v>
      </c>
      <c r="E463" s="1" t="s">
        <v>3934</v>
      </c>
      <c r="F463" t="s">
        <v>739</v>
      </c>
      <c r="G463" t="s">
        <v>1092</v>
      </c>
      <c r="H463" s="1" t="s">
        <v>3558</v>
      </c>
      <c r="I463" s="1" t="s">
        <v>3559</v>
      </c>
      <c r="J463" s="1" t="s">
        <v>18</v>
      </c>
      <c r="K463" s="1" t="s">
        <v>50</v>
      </c>
      <c r="L463" s="1">
        <v>35422</v>
      </c>
      <c r="M463" s="1">
        <v>28</v>
      </c>
      <c r="N463" s="1">
        <v>1300</v>
      </c>
      <c r="O463" s="1"/>
      <c r="P463" s="1">
        <v>1650</v>
      </c>
      <c r="Q463" s="1"/>
      <c r="R463" s="1">
        <v>350</v>
      </c>
      <c r="S463">
        <v>280000</v>
      </c>
      <c r="T463">
        <v>14042</v>
      </c>
      <c r="U463" t="s">
        <v>814</v>
      </c>
      <c r="V463">
        <v>25620</v>
      </c>
      <c r="W463" s="1">
        <v>45641</v>
      </c>
      <c r="X463" s="1" t="s">
        <v>55</v>
      </c>
      <c r="Y463" s="1" t="s">
        <v>51</v>
      </c>
      <c r="Z463" s="1" t="s">
        <v>182</v>
      </c>
      <c r="AA463" s="1" t="s">
        <v>183</v>
      </c>
      <c r="AB463" s="1" t="s">
        <v>184</v>
      </c>
      <c r="AC463" s="1">
        <v>44879</v>
      </c>
      <c r="AD463" s="1">
        <v>44882</v>
      </c>
      <c r="AE463" s="1">
        <v>45380</v>
      </c>
      <c r="AF463" s="1"/>
      <c r="AG463" s="1" t="s">
        <v>788</v>
      </c>
      <c r="AH463" s="1" t="s">
        <v>803</v>
      </c>
      <c r="AI463" s="1"/>
      <c r="AJ463" s="31">
        <v>44882</v>
      </c>
      <c r="AK463"/>
      <c r="AL463"/>
      <c r="AM463"/>
      <c r="AN463"/>
      <c r="AO463"/>
      <c r="AP463"/>
    </row>
    <row r="464" spans="1:51" hidden="1">
      <c r="A464" s="1" t="s">
        <v>2542</v>
      </c>
      <c r="B464" s="1">
        <v>221105</v>
      </c>
      <c r="C464" s="1">
        <v>242055</v>
      </c>
      <c r="D464" s="1" t="s">
        <v>69</v>
      </c>
      <c r="E464" s="1" t="s">
        <v>306</v>
      </c>
      <c r="F464" s="1" t="s">
        <v>742</v>
      </c>
      <c r="G464" t="s">
        <v>317</v>
      </c>
      <c r="H464" s="1" t="s">
        <v>3560</v>
      </c>
      <c r="I464" s="1" t="s">
        <v>3561</v>
      </c>
      <c r="J464" s="1" t="s">
        <v>18</v>
      </c>
      <c r="K464" s="1" t="s">
        <v>50</v>
      </c>
      <c r="L464" s="1">
        <v>35896</v>
      </c>
      <c r="M464" s="1">
        <v>27</v>
      </c>
      <c r="N464" s="1">
        <v>1300</v>
      </c>
      <c r="P464" s="1">
        <v>1670</v>
      </c>
      <c r="Q464" s="1"/>
      <c r="R464" s="1">
        <v>370</v>
      </c>
      <c r="S464">
        <v>300000</v>
      </c>
      <c r="T464">
        <v>15045</v>
      </c>
      <c r="U464" t="s">
        <v>814</v>
      </c>
      <c r="V464">
        <v>27450</v>
      </c>
      <c r="W464" s="1">
        <v>45626</v>
      </c>
      <c r="X464" s="1" t="s">
        <v>55</v>
      </c>
      <c r="Y464" s="1" t="s">
        <v>51</v>
      </c>
      <c r="Z464" s="1" t="s">
        <v>72</v>
      </c>
      <c r="AA464" s="1" t="s">
        <v>526</v>
      </c>
      <c r="AB464" s="1" t="s">
        <v>527</v>
      </c>
      <c r="AC464" s="1"/>
      <c r="AD464" s="1">
        <v>44883</v>
      </c>
      <c r="AE464" s="1">
        <v>45341</v>
      </c>
      <c r="AF464" s="1"/>
      <c r="AG464" s="1" t="s">
        <v>788</v>
      </c>
      <c r="AH464" s="1" t="s">
        <v>803</v>
      </c>
      <c r="AI464" s="1"/>
      <c r="AJ464" s="31">
        <v>44883</v>
      </c>
      <c r="AK464"/>
      <c r="AL464"/>
      <c r="AM464"/>
      <c r="AN464"/>
      <c r="AO464"/>
      <c r="AP464"/>
      <c r="AQ464" s="81"/>
      <c r="AR464" s="81"/>
      <c r="AS464" s="81"/>
      <c r="AT464" s="81"/>
      <c r="AU464" s="81"/>
      <c r="AV464" s="81"/>
      <c r="AW464" s="81"/>
      <c r="AX464" s="81"/>
      <c r="AY464" s="81"/>
    </row>
    <row r="465" spans="1:51" hidden="1">
      <c r="A465" s="1" t="s">
        <v>2542</v>
      </c>
      <c r="B465" s="1">
        <v>221106</v>
      </c>
      <c r="C465" s="1">
        <v>242056</v>
      </c>
      <c r="D465" s="1" t="s">
        <v>69</v>
      </c>
      <c r="E465" s="1" t="s">
        <v>310</v>
      </c>
      <c r="F465" t="s">
        <v>737</v>
      </c>
      <c r="G465" t="s">
        <v>1093</v>
      </c>
      <c r="H465" s="1" t="s">
        <v>795</v>
      </c>
      <c r="I465" s="1" t="s">
        <v>796</v>
      </c>
      <c r="J465" s="1" t="s">
        <v>18</v>
      </c>
      <c r="K465" s="1" t="s">
        <v>50</v>
      </c>
      <c r="L465" s="1">
        <v>33244</v>
      </c>
      <c r="M465" s="1">
        <v>34</v>
      </c>
      <c r="N465" s="1">
        <v>1330</v>
      </c>
      <c r="P465" s="1">
        <v>1750</v>
      </c>
      <c r="Q465" s="1"/>
      <c r="R465" s="1">
        <v>420</v>
      </c>
      <c r="S465">
        <v>280000</v>
      </c>
      <c r="T465">
        <v>14042</v>
      </c>
      <c r="U465" t="s">
        <v>814</v>
      </c>
      <c r="V465">
        <v>25620</v>
      </c>
      <c r="W465" s="1">
        <v>46721</v>
      </c>
      <c r="X465" s="1" t="s">
        <v>55</v>
      </c>
      <c r="Y465" s="1" t="s">
        <v>51</v>
      </c>
      <c r="Z465" s="1" t="s">
        <v>427</v>
      </c>
      <c r="AA465" s="1" t="s">
        <v>1372</v>
      </c>
      <c r="AB465" s="1" t="s">
        <v>1373</v>
      </c>
      <c r="AC465" s="1" t="s">
        <v>53</v>
      </c>
      <c r="AD465" s="1">
        <v>44883</v>
      </c>
      <c r="AE465" s="1">
        <v>45853</v>
      </c>
      <c r="AF465" s="1"/>
      <c r="AG465" s="1" t="s">
        <v>788</v>
      </c>
      <c r="AH465" s="1" t="s">
        <v>803</v>
      </c>
      <c r="AI465" s="1"/>
      <c r="AJ465" s="31">
        <v>44883</v>
      </c>
      <c r="AK465"/>
      <c r="AL465"/>
      <c r="AM465"/>
      <c r="AN465"/>
      <c r="AO465" t="s">
        <v>4174</v>
      </c>
      <c r="AP465"/>
      <c r="AQ465" s="81"/>
      <c r="AR465" s="81"/>
      <c r="AS465" s="81"/>
      <c r="AT465" s="81"/>
      <c r="AU465" s="81"/>
      <c r="AV465" s="81"/>
      <c r="AW465" s="81"/>
      <c r="AX465" s="81"/>
      <c r="AY465" s="81"/>
    </row>
    <row r="466" spans="1:51" hidden="1">
      <c r="A466" s="1" t="s">
        <v>2542</v>
      </c>
      <c r="B466" s="1">
        <v>221107</v>
      </c>
      <c r="D466" s="1" t="s">
        <v>464</v>
      </c>
      <c r="H466" s="1" t="s">
        <v>3562</v>
      </c>
      <c r="I466" s="1" t="s">
        <v>3563</v>
      </c>
      <c r="J466" s="1" t="s">
        <v>18</v>
      </c>
      <c r="K466" s="1" t="s">
        <v>50</v>
      </c>
      <c r="L466" s="1">
        <v>30982</v>
      </c>
      <c r="M466" s="1">
        <v>41</v>
      </c>
      <c r="N466" s="1">
        <v>1400</v>
      </c>
      <c r="P466" s="1">
        <v>2000</v>
      </c>
      <c r="Q466" s="1"/>
      <c r="R466" s="1">
        <v>600</v>
      </c>
      <c r="S466">
        <v>180000</v>
      </c>
      <c r="T466">
        <v>9027</v>
      </c>
      <c r="U466">
        <v>1431</v>
      </c>
      <c r="V466">
        <v>16470</v>
      </c>
      <c r="W466" s="1">
        <v>46180</v>
      </c>
      <c r="X466" s="1" t="s">
        <v>55</v>
      </c>
      <c r="Y466" s="1" t="s">
        <v>51</v>
      </c>
      <c r="Z466" s="1" t="s">
        <v>489</v>
      </c>
      <c r="AA466" s="1" t="s">
        <v>3564</v>
      </c>
      <c r="AB466" s="1" t="s">
        <v>3565</v>
      </c>
      <c r="AC466" s="1">
        <v>44885</v>
      </c>
      <c r="AD466" s="1">
        <v>44886</v>
      </c>
      <c r="AE466" s="1">
        <v>45112</v>
      </c>
      <c r="AF466" s="1">
        <v>45107</v>
      </c>
      <c r="AG466" s="1" t="s">
        <v>788</v>
      </c>
      <c r="AH466" s="1" t="s">
        <v>3566</v>
      </c>
      <c r="AI466" s="1"/>
      <c r="AJ466" s="31">
        <v>44886</v>
      </c>
      <c r="AK466"/>
      <c r="AL466"/>
      <c r="AM466"/>
      <c r="AO466"/>
      <c r="AP466" s="1"/>
      <c r="AQ466" s="81"/>
      <c r="AR466" s="81"/>
      <c r="AS466" s="81"/>
      <c r="AT466" s="81"/>
      <c r="AU466" s="81"/>
      <c r="AV466" s="81"/>
      <c r="AW466" s="81"/>
      <c r="AX466" s="81"/>
      <c r="AY466" s="81"/>
    </row>
    <row r="467" spans="1:51" hidden="1">
      <c r="A467" s="1" t="s">
        <v>2542</v>
      </c>
      <c r="B467" s="1">
        <v>221108</v>
      </c>
      <c r="C467" s="1">
        <v>232085</v>
      </c>
      <c r="D467" s="1" t="s">
        <v>83</v>
      </c>
      <c r="E467" s="1" t="s">
        <v>307</v>
      </c>
      <c r="F467" s="1" t="s">
        <v>2251</v>
      </c>
      <c r="G467" s="1" t="s">
        <v>2252</v>
      </c>
      <c r="H467" s="1" t="s">
        <v>797</v>
      </c>
      <c r="I467" s="1" t="s">
        <v>798</v>
      </c>
      <c r="J467" s="1" t="s">
        <v>18</v>
      </c>
      <c r="K467" s="1" t="s">
        <v>50</v>
      </c>
      <c r="L467" s="1">
        <v>35831</v>
      </c>
      <c r="M467" s="1">
        <v>27</v>
      </c>
      <c r="N467" s="1">
        <v>1300</v>
      </c>
      <c r="P467" s="1">
        <v>1710</v>
      </c>
      <c r="Q467" s="1"/>
      <c r="R467" s="1">
        <v>410</v>
      </c>
      <c r="S467">
        <v>300000</v>
      </c>
      <c r="T467">
        <v>15045</v>
      </c>
      <c r="U467" t="s">
        <v>814</v>
      </c>
      <c r="V467">
        <v>27450</v>
      </c>
      <c r="W467" s="1">
        <v>46340</v>
      </c>
      <c r="X467" s="1" t="s">
        <v>55</v>
      </c>
      <c r="Y467" s="1" t="s">
        <v>51</v>
      </c>
      <c r="Z467" s="1" t="s">
        <v>110</v>
      </c>
      <c r="AA467" s="1" t="s">
        <v>131</v>
      </c>
      <c r="AB467" s="1" t="s">
        <v>1870</v>
      </c>
      <c r="AC467" s="1">
        <v>44891</v>
      </c>
      <c r="AD467" s="1">
        <v>44886</v>
      </c>
      <c r="AE467" s="1">
        <v>45555</v>
      </c>
      <c r="AF467" s="1"/>
      <c r="AG467" s="1" t="s">
        <v>788</v>
      </c>
      <c r="AH467" s="1" t="s">
        <v>803</v>
      </c>
      <c r="AI467" s="1"/>
      <c r="AJ467" s="31">
        <v>44886</v>
      </c>
      <c r="AK467"/>
      <c r="AL467"/>
      <c r="AM467"/>
      <c r="AO467"/>
      <c r="AP467" s="1"/>
      <c r="AQ467" s="81"/>
      <c r="AR467" s="81"/>
      <c r="AS467" s="81"/>
      <c r="AT467" s="81"/>
      <c r="AU467" s="81"/>
      <c r="AV467" s="81"/>
      <c r="AW467" s="81"/>
      <c r="AX467" s="81"/>
      <c r="AY467" s="81"/>
    </row>
    <row r="468" spans="1:51" hidden="1">
      <c r="A468" s="1" t="s">
        <v>2542</v>
      </c>
      <c r="B468" s="1">
        <v>221109</v>
      </c>
      <c r="D468" s="1" t="s">
        <v>846</v>
      </c>
      <c r="F468"/>
      <c r="G468"/>
      <c r="H468" s="1" t="s">
        <v>3567</v>
      </c>
      <c r="I468" s="1" t="s">
        <v>3568</v>
      </c>
      <c r="J468" s="1" t="s">
        <v>18</v>
      </c>
      <c r="K468" s="1" t="s">
        <v>50</v>
      </c>
      <c r="L468" s="1">
        <v>33220</v>
      </c>
      <c r="M468" s="1">
        <v>34</v>
      </c>
      <c r="N468" s="1">
        <v>1300</v>
      </c>
      <c r="P468" s="1">
        <v>1700</v>
      </c>
      <c r="Q468" s="1"/>
      <c r="R468" s="1">
        <v>400</v>
      </c>
      <c r="S468"/>
      <c r="T468" t="s">
        <v>55</v>
      </c>
      <c r="U468" t="s">
        <v>814</v>
      </c>
      <c r="V468" t="s">
        <v>55</v>
      </c>
      <c r="W468" s="1">
        <v>45115</v>
      </c>
      <c r="X468" s="1" t="s">
        <v>55</v>
      </c>
      <c r="Y468" s="1" t="s">
        <v>51</v>
      </c>
      <c r="Z468" s="1" t="s">
        <v>3569</v>
      </c>
      <c r="AA468" s="1" t="s">
        <v>3570</v>
      </c>
      <c r="AB468" s="1" t="s">
        <v>3586</v>
      </c>
      <c r="AC468" s="1">
        <v>44887</v>
      </c>
      <c r="AD468" s="1">
        <v>44888</v>
      </c>
      <c r="AE468" s="1">
        <v>44915</v>
      </c>
      <c r="AF468" s="1">
        <v>44922</v>
      </c>
      <c r="AG468" s="1" t="s">
        <v>788</v>
      </c>
      <c r="AH468" s="1" t="s">
        <v>3566</v>
      </c>
      <c r="AI468" s="1"/>
      <c r="AJ468" s="31">
        <v>44888</v>
      </c>
      <c r="AK468"/>
      <c r="AL468"/>
      <c r="AM468"/>
      <c r="AN468"/>
      <c r="AO468"/>
      <c r="AP468"/>
      <c r="AQ468" s="81"/>
      <c r="AR468" s="81"/>
      <c r="AS468" s="81"/>
      <c r="AT468" s="81"/>
      <c r="AU468" s="81"/>
      <c r="AV468" s="81"/>
      <c r="AW468" s="81"/>
      <c r="AX468" s="81"/>
      <c r="AY468" s="81"/>
    </row>
    <row r="469" spans="1:51" hidden="1">
      <c r="A469" s="1" t="s">
        <v>2542</v>
      </c>
      <c r="B469" s="1">
        <v>221201</v>
      </c>
      <c r="D469" s="1" t="s">
        <v>75</v>
      </c>
      <c r="E469" s="1" t="s">
        <v>3934</v>
      </c>
      <c r="F469"/>
      <c r="G469"/>
      <c r="H469" s="1" t="s">
        <v>3571</v>
      </c>
      <c r="I469" s="1" t="s">
        <v>3572</v>
      </c>
      <c r="J469" s="1" t="s">
        <v>18</v>
      </c>
      <c r="K469" s="1" t="s">
        <v>50</v>
      </c>
      <c r="L469" s="1">
        <v>36517</v>
      </c>
      <c r="M469" s="1">
        <v>25</v>
      </c>
      <c r="N469" s="1">
        <v>1200</v>
      </c>
      <c r="P469" s="1">
        <v>1650</v>
      </c>
      <c r="Q469" s="1"/>
      <c r="R469" s="1">
        <v>450</v>
      </c>
      <c r="S469">
        <v>180000</v>
      </c>
      <c r="T469">
        <v>9027</v>
      </c>
      <c r="U469" t="s">
        <v>814</v>
      </c>
      <c r="V469">
        <v>16470</v>
      </c>
      <c r="W469" s="1">
        <v>45258</v>
      </c>
      <c r="X469" s="1" t="s">
        <v>55</v>
      </c>
      <c r="Y469" s="1" t="s">
        <v>51</v>
      </c>
      <c r="Z469" s="1" t="s">
        <v>182</v>
      </c>
      <c r="AA469" s="1" t="s">
        <v>183</v>
      </c>
      <c r="AB469" s="1" t="s">
        <v>184</v>
      </c>
      <c r="AC469" s="1">
        <v>44893</v>
      </c>
      <c r="AD469" s="1">
        <v>44896</v>
      </c>
      <c r="AE469" s="1">
        <v>44985</v>
      </c>
      <c r="AF469" s="1"/>
      <c r="AG469" s="1" t="s">
        <v>855</v>
      </c>
      <c r="AH469" s="1" t="s">
        <v>856</v>
      </c>
      <c r="AI469" s="1"/>
      <c r="AJ469" s="31">
        <v>44896</v>
      </c>
      <c r="AK469"/>
      <c r="AL469"/>
      <c r="AM469"/>
      <c r="AN469"/>
      <c r="AO469"/>
      <c r="AP469"/>
      <c r="AQ469" s="81"/>
      <c r="AR469" s="81"/>
      <c r="AS469" s="81"/>
      <c r="AT469" s="81"/>
      <c r="AU469" s="81"/>
      <c r="AV469" s="81"/>
      <c r="AW469" s="81"/>
      <c r="AX469" s="81"/>
      <c r="AY469" s="81"/>
    </row>
    <row r="470" spans="1:51" hidden="1">
      <c r="A470" s="1" t="s">
        <v>49</v>
      </c>
      <c r="B470" s="1">
        <v>221203</v>
      </c>
      <c r="D470" s="1" t="s">
        <v>447</v>
      </c>
      <c r="E470" s="1" t="s">
        <v>1270</v>
      </c>
      <c r="F470" t="s">
        <v>1271</v>
      </c>
      <c r="G470" t="s">
        <v>1267</v>
      </c>
      <c r="H470" s="1" t="s">
        <v>865</v>
      </c>
      <c r="I470" s="1" t="s">
        <v>866</v>
      </c>
      <c r="J470" s="1" t="s">
        <v>18</v>
      </c>
      <c r="K470" s="1" t="s">
        <v>50</v>
      </c>
      <c r="L470" s="1">
        <v>36484</v>
      </c>
      <c r="M470" s="1">
        <v>26</v>
      </c>
      <c r="N470" s="1">
        <v>1310</v>
      </c>
      <c r="P470" s="1">
        <v>1700</v>
      </c>
      <c r="Q470" s="1"/>
      <c r="R470" s="1">
        <v>390</v>
      </c>
      <c r="S470">
        <v>240000</v>
      </c>
      <c r="T470">
        <v>12036</v>
      </c>
      <c r="U470" t="s">
        <v>814</v>
      </c>
      <c r="V470">
        <v>21960</v>
      </c>
      <c r="W470" s="1">
        <v>47102</v>
      </c>
      <c r="X470" s="1" t="s">
        <v>55</v>
      </c>
      <c r="Y470" s="1" t="s">
        <v>51</v>
      </c>
      <c r="Z470" s="1" t="s">
        <v>448</v>
      </c>
      <c r="AA470" s="1" t="s">
        <v>449</v>
      </c>
      <c r="AB470" s="1" t="s">
        <v>1200</v>
      </c>
      <c r="AC470" s="1"/>
      <c r="AD470" s="1">
        <v>44896</v>
      </c>
      <c r="AE470" s="1"/>
      <c r="AF470" s="1"/>
      <c r="AG470" s="1" t="s">
        <v>855</v>
      </c>
      <c r="AH470" s="1" t="s">
        <v>864</v>
      </c>
      <c r="AI470" s="1"/>
      <c r="AJ470" s="31">
        <v>44896</v>
      </c>
      <c r="AK470"/>
      <c r="AL470"/>
      <c r="AM470"/>
      <c r="AN470"/>
      <c r="AO470"/>
      <c r="AP470"/>
      <c r="AQ470" s="81"/>
      <c r="AR470" s="81"/>
      <c r="AS470" s="81"/>
      <c r="AT470" s="81"/>
      <c r="AU470" s="81"/>
      <c r="AV470" s="81"/>
      <c r="AW470" s="81"/>
      <c r="AX470" s="81"/>
      <c r="AY470" s="81"/>
    </row>
    <row r="471" spans="1:51" hidden="1">
      <c r="A471" s="1" t="s">
        <v>2542</v>
      </c>
      <c r="B471" s="1">
        <v>221204</v>
      </c>
      <c r="D471" s="1" t="s">
        <v>447</v>
      </c>
      <c r="F471"/>
      <c r="G471"/>
      <c r="H471" s="1" t="s">
        <v>3573</v>
      </c>
      <c r="I471" s="1" t="s">
        <v>3574</v>
      </c>
      <c r="J471" s="1" t="s">
        <v>18</v>
      </c>
      <c r="K471" s="1" t="s">
        <v>50</v>
      </c>
      <c r="L471" s="1">
        <v>37233</v>
      </c>
      <c r="M471" s="1">
        <v>23</v>
      </c>
      <c r="N471" s="1">
        <v>1200</v>
      </c>
      <c r="P471" s="1">
        <v>1700</v>
      </c>
      <c r="Q471" s="1"/>
      <c r="R471" s="1">
        <v>500</v>
      </c>
      <c r="S471">
        <v>180000</v>
      </c>
      <c r="T471">
        <v>9027</v>
      </c>
      <c r="U471" t="s">
        <v>814</v>
      </c>
      <c r="V471">
        <v>16470</v>
      </c>
      <c r="W471" s="1">
        <v>45258</v>
      </c>
      <c r="X471" s="1" t="s">
        <v>55</v>
      </c>
      <c r="Y471" s="1" t="s">
        <v>51</v>
      </c>
      <c r="Z471" s="1" t="s">
        <v>448</v>
      </c>
      <c r="AA471" s="1" t="s">
        <v>3575</v>
      </c>
      <c r="AB471" s="1" t="s">
        <v>484</v>
      </c>
      <c r="AC471" s="1"/>
      <c r="AD471" s="1">
        <v>44896</v>
      </c>
      <c r="AE471" s="1">
        <v>45034</v>
      </c>
      <c r="AF471" s="1"/>
      <c r="AG471" s="1" t="s">
        <v>855</v>
      </c>
      <c r="AH471" s="1" t="s">
        <v>864</v>
      </c>
      <c r="AI471" s="1"/>
      <c r="AJ471" s="31">
        <v>44896</v>
      </c>
      <c r="AK471"/>
      <c r="AL471"/>
      <c r="AM471"/>
      <c r="AN471"/>
      <c r="AO471"/>
      <c r="AP471"/>
      <c r="AQ471" s="81"/>
      <c r="AR471" s="81"/>
      <c r="AS471" s="81"/>
      <c r="AT471" s="81"/>
      <c r="AU471" s="81"/>
      <c r="AV471" s="81"/>
      <c r="AW471" s="81"/>
      <c r="AX471" s="81"/>
      <c r="AY471" s="81"/>
    </row>
    <row r="472" spans="1:51" hidden="1">
      <c r="A472" s="1" t="s">
        <v>2542</v>
      </c>
      <c r="B472" s="1">
        <v>221205</v>
      </c>
      <c r="D472" s="1" t="s">
        <v>447</v>
      </c>
      <c r="E472" s="1" t="s">
        <v>1270</v>
      </c>
      <c r="F472" t="s">
        <v>1271</v>
      </c>
      <c r="G472" t="s">
        <v>1267</v>
      </c>
      <c r="H472" s="1" t="s">
        <v>3576</v>
      </c>
      <c r="I472" s="1" t="s">
        <v>3577</v>
      </c>
      <c r="J472" s="1" t="s">
        <v>18</v>
      </c>
      <c r="K472" s="1" t="s">
        <v>50</v>
      </c>
      <c r="L472" s="1">
        <v>35980</v>
      </c>
      <c r="M472" s="1">
        <v>27</v>
      </c>
      <c r="N472" s="1">
        <v>1200</v>
      </c>
      <c r="P472" s="1">
        <v>1700</v>
      </c>
      <c r="Q472" s="1"/>
      <c r="R472" s="1">
        <v>500</v>
      </c>
      <c r="S472">
        <v>180000</v>
      </c>
      <c r="T472">
        <v>9027</v>
      </c>
      <c r="U472" t="s">
        <v>814</v>
      </c>
      <c r="V472">
        <v>16470</v>
      </c>
      <c r="W472" s="1">
        <v>45258</v>
      </c>
      <c r="X472" s="1" t="s">
        <v>55</v>
      </c>
      <c r="Y472" s="1" t="s">
        <v>51</v>
      </c>
      <c r="Z472" s="1" t="s">
        <v>448</v>
      </c>
      <c r="AA472" s="1" t="s">
        <v>3575</v>
      </c>
      <c r="AB472" s="1" t="s">
        <v>501</v>
      </c>
      <c r="AC472" s="1"/>
      <c r="AD472" s="1">
        <v>44896</v>
      </c>
      <c r="AE472" s="1">
        <v>45150</v>
      </c>
      <c r="AF472" s="1"/>
      <c r="AG472" s="1" t="s">
        <v>855</v>
      </c>
      <c r="AH472" s="1" t="s">
        <v>864</v>
      </c>
      <c r="AI472" s="1"/>
      <c r="AJ472" s="31">
        <v>44896</v>
      </c>
      <c r="AK472"/>
      <c r="AL472"/>
      <c r="AM472"/>
      <c r="AN472"/>
      <c r="AO472"/>
      <c r="AP472"/>
      <c r="AQ472" s="81"/>
      <c r="AR472" s="81"/>
      <c r="AS472" s="81"/>
      <c r="AT472" s="81"/>
      <c r="AU472" s="81"/>
      <c r="AV472" s="81"/>
      <c r="AW472" s="81"/>
      <c r="AX472" s="81"/>
      <c r="AY472" s="81"/>
    </row>
    <row r="473" spans="1:51" hidden="1">
      <c r="A473" s="1" t="s">
        <v>2542</v>
      </c>
      <c r="B473" s="1">
        <v>221206</v>
      </c>
      <c r="D473" s="1" t="s">
        <v>61</v>
      </c>
      <c r="E473" s="1" t="s">
        <v>1065</v>
      </c>
      <c r="F473" t="s">
        <v>1884</v>
      </c>
      <c r="G473" t="s">
        <v>1871</v>
      </c>
      <c r="H473" s="1" t="s">
        <v>859</v>
      </c>
      <c r="I473" s="1" t="s">
        <v>860</v>
      </c>
      <c r="J473" s="1" t="s">
        <v>18</v>
      </c>
      <c r="K473" s="1" t="s">
        <v>50</v>
      </c>
      <c r="L473" s="1">
        <v>33248</v>
      </c>
      <c r="M473" s="1">
        <v>34</v>
      </c>
      <c r="N473" s="1">
        <v>1400</v>
      </c>
      <c r="P473" s="1">
        <v>1800</v>
      </c>
      <c r="Q473" s="1"/>
      <c r="R473" s="1">
        <v>400</v>
      </c>
      <c r="S473">
        <v>280000</v>
      </c>
      <c r="T473">
        <v>14042</v>
      </c>
      <c r="U473" t="s">
        <v>814</v>
      </c>
      <c r="V473">
        <v>25620</v>
      </c>
      <c r="W473" s="1">
        <v>45745</v>
      </c>
      <c r="X473" s="1" t="s">
        <v>55</v>
      </c>
      <c r="Y473" s="1" t="s">
        <v>51</v>
      </c>
      <c r="Z473" s="1" t="s">
        <v>861</v>
      </c>
      <c r="AA473" s="1" t="s">
        <v>862</v>
      </c>
      <c r="AB473" s="1" t="s">
        <v>863</v>
      </c>
      <c r="AC473" s="1" t="s">
        <v>53</v>
      </c>
      <c r="AD473" s="1">
        <v>44896</v>
      </c>
      <c r="AE473" s="1">
        <v>45498</v>
      </c>
      <c r="AF473" s="1"/>
      <c r="AG473" s="1" t="s">
        <v>855</v>
      </c>
      <c r="AH473" s="1" t="s">
        <v>864</v>
      </c>
      <c r="AI473" s="1"/>
      <c r="AJ473" s="31">
        <v>44896</v>
      </c>
      <c r="AK473"/>
      <c r="AL473"/>
      <c r="AM473"/>
      <c r="AN473"/>
      <c r="AO473"/>
      <c r="AP473"/>
      <c r="AQ473" s="81"/>
      <c r="AR473" s="81"/>
      <c r="AS473" s="81"/>
      <c r="AT473" s="81"/>
      <c r="AU473" s="81"/>
      <c r="AV473" s="81"/>
      <c r="AW473" s="81"/>
      <c r="AX473" s="81"/>
      <c r="AY473" s="81"/>
    </row>
    <row r="474" spans="1:51">
      <c r="A474" s="1" t="s">
        <v>49</v>
      </c>
      <c r="B474" s="1">
        <v>240306</v>
      </c>
      <c r="C474" s="1">
        <v>222064</v>
      </c>
      <c r="D474" s="1" t="s">
        <v>62</v>
      </c>
      <c r="E474" s="1" t="s">
        <v>3935</v>
      </c>
      <c r="F474" t="s">
        <v>794</v>
      </c>
      <c r="G474" t="s">
        <v>316</v>
      </c>
      <c r="H474" s="1" t="s">
        <v>2196</v>
      </c>
      <c r="I474" s="1" t="s">
        <v>2197</v>
      </c>
      <c r="J474" s="1" t="s">
        <v>18</v>
      </c>
      <c r="K474" s="1" t="s">
        <v>50</v>
      </c>
      <c r="L474" s="1">
        <v>36526</v>
      </c>
      <c r="M474" s="1">
        <v>25</v>
      </c>
      <c r="N474" s="1">
        <v>1300</v>
      </c>
      <c r="P474" s="1">
        <v>1670</v>
      </c>
      <c r="Q474" s="1"/>
      <c r="R474" s="1">
        <v>370</v>
      </c>
      <c r="S474">
        <v>240000</v>
      </c>
      <c r="T474">
        <v>12036</v>
      </c>
      <c r="U474" t="s">
        <v>814</v>
      </c>
      <c r="V474">
        <v>21960</v>
      </c>
      <c r="W474" s="1">
        <v>46106</v>
      </c>
      <c r="X474" s="1" t="s">
        <v>55</v>
      </c>
      <c r="Y474" s="1" t="s">
        <v>51</v>
      </c>
      <c r="Z474" s="1" t="s">
        <v>203</v>
      </c>
      <c r="AA474" s="1" t="s">
        <v>2302</v>
      </c>
      <c r="AB474" s="1" t="s">
        <v>2303</v>
      </c>
      <c r="AC474" s="1"/>
      <c r="AD474" s="1">
        <v>45359</v>
      </c>
      <c r="AE474" s="1"/>
      <c r="AF474" s="1"/>
      <c r="AG474" s="1" t="s">
        <v>2304</v>
      </c>
      <c r="AH474" s="1" t="s">
        <v>2294</v>
      </c>
      <c r="AI474" s="1"/>
      <c r="AJ474" s="31">
        <v>45359</v>
      </c>
      <c r="AK474"/>
      <c r="AL474"/>
      <c r="AM474"/>
      <c r="AN474"/>
      <c r="AO474" t="s">
        <v>4165</v>
      </c>
      <c r="AP474"/>
      <c r="AQ474" s="81"/>
      <c r="AR474" s="81"/>
      <c r="AS474" s="81"/>
      <c r="AT474" s="81"/>
      <c r="AU474" s="81"/>
      <c r="AV474" s="81"/>
      <c r="AW474" s="81"/>
      <c r="AX474" s="81"/>
      <c r="AY474" s="81"/>
    </row>
    <row r="475" spans="1:51" hidden="1">
      <c r="A475" s="1" t="s">
        <v>2542</v>
      </c>
      <c r="B475" s="1">
        <v>221208</v>
      </c>
      <c r="C475" s="1">
        <v>242058</v>
      </c>
      <c r="D475" s="1" t="s">
        <v>69</v>
      </c>
      <c r="E475" s="1" t="s">
        <v>306</v>
      </c>
      <c r="F475" t="s">
        <v>742</v>
      </c>
      <c r="G475" t="s">
        <v>317</v>
      </c>
      <c r="H475" s="1" t="s">
        <v>869</v>
      </c>
      <c r="I475" s="1" t="s">
        <v>870</v>
      </c>
      <c r="J475" s="1" t="s">
        <v>18</v>
      </c>
      <c r="K475" s="1" t="s">
        <v>50</v>
      </c>
      <c r="L475" s="1">
        <v>36302</v>
      </c>
      <c r="M475" s="1">
        <v>26</v>
      </c>
      <c r="N475" s="1">
        <v>1310</v>
      </c>
      <c r="P475" s="1">
        <v>1700</v>
      </c>
      <c r="Q475" s="1"/>
      <c r="R475" s="1">
        <v>390</v>
      </c>
      <c r="S475">
        <v>300000</v>
      </c>
      <c r="T475">
        <v>15045</v>
      </c>
      <c r="U475" t="s">
        <v>814</v>
      </c>
      <c r="V475">
        <v>27450</v>
      </c>
      <c r="W475" s="1">
        <v>45628</v>
      </c>
      <c r="X475" s="1" t="s">
        <v>55</v>
      </c>
      <c r="Y475" s="1" t="s">
        <v>51</v>
      </c>
      <c r="Z475" s="1" t="s">
        <v>485</v>
      </c>
      <c r="AA475" s="1" t="s">
        <v>1999</v>
      </c>
      <c r="AB475" s="1" t="s">
        <v>2160</v>
      </c>
      <c r="AC475" s="1" t="s">
        <v>53</v>
      </c>
      <c r="AD475" s="1">
        <v>44903</v>
      </c>
      <c r="AE475" s="1">
        <v>45551</v>
      </c>
      <c r="AF475" s="1"/>
      <c r="AG475" s="1" t="s">
        <v>855</v>
      </c>
      <c r="AH475" s="1" t="s">
        <v>864</v>
      </c>
      <c r="AI475" s="1"/>
      <c r="AJ475" s="31">
        <v>44903</v>
      </c>
      <c r="AK475"/>
      <c r="AL475"/>
      <c r="AM475"/>
      <c r="AN475"/>
      <c r="AO475"/>
      <c r="AP475"/>
      <c r="AQ475" s="81"/>
      <c r="AR475" s="81"/>
      <c r="AS475" s="81"/>
      <c r="AT475" s="81"/>
      <c r="AU475" s="81"/>
      <c r="AV475" s="81"/>
      <c r="AW475" s="81"/>
      <c r="AX475" s="81"/>
      <c r="AY475" s="81"/>
    </row>
    <row r="476" spans="1:51">
      <c r="A476" s="1" t="s">
        <v>49</v>
      </c>
      <c r="B476" s="1">
        <v>240314</v>
      </c>
      <c r="C476" s="1">
        <v>222067</v>
      </c>
      <c r="D476" s="1" t="s">
        <v>62</v>
      </c>
      <c r="E476" s="1" t="s">
        <v>3935</v>
      </c>
      <c r="F476" t="s">
        <v>794</v>
      </c>
      <c r="G476" t="s">
        <v>316</v>
      </c>
      <c r="H476" s="1" t="s">
        <v>2214</v>
      </c>
      <c r="I476" s="1" t="s">
        <v>2215</v>
      </c>
      <c r="J476" s="1" t="s">
        <v>18</v>
      </c>
      <c r="K476" s="1" t="s">
        <v>50</v>
      </c>
      <c r="L476" s="1">
        <v>36855</v>
      </c>
      <c r="M476" s="1">
        <v>25</v>
      </c>
      <c r="N476" s="1">
        <v>1300</v>
      </c>
      <c r="P476" s="1">
        <v>1670</v>
      </c>
      <c r="Q476" s="1"/>
      <c r="R476" s="1">
        <v>370</v>
      </c>
      <c r="S476">
        <v>240000</v>
      </c>
      <c r="T476">
        <v>12036</v>
      </c>
      <c r="U476" t="s">
        <v>814</v>
      </c>
      <c r="V476">
        <v>21960</v>
      </c>
      <c r="W476" s="1">
        <v>46106</v>
      </c>
      <c r="X476" s="1" t="s">
        <v>55</v>
      </c>
      <c r="Y476" s="1" t="s">
        <v>51</v>
      </c>
      <c r="Z476" s="1" t="s">
        <v>182</v>
      </c>
      <c r="AA476" s="1" t="s">
        <v>2317</v>
      </c>
      <c r="AB476" s="1" t="s">
        <v>2318</v>
      </c>
      <c r="AC476" s="1"/>
      <c r="AD476" s="1">
        <v>45365</v>
      </c>
      <c r="AE476" s="1"/>
      <c r="AF476" s="1"/>
      <c r="AG476" s="1" t="s">
        <v>2319</v>
      </c>
      <c r="AH476" s="1" t="s">
        <v>2294</v>
      </c>
      <c r="AI476" s="1"/>
      <c r="AJ476" s="31">
        <v>45365</v>
      </c>
      <c r="AK476"/>
      <c r="AL476"/>
      <c r="AM476"/>
      <c r="AN476"/>
      <c r="AO476" t="s">
        <v>4165</v>
      </c>
      <c r="AP476"/>
      <c r="AQ476" s="81"/>
      <c r="AR476" s="81"/>
      <c r="AS476" s="81"/>
      <c r="AT476" s="81"/>
      <c r="AU476" s="81"/>
      <c r="AV476" s="81"/>
      <c r="AW476" s="81"/>
      <c r="AX476" s="81"/>
      <c r="AY476" s="81"/>
    </row>
    <row r="477" spans="1:51" hidden="1">
      <c r="A477" s="1" t="s">
        <v>2542</v>
      </c>
      <c r="B477" s="1">
        <v>221210</v>
      </c>
      <c r="C477" s="1">
        <v>212036</v>
      </c>
      <c r="D477" s="1" t="s">
        <v>75</v>
      </c>
      <c r="E477" s="1" t="s">
        <v>3934</v>
      </c>
      <c r="F477" t="s">
        <v>736</v>
      </c>
      <c r="G477" t="s">
        <v>317</v>
      </c>
      <c r="H477" s="1" t="s">
        <v>3578</v>
      </c>
      <c r="I477" s="1" t="s">
        <v>3579</v>
      </c>
      <c r="J477" s="1" t="s">
        <v>18</v>
      </c>
      <c r="K477" s="1" t="s">
        <v>50</v>
      </c>
      <c r="L477" s="1">
        <v>31986</v>
      </c>
      <c r="M477" s="1">
        <v>38</v>
      </c>
      <c r="N477" s="1">
        <v>1250</v>
      </c>
      <c r="P477" s="1">
        <v>1650</v>
      </c>
      <c r="Q477" s="1"/>
      <c r="R477" s="1">
        <v>400</v>
      </c>
      <c r="S477">
        <v>260000</v>
      </c>
      <c r="T477">
        <v>13039</v>
      </c>
      <c r="U477" t="s">
        <v>814</v>
      </c>
      <c r="V477">
        <v>23790</v>
      </c>
      <c r="W477" s="1">
        <v>45645</v>
      </c>
      <c r="X477" s="1" t="s">
        <v>55</v>
      </c>
      <c r="Y477" s="1" t="s">
        <v>51</v>
      </c>
      <c r="Z477" s="1" t="s">
        <v>217</v>
      </c>
      <c r="AA477" s="1" t="s">
        <v>158</v>
      </c>
      <c r="AB477" s="1" t="s">
        <v>190</v>
      </c>
      <c r="AC477" s="1">
        <v>44904</v>
      </c>
      <c r="AD477" s="1">
        <v>44907</v>
      </c>
      <c r="AE477" s="1">
        <v>45338</v>
      </c>
      <c r="AF477" s="1"/>
      <c r="AG477" s="1" t="s">
        <v>855</v>
      </c>
      <c r="AH477" s="1" t="s">
        <v>874</v>
      </c>
      <c r="AI477" s="1"/>
      <c r="AJ477" s="31">
        <v>44907</v>
      </c>
      <c r="AK477"/>
      <c r="AL477"/>
      <c r="AM477"/>
      <c r="AN477"/>
      <c r="AO477"/>
      <c r="AP477"/>
      <c r="AQ477" s="81"/>
      <c r="AR477" s="81"/>
      <c r="AS477" s="81"/>
      <c r="AT477" s="81"/>
      <c r="AU477" s="81"/>
      <c r="AV477" s="81"/>
      <c r="AW477" s="81"/>
      <c r="AX477" s="81"/>
      <c r="AY477" s="81"/>
    </row>
    <row r="478" spans="1:51" hidden="1">
      <c r="A478" s="1" t="s">
        <v>49</v>
      </c>
      <c r="B478" s="1">
        <v>221212</v>
      </c>
      <c r="D478" s="1" t="s">
        <v>447</v>
      </c>
      <c r="E478" s="1" t="s">
        <v>1270</v>
      </c>
      <c r="F478" t="s">
        <v>1271</v>
      </c>
      <c r="G478" t="s">
        <v>1267</v>
      </c>
      <c r="H478" s="1" t="s">
        <v>877</v>
      </c>
      <c r="I478" s="1" t="s">
        <v>878</v>
      </c>
      <c r="J478" s="1" t="s">
        <v>18</v>
      </c>
      <c r="K478" s="1" t="s">
        <v>50</v>
      </c>
      <c r="L478" s="1">
        <v>35771</v>
      </c>
      <c r="M478" s="1">
        <v>27</v>
      </c>
      <c r="N478" s="1">
        <v>1310</v>
      </c>
      <c r="P478" s="1">
        <v>1700</v>
      </c>
      <c r="Q478" s="1"/>
      <c r="R478" s="1">
        <v>390</v>
      </c>
      <c r="S478">
        <v>240000</v>
      </c>
      <c r="T478">
        <v>12036</v>
      </c>
      <c r="U478" t="s">
        <v>814</v>
      </c>
      <c r="V478">
        <v>21960</v>
      </c>
      <c r="W478" s="1">
        <v>46010</v>
      </c>
      <c r="X478" s="1">
        <v>15</v>
      </c>
      <c r="Y478" s="1" t="s">
        <v>51</v>
      </c>
      <c r="Z478" s="1" t="s">
        <v>448</v>
      </c>
      <c r="AA478" s="1" t="s">
        <v>1104</v>
      </c>
      <c r="AB478" s="1" t="s">
        <v>879</v>
      </c>
      <c r="AC478" s="1"/>
      <c r="AD478" s="1">
        <v>44907</v>
      </c>
      <c r="AE478" s="1"/>
      <c r="AF478" s="1"/>
      <c r="AG478" s="1" t="s">
        <v>855</v>
      </c>
      <c r="AH478" s="1" t="s">
        <v>864</v>
      </c>
      <c r="AI478" s="1"/>
      <c r="AJ478" s="31">
        <v>44907</v>
      </c>
      <c r="AK478"/>
      <c r="AL478"/>
      <c r="AM478"/>
      <c r="AN478"/>
      <c r="AO478"/>
      <c r="AP478"/>
      <c r="AQ478" s="81"/>
      <c r="AR478" s="81"/>
      <c r="AS478" s="81"/>
      <c r="AT478" s="81"/>
      <c r="AU478" s="81"/>
      <c r="AV478" s="81"/>
      <c r="AW478" s="81"/>
      <c r="AX478" s="81"/>
      <c r="AY478" s="81"/>
    </row>
    <row r="479" spans="1:51" hidden="1">
      <c r="A479" s="1" t="s">
        <v>49</v>
      </c>
      <c r="B479" s="1">
        <v>221213</v>
      </c>
      <c r="D479" s="1" t="s">
        <v>447</v>
      </c>
      <c r="E479" s="1" t="s">
        <v>1270</v>
      </c>
      <c r="F479" t="s">
        <v>1271</v>
      </c>
      <c r="G479" t="s">
        <v>1267</v>
      </c>
      <c r="H479" s="1" t="s">
        <v>880</v>
      </c>
      <c r="I479" s="1" t="s">
        <v>881</v>
      </c>
      <c r="J479" s="1" t="s">
        <v>18</v>
      </c>
      <c r="K479" s="1" t="s">
        <v>50</v>
      </c>
      <c r="L479" s="1">
        <v>36231</v>
      </c>
      <c r="M479" s="1">
        <v>26</v>
      </c>
      <c r="N479" s="1">
        <v>1310</v>
      </c>
      <c r="P479" s="1">
        <v>1700</v>
      </c>
      <c r="Q479" s="1"/>
      <c r="R479" s="1">
        <v>390</v>
      </c>
      <c r="S479">
        <v>240000</v>
      </c>
      <c r="T479">
        <v>12036</v>
      </c>
      <c r="U479" t="s">
        <v>814</v>
      </c>
      <c r="V479">
        <v>21960</v>
      </c>
      <c r="W479" s="1">
        <v>47106</v>
      </c>
      <c r="X479" s="1" t="s">
        <v>55</v>
      </c>
      <c r="Y479" s="1" t="s">
        <v>51</v>
      </c>
      <c r="Z479" s="1" t="s">
        <v>2505</v>
      </c>
      <c r="AA479" s="1" t="s">
        <v>2494</v>
      </c>
      <c r="AB479" s="1"/>
      <c r="AC479" s="1"/>
      <c r="AD479" s="1">
        <v>44907</v>
      </c>
      <c r="AE479" s="1"/>
      <c r="AF479" s="1"/>
      <c r="AG479" s="1" t="s">
        <v>855</v>
      </c>
      <c r="AH479" s="1" t="s">
        <v>864</v>
      </c>
      <c r="AI479" s="1"/>
      <c r="AJ479" s="31">
        <v>44907</v>
      </c>
      <c r="AK479"/>
      <c r="AL479"/>
      <c r="AM479"/>
      <c r="AN479"/>
      <c r="AO479"/>
      <c r="AP479"/>
      <c r="AQ479" s="81"/>
      <c r="AR479" s="81"/>
      <c r="AS479" s="81"/>
      <c r="AT479" s="81"/>
      <c r="AU479" s="81"/>
      <c r="AV479" s="81"/>
      <c r="AW479" s="81"/>
      <c r="AX479" s="81"/>
      <c r="AY479" s="81"/>
    </row>
    <row r="480" spans="1:51" hidden="1">
      <c r="A480" s="1" t="s">
        <v>2542</v>
      </c>
      <c r="B480" s="1">
        <v>221214</v>
      </c>
      <c r="D480" s="1" t="s">
        <v>447</v>
      </c>
      <c r="E480" s="1" t="s">
        <v>1270</v>
      </c>
      <c r="F480" t="s">
        <v>1271</v>
      </c>
      <c r="G480" t="s">
        <v>1267</v>
      </c>
      <c r="H480" s="1" t="s">
        <v>3580</v>
      </c>
      <c r="I480" s="1" t="s">
        <v>3581</v>
      </c>
      <c r="J480" s="1" t="s">
        <v>18</v>
      </c>
      <c r="K480" s="1" t="s">
        <v>50</v>
      </c>
      <c r="L480" s="1">
        <v>32183</v>
      </c>
      <c r="M480" s="1">
        <v>37</v>
      </c>
      <c r="N480" s="1">
        <v>1250</v>
      </c>
      <c r="P480" s="1">
        <v>1700</v>
      </c>
      <c r="Q480" s="1"/>
      <c r="R480" s="1">
        <v>450</v>
      </c>
      <c r="S480">
        <v>340000</v>
      </c>
      <c r="T480">
        <v>17051</v>
      </c>
      <c r="U480" t="s">
        <v>814</v>
      </c>
      <c r="V480">
        <v>31110</v>
      </c>
      <c r="W480" s="1">
        <v>45654</v>
      </c>
      <c r="X480" s="1" t="s">
        <v>55</v>
      </c>
      <c r="Y480" s="1" t="s">
        <v>51</v>
      </c>
      <c r="Z480" s="1" t="s">
        <v>448</v>
      </c>
      <c r="AA480" s="1" t="s">
        <v>478</v>
      </c>
      <c r="AB480" s="1" t="s">
        <v>3582</v>
      </c>
      <c r="AC480" s="1" t="s">
        <v>53</v>
      </c>
      <c r="AD480" s="1">
        <v>44907</v>
      </c>
      <c r="AE480" s="1">
        <v>45341</v>
      </c>
      <c r="AF480" s="1"/>
      <c r="AG480" s="1" t="s">
        <v>855</v>
      </c>
      <c r="AH480" s="1" t="s">
        <v>864</v>
      </c>
      <c r="AI480" s="1"/>
      <c r="AJ480" s="31">
        <v>44907</v>
      </c>
      <c r="AK480"/>
      <c r="AL480"/>
      <c r="AM480"/>
      <c r="AN480"/>
      <c r="AO480"/>
      <c r="AP480"/>
      <c r="AQ480" s="81"/>
      <c r="AR480" s="81"/>
      <c r="AS480" s="81"/>
      <c r="AT480" s="81"/>
      <c r="AU480" s="81"/>
      <c r="AV480" s="81"/>
      <c r="AW480" s="81"/>
      <c r="AX480" s="81"/>
      <c r="AY480" s="81"/>
    </row>
    <row r="481" spans="1:51" hidden="1">
      <c r="A481" s="1" t="s">
        <v>2542</v>
      </c>
      <c r="B481" s="1">
        <v>221215</v>
      </c>
      <c r="D481" s="1" t="s">
        <v>447</v>
      </c>
      <c r="E481" s="1" t="s">
        <v>1270</v>
      </c>
      <c r="F481" t="s">
        <v>1271</v>
      </c>
      <c r="G481" t="s">
        <v>1267</v>
      </c>
      <c r="H481" s="1" t="s">
        <v>882</v>
      </c>
      <c r="I481" s="1" t="s">
        <v>883</v>
      </c>
      <c r="J481" s="1" t="s">
        <v>18</v>
      </c>
      <c r="K481" s="1" t="s">
        <v>50</v>
      </c>
      <c r="L481" s="1">
        <v>36848</v>
      </c>
      <c r="M481" s="1">
        <v>25</v>
      </c>
      <c r="N481" s="1">
        <v>1250</v>
      </c>
      <c r="P481" s="1">
        <v>1700</v>
      </c>
      <c r="Q481" s="1"/>
      <c r="R481" s="1">
        <v>450</v>
      </c>
      <c r="S481">
        <v>280000</v>
      </c>
      <c r="T481">
        <v>14042</v>
      </c>
      <c r="U481" t="s">
        <v>814</v>
      </c>
      <c r="V481">
        <v>25620</v>
      </c>
      <c r="W481" s="1">
        <v>46010</v>
      </c>
      <c r="X481" s="1" t="s">
        <v>55</v>
      </c>
      <c r="Y481" s="1" t="s">
        <v>51</v>
      </c>
      <c r="Z481" s="1" t="s">
        <v>448</v>
      </c>
      <c r="AA481" s="1" t="s">
        <v>1104</v>
      </c>
      <c r="AB481" s="1" t="s">
        <v>879</v>
      </c>
      <c r="AC481" s="1"/>
      <c r="AD481" s="1">
        <v>44907</v>
      </c>
      <c r="AE481" s="1">
        <v>45715</v>
      </c>
      <c r="AF481" s="1"/>
      <c r="AG481" s="1" t="s">
        <v>855</v>
      </c>
      <c r="AH481" s="1" t="s">
        <v>864</v>
      </c>
      <c r="AI481" s="1"/>
      <c r="AJ481" s="31">
        <v>44907</v>
      </c>
      <c r="AK481"/>
      <c r="AL481"/>
      <c r="AM481"/>
      <c r="AN481"/>
      <c r="AO481"/>
      <c r="AP481"/>
      <c r="AQ481" s="81"/>
      <c r="AR481" s="81"/>
      <c r="AS481" s="81"/>
      <c r="AT481" s="81"/>
      <c r="AU481" s="81"/>
      <c r="AV481" s="81"/>
      <c r="AW481" s="81"/>
      <c r="AX481" s="81"/>
      <c r="AY481" s="81"/>
    </row>
    <row r="482" spans="1:51" hidden="1">
      <c r="A482" s="1" t="s">
        <v>49</v>
      </c>
      <c r="B482" s="1">
        <v>221216</v>
      </c>
      <c r="D482" s="1" t="s">
        <v>447</v>
      </c>
      <c r="E482" s="1" t="s">
        <v>1270</v>
      </c>
      <c r="F482" t="s">
        <v>1271</v>
      </c>
      <c r="G482" t="s">
        <v>1267</v>
      </c>
      <c r="H482" s="1" t="s">
        <v>884</v>
      </c>
      <c r="I482" s="1" t="s">
        <v>885</v>
      </c>
      <c r="J482" s="1" t="s">
        <v>18</v>
      </c>
      <c r="K482" s="1" t="s">
        <v>50</v>
      </c>
      <c r="L482" s="1">
        <v>36698</v>
      </c>
      <c r="M482" s="1">
        <v>25</v>
      </c>
      <c r="N482" s="1">
        <v>1310</v>
      </c>
      <c r="P482" s="1">
        <v>1700</v>
      </c>
      <c r="Q482" s="1"/>
      <c r="R482" s="1">
        <v>390</v>
      </c>
      <c r="S482">
        <v>240000</v>
      </c>
      <c r="T482">
        <v>12036</v>
      </c>
      <c r="U482" t="s">
        <v>814</v>
      </c>
      <c r="V482">
        <v>21960</v>
      </c>
      <c r="W482" s="1">
        <v>47106</v>
      </c>
      <c r="X482" s="1" t="s">
        <v>55</v>
      </c>
      <c r="Y482" s="1" t="s">
        <v>51</v>
      </c>
      <c r="Z482" s="1" t="s">
        <v>448</v>
      </c>
      <c r="AA482" s="1" t="s">
        <v>1104</v>
      </c>
      <c r="AB482" s="1" t="s">
        <v>879</v>
      </c>
      <c r="AC482" s="1"/>
      <c r="AD482" s="1">
        <v>44907</v>
      </c>
      <c r="AE482" s="1"/>
      <c r="AF482" s="1"/>
      <c r="AG482" s="1" t="s">
        <v>855</v>
      </c>
      <c r="AH482" s="1" t="s">
        <v>864</v>
      </c>
      <c r="AI482" s="1"/>
      <c r="AJ482" s="31">
        <v>44907</v>
      </c>
      <c r="AK482"/>
      <c r="AL482"/>
      <c r="AM482"/>
      <c r="AN482"/>
      <c r="AO482"/>
      <c r="AP482"/>
      <c r="AQ482" s="81"/>
      <c r="AR482" s="81"/>
      <c r="AS482" s="81"/>
      <c r="AT482" s="81"/>
      <c r="AU482" s="81"/>
      <c r="AV482" s="81"/>
      <c r="AW482" s="81"/>
      <c r="AX482" s="81"/>
      <c r="AY482" s="81"/>
    </row>
    <row r="483" spans="1:51" hidden="1">
      <c r="A483" s="1" t="s">
        <v>2542</v>
      </c>
      <c r="B483" s="1">
        <v>221217</v>
      </c>
      <c r="C483" s="1">
        <v>5516</v>
      </c>
      <c r="D483" s="1" t="s">
        <v>871</v>
      </c>
      <c r="E483" s="1" t="s">
        <v>1249</v>
      </c>
      <c r="F483" t="s">
        <v>1247</v>
      </c>
      <c r="G483" t="s">
        <v>1514</v>
      </c>
      <c r="H483" s="1" t="s">
        <v>3583</v>
      </c>
      <c r="I483" s="1" t="s">
        <v>3584</v>
      </c>
      <c r="J483" s="1" t="s">
        <v>18</v>
      </c>
      <c r="K483" s="1" t="s">
        <v>50</v>
      </c>
      <c r="L483" s="1">
        <v>34773</v>
      </c>
      <c r="M483" s="1">
        <v>30</v>
      </c>
      <c r="N483" s="1">
        <v>1300</v>
      </c>
      <c r="P483" s="1">
        <v>1700</v>
      </c>
      <c r="Q483" s="1"/>
      <c r="R483" s="1">
        <v>400</v>
      </c>
      <c r="S483">
        <v>300000</v>
      </c>
      <c r="T483">
        <v>15045</v>
      </c>
      <c r="U483" t="s">
        <v>814</v>
      </c>
      <c r="V483">
        <v>27450</v>
      </c>
      <c r="W483" s="1">
        <v>45319</v>
      </c>
      <c r="X483" s="1" t="s">
        <v>55</v>
      </c>
      <c r="Y483" s="1" t="s">
        <v>51</v>
      </c>
      <c r="Z483" s="1" t="s">
        <v>3585</v>
      </c>
      <c r="AA483" s="1" t="s">
        <v>3570</v>
      </c>
      <c r="AB483" s="1" t="s">
        <v>3586</v>
      </c>
      <c r="AC483" s="1"/>
      <c r="AD483" s="1">
        <v>44907</v>
      </c>
      <c r="AE483" s="1">
        <v>45288</v>
      </c>
      <c r="AF483" s="1"/>
      <c r="AG483" s="1" t="s">
        <v>855</v>
      </c>
      <c r="AH483" s="1" t="s">
        <v>864</v>
      </c>
      <c r="AI483" s="1"/>
      <c r="AJ483" s="31">
        <v>44907</v>
      </c>
      <c r="AK483"/>
      <c r="AL483"/>
      <c r="AM483"/>
      <c r="AN483"/>
      <c r="AO483"/>
      <c r="AP483"/>
      <c r="AQ483" s="81"/>
      <c r="AR483" s="81"/>
      <c r="AS483" s="81"/>
      <c r="AT483" s="81"/>
      <c r="AU483" s="81"/>
      <c r="AV483" s="81"/>
      <c r="AW483" s="81"/>
      <c r="AX483" s="81"/>
      <c r="AY483" s="81"/>
    </row>
    <row r="484" spans="1:51">
      <c r="A484" s="1" t="s">
        <v>49</v>
      </c>
      <c r="B484" s="1">
        <v>211020</v>
      </c>
      <c r="C484" s="1">
        <v>222032</v>
      </c>
      <c r="D484" s="1" t="s">
        <v>62</v>
      </c>
      <c r="E484" s="1" t="s">
        <v>3935</v>
      </c>
      <c r="F484" t="s">
        <v>794</v>
      </c>
      <c r="G484" t="s">
        <v>316</v>
      </c>
      <c r="H484" s="1" t="s">
        <v>172</v>
      </c>
      <c r="I484" s="1" t="s">
        <v>173</v>
      </c>
      <c r="J484" s="1" t="s">
        <v>18</v>
      </c>
      <c r="K484" s="1" t="s">
        <v>50</v>
      </c>
      <c r="L484" s="1">
        <v>33832</v>
      </c>
      <c r="M484" s="1">
        <v>33</v>
      </c>
      <c r="N484" s="1">
        <v>1410</v>
      </c>
      <c r="P484" s="1">
        <v>1820</v>
      </c>
      <c r="Q484" s="1" t="s">
        <v>71</v>
      </c>
      <c r="R484" s="1">
        <v>410</v>
      </c>
      <c r="S484">
        <v>280000</v>
      </c>
      <c r="T484">
        <v>14042</v>
      </c>
      <c r="U484" t="s">
        <v>814</v>
      </c>
      <c r="V484">
        <v>25620</v>
      </c>
      <c r="W484" s="1">
        <v>46601</v>
      </c>
      <c r="X484" s="1" t="s">
        <v>55</v>
      </c>
      <c r="Y484" s="1" t="s">
        <v>51</v>
      </c>
      <c r="Z484" s="1" t="s">
        <v>181</v>
      </c>
      <c r="AA484" s="1" t="s">
        <v>1995</v>
      </c>
      <c r="AB484" s="1" t="s">
        <v>174</v>
      </c>
      <c r="AC484" s="1"/>
      <c r="AD484" s="1">
        <v>45397</v>
      </c>
      <c r="AE484" s="1"/>
      <c r="AF484" s="1"/>
      <c r="AG484" s="1">
        <v>22.01</v>
      </c>
      <c r="AH484" s="1" t="s">
        <v>2351</v>
      </c>
      <c r="AI484" s="1"/>
      <c r="AJ484" s="31">
        <v>44228</v>
      </c>
      <c r="AK484"/>
      <c r="AL484"/>
      <c r="AM484"/>
      <c r="AN484"/>
      <c r="AO484" t="s">
        <v>4169</v>
      </c>
      <c r="AP484"/>
      <c r="AQ484" s="81"/>
      <c r="AR484" s="81"/>
      <c r="AS484" s="81"/>
      <c r="AT484" s="81"/>
      <c r="AU484" s="81"/>
      <c r="AV484" s="81"/>
      <c r="AW484" s="81"/>
      <c r="AX484" s="81"/>
      <c r="AY484" s="81"/>
    </row>
    <row r="485" spans="1:51">
      <c r="A485" s="1" t="s">
        <v>49</v>
      </c>
      <c r="B485" s="1">
        <v>241101</v>
      </c>
      <c r="C485" s="1">
        <v>222076</v>
      </c>
      <c r="D485" s="1" t="s">
        <v>62</v>
      </c>
      <c r="E485" s="1" t="s">
        <v>3935</v>
      </c>
      <c r="F485" t="s">
        <v>794</v>
      </c>
      <c r="G485" t="s">
        <v>316</v>
      </c>
      <c r="H485" s="1" t="s">
        <v>3967</v>
      </c>
      <c r="I485" s="1" t="s">
        <v>3968</v>
      </c>
      <c r="J485" s="1" t="s">
        <v>18</v>
      </c>
      <c r="K485" s="1" t="s">
        <v>50</v>
      </c>
      <c r="L485" s="1">
        <v>36892</v>
      </c>
      <c r="M485" s="1">
        <v>24</v>
      </c>
      <c r="N485" s="1">
        <v>1250</v>
      </c>
      <c r="P485" s="1">
        <v>1650</v>
      </c>
      <c r="Q485" s="1"/>
      <c r="R485" s="1">
        <v>400</v>
      </c>
      <c r="S485">
        <v>260000</v>
      </c>
      <c r="T485">
        <v>13039</v>
      </c>
      <c r="U485" t="s">
        <v>814</v>
      </c>
      <c r="V485">
        <v>23790</v>
      </c>
      <c r="W485" s="1">
        <v>46325</v>
      </c>
      <c r="X485" s="1" t="s">
        <v>55</v>
      </c>
      <c r="Y485" s="1" t="s">
        <v>51</v>
      </c>
      <c r="Z485" s="1" t="s">
        <v>817</v>
      </c>
      <c r="AA485" s="1" t="s">
        <v>1422</v>
      </c>
      <c r="AB485" s="1" t="s">
        <v>1423</v>
      </c>
      <c r="AC485" s="1"/>
      <c r="AD485" s="1">
        <v>45600</v>
      </c>
      <c r="AE485" s="1"/>
      <c r="AF485" s="1"/>
      <c r="AG485" s="1">
        <v>45600</v>
      </c>
      <c r="AH485" s="1" t="s">
        <v>1590</v>
      </c>
      <c r="AI485" s="1"/>
      <c r="AJ485" s="31">
        <v>45600</v>
      </c>
      <c r="AK485"/>
      <c r="AL485"/>
      <c r="AM485"/>
      <c r="AN485"/>
      <c r="AO485"/>
      <c r="AP485"/>
      <c r="AQ485" s="81"/>
      <c r="AR485" s="81"/>
      <c r="AS485" s="81"/>
      <c r="AT485" s="81"/>
      <c r="AU485" s="81"/>
      <c r="AV485" s="81"/>
      <c r="AW485" s="81"/>
      <c r="AX485" s="81"/>
      <c r="AY485" s="81"/>
    </row>
    <row r="486" spans="1:51" s="81" customFormat="1" hidden="1">
      <c r="A486" s="1" t="s">
        <v>2542</v>
      </c>
      <c r="B486" s="1">
        <v>221218</v>
      </c>
      <c r="C486" s="1">
        <v>5518</v>
      </c>
      <c r="D486" s="1" t="s">
        <v>871</v>
      </c>
      <c r="E486" s="1" t="s">
        <v>1249</v>
      </c>
      <c r="F486" t="s">
        <v>1247</v>
      </c>
      <c r="G486" t="s">
        <v>1514</v>
      </c>
      <c r="H486" s="1" t="s">
        <v>886</v>
      </c>
      <c r="I486" s="1" t="s">
        <v>887</v>
      </c>
      <c r="J486" s="1" t="s">
        <v>17</v>
      </c>
      <c r="K486" s="1" t="s">
        <v>50</v>
      </c>
      <c r="L486" s="1">
        <v>32925</v>
      </c>
      <c r="M486" s="1">
        <v>35</v>
      </c>
      <c r="N486" s="1">
        <v>1300</v>
      </c>
      <c r="O486" s="1"/>
      <c r="P486" s="1">
        <v>1700</v>
      </c>
      <c r="Q486" s="1"/>
      <c r="R486" s="1">
        <v>400</v>
      </c>
      <c r="S486">
        <v>280000</v>
      </c>
      <c r="T486">
        <v>14042</v>
      </c>
      <c r="U486" t="s">
        <v>814</v>
      </c>
      <c r="V486">
        <v>25620</v>
      </c>
      <c r="W486" s="1">
        <v>46194</v>
      </c>
      <c r="X486" s="1" t="s">
        <v>55</v>
      </c>
      <c r="Y486" s="1" t="s">
        <v>51</v>
      </c>
      <c r="Z486" s="1" t="s">
        <v>852</v>
      </c>
      <c r="AA486" s="1" t="s">
        <v>853</v>
      </c>
      <c r="AB486" s="1" t="s">
        <v>888</v>
      </c>
      <c r="AC486" s="1"/>
      <c r="AD486" s="1">
        <v>44914</v>
      </c>
      <c r="AE486" s="1">
        <v>45534</v>
      </c>
      <c r="AF486" s="1"/>
      <c r="AG486" s="1" t="s">
        <v>889</v>
      </c>
      <c r="AH486" s="1" t="s">
        <v>890</v>
      </c>
      <c r="AI486" s="1"/>
      <c r="AJ486" s="31">
        <v>44914</v>
      </c>
      <c r="AK486"/>
      <c r="AL486"/>
      <c r="AM486"/>
      <c r="AN486"/>
      <c r="AO486"/>
      <c r="AP486"/>
    </row>
    <row r="487" spans="1:51" s="81" customFormat="1" hidden="1">
      <c r="A487" s="1" t="s">
        <v>49</v>
      </c>
      <c r="B487" s="1">
        <v>230101</v>
      </c>
      <c r="C487" s="1">
        <v>5520</v>
      </c>
      <c r="D487" s="1" t="s">
        <v>846</v>
      </c>
      <c r="E487" s="1" t="s">
        <v>1585</v>
      </c>
      <c r="F487" t="s">
        <v>1273</v>
      </c>
      <c r="G487" t="s">
        <v>1514</v>
      </c>
      <c r="H487" s="1" t="s">
        <v>898</v>
      </c>
      <c r="I487" s="1" t="s">
        <v>899</v>
      </c>
      <c r="J487" s="1" t="s">
        <v>18</v>
      </c>
      <c r="K487" s="1" t="s">
        <v>900</v>
      </c>
      <c r="L487" s="1">
        <v>33164</v>
      </c>
      <c r="M487" s="1">
        <v>35</v>
      </c>
      <c r="N487" s="1">
        <v>1320</v>
      </c>
      <c r="O487" s="1" t="s">
        <v>4365</v>
      </c>
      <c r="P487" s="1">
        <v>1730</v>
      </c>
      <c r="Q487" s="1" t="s">
        <v>4366</v>
      </c>
      <c r="R487" s="1">
        <v>410</v>
      </c>
      <c r="S487">
        <v>320000</v>
      </c>
      <c r="T487">
        <v>16048</v>
      </c>
      <c r="U487" t="s">
        <v>814</v>
      </c>
      <c r="V487">
        <v>29280</v>
      </c>
      <c r="W487" s="1">
        <v>46529</v>
      </c>
      <c r="X487" s="1" t="s">
        <v>55</v>
      </c>
      <c r="Y487" s="1" t="s">
        <v>540</v>
      </c>
      <c r="Z487" s="1" t="s">
        <v>901</v>
      </c>
      <c r="AA487" s="1" t="s">
        <v>902</v>
      </c>
      <c r="AB487" s="1" t="s">
        <v>903</v>
      </c>
      <c r="AC487" s="1">
        <v>44924</v>
      </c>
      <c r="AD487" s="1">
        <v>44932</v>
      </c>
      <c r="AE487" s="1"/>
      <c r="AF487" s="1"/>
      <c r="AG487" s="1" t="s">
        <v>904</v>
      </c>
      <c r="AH487" s="1" t="s">
        <v>905</v>
      </c>
      <c r="AI487" s="1"/>
      <c r="AJ487" s="31">
        <v>44932</v>
      </c>
      <c r="AK487"/>
      <c r="AL487"/>
      <c r="AM487"/>
      <c r="AN487"/>
      <c r="AO487"/>
      <c r="AP487"/>
    </row>
    <row r="488" spans="1:51" s="81" customFormat="1" hidden="1">
      <c r="A488" s="1" t="s">
        <v>49</v>
      </c>
      <c r="B488" s="1">
        <v>230102</v>
      </c>
      <c r="C488" s="1">
        <v>5519</v>
      </c>
      <c r="D488" s="1" t="s">
        <v>871</v>
      </c>
      <c r="E488" s="1" t="s">
        <v>1249</v>
      </c>
      <c r="F488" t="s">
        <v>1247</v>
      </c>
      <c r="G488" t="s">
        <v>1514</v>
      </c>
      <c r="H488" s="1" t="s">
        <v>891</v>
      </c>
      <c r="I488" s="1" t="s">
        <v>892</v>
      </c>
      <c r="J488" s="1" t="s">
        <v>17</v>
      </c>
      <c r="K488" s="1" t="s">
        <v>50</v>
      </c>
      <c r="L488" s="1">
        <v>33671</v>
      </c>
      <c r="M488" s="1">
        <v>33</v>
      </c>
      <c r="N488" s="1">
        <v>1330</v>
      </c>
      <c r="O488" s="1" t="s">
        <v>4355</v>
      </c>
      <c r="P488" s="1">
        <v>1745</v>
      </c>
      <c r="Q488" s="1" t="s">
        <v>4356</v>
      </c>
      <c r="R488" s="1">
        <v>415</v>
      </c>
      <c r="S488">
        <v>260000</v>
      </c>
      <c r="T488">
        <v>13039</v>
      </c>
      <c r="U488" t="s">
        <v>814</v>
      </c>
      <c r="V488">
        <v>23790</v>
      </c>
      <c r="W488" s="1">
        <v>46598</v>
      </c>
      <c r="X488" s="1" t="s">
        <v>55</v>
      </c>
      <c r="Y488" s="1" t="s">
        <v>51</v>
      </c>
      <c r="Z488" s="1" t="s">
        <v>893</v>
      </c>
      <c r="AA488" s="1" t="s">
        <v>894</v>
      </c>
      <c r="AB488" s="1" t="s">
        <v>895</v>
      </c>
      <c r="AC488" s="1" t="s">
        <v>53</v>
      </c>
      <c r="AD488" s="1">
        <v>44932</v>
      </c>
      <c r="AE488" s="1"/>
      <c r="AF488" s="1"/>
      <c r="AG488" s="1" t="s">
        <v>896</v>
      </c>
      <c r="AH488" s="1" t="s">
        <v>897</v>
      </c>
      <c r="AI488" s="1"/>
      <c r="AJ488" s="31">
        <v>44932</v>
      </c>
      <c r="AK488"/>
      <c r="AL488"/>
      <c r="AM488"/>
      <c r="AN488"/>
      <c r="AO488"/>
      <c r="AP488"/>
    </row>
    <row r="489" spans="1:51" s="81" customFormat="1" hidden="1">
      <c r="A489" s="1" t="s">
        <v>2542</v>
      </c>
      <c r="B489" s="1">
        <v>230103</v>
      </c>
      <c r="C489" s="1">
        <v>6551</v>
      </c>
      <c r="D489" s="1" t="s">
        <v>688</v>
      </c>
      <c r="E489" s="1" t="s">
        <v>851</v>
      </c>
      <c r="F489" t="s">
        <v>851</v>
      </c>
      <c r="G489" t="s">
        <v>1183</v>
      </c>
      <c r="H489" s="1" t="s">
        <v>906</v>
      </c>
      <c r="I489" s="1" t="s">
        <v>907</v>
      </c>
      <c r="J489" s="1" t="s">
        <v>18</v>
      </c>
      <c r="K489" s="1" t="s">
        <v>50</v>
      </c>
      <c r="L489" s="1">
        <v>36393</v>
      </c>
      <c r="M489" s="1">
        <v>26</v>
      </c>
      <c r="N489" s="1">
        <v>1400</v>
      </c>
      <c r="O489" s="1"/>
      <c r="P489" s="1">
        <v>1900</v>
      </c>
      <c r="Q489" s="1"/>
      <c r="R489" s="1">
        <v>500</v>
      </c>
      <c r="S489">
        <v>220000</v>
      </c>
      <c r="T489">
        <v>11033</v>
      </c>
      <c r="U489" t="s">
        <v>814</v>
      </c>
      <c r="V489">
        <v>20130</v>
      </c>
      <c r="W489" s="1">
        <v>45899</v>
      </c>
      <c r="X489" s="1" t="s">
        <v>55</v>
      </c>
      <c r="Y489" s="1" t="s">
        <v>51</v>
      </c>
      <c r="Z489" s="1" t="s">
        <v>761</v>
      </c>
      <c r="AA489" s="1" t="s">
        <v>762</v>
      </c>
      <c r="AB489" s="1" t="s">
        <v>763</v>
      </c>
      <c r="AC489" s="1"/>
      <c r="AD489" s="1">
        <v>44935</v>
      </c>
      <c r="AE489" s="1">
        <v>45708</v>
      </c>
      <c r="AF489" s="1"/>
      <c r="AG489" s="1" t="s">
        <v>908</v>
      </c>
      <c r="AH489" s="1" t="s">
        <v>905</v>
      </c>
      <c r="AI489" s="1"/>
      <c r="AJ489" s="31">
        <v>44935</v>
      </c>
      <c r="AK489"/>
      <c r="AL489"/>
      <c r="AM489"/>
      <c r="AN489"/>
      <c r="AO489"/>
      <c r="AP489"/>
    </row>
    <row r="490" spans="1:51" hidden="1">
      <c r="A490" s="1" t="s">
        <v>2542</v>
      </c>
      <c r="B490" s="1">
        <v>230104</v>
      </c>
      <c r="D490" s="1" t="s">
        <v>813</v>
      </c>
      <c r="E490" s="1" t="s">
        <v>1268</v>
      </c>
      <c r="F490" t="s">
        <v>1269</v>
      </c>
      <c r="G490" t="s">
        <v>1266</v>
      </c>
      <c r="H490" s="1" t="s">
        <v>909</v>
      </c>
      <c r="I490" s="1" t="s">
        <v>910</v>
      </c>
      <c r="J490" s="1" t="s">
        <v>17</v>
      </c>
      <c r="K490" s="1" t="s">
        <v>50</v>
      </c>
      <c r="L490" s="1">
        <v>31362</v>
      </c>
      <c r="M490" s="1">
        <v>40</v>
      </c>
      <c r="N490" s="1">
        <v>1300</v>
      </c>
      <c r="P490" s="1">
        <v>1800</v>
      </c>
      <c r="Q490" s="1"/>
      <c r="R490" s="1">
        <v>500</v>
      </c>
      <c r="S490">
        <v>260000</v>
      </c>
      <c r="T490">
        <v>13039</v>
      </c>
      <c r="U490">
        <v>2067</v>
      </c>
      <c r="V490">
        <v>23790</v>
      </c>
      <c r="W490" s="1">
        <v>46598</v>
      </c>
      <c r="X490" s="1" t="s">
        <v>55</v>
      </c>
      <c r="Y490" s="1" t="s">
        <v>51</v>
      </c>
      <c r="Z490" s="1" t="s">
        <v>52</v>
      </c>
      <c r="AA490" s="1" t="s">
        <v>816</v>
      </c>
      <c r="AB490" s="1" t="s">
        <v>594</v>
      </c>
      <c r="AC490" s="1">
        <v>44938</v>
      </c>
      <c r="AD490" s="1">
        <v>44939</v>
      </c>
      <c r="AE490" s="1">
        <v>45889</v>
      </c>
      <c r="AF490" s="1"/>
      <c r="AG490" s="1" t="s">
        <v>904</v>
      </c>
      <c r="AH490" s="1" t="s">
        <v>905</v>
      </c>
      <c r="AI490" s="1"/>
      <c r="AJ490" s="31">
        <v>44939</v>
      </c>
      <c r="AK490"/>
      <c r="AL490"/>
      <c r="AM490"/>
      <c r="AN490"/>
      <c r="AO490"/>
      <c r="AP490"/>
      <c r="AQ490" s="81"/>
      <c r="AR490" s="81"/>
      <c r="AS490" s="81"/>
      <c r="AT490" s="81"/>
      <c r="AU490" s="81"/>
      <c r="AV490" s="81"/>
      <c r="AW490" s="81"/>
      <c r="AX490" s="81"/>
      <c r="AY490" s="81"/>
    </row>
    <row r="491" spans="1:51" hidden="1">
      <c r="A491" s="1" t="s">
        <v>49</v>
      </c>
      <c r="B491" s="1">
        <v>230105</v>
      </c>
      <c r="D491" s="1" t="s">
        <v>436</v>
      </c>
      <c r="E491" s="1" t="s">
        <v>4367</v>
      </c>
      <c r="F491" t="s">
        <v>4368</v>
      </c>
      <c r="G491" t="s">
        <v>4369</v>
      </c>
      <c r="H491" s="1" t="s">
        <v>911</v>
      </c>
      <c r="I491" s="1" t="s">
        <v>912</v>
      </c>
      <c r="J491" s="1" t="s">
        <v>18</v>
      </c>
      <c r="K491" s="1" t="s">
        <v>50</v>
      </c>
      <c r="L491" s="1">
        <v>34597</v>
      </c>
      <c r="M491" s="1">
        <v>31</v>
      </c>
      <c r="N491" s="1">
        <v>1500</v>
      </c>
      <c r="P491" s="1">
        <v>2000</v>
      </c>
      <c r="Q491" s="1" t="s">
        <v>3474</v>
      </c>
      <c r="R491" s="1">
        <v>500</v>
      </c>
      <c r="S491">
        <v>380000</v>
      </c>
      <c r="T491">
        <v>19057</v>
      </c>
      <c r="U491" t="s">
        <v>814</v>
      </c>
      <c r="V491">
        <v>34770</v>
      </c>
      <c r="W491" s="1">
        <v>46762</v>
      </c>
      <c r="X491" s="1" t="s">
        <v>55</v>
      </c>
      <c r="Y491" s="1" t="s">
        <v>51</v>
      </c>
      <c r="Z491" s="1" t="s">
        <v>437</v>
      </c>
      <c r="AA491" s="1" t="s">
        <v>1375</v>
      </c>
      <c r="AB491" s="1" t="s">
        <v>2000</v>
      </c>
      <c r="AC491" s="1">
        <v>44943</v>
      </c>
      <c r="AD491" s="1">
        <v>44944</v>
      </c>
      <c r="AE491" s="1"/>
      <c r="AF491" s="1"/>
      <c r="AG491" s="1" t="s">
        <v>904</v>
      </c>
      <c r="AH491" s="1" t="s">
        <v>913</v>
      </c>
      <c r="AI491" s="1"/>
      <c r="AJ491" s="31">
        <v>44944</v>
      </c>
      <c r="AK491"/>
      <c r="AL491"/>
      <c r="AM491"/>
      <c r="AN491"/>
      <c r="AO491"/>
      <c r="AP491"/>
      <c r="AQ491" s="81"/>
      <c r="AR491" s="81"/>
      <c r="AS491" s="81"/>
      <c r="AT491" s="81"/>
      <c r="AU491" s="81"/>
      <c r="AV491" s="81"/>
      <c r="AW491" s="81"/>
      <c r="AX491" s="81"/>
      <c r="AY491" s="81"/>
    </row>
    <row r="492" spans="1:51" hidden="1">
      <c r="A492" s="1" t="s">
        <v>2542</v>
      </c>
      <c r="B492" s="1">
        <v>230107</v>
      </c>
      <c r="C492" s="1">
        <v>232087</v>
      </c>
      <c r="D492" s="1" t="s">
        <v>83</v>
      </c>
      <c r="E492" s="1" t="s">
        <v>309</v>
      </c>
      <c r="F492" t="s">
        <v>369</v>
      </c>
      <c r="G492" t="s">
        <v>1085</v>
      </c>
      <c r="H492" s="1" t="s">
        <v>3587</v>
      </c>
      <c r="I492" s="1" t="s">
        <v>3588</v>
      </c>
      <c r="J492" s="1" t="s">
        <v>18</v>
      </c>
      <c r="K492" s="1" t="s">
        <v>50</v>
      </c>
      <c r="L492" s="1">
        <v>36846</v>
      </c>
      <c r="M492" s="1">
        <v>25</v>
      </c>
      <c r="N492" s="1">
        <v>1250</v>
      </c>
      <c r="P492" s="1">
        <v>1650</v>
      </c>
      <c r="Q492" s="1"/>
      <c r="R492" s="1">
        <v>400</v>
      </c>
      <c r="S492">
        <v>300000</v>
      </c>
      <c r="T492">
        <v>15045</v>
      </c>
      <c r="U492" t="s">
        <v>814</v>
      </c>
      <c r="V492">
        <v>27450</v>
      </c>
      <c r="W492" s="1">
        <v>45304</v>
      </c>
      <c r="X492" s="1" t="s">
        <v>55</v>
      </c>
      <c r="Y492" s="1" t="s">
        <v>51</v>
      </c>
      <c r="Z492" s="1" t="s">
        <v>110</v>
      </c>
      <c r="AA492" s="1" t="s">
        <v>3589</v>
      </c>
      <c r="AB492" s="1" t="s">
        <v>210</v>
      </c>
      <c r="AC492" s="1">
        <v>44939</v>
      </c>
      <c r="AD492" s="1">
        <v>44945</v>
      </c>
      <c r="AE492" s="1">
        <v>45310</v>
      </c>
      <c r="AF492" s="1"/>
      <c r="AG492" s="1" t="s">
        <v>904</v>
      </c>
      <c r="AH492" s="1" t="s">
        <v>914</v>
      </c>
      <c r="AI492" s="1"/>
      <c r="AJ492" s="31">
        <v>44945</v>
      </c>
      <c r="AK492"/>
      <c r="AL492"/>
      <c r="AM492"/>
      <c r="AN492"/>
      <c r="AO492"/>
      <c r="AP492"/>
      <c r="AQ492" s="81"/>
      <c r="AR492" s="81"/>
      <c r="AS492" s="81"/>
      <c r="AT492" s="81"/>
      <c r="AU492" s="81"/>
      <c r="AV492" s="81"/>
      <c r="AW492" s="81"/>
      <c r="AX492" s="81"/>
      <c r="AY492" s="81"/>
    </row>
    <row r="493" spans="1:51" hidden="1">
      <c r="A493" s="1" t="s">
        <v>2542</v>
      </c>
      <c r="B493" s="1">
        <v>230108</v>
      </c>
      <c r="C493" s="1">
        <v>232086</v>
      </c>
      <c r="D493" s="1" t="s">
        <v>83</v>
      </c>
      <c r="E493" s="1" t="s">
        <v>309</v>
      </c>
      <c r="F493" t="s">
        <v>369</v>
      </c>
      <c r="G493" t="s">
        <v>2239</v>
      </c>
      <c r="H493" s="1" t="s">
        <v>915</v>
      </c>
      <c r="I493" s="1" t="s">
        <v>916</v>
      </c>
      <c r="J493" s="1" t="s">
        <v>18</v>
      </c>
      <c r="K493" s="1" t="s">
        <v>50</v>
      </c>
      <c r="L493" s="1">
        <v>36949</v>
      </c>
      <c r="M493" s="1">
        <v>24</v>
      </c>
      <c r="N493" s="1">
        <v>1300</v>
      </c>
      <c r="P493" s="1">
        <v>1680</v>
      </c>
      <c r="Q493" s="1"/>
      <c r="R493" s="1">
        <v>380</v>
      </c>
      <c r="S493">
        <v>220000</v>
      </c>
      <c r="T493">
        <v>11033</v>
      </c>
      <c r="U493" t="s">
        <v>814</v>
      </c>
      <c r="V493">
        <v>20130</v>
      </c>
      <c r="W493" s="1">
        <v>46400</v>
      </c>
      <c r="X493" s="1" t="s">
        <v>55</v>
      </c>
      <c r="Y493" s="1" t="s">
        <v>51</v>
      </c>
      <c r="Z493" s="1" t="s">
        <v>110</v>
      </c>
      <c r="AA493" s="1" t="s">
        <v>198</v>
      </c>
      <c r="AB493" s="1" t="s">
        <v>1105</v>
      </c>
      <c r="AC493" s="1">
        <v>44939</v>
      </c>
      <c r="AD493" s="1">
        <v>44945</v>
      </c>
      <c r="AE493" s="1">
        <v>45562</v>
      </c>
      <c r="AF493" s="1"/>
      <c r="AG493" s="1" t="s">
        <v>904</v>
      </c>
      <c r="AH493" s="1" t="s">
        <v>914</v>
      </c>
      <c r="AI493" s="1"/>
      <c r="AJ493" s="31">
        <v>44945</v>
      </c>
      <c r="AK493"/>
      <c r="AL493"/>
      <c r="AM493"/>
      <c r="AN493"/>
      <c r="AO493"/>
      <c r="AP493"/>
      <c r="AQ493" s="81"/>
      <c r="AR493" s="81"/>
      <c r="AS493" s="81"/>
      <c r="AT493" s="81"/>
      <c r="AU493" s="81"/>
      <c r="AV493" s="81"/>
      <c r="AW493" s="81"/>
      <c r="AX493" s="81"/>
      <c r="AY493" s="81"/>
    </row>
    <row r="494" spans="1:51">
      <c r="A494" s="1" t="s">
        <v>49</v>
      </c>
      <c r="B494" s="1">
        <v>241205</v>
      </c>
      <c r="C494" s="1">
        <v>222077</v>
      </c>
      <c r="D494" s="1" t="s">
        <v>62</v>
      </c>
      <c r="E494" s="1" t="s">
        <v>3935</v>
      </c>
      <c r="F494" t="s">
        <v>794</v>
      </c>
      <c r="G494" t="s">
        <v>316</v>
      </c>
      <c r="H494" s="1" t="s">
        <v>3984</v>
      </c>
      <c r="I494" s="1" t="s">
        <v>3985</v>
      </c>
      <c r="J494" s="1" t="s">
        <v>18</v>
      </c>
      <c r="K494" s="1" t="s">
        <v>50</v>
      </c>
      <c r="L494" s="1">
        <v>36899</v>
      </c>
      <c r="M494" s="1">
        <v>24</v>
      </c>
      <c r="N494" s="1">
        <v>1250</v>
      </c>
      <c r="P494" s="1">
        <v>1650</v>
      </c>
      <c r="Q494" s="1"/>
      <c r="R494" s="1">
        <v>400</v>
      </c>
      <c r="S494">
        <v>280000</v>
      </c>
      <c r="T494">
        <v>14042</v>
      </c>
      <c r="U494" t="s">
        <v>814</v>
      </c>
      <c r="V494">
        <v>25620</v>
      </c>
      <c r="W494" s="1">
        <v>46358</v>
      </c>
      <c r="X494" s="1" t="s">
        <v>55</v>
      </c>
      <c r="Y494" s="1" t="s">
        <v>51</v>
      </c>
      <c r="Z494" s="1" t="s">
        <v>182</v>
      </c>
      <c r="AA494" s="1" t="s">
        <v>2317</v>
      </c>
      <c r="AB494" s="1"/>
      <c r="AC494" s="1"/>
      <c r="AD494" s="1">
        <v>45635</v>
      </c>
      <c r="AE494" s="1"/>
      <c r="AF494" s="1"/>
      <c r="AG494" s="1">
        <v>45635</v>
      </c>
      <c r="AH494" s="1" t="s">
        <v>4005</v>
      </c>
      <c r="AI494" s="1"/>
      <c r="AJ494" s="31">
        <v>45635</v>
      </c>
      <c r="AK494"/>
      <c r="AL494"/>
      <c r="AM494"/>
      <c r="AN494"/>
      <c r="AO494"/>
      <c r="AP494"/>
      <c r="AQ494" s="81"/>
      <c r="AR494" s="81"/>
      <c r="AS494" s="81"/>
      <c r="AT494" s="81"/>
      <c r="AU494" s="81"/>
      <c r="AV494" s="81"/>
      <c r="AW494" s="81"/>
      <c r="AX494" s="81"/>
      <c r="AY494" s="81"/>
    </row>
    <row r="495" spans="1:51" hidden="1">
      <c r="A495" s="1" t="s">
        <v>2542</v>
      </c>
      <c r="B495" s="1">
        <v>210612</v>
      </c>
      <c r="D495" s="1" t="s">
        <v>687</v>
      </c>
      <c r="F495"/>
      <c r="G495"/>
      <c r="H495" s="1" t="s">
        <v>2873</v>
      </c>
      <c r="I495" s="1" t="s">
        <v>2874</v>
      </c>
      <c r="J495" s="1" t="s">
        <v>17</v>
      </c>
      <c r="K495" s="1" t="s">
        <v>50</v>
      </c>
      <c r="L495" s="1">
        <v>34226</v>
      </c>
      <c r="M495" s="1">
        <v>32</v>
      </c>
      <c r="N495" s="1">
        <v>1300</v>
      </c>
      <c r="P495" s="1">
        <v>1750</v>
      </c>
      <c r="Q495" s="1"/>
      <c r="R495" s="1">
        <v>450</v>
      </c>
      <c r="S495">
        <v>180000</v>
      </c>
      <c r="T495">
        <v>9027</v>
      </c>
      <c r="U495" t="s">
        <v>814</v>
      </c>
      <c r="V495">
        <v>16470</v>
      </c>
      <c r="W495" s="1">
        <v>45325</v>
      </c>
      <c r="X495" s="1" t="s">
        <v>55</v>
      </c>
      <c r="Y495" s="1" t="s">
        <v>51</v>
      </c>
      <c r="Z495" s="1" t="s">
        <v>2855</v>
      </c>
      <c r="AA495" s="1" t="s">
        <v>2856</v>
      </c>
      <c r="AB495" s="1" t="s">
        <v>2857</v>
      </c>
      <c r="AC495" s="1"/>
      <c r="AD495" s="1">
        <v>44949</v>
      </c>
      <c r="AE495" s="1">
        <v>45061</v>
      </c>
      <c r="AF495" s="1"/>
      <c r="AG495" s="1" t="s">
        <v>3590</v>
      </c>
      <c r="AH495" s="1" t="s">
        <v>921</v>
      </c>
      <c r="AI495" s="1"/>
      <c r="AJ495" s="31">
        <v>44949</v>
      </c>
      <c r="AK495"/>
      <c r="AL495"/>
      <c r="AM495"/>
      <c r="AN495"/>
      <c r="AO495"/>
      <c r="AP495"/>
      <c r="AQ495" s="81"/>
      <c r="AR495" s="81"/>
      <c r="AS495" s="81"/>
      <c r="AT495" s="81"/>
      <c r="AU495" s="81"/>
      <c r="AV495" s="81"/>
      <c r="AW495" s="81"/>
      <c r="AX495" s="81"/>
      <c r="AY495" s="81"/>
    </row>
    <row r="496" spans="1:51" hidden="1">
      <c r="A496" s="1" t="s">
        <v>2542</v>
      </c>
      <c r="B496" s="1">
        <v>230109</v>
      </c>
      <c r="D496" s="1" t="s">
        <v>813</v>
      </c>
      <c r="E496" s="1" t="s">
        <v>1268</v>
      </c>
      <c r="F496" t="s">
        <v>1269</v>
      </c>
      <c r="G496" t="s">
        <v>1266</v>
      </c>
      <c r="H496" s="1" t="s">
        <v>919</v>
      </c>
      <c r="I496" s="1" t="s">
        <v>920</v>
      </c>
      <c r="J496" s="1" t="s">
        <v>17</v>
      </c>
      <c r="K496" s="1" t="s">
        <v>50</v>
      </c>
      <c r="L496" s="1">
        <v>32284</v>
      </c>
      <c r="M496" s="1">
        <v>37</v>
      </c>
      <c r="N496" s="1">
        <v>1300</v>
      </c>
      <c r="P496" s="1">
        <v>1800</v>
      </c>
      <c r="Q496" s="1"/>
      <c r="R496" s="1">
        <v>500</v>
      </c>
      <c r="S496">
        <v>240000</v>
      </c>
      <c r="T496">
        <v>12036</v>
      </c>
      <c r="U496" t="s">
        <v>814</v>
      </c>
      <c r="V496">
        <v>21960</v>
      </c>
      <c r="W496" s="1">
        <v>46668</v>
      </c>
      <c r="X496" s="1" t="s">
        <v>55</v>
      </c>
      <c r="Y496" s="1" t="s">
        <v>51</v>
      </c>
      <c r="Z496" s="1" t="s">
        <v>52</v>
      </c>
      <c r="AA496" s="1" t="s">
        <v>816</v>
      </c>
      <c r="AB496" s="1" t="s">
        <v>594</v>
      </c>
      <c r="AC496" s="1">
        <v>44946</v>
      </c>
      <c r="AD496" s="1">
        <v>44949</v>
      </c>
      <c r="AE496" s="1">
        <v>45995</v>
      </c>
      <c r="AF496" s="1"/>
      <c r="AG496" s="1" t="s">
        <v>904</v>
      </c>
      <c r="AH496" s="1" t="s">
        <v>914</v>
      </c>
      <c r="AI496" s="1"/>
      <c r="AJ496" s="31">
        <v>44949</v>
      </c>
      <c r="AK496"/>
      <c r="AL496"/>
      <c r="AM496"/>
      <c r="AN496"/>
      <c r="AO496"/>
      <c r="AP496"/>
      <c r="AQ496" s="81"/>
      <c r="AR496" s="81"/>
      <c r="AS496" s="81"/>
      <c r="AT496" s="81"/>
      <c r="AU496" s="81"/>
      <c r="AV496" s="81"/>
      <c r="AW496" s="81"/>
      <c r="AX496" s="81"/>
      <c r="AY496" s="81"/>
    </row>
    <row r="497" spans="1:51" hidden="1">
      <c r="A497" s="1" t="s">
        <v>2542</v>
      </c>
      <c r="B497" s="1">
        <v>220413</v>
      </c>
      <c r="D497" s="1" t="s">
        <v>436</v>
      </c>
      <c r="F497"/>
      <c r="G497"/>
      <c r="H497" s="1" t="s">
        <v>591</v>
      </c>
      <c r="I497" s="1" t="s">
        <v>592</v>
      </c>
      <c r="J497" s="1" t="s">
        <v>18</v>
      </c>
      <c r="K497" s="1" t="s">
        <v>50</v>
      </c>
      <c r="L497" s="1">
        <v>31966</v>
      </c>
      <c r="M497" s="1">
        <v>38</v>
      </c>
      <c r="N497" s="1">
        <v>1600</v>
      </c>
      <c r="P497" s="1">
        <v>2100</v>
      </c>
      <c r="Q497" s="1" t="s">
        <v>3474</v>
      </c>
      <c r="R497" s="1">
        <v>500</v>
      </c>
      <c r="S497">
        <v>320000</v>
      </c>
      <c r="T497">
        <v>16048</v>
      </c>
      <c r="U497" t="s">
        <v>814</v>
      </c>
      <c r="V497">
        <v>29280</v>
      </c>
      <c r="W497" s="1">
        <v>46749</v>
      </c>
      <c r="X497" s="1" t="s">
        <v>55</v>
      </c>
      <c r="Y497" s="1" t="s">
        <v>51</v>
      </c>
      <c r="Z497" s="1" t="s">
        <v>504</v>
      </c>
      <c r="AA497" s="1" t="s">
        <v>505</v>
      </c>
      <c r="AB497" s="1" t="s">
        <v>516</v>
      </c>
      <c r="AC497" s="1"/>
      <c r="AD497" s="1">
        <v>44957</v>
      </c>
      <c r="AE497" s="1">
        <v>45765</v>
      </c>
      <c r="AF497" s="1"/>
      <c r="AG497" s="1" t="s">
        <v>904</v>
      </c>
      <c r="AH497" s="1" t="s">
        <v>913</v>
      </c>
      <c r="AI497" s="1"/>
      <c r="AJ497" s="31">
        <v>44957</v>
      </c>
      <c r="AK497"/>
      <c r="AL497"/>
      <c r="AM497"/>
      <c r="AN497"/>
      <c r="AO497"/>
      <c r="AP497"/>
      <c r="AQ497" s="81"/>
      <c r="AR497" s="81"/>
      <c r="AS497" s="81"/>
      <c r="AT497" s="81"/>
      <c r="AU497" s="81"/>
      <c r="AV497" s="81"/>
      <c r="AW497" s="81"/>
      <c r="AX497" s="81"/>
      <c r="AY497" s="81"/>
    </row>
    <row r="498" spans="1:51" hidden="1">
      <c r="A498" s="1" t="s">
        <v>49</v>
      </c>
      <c r="B498" s="1">
        <v>230110</v>
      </c>
      <c r="D498" s="1" t="s">
        <v>168</v>
      </c>
      <c r="F498"/>
      <c r="G498"/>
      <c r="H498" s="1" t="s">
        <v>499</v>
      </c>
      <c r="I498" s="1" t="s">
        <v>922</v>
      </c>
      <c r="J498" s="1" t="s">
        <v>18</v>
      </c>
      <c r="K498" s="1" t="s">
        <v>50</v>
      </c>
      <c r="L498" s="1">
        <v>35258</v>
      </c>
      <c r="M498" s="1">
        <v>29</v>
      </c>
      <c r="N498" s="1">
        <v>1400</v>
      </c>
      <c r="P498" s="1">
        <v>2000</v>
      </c>
      <c r="Q498" s="1"/>
      <c r="R498" s="1">
        <v>600</v>
      </c>
      <c r="S498">
        <v>280000</v>
      </c>
      <c r="T498">
        <v>14042</v>
      </c>
      <c r="U498" t="s">
        <v>814</v>
      </c>
      <c r="V498">
        <v>25620</v>
      </c>
      <c r="W498" s="1">
        <v>46974</v>
      </c>
      <c r="X498" s="1" t="s">
        <v>55</v>
      </c>
      <c r="Y498" s="1" t="s">
        <v>51</v>
      </c>
      <c r="Z498" s="1" t="s">
        <v>178</v>
      </c>
      <c r="AA498" s="1" t="s">
        <v>179</v>
      </c>
      <c r="AB498" s="1" t="s">
        <v>180</v>
      </c>
      <c r="AC498" s="1">
        <v>45192</v>
      </c>
      <c r="AD498" s="1">
        <v>44957</v>
      </c>
      <c r="AE498" s="1">
        <v>45990</v>
      </c>
      <c r="AF498" s="1"/>
      <c r="AG498" s="1" t="s">
        <v>904</v>
      </c>
      <c r="AH498" s="1" t="s">
        <v>913</v>
      </c>
      <c r="AI498" s="1"/>
      <c r="AJ498" s="31">
        <v>44957</v>
      </c>
      <c r="AK498"/>
      <c r="AL498"/>
      <c r="AM498"/>
      <c r="AN498"/>
      <c r="AO498"/>
      <c r="AP498"/>
      <c r="AQ498" s="81"/>
      <c r="AR498" s="81"/>
      <c r="AS498" s="81"/>
      <c r="AT498" s="81"/>
      <c r="AU498" s="81"/>
      <c r="AV498" s="81"/>
      <c r="AW498" s="81"/>
      <c r="AX498" s="81"/>
      <c r="AY498" s="81"/>
    </row>
    <row r="499" spans="1:51" hidden="1">
      <c r="A499" s="1" t="s">
        <v>2542</v>
      </c>
      <c r="B499" s="1">
        <v>230111</v>
      </c>
      <c r="D499" s="1" t="s">
        <v>168</v>
      </c>
      <c r="F499"/>
      <c r="G499"/>
      <c r="H499" s="1" t="s">
        <v>3591</v>
      </c>
      <c r="I499" s="1" t="s">
        <v>3592</v>
      </c>
      <c r="J499" s="1" t="s">
        <v>18</v>
      </c>
      <c r="K499" s="1" t="s">
        <v>50</v>
      </c>
      <c r="L499" s="1">
        <v>33646</v>
      </c>
      <c r="M499" s="1">
        <v>33</v>
      </c>
      <c r="N499" s="1">
        <v>1400</v>
      </c>
      <c r="P499" s="1">
        <v>2000</v>
      </c>
      <c r="Q499" s="1"/>
      <c r="R499" s="1">
        <v>600</v>
      </c>
      <c r="S499">
        <v>180000</v>
      </c>
      <c r="T499">
        <v>9027</v>
      </c>
      <c r="U499" t="s">
        <v>814</v>
      </c>
      <c r="V499">
        <v>16470</v>
      </c>
      <c r="W499" s="1">
        <v>45029</v>
      </c>
      <c r="X499" s="1" t="s">
        <v>55</v>
      </c>
      <c r="Y499" s="1" t="s">
        <v>51</v>
      </c>
      <c r="Z499" s="1" t="s">
        <v>3053</v>
      </c>
      <c r="AA499" s="1" t="s">
        <v>3054</v>
      </c>
      <c r="AB499" s="1" t="s">
        <v>3055</v>
      </c>
      <c r="AC499" s="1">
        <v>44953</v>
      </c>
      <c r="AD499" s="1">
        <v>44957</v>
      </c>
      <c r="AE499" s="1">
        <v>44964</v>
      </c>
      <c r="AF499" s="1">
        <v>44966</v>
      </c>
      <c r="AG499" s="1"/>
      <c r="AH499" s="1"/>
      <c r="AI499" s="1"/>
      <c r="AJ499" s="31">
        <v>44957</v>
      </c>
      <c r="AK499"/>
      <c r="AL499"/>
      <c r="AM499"/>
      <c r="AN499"/>
      <c r="AO499"/>
      <c r="AP499"/>
      <c r="AQ499" s="81"/>
      <c r="AR499" s="81"/>
      <c r="AS499" s="81"/>
      <c r="AT499" s="81"/>
      <c r="AU499" s="81"/>
      <c r="AV499" s="81"/>
      <c r="AW499" s="81"/>
      <c r="AX499" s="81"/>
      <c r="AY499" s="81"/>
    </row>
    <row r="500" spans="1:51" hidden="1">
      <c r="A500" s="1" t="s">
        <v>2542</v>
      </c>
      <c r="B500" s="1">
        <v>230112</v>
      </c>
      <c r="D500" s="1" t="s">
        <v>436</v>
      </c>
      <c r="F500"/>
      <c r="G500"/>
      <c r="H500" s="1" t="s">
        <v>3017</v>
      </c>
      <c r="I500" s="1" t="s">
        <v>3018</v>
      </c>
      <c r="J500" s="1" t="s">
        <v>18</v>
      </c>
      <c r="K500" s="1" t="s">
        <v>50</v>
      </c>
      <c r="L500" s="1">
        <v>34322</v>
      </c>
      <c r="M500" s="1">
        <v>31</v>
      </c>
      <c r="N500" s="1">
        <v>1400</v>
      </c>
      <c r="P500" s="1">
        <v>2000</v>
      </c>
      <c r="Q500" s="1"/>
      <c r="R500" s="1">
        <v>600</v>
      </c>
      <c r="S500">
        <v>320000</v>
      </c>
      <c r="T500">
        <v>16048</v>
      </c>
      <c r="U500" t="s">
        <v>814</v>
      </c>
      <c r="V500">
        <v>29280</v>
      </c>
      <c r="W500" s="1">
        <v>45608</v>
      </c>
      <c r="X500" s="1" t="s">
        <v>55</v>
      </c>
      <c r="Y500" s="1" t="s">
        <v>51</v>
      </c>
      <c r="Z500" s="1" t="s">
        <v>437</v>
      </c>
      <c r="AA500" s="1" t="s">
        <v>843</v>
      </c>
      <c r="AB500" s="1" t="s">
        <v>3593</v>
      </c>
      <c r="AC500" s="1">
        <v>44956</v>
      </c>
      <c r="AD500" s="1">
        <v>44957</v>
      </c>
      <c r="AE500" s="1">
        <v>45219</v>
      </c>
      <c r="AF500" s="1"/>
      <c r="AG500" s="1" t="s">
        <v>904</v>
      </c>
      <c r="AH500" s="1" t="s">
        <v>913</v>
      </c>
      <c r="AI500" s="1"/>
      <c r="AJ500" s="31">
        <v>44957</v>
      </c>
      <c r="AK500"/>
      <c r="AL500"/>
      <c r="AM500"/>
      <c r="AN500"/>
      <c r="AO500"/>
      <c r="AP500"/>
      <c r="AQ500" s="81"/>
      <c r="AR500" s="81"/>
      <c r="AS500" s="81"/>
      <c r="AT500" s="81"/>
      <c r="AU500" s="81"/>
      <c r="AV500" s="81"/>
      <c r="AW500" s="81"/>
      <c r="AX500" s="81"/>
      <c r="AY500" s="81"/>
    </row>
    <row r="501" spans="1:51" hidden="1">
      <c r="A501" s="1" t="s">
        <v>2542</v>
      </c>
      <c r="B501" s="1">
        <v>220304</v>
      </c>
      <c r="C501" s="1">
        <v>8210035</v>
      </c>
      <c r="D501" s="1" t="s">
        <v>822</v>
      </c>
      <c r="E501" s="1" t="s">
        <v>831</v>
      </c>
      <c r="F501" t="s">
        <v>831</v>
      </c>
      <c r="G501"/>
      <c r="H501" s="1" t="s">
        <v>567</v>
      </c>
      <c r="I501" s="1" t="s">
        <v>568</v>
      </c>
      <c r="J501" s="1" t="s">
        <v>18</v>
      </c>
      <c r="K501" s="1" t="s">
        <v>50</v>
      </c>
      <c r="L501" s="1">
        <v>34536</v>
      </c>
      <c r="M501" s="1">
        <v>31</v>
      </c>
      <c r="N501" s="1">
        <v>1500</v>
      </c>
      <c r="P501" s="1">
        <v>2150</v>
      </c>
      <c r="Q501" s="1"/>
      <c r="R501" s="1">
        <v>650</v>
      </c>
      <c r="S501">
        <v>360000</v>
      </c>
      <c r="T501">
        <v>18054</v>
      </c>
      <c r="U501" t="s">
        <v>814</v>
      </c>
      <c r="V501">
        <v>32940</v>
      </c>
      <c r="W501" s="1">
        <v>46817</v>
      </c>
      <c r="X501" s="1" t="s">
        <v>55</v>
      </c>
      <c r="Y501" s="1" t="s">
        <v>51</v>
      </c>
      <c r="Z501" s="1" t="s">
        <v>578</v>
      </c>
      <c r="AA501" s="1" t="s">
        <v>579</v>
      </c>
      <c r="AB501" s="1" t="s">
        <v>923</v>
      </c>
      <c r="AC501" s="1" t="s">
        <v>53</v>
      </c>
      <c r="AD501" s="1">
        <v>44958</v>
      </c>
      <c r="AE501" s="1">
        <v>45736</v>
      </c>
      <c r="AF501" s="1"/>
      <c r="AG501" s="1" t="s">
        <v>924</v>
      </c>
      <c r="AH501" s="1" t="s">
        <v>913</v>
      </c>
      <c r="AI501" s="1"/>
      <c r="AJ501" s="31">
        <v>44958</v>
      </c>
      <c r="AK501"/>
      <c r="AL501"/>
      <c r="AM501" t="s">
        <v>2466</v>
      </c>
      <c r="AN501">
        <v>45903</v>
      </c>
      <c r="AO501"/>
      <c r="AP501"/>
      <c r="AQ501" s="81"/>
      <c r="AR501" s="81"/>
      <c r="AS501" s="81"/>
      <c r="AT501" s="81"/>
      <c r="AU501" s="81"/>
      <c r="AV501" s="81"/>
      <c r="AW501" s="81"/>
      <c r="AX501" s="81"/>
      <c r="AY501" s="81"/>
    </row>
    <row r="502" spans="1:51" hidden="1">
      <c r="A502" s="1" t="s">
        <v>2542</v>
      </c>
      <c r="B502" s="1">
        <v>230201</v>
      </c>
      <c r="C502" s="1">
        <v>232088</v>
      </c>
      <c r="D502" s="1" t="s">
        <v>83</v>
      </c>
      <c r="E502" s="1" t="s">
        <v>311</v>
      </c>
      <c r="F502" t="s">
        <v>3594</v>
      </c>
      <c r="G502" t="s">
        <v>364</v>
      </c>
      <c r="H502" s="1" t="s">
        <v>3595</v>
      </c>
      <c r="I502" s="1" t="s">
        <v>3596</v>
      </c>
      <c r="J502" s="1" t="s">
        <v>17</v>
      </c>
      <c r="K502" s="1" t="s">
        <v>50</v>
      </c>
      <c r="L502" s="1">
        <v>36357</v>
      </c>
      <c r="M502" s="1">
        <v>26</v>
      </c>
      <c r="N502" s="1">
        <v>1300</v>
      </c>
      <c r="P502" s="1">
        <v>1660</v>
      </c>
      <c r="Q502" s="1"/>
      <c r="R502" s="1">
        <v>360</v>
      </c>
      <c r="S502">
        <v>180000</v>
      </c>
      <c r="T502">
        <v>9027</v>
      </c>
      <c r="U502" t="s">
        <v>814</v>
      </c>
      <c r="V502">
        <v>16470</v>
      </c>
      <c r="W502" s="1">
        <v>45382</v>
      </c>
      <c r="X502" s="1" t="s">
        <v>55</v>
      </c>
      <c r="Y502" s="1" t="s">
        <v>51</v>
      </c>
      <c r="Z502" s="1" t="s">
        <v>110</v>
      </c>
      <c r="AA502" s="1" t="s">
        <v>113</v>
      </c>
      <c r="AB502" s="1" t="s">
        <v>1316</v>
      </c>
      <c r="AC502" s="1">
        <v>45087</v>
      </c>
      <c r="AD502" s="1">
        <v>44959</v>
      </c>
      <c r="AE502" s="1">
        <v>45135</v>
      </c>
      <c r="AF502" s="1"/>
      <c r="AG502" s="1" t="s">
        <v>925</v>
      </c>
      <c r="AH502" s="1" t="s">
        <v>3597</v>
      </c>
      <c r="AI502" s="1"/>
      <c r="AJ502" s="31">
        <v>44959</v>
      </c>
      <c r="AK502"/>
      <c r="AL502"/>
      <c r="AM502"/>
      <c r="AN502"/>
      <c r="AO502"/>
      <c r="AP502"/>
      <c r="AQ502" s="81"/>
      <c r="AR502" s="81"/>
      <c r="AS502" s="81"/>
      <c r="AT502" s="81"/>
      <c r="AU502" s="81"/>
      <c r="AV502" s="81"/>
      <c r="AW502" s="81"/>
      <c r="AX502" s="81"/>
      <c r="AY502" s="81"/>
    </row>
    <row r="503" spans="1:51" s="81" customFormat="1" hidden="1">
      <c r="A503" s="1" t="s">
        <v>2542</v>
      </c>
      <c r="B503" s="1">
        <v>230202</v>
      </c>
      <c r="C503" s="1">
        <v>5534</v>
      </c>
      <c r="D503" s="1" t="s">
        <v>871</v>
      </c>
      <c r="E503" s="1" t="s">
        <v>1249</v>
      </c>
      <c r="F503" t="s">
        <v>1247</v>
      </c>
      <c r="G503" t="s">
        <v>1514</v>
      </c>
      <c r="H503" s="1" t="s">
        <v>3598</v>
      </c>
      <c r="I503" s="1" t="s">
        <v>3599</v>
      </c>
      <c r="J503" s="1" t="s">
        <v>18</v>
      </c>
      <c r="K503" s="1" t="s">
        <v>50</v>
      </c>
      <c r="L503" s="1">
        <v>35967</v>
      </c>
      <c r="M503" s="1">
        <v>27</v>
      </c>
      <c r="N503" s="1">
        <v>1300</v>
      </c>
      <c r="O503" s="1"/>
      <c r="P503" s="1">
        <v>1700</v>
      </c>
      <c r="Q503" s="1"/>
      <c r="R503" s="1">
        <v>400</v>
      </c>
      <c r="S503">
        <v>300000</v>
      </c>
      <c r="T503">
        <v>15045</v>
      </c>
      <c r="U503" t="s">
        <v>814</v>
      </c>
      <c r="V503">
        <v>27450</v>
      </c>
      <c r="W503" s="1">
        <v>45321</v>
      </c>
      <c r="X503" s="1" t="s">
        <v>55</v>
      </c>
      <c r="Y503" s="1" t="s">
        <v>51</v>
      </c>
      <c r="Z503" s="1" t="s">
        <v>652</v>
      </c>
      <c r="AA503" s="1" t="s">
        <v>786</v>
      </c>
      <c r="AB503" s="1" t="s">
        <v>661</v>
      </c>
      <c r="AC503" s="1"/>
      <c r="AD503" s="1">
        <v>44959</v>
      </c>
      <c r="AE503" s="1">
        <v>45357</v>
      </c>
      <c r="AF503" s="1"/>
      <c r="AG503" s="1" t="s">
        <v>925</v>
      </c>
      <c r="AH503" s="1" t="s">
        <v>926</v>
      </c>
      <c r="AI503" s="1"/>
      <c r="AJ503" s="31">
        <v>44959</v>
      </c>
      <c r="AK503"/>
      <c r="AL503"/>
      <c r="AM503"/>
      <c r="AN503"/>
      <c r="AO503"/>
      <c r="AP503"/>
    </row>
    <row r="504" spans="1:51" hidden="1">
      <c r="A504" s="1" t="s">
        <v>49</v>
      </c>
      <c r="B504" s="1">
        <v>230203</v>
      </c>
      <c r="C504" s="1">
        <v>5535</v>
      </c>
      <c r="D504" s="1" t="s">
        <v>871</v>
      </c>
      <c r="E504" s="1" t="s">
        <v>1249</v>
      </c>
      <c r="F504" t="s">
        <v>1247</v>
      </c>
      <c r="G504" t="s">
        <v>1514</v>
      </c>
      <c r="H504" s="1" t="s">
        <v>927</v>
      </c>
      <c r="I504" s="1" t="s">
        <v>928</v>
      </c>
      <c r="J504" s="1" t="s">
        <v>18</v>
      </c>
      <c r="K504" s="1" t="s">
        <v>50</v>
      </c>
      <c r="L504" s="1">
        <v>36051</v>
      </c>
      <c r="M504" s="1">
        <v>27</v>
      </c>
      <c r="N504" s="1">
        <v>1310</v>
      </c>
      <c r="O504" s="1" t="s">
        <v>4370</v>
      </c>
      <c r="P504" s="1">
        <v>1715</v>
      </c>
      <c r="Q504" s="1" t="s">
        <v>4371</v>
      </c>
      <c r="R504" s="1">
        <v>405</v>
      </c>
      <c r="S504">
        <v>240000</v>
      </c>
      <c r="T504">
        <v>12036</v>
      </c>
      <c r="U504" t="s">
        <v>814</v>
      </c>
      <c r="V504">
        <v>21960</v>
      </c>
      <c r="W504" s="1">
        <v>46782</v>
      </c>
      <c r="X504" s="1" t="s">
        <v>55</v>
      </c>
      <c r="Y504" s="1" t="s">
        <v>51</v>
      </c>
      <c r="Z504" s="1" t="s">
        <v>652</v>
      </c>
      <c r="AA504" s="1" t="s">
        <v>786</v>
      </c>
      <c r="AB504" s="1" t="s">
        <v>660</v>
      </c>
      <c r="AC504" s="1"/>
      <c r="AD504" s="1">
        <v>44959</v>
      </c>
      <c r="AE504" s="1"/>
      <c r="AF504" s="1"/>
      <c r="AG504" s="1" t="s">
        <v>925</v>
      </c>
      <c r="AH504" s="1" t="s">
        <v>926</v>
      </c>
      <c r="AI504" s="1"/>
      <c r="AJ504" s="31">
        <v>44959</v>
      </c>
      <c r="AK504"/>
      <c r="AL504"/>
      <c r="AM504"/>
      <c r="AN504"/>
      <c r="AO504"/>
      <c r="AP504"/>
      <c r="AQ504" s="81"/>
      <c r="AR504" s="81"/>
      <c r="AS504" s="81"/>
      <c r="AT504" s="81"/>
      <c r="AU504" s="81"/>
      <c r="AV504" s="81"/>
      <c r="AW504" s="81"/>
      <c r="AX504" s="81"/>
      <c r="AY504" s="81"/>
    </row>
    <row r="505" spans="1:51" s="81" customFormat="1" hidden="1">
      <c r="A505" s="1" t="s">
        <v>2542</v>
      </c>
      <c r="B505" s="1">
        <v>230204</v>
      </c>
      <c r="C505" s="1">
        <v>5536</v>
      </c>
      <c r="D505" s="1" t="s">
        <v>871</v>
      </c>
      <c r="E505" s="1" t="s">
        <v>1249</v>
      </c>
      <c r="F505" t="s">
        <v>1247</v>
      </c>
      <c r="G505" t="s">
        <v>1514</v>
      </c>
      <c r="H505" s="1" t="s">
        <v>3600</v>
      </c>
      <c r="I505" s="1" t="s">
        <v>3601</v>
      </c>
      <c r="J505" s="1" t="s">
        <v>18</v>
      </c>
      <c r="K505" s="1" t="s">
        <v>50</v>
      </c>
      <c r="L505" s="1">
        <v>36058</v>
      </c>
      <c r="M505" s="1">
        <v>27</v>
      </c>
      <c r="N505" s="1">
        <v>1300</v>
      </c>
      <c r="O505" s="1"/>
      <c r="P505" s="1">
        <v>1700</v>
      </c>
      <c r="Q505" s="1"/>
      <c r="R505" s="1">
        <v>400</v>
      </c>
      <c r="S505">
        <v>280000</v>
      </c>
      <c r="T505">
        <v>14042</v>
      </c>
      <c r="U505" t="s">
        <v>814</v>
      </c>
      <c r="V505">
        <v>25620</v>
      </c>
      <c r="W505" s="1">
        <v>45321</v>
      </c>
      <c r="X505" s="1" t="s">
        <v>55</v>
      </c>
      <c r="Y505" s="1" t="s">
        <v>51</v>
      </c>
      <c r="Z505" s="1" t="s">
        <v>3585</v>
      </c>
      <c r="AA505" s="1" t="s">
        <v>3570</v>
      </c>
      <c r="AB505" s="1" t="s">
        <v>3586</v>
      </c>
      <c r="AC505" s="1"/>
      <c r="AD505" s="1">
        <v>44959</v>
      </c>
      <c r="AE505" s="1">
        <v>45379</v>
      </c>
      <c r="AF505" s="1"/>
      <c r="AG505" s="1" t="s">
        <v>925</v>
      </c>
      <c r="AH505" s="1" t="s">
        <v>926</v>
      </c>
      <c r="AI505" s="1"/>
      <c r="AJ505" s="31">
        <v>44959</v>
      </c>
      <c r="AK505"/>
      <c r="AL505"/>
      <c r="AM505"/>
      <c r="AN505"/>
      <c r="AO505"/>
      <c r="AP505"/>
    </row>
    <row r="506" spans="1:51" s="81" customFormat="1" hidden="1">
      <c r="A506" s="1" t="s">
        <v>49</v>
      </c>
      <c r="B506" s="1">
        <v>220108</v>
      </c>
      <c r="C506" s="1">
        <v>8210027</v>
      </c>
      <c r="D506" s="1" t="s">
        <v>815</v>
      </c>
      <c r="E506" s="1" t="s">
        <v>833</v>
      </c>
      <c r="F506" t="s">
        <v>833</v>
      </c>
      <c r="G506"/>
      <c r="H506" s="1" t="s">
        <v>537</v>
      </c>
      <c r="I506" s="1" t="s">
        <v>538</v>
      </c>
      <c r="J506" s="1" t="s">
        <v>18</v>
      </c>
      <c r="K506" s="1" t="s">
        <v>50</v>
      </c>
      <c r="L506" s="1">
        <v>33230</v>
      </c>
      <c r="M506" s="1">
        <v>34</v>
      </c>
      <c r="N506" s="1">
        <v>1610</v>
      </c>
      <c r="O506" s="1"/>
      <c r="P506" s="1">
        <v>2300</v>
      </c>
      <c r="Q506" s="1"/>
      <c r="R506" s="1">
        <v>690</v>
      </c>
      <c r="S506">
        <v>410000</v>
      </c>
      <c r="T506">
        <v>20561</v>
      </c>
      <c r="U506" t="s">
        <v>814</v>
      </c>
      <c r="V506">
        <v>37515</v>
      </c>
      <c r="W506" s="1">
        <v>46727</v>
      </c>
      <c r="X506" s="1" t="s">
        <v>55</v>
      </c>
      <c r="Y506" s="1" t="s">
        <v>51</v>
      </c>
      <c r="Z506" s="1" t="s">
        <v>529</v>
      </c>
      <c r="AA506" s="1" t="s">
        <v>2554</v>
      </c>
      <c r="AB506" s="1" t="s">
        <v>1374</v>
      </c>
      <c r="AC506" s="1" t="s">
        <v>53</v>
      </c>
      <c r="AD506" s="1">
        <v>44970</v>
      </c>
      <c r="AE506" s="1"/>
      <c r="AF506" s="1"/>
      <c r="AG506" s="1" t="s">
        <v>924</v>
      </c>
      <c r="AH506" s="1" t="s">
        <v>921</v>
      </c>
      <c r="AI506" s="1"/>
      <c r="AJ506" s="31">
        <v>44970</v>
      </c>
      <c r="AK506" t="s">
        <v>2470</v>
      </c>
      <c r="AL506">
        <v>46410</v>
      </c>
      <c r="AM506" t="s">
        <v>2423</v>
      </c>
      <c r="AN506">
        <v>46256</v>
      </c>
      <c r="AO506"/>
      <c r="AP506"/>
    </row>
    <row r="507" spans="1:51" hidden="1">
      <c r="A507" s="1" t="s">
        <v>2542</v>
      </c>
      <c r="B507" s="1">
        <v>230205</v>
      </c>
      <c r="D507" s="1" t="s">
        <v>813</v>
      </c>
      <c r="E507" s="1" t="s">
        <v>1268</v>
      </c>
      <c r="F507" t="s">
        <v>1269</v>
      </c>
      <c r="G507" t="s">
        <v>1266</v>
      </c>
      <c r="H507" s="1" t="s">
        <v>929</v>
      </c>
      <c r="I507" s="1" t="s">
        <v>930</v>
      </c>
      <c r="J507" s="1" t="s">
        <v>18</v>
      </c>
      <c r="K507" s="1" t="s">
        <v>50</v>
      </c>
      <c r="L507" s="1">
        <v>35363</v>
      </c>
      <c r="M507" s="1">
        <v>29</v>
      </c>
      <c r="N507" s="1">
        <v>1300</v>
      </c>
      <c r="P507" s="1">
        <v>1800</v>
      </c>
      <c r="Q507" s="1"/>
      <c r="R507" s="1">
        <v>500</v>
      </c>
      <c r="S507">
        <v>260000</v>
      </c>
      <c r="T507">
        <v>13039</v>
      </c>
      <c r="U507" t="s">
        <v>814</v>
      </c>
      <c r="V507">
        <v>23790</v>
      </c>
      <c r="W507" s="1">
        <v>46859</v>
      </c>
      <c r="X507" s="1" t="s">
        <v>55</v>
      </c>
      <c r="Y507" s="1" t="s">
        <v>51</v>
      </c>
      <c r="Z507" s="1" t="s">
        <v>52</v>
      </c>
      <c r="AA507" s="1" t="s">
        <v>816</v>
      </c>
      <c r="AB507" s="1" t="s">
        <v>124</v>
      </c>
      <c r="AC507" s="1">
        <v>44967</v>
      </c>
      <c r="AD507" s="1">
        <v>44970</v>
      </c>
      <c r="AE507" s="1">
        <v>45835</v>
      </c>
      <c r="AF507" s="1"/>
      <c r="AG507" s="1" t="s">
        <v>931</v>
      </c>
      <c r="AH507" s="1" t="s">
        <v>921</v>
      </c>
      <c r="AI507" s="1"/>
      <c r="AJ507" s="31">
        <v>44970</v>
      </c>
      <c r="AK507"/>
      <c r="AL507"/>
      <c r="AM507"/>
      <c r="AN507"/>
      <c r="AO507"/>
      <c r="AP507"/>
      <c r="AQ507" s="81"/>
      <c r="AR507" s="81"/>
      <c r="AS507" s="81"/>
      <c r="AT507" s="81"/>
      <c r="AU507" s="81"/>
      <c r="AV507" s="81"/>
      <c r="AW507" s="81"/>
      <c r="AX507" s="81"/>
      <c r="AY507" s="81"/>
    </row>
    <row r="508" spans="1:51" hidden="1">
      <c r="A508" s="1" t="s">
        <v>2542</v>
      </c>
      <c r="B508" s="1">
        <v>230206</v>
      </c>
      <c r="D508" s="1" t="s">
        <v>813</v>
      </c>
      <c r="E508" s="1" t="s">
        <v>1268</v>
      </c>
      <c r="F508" t="s">
        <v>1269</v>
      </c>
      <c r="G508" t="s">
        <v>1266</v>
      </c>
      <c r="H508" s="1" t="s">
        <v>932</v>
      </c>
      <c r="I508" s="1" t="s">
        <v>933</v>
      </c>
      <c r="J508" s="1" t="s">
        <v>18</v>
      </c>
      <c r="K508" s="1" t="s">
        <v>50</v>
      </c>
      <c r="L508" s="1">
        <v>33303</v>
      </c>
      <c r="M508" s="1">
        <v>34</v>
      </c>
      <c r="N508" s="1">
        <v>1300</v>
      </c>
      <c r="P508" s="1">
        <v>1800</v>
      </c>
      <c r="Q508" s="1"/>
      <c r="R508" s="1">
        <v>500</v>
      </c>
      <c r="S508">
        <v>260000</v>
      </c>
      <c r="T508">
        <v>13039</v>
      </c>
      <c r="U508" t="s">
        <v>814</v>
      </c>
      <c r="V508">
        <v>23790</v>
      </c>
      <c r="W508" s="1">
        <v>45590</v>
      </c>
      <c r="X508" s="1" t="s">
        <v>55</v>
      </c>
      <c r="Y508" s="1" t="s">
        <v>51</v>
      </c>
      <c r="Z508" s="1" t="s">
        <v>52</v>
      </c>
      <c r="AA508" s="1" t="s">
        <v>816</v>
      </c>
      <c r="AB508" s="1" t="s">
        <v>59</v>
      </c>
      <c r="AC508" s="1">
        <v>44982</v>
      </c>
      <c r="AD508" s="1">
        <v>44978</v>
      </c>
      <c r="AE508" s="1">
        <v>45503</v>
      </c>
      <c r="AF508" s="1"/>
      <c r="AG508" s="1" t="s">
        <v>924</v>
      </c>
      <c r="AH508" s="1" t="s">
        <v>934</v>
      </c>
      <c r="AI508" s="1"/>
      <c r="AJ508" s="31">
        <v>44978</v>
      </c>
      <c r="AK508"/>
      <c r="AL508"/>
      <c r="AM508"/>
      <c r="AN508"/>
      <c r="AO508"/>
      <c r="AP508"/>
      <c r="AQ508" s="81"/>
      <c r="AR508" s="81"/>
      <c r="AS508" s="81"/>
      <c r="AT508" s="81"/>
      <c r="AU508" s="81"/>
      <c r="AV508" s="81"/>
      <c r="AW508" s="81"/>
      <c r="AX508" s="81"/>
      <c r="AY508" s="81"/>
    </row>
    <row r="509" spans="1:51" hidden="1">
      <c r="A509" s="1" t="s">
        <v>2542</v>
      </c>
      <c r="B509" s="1">
        <v>230213</v>
      </c>
      <c r="C509" s="1">
        <v>232091</v>
      </c>
      <c r="D509" s="1" t="s">
        <v>83</v>
      </c>
      <c r="E509" s="1" t="s">
        <v>307</v>
      </c>
      <c r="F509" t="s">
        <v>2251</v>
      </c>
      <c r="G509" t="s">
        <v>2252</v>
      </c>
      <c r="H509" s="1" t="s">
        <v>948</v>
      </c>
      <c r="I509" s="1" t="s">
        <v>949</v>
      </c>
      <c r="J509" s="1" t="s">
        <v>18</v>
      </c>
      <c r="K509" s="1" t="s">
        <v>50</v>
      </c>
      <c r="L509" s="1">
        <v>36137</v>
      </c>
      <c r="M509" s="1">
        <v>26</v>
      </c>
      <c r="N509" s="1">
        <v>1310</v>
      </c>
      <c r="P509" s="1">
        <v>1720</v>
      </c>
      <c r="Q509" s="1"/>
      <c r="R509" s="1">
        <v>410</v>
      </c>
      <c r="S509">
        <v>240000</v>
      </c>
      <c r="T509">
        <v>12036</v>
      </c>
      <c r="U509" t="s">
        <v>814</v>
      </c>
      <c r="V509">
        <v>21960</v>
      </c>
      <c r="W509" s="1">
        <v>46433</v>
      </c>
      <c r="X509" s="1" t="s">
        <v>55</v>
      </c>
      <c r="Y509" s="1" t="s">
        <v>51</v>
      </c>
      <c r="Z509" s="1" t="s">
        <v>110</v>
      </c>
      <c r="AA509" s="1" t="s">
        <v>127</v>
      </c>
      <c r="AB509" s="1" t="s">
        <v>3742</v>
      </c>
      <c r="AC509" s="1">
        <v>44972</v>
      </c>
      <c r="AD509" s="1">
        <v>44979</v>
      </c>
      <c r="AE509" s="1">
        <v>45863</v>
      </c>
      <c r="AF509" s="1"/>
      <c r="AG509" s="1" t="s">
        <v>924</v>
      </c>
      <c r="AH509" s="1" t="s">
        <v>942</v>
      </c>
      <c r="AI509" s="1"/>
      <c r="AJ509" s="31">
        <v>44979</v>
      </c>
      <c r="AK509"/>
      <c r="AL509"/>
      <c r="AM509"/>
      <c r="AN509"/>
      <c r="AO509"/>
      <c r="AP509"/>
      <c r="AQ509" s="81"/>
      <c r="AR509" s="81"/>
      <c r="AS509" s="81"/>
      <c r="AT509" s="81"/>
      <c r="AU509" s="81"/>
      <c r="AV509" s="81"/>
      <c r="AW509" s="81"/>
      <c r="AX509" s="81"/>
      <c r="AY509" s="81"/>
    </row>
    <row r="510" spans="1:51" hidden="1">
      <c r="A510" s="1" t="s">
        <v>2542</v>
      </c>
      <c r="B510" s="1">
        <v>230207</v>
      </c>
      <c r="D510" s="1" t="s">
        <v>436</v>
      </c>
      <c r="F510"/>
      <c r="G510"/>
      <c r="H510" s="1" t="s">
        <v>3602</v>
      </c>
      <c r="I510" s="1" t="s">
        <v>3603</v>
      </c>
      <c r="J510" s="1" t="s">
        <v>18</v>
      </c>
      <c r="K510" s="1" t="s">
        <v>50</v>
      </c>
      <c r="L510" s="1">
        <v>32586</v>
      </c>
      <c r="M510" s="1">
        <v>36</v>
      </c>
      <c r="N510" s="1">
        <v>1400</v>
      </c>
      <c r="P510" s="1">
        <v>2000</v>
      </c>
      <c r="Q510" s="1"/>
      <c r="R510" s="1">
        <v>600</v>
      </c>
      <c r="S510">
        <v>300000</v>
      </c>
      <c r="T510">
        <v>15045</v>
      </c>
      <c r="U510" t="s">
        <v>814</v>
      </c>
      <c r="V510">
        <v>27450</v>
      </c>
      <c r="W510" s="1">
        <v>45321</v>
      </c>
      <c r="X510" s="1" t="s">
        <v>55</v>
      </c>
      <c r="Y510" s="1" t="s">
        <v>51</v>
      </c>
      <c r="Z510" s="1" t="s">
        <v>437</v>
      </c>
      <c r="AA510" s="1" t="s">
        <v>438</v>
      </c>
      <c r="AB510" s="1" t="s">
        <v>3604</v>
      </c>
      <c r="AC510" s="1">
        <v>44977</v>
      </c>
      <c r="AD510" s="1">
        <v>44979</v>
      </c>
      <c r="AE510" s="1">
        <v>45201</v>
      </c>
      <c r="AF510" s="1"/>
      <c r="AG510" s="1" t="s">
        <v>924</v>
      </c>
      <c r="AH510" s="1" t="s">
        <v>935</v>
      </c>
      <c r="AI510" s="1"/>
      <c r="AJ510" s="31">
        <v>44979</v>
      </c>
      <c r="AK510"/>
      <c r="AL510"/>
      <c r="AM510"/>
      <c r="AN510"/>
      <c r="AO510"/>
      <c r="AP510"/>
      <c r="AQ510" s="81"/>
      <c r="AR510" s="81"/>
      <c r="AS510" s="81"/>
      <c r="AT510" s="81"/>
      <c r="AU510" s="81"/>
      <c r="AV510" s="81"/>
      <c r="AW510" s="81"/>
      <c r="AX510" s="81"/>
      <c r="AY510" s="81"/>
    </row>
    <row r="511" spans="1:51" hidden="1">
      <c r="A511" s="1" t="s">
        <v>2542</v>
      </c>
      <c r="B511" s="1">
        <v>230208</v>
      </c>
      <c r="D511" s="1" t="s">
        <v>436</v>
      </c>
      <c r="F511"/>
      <c r="G511"/>
      <c r="H511" s="1" t="s">
        <v>3605</v>
      </c>
      <c r="I511" s="1" t="s">
        <v>3606</v>
      </c>
      <c r="J511" s="1" t="s">
        <v>18</v>
      </c>
      <c r="K511" s="1" t="s">
        <v>50</v>
      </c>
      <c r="L511" s="1">
        <v>30351</v>
      </c>
      <c r="M511" s="1">
        <v>42</v>
      </c>
      <c r="N511" s="1">
        <v>1500</v>
      </c>
      <c r="P511" s="1">
        <v>2000</v>
      </c>
      <c r="Q511" s="1"/>
      <c r="R511" s="1">
        <v>500</v>
      </c>
      <c r="S511">
        <v>280000</v>
      </c>
      <c r="T511">
        <v>14042</v>
      </c>
      <c r="U511">
        <v>2226</v>
      </c>
      <c r="V511">
        <v>25620</v>
      </c>
      <c r="W511" s="1">
        <v>46234</v>
      </c>
      <c r="X511" s="1" t="s">
        <v>55</v>
      </c>
      <c r="Y511" s="1" t="s">
        <v>51</v>
      </c>
      <c r="Z511" s="1" t="s">
        <v>504</v>
      </c>
      <c r="AA511" s="1" t="s">
        <v>505</v>
      </c>
      <c r="AB511" s="1" t="s">
        <v>936</v>
      </c>
      <c r="AC511" s="1">
        <v>44977</v>
      </c>
      <c r="AD511" s="1">
        <v>44979</v>
      </c>
      <c r="AE511" s="1">
        <v>45471</v>
      </c>
      <c r="AF511" s="1"/>
      <c r="AG511" s="1" t="s">
        <v>924</v>
      </c>
      <c r="AH511" s="1" t="s">
        <v>935</v>
      </c>
      <c r="AI511" s="1"/>
      <c r="AJ511" s="31">
        <v>44979</v>
      </c>
      <c r="AK511"/>
      <c r="AL511"/>
      <c r="AM511"/>
      <c r="AN511"/>
      <c r="AO511"/>
      <c r="AP511"/>
      <c r="AQ511" s="81"/>
      <c r="AR511" s="81"/>
      <c r="AS511" s="81"/>
      <c r="AT511" s="81"/>
      <c r="AU511" s="81"/>
      <c r="AV511" s="81"/>
      <c r="AW511" s="81"/>
      <c r="AX511" s="81"/>
      <c r="AY511" s="81"/>
    </row>
    <row r="512" spans="1:51" hidden="1">
      <c r="A512" s="1" t="s">
        <v>49</v>
      </c>
      <c r="B512" s="1">
        <v>230209</v>
      </c>
      <c r="D512" s="1" t="s">
        <v>436</v>
      </c>
      <c r="E512" s="1" t="s">
        <v>4367</v>
      </c>
      <c r="F512" t="s">
        <v>4368</v>
      </c>
      <c r="G512" t="s">
        <v>4369</v>
      </c>
      <c r="H512" s="1" t="s">
        <v>937</v>
      </c>
      <c r="I512" s="1" t="s">
        <v>938</v>
      </c>
      <c r="J512" s="1" t="s">
        <v>18</v>
      </c>
      <c r="K512" s="1" t="s">
        <v>50</v>
      </c>
      <c r="L512" s="1">
        <v>33629</v>
      </c>
      <c r="M512" s="1">
        <v>33</v>
      </c>
      <c r="N512" s="1">
        <v>1500</v>
      </c>
      <c r="P512" s="1">
        <v>2000</v>
      </c>
      <c r="Q512" s="1" t="s">
        <v>3474</v>
      </c>
      <c r="R512" s="1">
        <v>500</v>
      </c>
      <c r="S512">
        <v>360000</v>
      </c>
      <c r="T512">
        <v>18054</v>
      </c>
      <c r="U512" t="s">
        <v>814</v>
      </c>
      <c r="V512">
        <v>32940</v>
      </c>
      <c r="W512" s="1">
        <v>46901</v>
      </c>
      <c r="X512" s="1" t="s">
        <v>55</v>
      </c>
      <c r="Y512" s="1" t="s">
        <v>51</v>
      </c>
      <c r="Z512" s="1" t="s">
        <v>437</v>
      </c>
      <c r="AA512" s="1" t="s">
        <v>438</v>
      </c>
      <c r="AB512" s="1" t="s">
        <v>439</v>
      </c>
      <c r="AC512" s="1">
        <v>44977</v>
      </c>
      <c r="AD512" s="1">
        <v>44979</v>
      </c>
      <c r="AE512" s="1"/>
      <c r="AF512" s="1"/>
      <c r="AG512" s="1" t="s">
        <v>939</v>
      </c>
      <c r="AH512" s="1" t="s">
        <v>921</v>
      </c>
      <c r="AI512" s="1"/>
      <c r="AJ512" s="31">
        <v>44979</v>
      </c>
      <c r="AK512"/>
      <c r="AL512"/>
      <c r="AM512"/>
      <c r="AN512"/>
      <c r="AO512"/>
      <c r="AP512"/>
      <c r="AQ512" s="81"/>
      <c r="AR512" s="81"/>
      <c r="AS512" s="81"/>
      <c r="AT512" s="81"/>
      <c r="AU512" s="81"/>
      <c r="AV512" s="81"/>
      <c r="AW512" s="81"/>
      <c r="AX512" s="81"/>
      <c r="AY512" s="81"/>
    </row>
    <row r="513" spans="1:51" hidden="1">
      <c r="A513" s="1" t="s">
        <v>2542</v>
      </c>
      <c r="B513" s="1">
        <v>230210</v>
      </c>
      <c r="D513" s="1" t="s">
        <v>436</v>
      </c>
      <c r="F513"/>
      <c r="G513"/>
      <c r="H513" s="1" t="s">
        <v>940</v>
      </c>
      <c r="I513" s="1" t="s">
        <v>941</v>
      </c>
      <c r="J513" s="1" t="s">
        <v>18</v>
      </c>
      <c r="K513" s="1" t="s">
        <v>50</v>
      </c>
      <c r="L513" s="1">
        <v>32567</v>
      </c>
      <c r="M513" s="1">
        <v>36</v>
      </c>
      <c r="N513" s="1">
        <v>1500</v>
      </c>
      <c r="P513" s="1">
        <v>2000</v>
      </c>
      <c r="Q513" s="1" t="s">
        <v>3474</v>
      </c>
      <c r="R513" s="1">
        <v>500</v>
      </c>
      <c r="S513">
        <v>340000</v>
      </c>
      <c r="T513">
        <v>17051</v>
      </c>
      <c r="U513" t="s">
        <v>814</v>
      </c>
      <c r="V513">
        <v>31110</v>
      </c>
      <c r="W513" s="1">
        <v>46334</v>
      </c>
      <c r="X513" s="1" t="s">
        <v>55</v>
      </c>
      <c r="Y513" s="1" t="s">
        <v>51</v>
      </c>
      <c r="Z513" s="1" t="s">
        <v>437</v>
      </c>
      <c r="AA513" s="1" t="s">
        <v>1375</v>
      </c>
      <c r="AB513" s="1" t="s">
        <v>1376</v>
      </c>
      <c r="AC513" s="1" t="s">
        <v>53</v>
      </c>
      <c r="AD513" s="1">
        <v>44979</v>
      </c>
      <c r="AE513" s="1">
        <v>45625</v>
      </c>
      <c r="AF513" s="1"/>
      <c r="AG513" s="1" t="s">
        <v>924</v>
      </c>
      <c r="AH513" s="1" t="s">
        <v>942</v>
      </c>
      <c r="AI513" s="1"/>
      <c r="AJ513" s="31">
        <v>44979</v>
      </c>
      <c r="AK513"/>
      <c r="AL513"/>
      <c r="AM513"/>
      <c r="AN513"/>
      <c r="AO513"/>
      <c r="AP513"/>
      <c r="AQ513" s="81"/>
      <c r="AR513" s="81"/>
      <c r="AS513" s="81"/>
      <c r="AT513" s="81"/>
      <c r="AU513" s="81"/>
      <c r="AV513" s="81"/>
      <c r="AW513" s="81"/>
      <c r="AX513" s="81"/>
      <c r="AY513" s="81"/>
    </row>
    <row r="514" spans="1:51" hidden="1">
      <c r="A514" s="1" t="s">
        <v>2542</v>
      </c>
      <c r="B514" s="1">
        <v>230211</v>
      </c>
      <c r="D514" s="1" t="s">
        <v>436</v>
      </c>
      <c r="F514"/>
      <c r="G514"/>
      <c r="H514" s="1" t="s">
        <v>943</v>
      </c>
      <c r="I514" s="1" t="s">
        <v>944</v>
      </c>
      <c r="J514" s="1" t="s">
        <v>18</v>
      </c>
      <c r="K514" s="1" t="s">
        <v>50</v>
      </c>
      <c r="L514" s="1">
        <v>32022</v>
      </c>
      <c r="M514" s="1">
        <v>38</v>
      </c>
      <c r="N514" s="1">
        <v>1600</v>
      </c>
      <c r="P514" s="1">
        <v>2100</v>
      </c>
      <c r="Q514" s="1" t="s">
        <v>3474</v>
      </c>
      <c r="R514" s="1">
        <v>500</v>
      </c>
      <c r="S514">
        <v>380000</v>
      </c>
      <c r="T514">
        <v>19057</v>
      </c>
      <c r="U514" t="s">
        <v>814</v>
      </c>
      <c r="V514">
        <v>34770</v>
      </c>
      <c r="W514" s="1">
        <v>46230</v>
      </c>
      <c r="X514" s="1" t="s">
        <v>55</v>
      </c>
      <c r="Y514" s="1" t="s">
        <v>51</v>
      </c>
      <c r="Z514" s="1" t="s">
        <v>504</v>
      </c>
      <c r="AA514" s="1" t="s">
        <v>505</v>
      </c>
      <c r="AB514" s="1" t="s">
        <v>936</v>
      </c>
      <c r="AC514" s="1">
        <v>44977</v>
      </c>
      <c r="AD514" s="1">
        <v>44979</v>
      </c>
      <c r="AE514" s="1">
        <v>45805</v>
      </c>
      <c r="AF514" s="1"/>
      <c r="AG514" s="1" t="s">
        <v>924</v>
      </c>
      <c r="AH514" s="1" t="s">
        <v>942</v>
      </c>
      <c r="AI514" s="1"/>
      <c r="AJ514" s="31">
        <v>44979</v>
      </c>
      <c r="AK514"/>
      <c r="AL514"/>
      <c r="AM514"/>
      <c r="AN514"/>
      <c r="AO514"/>
      <c r="AP514"/>
      <c r="AQ514" s="81"/>
      <c r="AR514" s="81"/>
      <c r="AS514" s="81"/>
      <c r="AT514" s="81"/>
      <c r="AU514" s="81"/>
      <c r="AV514" s="81"/>
      <c r="AW514" s="81"/>
      <c r="AX514" s="81"/>
      <c r="AY514" s="81"/>
    </row>
    <row r="515" spans="1:51" hidden="1">
      <c r="A515" s="1" t="s">
        <v>2542</v>
      </c>
      <c r="B515" s="1">
        <v>230212</v>
      </c>
      <c r="C515" s="1">
        <v>232093</v>
      </c>
      <c r="D515" s="1" t="s">
        <v>83</v>
      </c>
      <c r="E515" s="1" t="s">
        <v>307</v>
      </c>
      <c r="F515" t="s">
        <v>2251</v>
      </c>
      <c r="G515" t="s">
        <v>2252</v>
      </c>
      <c r="H515" s="1" t="s">
        <v>945</v>
      </c>
      <c r="I515" s="1" t="s">
        <v>946</v>
      </c>
      <c r="J515" s="1" t="s">
        <v>18</v>
      </c>
      <c r="K515" s="1" t="s">
        <v>50</v>
      </c>
      <c r="L515" s="1">
        <v>36892</v>
      </c>
      <c r="M515" s="1">
        <v>24</v>
      </c>
      <c r="N515" s="1">
        <v>1310</v>
      </c>
      <c r="P515" s="1">
        <v>1710</v>
      </c>
      <c r="Q515" s="1"/>
      <c r="R515" s="1">
        <v>400</v>
      </c>
      <c r="S515">
        <v>220000</v>
      </c>
      <c r="T515">
        <v>11033</v>
      </c>
      <c r="U515" t="s">
        <v>814</v>
      </c>
      <c r="V515">
        <v>20130</v>
      </c>
      <c r="W515" s="1">
        <v>46433</v>
      </c>
      <c r="X515" s="1" t="s">
        <v>55</v>
      </c>
      <c r="Y515" s="1" t="s">
        <v>51</v>
      </c>
      <c r="Z515" s="1" t="s">
        <v>110</v>
      </c>
      <c r="AA515" s="1" t="s">
        <v>134</v>
      </c>
      <c r="AB515" s="1" t="s">
        <v>947</v>
      </c>
      <c r="AC515" s="1">
        <v>44972</v>
      </c>
      <c r="AD515" s="1">
        <v>44979</v>
      </c>
      <c r="AE515" s="1">
        <v>45762</v>
      </c>
      <c r="AF515" s="1"/>
      <c r="AG515" s="1" t="s">
        <v>924</v>
      </c>
      <c r="AH515" s="1" t="s">
        <v>942</v>
      </c>
      <c r="AI515" s="1"/>
      <c r="AJ515" s="31">
        <v>44979</v>
      </c>
      <c r="AK515"/>
      <c r="AL515"/>
      <c r="AM515"/>
      <c r="AN515"/>
      <c r="AO515"/>
      <c r="AP515"/>
      <c r="AQ515" s="81"/>
      <c r="AR515" s="81"/>
      <c r="AS515" s="81"/>
      <c r="AT515" s="81"/>
      <c r="AU515" s="81"/>
      <c r="AV515" s="81"/>
      <c r="AW515" s="81"/>
      <c r="AX515" s="81"/>
      <c r="AY515" s="81"/>
    </row>
    <row r="516" spans="1:51" hidden="1">
      <c r="A516" s="1" t="s">
        <v>2542</v>
      </c>
      <c r="B516" s="1">
        <v>230214</v>
      </c>
      <c r="C516" s="1">
        <v>232089</v>
      </c>
      <c r="D516" s="1" t="s">
        <v>83</v>
      </c>
      <c r="E516" s="1" t="s">
        <v>307</v>
      </c>
      <c r="F516" t="s">
        <v>2251</v>
      </c>
      <c r="G516" t="s">
        <v>2252</v>
      </c>
      <c r="H516" s="1" t="s">
        <v>950</v>
      </c>
      <c r="I516" s="1" t="s">
        <v>951</v>
      </c>
      <c r="J516" s="1" t="s">
        <v>18</v>
      </c>
      <c r="K516" s="1" t="s">
        <v>50</v>
      </c>
      <c r="L516" s="1">
        <v>36846</v>
      </c>
      <c r="M516" s="1">
        <v>25</v>
      </c>
      <c r="N516" s="1">
        <v>1300</v>
      </c>
      <c r="P516" s="1">
        <v>1700</v>
      </c>
      <c r="Q516" s="1"/>
      <c r="R516" s="1">
        <v>400</v>
      </c>
      <c r="S516">
        <v>220000</v>
      </c>
      <c r="T516">
        <v>11033</v>
      </c>
      <c r="U516" t="s">
        <v>814</v>
      </c>
      <c r="V516">
        <v>20130</v>
      </c>
      <c r="W516" s="1">
        <v>46433</v>
      </c>
      <c r="X516" s="1" t="s">
        <v>55</v>
      </c>
      <c r="Y516" s="1" t="s">
        <v>51</v>
      </c>
      <c r="Z516" s="1" t="s">
        <v>110</v>
      </c>
      <c r="AA516" s="1" t="s">
        <v>134</v>
      </c>
      <c r="AB516" s="1" t="s">
        <v>947</v>
      </c>
      <c r="AC516" s="1">
        <v>44972</v>
      </c>
      <c r="AD516" s="1">
        <v>44979</v>
      </c>
      <c r="AE516" s="1">
        <v>45713</v>
      </c>
      <c r="AF516" s="1"/>
      <c r="AG516" s="1" t="s">
        <v>924</v>
      </c>
      <c r="AH516" s="1" t="s">
        <v>942</v>
      </c>
      <c r="AI516" s="1"/>
      <c r="AJ516" s="31">
        <v>44979</v>
      </c>
      <c r="AK516"/>
      <c r="AL516"/>
      <c r="AM516"/>
      <c r="AN516"/>
      <c r="AO516"/>
      <c r="AP516"/>
      <c r="AQ516" s="81"/>
      <c r="AR516" s="81"/>
      <c r="AS516" s="81"/>
      <c r="AT516" s="81"/>
      <c r="AU516" s="81"/>
      <c r="AV516" s="81"/>
      <c r="AW516" s="81"/>
      <c r="AX516" s="81"/>
      <c r="AY516" s="81"/>
    </row>
    <row r="517" spans="1:51" hidden="1">
      <c r="A517" s="1" t="s">
        <v>2542</v>
      </c>
      <c r="B517" s="1">
        <v>230215</v>
      </c>
      <c r="C517" s="1">
        <v>232092</v>
      </c>
      <c r="D517" s="1" t="s">
        <v>83</v>
      </c>
      <c r="E517" s="1" t="s">
        <v>307</v>
      </c>
      <c r="F517" t="s">
        <v>2251</v>
      </c>
      <c r="G517" t="s">
        <v>2252</v>
      </c>
      <c r="H517" s="1" t="s">
        <v>952</v>
      </c>
      <c r="I517" s="1" t="s">
        <v>953</v>
      </c>
      <c r="J517" s="1" t="s">
        <v>18</v>
      </c>
      <c r="K517" s="1" t="s">
        <v>50</v>
      </c>
      <c r="L517" s="1">
        <v>35718</v>
      </c>
      <c r="M517" s="1">
        <v>28</v>
      </c>
      <c r="N517" s="1">
        <v>1300</v>
      </c>
      <c r="P517" s="1">
        <v>1700</v>
      </c>
      <c r="Q517" s="1"/>
      <c r="R517" s="1">
        <v>400</v>
      </c>
      <c r="S517">
        <v>240000</v>
      </c>
      <c r="T517">
        <v>12036</v>
      </c>
      <c r="U517" t="s">
        <v>814</v>
      </c>
      <c r="V517">
        <v>21960</v>
      </c>
      <c r="W517" s="1">
        <v>46433</v>
      </c>
      <c r="X517" s="1" t="s">
        <v>55</v>
      </c>
      <c r="Y517" s="1" t="s">
        <v>51</v>
      </c>
      <c r="Z517" s="1" t="s">
        <v>110</v>
      </c>
      <c r="AA517" s="1" t="s">
        <v>131</v>
      </c>
      <c r="AB517" s="1" t="s">
        <v>954</v>
      </c>
      <c r="AC517" s="1">
        <v>44972</v>
      </c>
      <c r="AD517" s="1">
        <v>44979</v>
      </c>
      <c r="AE517" s="1">
        <v>45580</v>
      </c>
      <c r="AF517" s="1"/>
      <c r="AG517" s="1" t="s">
        <v>924</v>
      </c>
      <c r="AH517" s="1" t="s">
        <v>942</v>
      </c>
      <c r="AI517" s="1"/>
      <c r="AJ517" s="31">
        <v>44979</v>
      </c>
      <c r="AK517"/>
      <c r="AL517"/>
      <c r="AM517"/>
      <c r="AN517"/>
      <c r="AO517"/>
      <c r="AP517"/>
      <c r="AQ517" s="81"/>
      <c r="AR517" s="81"/>
      <c r="AS517" s="81"/>
      <c r="AT517" s="81"/>
      <c r="AU517" s="81"/>
      <c r="AV517" s="81"/>
      <c r="AW517" s="81"/>
      <c r="AX517" s="81"/>
      <c r="AY517" s="81"/>
    </row>
    <row r="518" spans="1:51" hidden="1">
      <c r="A518" s="1" t="s">
        <v>2542</v>
      </c>
      <c r="B518" s="1">
        <v>230216</v>
      </c>
      <c r="C518" s="1">
        <v>232090</v>
      </c>
      <c r="D518" s="1" t="s">
        <v>83</v>
      </c>
      <c r="E518" s="1" t="s">
        <v>307</v>
      </c>
      <c r="F518" t="s">
        <v>2251</v>
      </c>
      <c r="G518" t="s">
        <v>2252</v>
      </c>
      <c r="H518" s="1" t="s">
        <v>955</v>
      </c>
      <c r="I518" s="1" t="s">
        <v>956</v>
      </c>
      <c r="J518" s="1" t="s">
        <v>18</v>
      </c>
      <c r="K518" s="1" t="s">
        <v>50</v>
      </c>
      <c r="L518" s="1">
        <v>36543</v>
      </c>
      <c r="M518" s="1">
        <v>25</v>
      </c>
      <c r="N518" s="1">
        <v>1300</v>
      </c>
      <c r="P518" s="1">
        <v>1700</v>
      </c>
      <c r="Q518" s="1"/>
      <c r="R518" s="1">
        <v>400</v>
      </c>
      <c r="S518">
        <v>240000</v>
      </c>
      <c r="T518">
        <v>12036</v>
      </c>
      <c r="U518" t="s">
        <v>814</v>
      </c>
      <c r="V518">
        <v>21960</v>
      </c>
      <c r="W518" s="1">
        <v>46433</v>
      </c>
      <c r="X518" s="1" t="s">
        <v>55</v>
      </c>
      <c r="Y518" s="1" t="s">
        <v>51</v>
      </c>
      <c r="Z518" s="1" t="s">
        <v>110</v>
      </c>
      <c r="AA518" s="1" t="s">
        <v>131</v>
      </c>
      <c r="AB518" s="1" t="s">
        <v>954</v>
      </c>
      <c r="AC518" s="1">
        <v>44972</v>
      </c>
      <c r="AD518" s="1">
        <v>44979</v>
      </c>
      <c r="AE518" s="1">
        <v>45686</v>
      </c>
      <c r="AF518" s="1"/>
      <c r="AG518" s="1" t="s">
        <v>924</v>
      </c>
      <c r="AH518" s="1" t="s">
        <v>942</v>
      </c>
      <c r="AI518" s="1"/>
      <c r="AJ518" s="31">
        <v>44979</v>
      </c>
      <c r="AK518"/>
      <c r="AL518"/>
      <c r="AM518"/>
      <c r="AN518"/>
      <c r="AO518"/>
      <c r="AP518"/>
      <c r="AQ518" s="81"/>
      <c r="AR518" s="81"/>
      <c r="AS518" s="81"/>
      <c r="AT518" s="81"/>
      <c r="AU518" s="81"/>
      <c r="AV518" s="81"/>
      <c r="AW518" s="81"/>
      <c r="AX518" s="81"/>
      <c r="AY518" s="81"/>
    </row>
    <row r="519" spans="1:51" hidden="1">
      <c r="A519" s="1" t="s">
        <v>49</v>
      </c>
      <c r="B519" s="1">
        <v>200803</v>
      </c>
      <c r="C519" s="1">
        <v>8210005</v>
      </c>
      <c r="D519" s="1" t="s">
        <v>822</v>
      </c>
      <c r="E519" s="1" t="s">
        <v>2161</v>
      </c>
      <c r="F519" t="s">
        <v>2161</v>
      </c>
      <c r="G519"/>
      <c r="H519" s="1" t="s">
        <v>398</v>
      </c>
      <c r="I519" s="1" t="s">
        <v>399</v>
      </c>
      <c r="J519" s="1" t="s">
        <v>18</v>
      </c>
      <c r="K519" s="1" t="s">
        <v>50</v>
      </c>
      <c r="L519" s="1">
        <v>34939</v>
      </c>
      <c r="M519" s="1">
        <v>30</v>
      </c>
      <c r="N519" s="1">
        <v>1550</v>
      </c>
      <c r="P519" s="1">
        <v>2150</v>
      </c>
      <c r="Q519" s="1"/>
      <c r="R519" s="1">
        <v>600</v>
      </c>
      <c r="S519">
        <v>380000</v>
      </c>
      <c r="T519">
        <v>19057</v>
      </c>
      <c r="U519" t="s">
        <v>814</v>
      </c>
      <c r="V519">
        <v>34770</v>
      </c>
      <c r="W519" s="1">
        <v>46084</v>
      </c>
      <c r="X519" s="1">
        <v>89</v>
      </c>
      <c r="Y519" s="1" t="s">
        <v>51</v>
      </c>
      <c r="Z519" s="1" t="s">
        <v>529</v>
      </c>
      <c r="AA519" s="1" t="s">
        <v>2554</v>
      </c>
      <c r="AB519" s="1" t="s">
        <v>401</v>
      </c>
      <c r="AC519" s="1" t="s">
        <v>53</v>
      </c>
      <c r="AD519" s="1">
        <v>44984</v>
      </c>
      <c r="AE519" s="1"/>
      <c r="AF519" s="1"/>
      <c r="AG519" s="1" t="s">
        <v>957</v>
      </c>
      <c r="AH519" s="1" t="s">
        <v>942</v>
      </c>
      <c r="AI519" s="1" t="s">
        <v>1989</v>
      </c>
      <c r="AJ519" s="31">
        <v>44984</v>
      </c>
      <c r="AK519" t="s">
        <v>2470</v>
      </c>
      <c r="AL519">
        <v>45928</v>
      </c>
      <c r="AM519" t="s">
        <v>2468</v>
      </c>
      <c r="AN519">
        <v>46202</v>
      </c>
      <c r="AO519"/>
      <c r="AP519"/>
      <c r="AQ519" s="81"/>
      <c r="AR519" s="81"/>
      <c r="AS519" s="81"/>
      <c r="AT519" s="81"/>
      <c r="AU519" s="81"/>
      <c r="AV519" s="81"/>
      <c r="AW519" s="81"/>
      <c r="AX519" s="81"/>
      <c r="AY519" s="81"/>
    </row>
    <row r="520" spans="1:51" hidden="1">
      <c r="A520" s="1" t="s">
        <v>49</v>
      </c>
      <c r="B520" s="1">
        <v>230217</v>
      </c>
      <c r="C520" s="1">
        <v>8210043</v>
      </c>
      <c r="D520" s="1" t="s">
        <v>815</v>
      </c>
      <c r="E520" s="1" t="s">
        <v>958</v>
      </c>
      <c r="F520" t="s">
        <v>958</v>
      </c>
      <c r="G520"/>
      <c r="H520" s="1" t="s">
        <v>959</v>
      </c>
      <c r="I520" s="1" t="s">
        <v>960</v>
      </c>
      <c r="J520" s="1" t="s">
        <v>18</v>
      </c>
      <c r="K520" s="1" t="s">
        <v>50</v>
      </c>
      <c r="L520" s="1">
        <v>32902</v>
      </c>
      <c r="M520" s="1">
        <v>35</v>
      </c>
      <c r="N520" s="1">
        <v>1655</v>
      </c>
      <c r="P520" s="1">
        <v>2375</v>
      </c>
      <c r="Q520" s="1"/>
      <c r="R520" s="1">
        <v>720</v>
      </c>
      <c r="S520">
        <v>360000</v>
      </c>
      <c r="T520">
        <v>18054</v>
      </c>
      <c r="U520" t="s">
        <v>814</v>
      </c>
      <c r="V520">
        <v>32940</v>
      </c>
      <c r="W520" s="1">
        <v>46622</v>
      </c>
      <c r="X520" s="1" t="s">
        <v>55</v>
      </c>
      <c r="Y520" s="1" t="s">
        <v>51</v>
      </c>
      <c r="Z520" s="1" t="s">
        <v>529</v>
      </c>
      <c r="AA520" s="1" t="s">
        <v>2554</v>
      </c>
      <c r="AB520" s="1" t="s">
        <v>961</v>
      </c>
      <c r="AC520" s="1" t="s">
        <v>53</v>
      </c>
      <c r="AD520" s="1">
        <v>44984</v>
      </c>
      <c r="AE520" s="1"/>
      <c r="AF520" s="1"/>
      <c r="AG520" s="1" t="s">
        <v>957</v>
      </c>
      <c r="AH520" s="1" t="s">
        <v>942</v>
      </c>
      <c r="AI520" s="1"/>
      <c r="AJ520" s="31">
        <v>44984</v>
      </c>
      <c r="AK520" t="s">
        <v>2470</v>
      </c>
      <c r="AL520">
        <v>46446</v>
      </c>
      <c r="AM520" t="s">
        <v>2468</v>
      </c>
      <c r="AN520">
        <v>46140</v>
      </c>
      <c r="AO520"/>
      <c r="AP520"/>
      <c r="AQ520" s="81"/>
      <c r="AR520" s="81"/>
      <c r="AS520" s="81"/>
      <c r="AT520" s="81"/>
      <c r="AU520" s="81"/>
      <c r="AV520" s="81"/>
      <c r="AW520" s="81"/>
      <c r="AX520" s="81"/>
      <c r="AY520" s="81"/>
    </row>
    <row r="521" spans="1:51" hidden="1">
      <c r="A521" s="1" t="s">
        <v>2542</v>
      </c>
      <c r="B521" s="1">
        <v>230218</v>
      </c>
      <c r="C521" s="1">
        <v>8210042</v>
      </c>
      <c r="D521" s="1" t="s">
        <v>818</v>
      </c>
      <c r="E521" s="1" t="s">
        <v>819</v>
      </c>
      <c r="F521" t="s">
        <v>819</v>
      </c>
      <c r="G521"/>
      <c r="H521" s="1" t="s">
        <v>3607</v>
      </c>
      <c r="I521" s="1" t="s">
        <v>3608</v>
      </c>
      <c r="J521" s="1" t="s">
        <v>18</v>
      </c>
      <c r="K521" s="1" t="s">
        <v>50</v>
      </c>
      <c r="L521" s="1">
        <v>35077</v>
      </c>
      <c r="M521" s="1">
        <v>29</v>
      </c>
      <c r="N521" s="1">
        <v>1400</v>
      </c>
      <c r="P521" s="1">
        <v>1990</v>
      </c>
      <c r="Q521" s="1"/>
      <c r="R521" s="1">
        <v>590</v>
      </c>
      <c r="S521">
        <v>320000</v>
      </c>
      <c r="T521">
        <v>16048</v>
      </c>
      <c r="U521" t="s">
        <v>814</v>
      </c>
      <c r="V521">
        <v>29280</v>
      </c>
      <c r="W521" s="1">
        <v>45528</v>
      </c>
      <c r="X521" s="1" t="s">
        <v>55</v>
      </c>
      <c r="Y521" s="1" t="s">
        <v>51</v>
      </c>
      <c r="Z521" s="1" t="s">
        <v>543</v>
      </c>
      <c r="AA521" s="1" t="s">
        <v>544</v>
      </c>
      <c r="AB521" s="1" t="s">
        <v>545</v>
      </c>
      <c r="AC521" s="1">
        <v>44981</v>
      </c>
      <c r="AD521" s="1">
        <v>44984</v>
      </c>
      <c r="AE521" s="1">
        <v>45317</v>
      </c>
      <c r="AF521" s="1"/>
      <c r="AG521" s="1" t="s">
        <v>924</v>
      </c>
      <c r="AH521" s="1" t="s">
        <v>935</v>
      </c>
      <c r="AI521" s="1"/>
      <c r="AJ521" s="31">
        <v>44984</v>
      </c>
      <c r="AK521"/>
      <c r="AL521"/>
      <c r="AM521"/>
      <c r="AN521"/>
      <c r="AO521"/>
      <c r="AP521"/>
      <c r="AQ521" s="81"/>
      <c r="AR521" s="81"/>
      <c r="AS521" s="81"/>
      <c r="AT521" s="81"/>
      <c r="AU521" s="81"/>
      <c r="AV521" s="81"/>
      <c r="AW521" s="81"/>
      <c r="AX521" s="81"/>
      <c r="AY521" s="81"/>
    </row>
    <row r="522" spans="1:51" hidden="1">
      <c r="A522" s="1" t="s">
        <v>2542</v>
      </c>
      <c r="B522" s="1">
        <v>230219</v>
      </c>
      <c r="C522" s="1">
        <v>5538</v>
      </c>
      <c r="D522" s="1" t="s">
        <v>846</v>
      </c>
      <c r="E522" s="1" t="s">
        <v>3609</v>
      </c>
      <c r="F522" t="s">
        <v>3610</v>
      </c>
      <c r="G522" t="s">
        <v>1514</v>
      </c>
      <c r="H522" s="1" t="s">
        <v>3611</v>
      </c>
      <c r="I522" s="1" t="s">
        <v>3612</v>
      </c>
      <c r="J522" s="1" t="s">
        <v>18</v>
      </c>
      <c r="K522" s="1" t="s">
        <v>50</v>
      </c>
      <c r="L522" s="1">
        <v>34874</v>
      </c>
      <c r="M522" s="1">
        <v>30</v>
      </c>
      <c r="N522" s="1">
        <v>1300</v>
      </c>
      <c r="P522" s="1">
        <v>1700</v>
      </c>
      <c r="Q522" s="1"/>
      <c r="R522" s="1">
        <v>400</v>
      </c>
      <c r="S522">
        <v>260000</v>
      </c>
      <c r="T522">
        <v>13039</v>
      </c>
      <c r="U522" t="s">
        <v>814</v>
      </c>
      <c r="V522">
        <v>23790</v>
      </c>
      <c r="W522" s="1">
        <v>46128</v>
      </c>
      <c r="X522" s="1" t="s">
        <v>55</v>
      </c>
      <c r="Y522" s="1" t="s">
        <v>51</v>
      </c>
      <c r="Z522" s="1" t="s">
        <v>3528</v>
      </c>
      <c r="AA522" s="1" t="s">
        <v>3529</v>
      </c>
      <c r="AB522" s="1" t="s">
        <v>3530</v>
      </c>
      <c r="AC522" s="1"/>
      <c r="AD522" s="1">
        <v>44984</v>
      </c>
      <c r="AE522" s="1">
        <v>45334</v>
      </c>
      <c r="AF522" s="1"/>
      <c r="AG522" s="1" t="s">
        <v>924</v>
      </c>
      <c r="AH522" s="1" t="s">
        <v>942</v>
      </c>
      <c r="AI522" s="1"/>
      <c r="AJ522" s="31">
        <v>44984</v>
      </c>
      <c r="AK522"/>
      <c r="AL522"/>
      <c r="AM522"/>
      <c r="AN522"/>
      <c r="AO522"/>
      <c r="AP522"/>
      <c r="AQ522" s="81"/>
      <c r="AR522" s="81"/>
      <c r="AS522" s="81"/>
      <c r="AT522" s="81"/>
      <c r="AU522" s="81"/>
      <c r="AV522" s="81"/>
      <c r="AW522" s="81"/>
      <c r="AX522" s="81"/>
      <c r="AY522" s="81"/>
    </row>
    <row r="523" spans="1:51" s="81" customFormat="1" hidden="1">
      <c r="A523" s="1" t="s">
        <v>2542</v>
      </c>
      <c r="B523" s="1">
        <v>230220</v>
      </c>
      <c r="C523" s="1">
        <v>212038</v>
      </c>
      <c r="D523" s="1" t="s">
        <v>75</v>
      </c>
      <c r="E523" s="1" t="s">
        <v>3934</v>
      </c>
      <c r="F523" t="s">
        <v>753</v>
      </c>
      <c r="G523" t="s">
        <v>388</v>
      </c>
      <c r="H523" s="1" t="s">
        <v>962</v>
      </c>
      <c r="I523" s="1" t="s">
        <v>963</v>
      </c>
      <c r="J523" s="1" t="s">
        <v>18</v>
      </c>
      <c r="K523" s="1" t="s">
        <v>404</v>
      </c>
      <c r="L523" s="1">
        <v>21815</v>
      </c>
      <c r="M523" s="1">
        <v>66</v>
      </c>
      <c r="N523" s="1">
        <v>1400</v>
      </c>
      <c r="O523" s="1"/>
      <c r="P523" s="1">
        <v>1780</v>
      </c>
      <c r="Q523" s="1"/>
      <c r="R523" s="1">
        <v>380</v>
      </c>
      <c r="S523">
        <v>260000</v>
      </c>
      <c r="T523">
        <v>13039</v>
      </c>
      <c r="U523" t="s">
        <v>814</v>
      </c>
      <c r="V523">
        <v>23790</v>
      </c>
      <c r="W523" s="1">
        <v>47026</v>
      </c>
      <c r="X523" s="1" t="s">
        <v>55</v>
      </c>
      <c r="Y523" s="1" t="s">
        <v>60</v>
      </c>
      <c r="Z523" s="1" t="s">
        <v>964</v>
      </c>
      <c r="AA523" s="1" t="s">
        <v>965</v>
      </c>
      <c r="AB523" s="1" t="s">
        <v>966</v>
      </c>
      <c r="AC523" s="1" t="s">
        <v>53</v>
      </c>
      <c r="AD523" s="1">
        <v>44985</v>
      </c>
      <c r="AE523" s="1">
        <v>45562</v>
      </c>
      <c r="AF523" s="1"/>
      <c r="AG523" s="1" t="s">
        <v>924</v>
      </c>
      <c r="AH523" s="1" t="s">
        <v>967</v>
      </c>
      <c r="AI523" s="1"/>
      <c r="AJ523" s="31">
        <v>44985</v>
      </c>
      <c r="AK523"/>
      <c r="AL523"/>
      <c r="AM523"/>
      <c r="AN523"/>
      <c r="AO523"/>
      <c r="AP523"/>
    </row>
    <row r="524" spans="1:51" hidden="1">
      <c r="A524" s="1" t="s">
        <v>2542</v>
      </c>
      <c r="B524" s="1">
        <v>230221</v>
      </c>
      <c r="D524" s="1" t="s">
        <v>168</v>
      </c>
      <c r="F524"/>
      <c r="G524"/>
      <c r="H524" s="1" t="s">
        <v>3613</v>
      </c>
      <c r="I524" s="1" t="s">
        <v>3614</v>
      </c>
      <c r="J524" s="1" t="s">
        <v>17</v>
      </c>
      <c r="K524" s="1" t="s">
        <v>50</v>
      </c>
      <c r="L524" s="1">
        <v>33120</v>
      </c>
      <c r="M524" s="1">
        <v>35</v>
      </c>
      <c r="N524" s="1">
        <v>1500</v>
      </c>
      <c r="P524" s="1">
        <v>2200</v>
      </c>
      <c r="Q524" s="1"/>
      <c r="R524" s="1">
        <v>700</v>
      </c>
      <c r="S524">
        <v>300000</v>
      </c>
      <c r="T524">
        <v>15045</v>
      </c>
      <c r="U524" t="s">
        <v>814</v>
      </c>
      <c r="V524">
        <v>27450</v>
      </c>
      <c r="W524" s="1">
        <v>45451</v>
      </c>
      <c r="X524" s="1" t="s">
        <v>55</v>
      </c>
      <c r="Y524" s="1" t="s">
        <v>51</v>
      </c>
      <c r="Z524" s="1" t="s">
        <v>3232</v>
      </c>
      <c r="AA524" s="1" t="s">
        <v>3233</v>
      </c>
      <c r="AB524" s="1" t="s">
        <v>3234</v>
      </c>
      <c r="AC524" s="1">
        <v>44984</v>
      </c>
      <c r="AD524" s="1">
        <v>44985</v>
      </c>
      <c r="AE524" s="1">
        <v>45208</v>
      </c>
      <c r="AF524" s="1"/>
      <c r="AG524" s="1" t="s">
        <v>924</v>
      </c>
      <c r="AH524" s="1" t="s">
        <v>934</v>
      </c>
      <c r="AI524" s="1"/>
      <c r="AJ524" s="31">
        <v>44985</v>
      </c>
      <c r="AK524"/>
      <c r="AL524"/>
      <c r="AM524"/>
      <c r="AN524"/>
      <c r="AO524"/>
      <c r="AP524"/>
      <c r="AQ524" s="81"/>
      <c r="AR524" s="81"/>
      <c r="AS524" s="81"/>
      <c r="AT524" s="81"/>
      <c r="AU524" s="81"/>
      <c r="AV524" s="81"/>
      <c r="AW524" s="81"/>
      <c r="AX524" s="81"/>
      <c r="AY524" s="81"/>
    </row>
    <row r="525" spans="1:51" hidden="1">
      <c r="A525" s="1" t="s">
        <v>49</v>
      </c>
      <c r="B525" s="1">
        <v>230302</v>
      </c>
      <c r="C525" s="1">
        <v>8210046</v>
      </c>
      <c r="D525" s="1" t="s">
        <v>818</v>
      </c>
      <c r="E525" s="1" t="s">
        <v>834</v>
      </c>
      <c r="F525" t="s">
        <v>834</v>
      </c>
      <c r="G525"/>
      <c r="H525" s="1" t="s">
        <v>972</v>
      </c>
      <c r="I525" s="1" t="s">
        <v>973</v>
      </c>
      <c r="J525" s="1" t="s">
        <v>18</v>
      </c>
      <c r="K525" s="1" t="s">
        <v>50</v>
      </c>
      <c r="L525" s="1">
        <v>33126</v>
      </c>
      <c r="M525" s="1">
        <v>35</v>
      </c>
      <c r="N525" s="1">
        <v>1500</v>
      </c>
      <c r="P525" s="1">
        <v>2150</v>
      </c>
      <c r="Q525" s="1"/>
      <c r="R525" s="1">
        <v>650</v>
      </c>
      <c r="S525">
        <v>340000</v>
      </c>
      <c r="T525">
        <v>17051</v>
      </c>
      <c r="U525" t="s">
        <v>814</v>
      </c>
      <c r="V525">
        <v>31110</v>
      </c>
      <c r="W525" s="1">
        <v>46627</v>
      </c>
      <c r="X525" s="1" t="s">
        <v>55</v>
      </c>
      <c r="Y525" s="1" t="s">
        <v>51</v>
      </c>
      <c r="Z525" s="1" t="s">
        <v>982</v>
      </c>
      <c r="AA525" s="1" t="s">
        <v>983</v>
      </c>
      <c r="AB525" s="1" t="s">
        <v>984</v>
      </c>
      <c r="AC525" s="1">
        <v>45073</v>
      </c>
      <c r="AD525" s="1">
        <v>44986</v>
      </c>
      <c r="AE525" s="1"/>
      <c r="AF525" s="1"/>
      <c r="AG525" s="1" t="s">
        <v>968</v>
      </c>
      <c r="AH525" s="1" t="s">
        <v>971</v>
      </c>
      <c r="AI525" s="1"/>
      <c r="AJ525" s="31">
        <v>44986</v>
      </c>
      <c r="AK525" t="s">
        <v>2470</v>
      </c>
      <c r="AL525">
        <v>45940</v>
      </c>
      <c r="AM525" t="s">
        <v>2468</v>
      </c>
      <c r="AN525">
        <v>45983</v>
      </c>
      <c r="AO525"/>
      <c r="AP525"/>
      <c r="AQ525" s="81"/>
      <c r="AR525" s="81"/>
      <c r="AS525" s="81"/>
      <c r="AT525" s="81"/>
      <c r="AU525" s="81"/>
      <c r="AV525" s="81"/>
      <c r="AW525" s="81"/>
      <c r="AX525" s="81"/>
      <c r="AY525" s="81"/>
    </row>
    <row r="526" spans="1:51" hidden="1">
      <c r="A526" s="1" t="s">
        <v>49</v>
      </c>
      <c r="B526" s="1">
        <v>230303</v>
      </c>
      <c r="C526" s="1">
        <v>232098</v>
      </c>
      <c r="D526" s="1" t="s">
        <v>83</v>
      </c>
      <c r="E526" s="1" t="s">
        <v>307</v>
      </c>
      <c r="F526" t="s">
        <v>2251</v>
      </c>
      <c r="G526" t="s">
        <v>2252</v>
      </c>
      <c r="H526" s="1" t="s">
        <v>974</v>
      </c>
      <c r="I526" s="1" t="s">
        <v>975</v>
      </c>
      <c r="J526" s="1" t="s">
        <v>18</v>
      </c>
      <c r="K526" s="1" t="s">
        <v>50</v>
      </c>
      <c r="L526" s="1">
        <v>35340</v>
      </c>
      <c r="M526" s="1">
        <v>29</v>
      </c>
      <c r="N526" s="1">
        <v>1310</v>
      </c>
      <c r="P526" s="1">
        <v>1720</v>
      </c>
      <c r="Q526" s="1"/>
      <c r="R526" s="1">
        <v>410</v>
      </c>
      <c r="S526">
        <v>260000</v>
      </c>
      <c r="T526">
        <v>13039</v>
      </c>
      <c r="U526" t="s">
        <v>814</v>
      </c>
      <c r="V526">
        <v>23790</v>
      </c>
      <c r="W526" s="1">
        <v>46440</v>
      </c>
      <c r="X526" s="1" t="s">
        <v>55</v>
      </c>
      <c r="Y526" s="1" t="s">
        <v>51</v>
      </c>
      <c r="Z526" s="1" t="s">
        <v>86</v>
      </c>
      <c r="AA526" s="1" t="s">
        <v>1706</v>
      </c>
      <c r="AB526" s="1" t="s">
        <v>4045</v>
      </c>
      <c r="AC526" s="1">
        <v>45108</v>
      </c>
      <c r="AD526" s="1">
        <v>44986</v>
      </c>
      <c r="AE526" s="1"/>
      <c r="AF526" s="1"/>
      <c r="AG526" s="1" t="s">
        <v>968</v>
      </c>
      <c r="AH526" s="1" t="s">
        <v>942</v>
      </c>
      <c r="AI526" s="1"/>
      <c r="AJ526" s="31">
        <v>44986</v>
      </c>
      <c r="AK526"/>
      <c r="AL526"/>
      <c r="AM526"/>
      <c r="AN526"/>
      <c r="AO526"/>
      <c r="AP526"/>
      <c r="AQ526" s="81"/>
      <c r="AR526" s="81"/>
      <c r="AS526" s="81"/>
      <c r="AT526" s="81"/>
      <c r="AU526" s="81"/>
      <c r="AV526" s="81"/>
      <c r="AW526" s="81"/>
      <c r="AX526" s="81"/>
      <c r="AY526" s="81"/>
    </row>
    <row r="527" spans="1:51" hidden="1">
      <c r="A527" s="1" t="s">
        <v>49</v>
      </c>
      <c r="B527" s="1">
        <v>230305</v>
      </c>
      <c r="C527" s="1">
        <v>232097</v>
      </c>
      <c r="D527" s="1" t="s">
        <v>83</v>
      </c>
      <c r="E527" s="1" t="s">
        <v>307</v>
      </c>
      <c r="F527" t="s">
        <v>2251</v>
      </c>
      <c r="G527" t="s">
        <v>2252</v>
      </c>
      <c r="H527" s="1" t="s">
        <v>978</v>
      </c>
      <c r="I527" s="1" t="s">
        <v>979</v>
      </c>
      <c r="J527" s="1" t="s">
        <v>18</v>
      </c>
      <c r="K527" s="1" t="s">
        <v>50</v>
      </c>
      <c r="L527" s="1">
        <v>35908</v>
      </c>
      <c r="M527" s="1">
        <v>27</v>
      </c>
      <c r="N527" s="1">
        <v>1310</v>
      </c>
      <c r="P527" s="1">
        <v>1730</v>
      </c>
      <c r="Q527" s="1"/>
      <c r="R527" s="1">
        <v>420</v>
      </c>
      <c r="S527">
        <v>260000</v>
      </c>
      <c r="T527">
        <v>13039</v>
      </c>
      <c r="U527" t="s">
        <v>814</v>
      </c>
      <c r="V527">
        <v>23790</v>
      </c>
      <c r="W527" s="1">
        <v>46440</v>
      </c>
      <c r="X527" s="1" t="s">
        <v>55</v>
      </c>
      <c r="Y527" s="1" t="s">
        <v>51</v>
      </c>
      <c r="Z527" s="1" t="s">
        <v>86</v>
      </c>
      <c r="AA527" s="1" t="s">
        <v>1706</v>
      </c>
      <c r="AB527" s="1" t="s">
        <v>4045</v>
      </c>
      <c r="AC527" s="1">
        <v>45108</v>
      </c>
      <c r="AD527" s="1">
        <v>44986</v>
      </c>
      <c r="AE527" s="1"/>
      <c r="AF527" s="1"/>
      <c r="AG527" s="1" t="s">
        <v>968</v>
      </c>
      <c r="AH527" s="1" t="s">
        <v>942</v>
      </c>
      <c r="AI527" s="1"/>
      <c r="AJ527" s="31">
        <v>44986</v>
      </c>
      <c r="AK527"/>
      <c r="AL527"/>
      <c r="AM527"/>
      <c r="AN527"/>
      <c r="AO527"/>
      <c r="AP527"/>
      <c r="AQ527" s="81"/>
      <c r="AR527" s="81"/>
      <c r="AS527" s="81"/>
      <c r="AT527" s="81"/>
      <c r="AU527" s="81"/>
      <c r="AV527" s="81"/>
      <c r="AW527" s="81"/>
      <c r="AX527" s="81"/>
      <c r="AY527" s="81"/>
    </row>
    <row r="528" spans="1:51" hidden="1">
      <c r="A528" s="1" t="s">
        <v>2542</v>
      </c>
      <c r="B528" s="1">
        <v>220303</v>
      </c>
      <c r="C528" s="1">
        <v>8210036</v>
      </c>
      <c r="D528" s="1" t="s">
        <v>818</v>
      </c>
      <c r="E528" s="1" t="s">
        <v>819</v>
      </c>
      <c r="F528" t="s">
        <v>819</v>
      </c>
      <c r="G528"/>
      <c r="H528" s="1" t="s">
        <v>564</v>
      </c>
      <c r="I528" s="1" t="s">
        <v>565</v>
      </c>
      <c r="J528" s="1" t="s">
        <v>18</v>
      </c>
      <c r="K528" s="1" t="s">
        <v>50</v>
      </c>
      <c r="L528" s="1">
        <v>33068</v>
      </c>
      <c r="M528" s="1">
        <v>35</v>
      </c>
      <c r="N528" s="1">
        <v>1400</v>
      </c>
      <c r="P528" s="1">
        <v>1990</v>
      </c>
      <c r="Q528" s="1"/>
      <c r="R528" s="1">
        <v>590</v>
      </c>
      <c r="S528">
        <v>410000</v>
      </c>
      <c r="T528">
        <v>20561</v>
      </c>
      <c r="U528" t="s">
        <v>814</v>
      </c>
      <c r="V528">
        <v>37515</v>
      </c>
      <c r="W528" s="1">
        <v>45892</v>
      </c>
      <c r="X528" s="1" t="s">
        <v>55</v>
      </c>
      <c r="Y528" s="1" t="s">
        <v>51</v>
      </c>
      <c r="Z528" s="1" t="s">
        <v>400</v>
      </c>
      <c r="AA528" s="1" t="s">
        <v>3305</v>
      </c>
      <c r="AB528" s="1" t="s">
        <v>566</v>
      </c>
      <c r="AC528" s="1">
        <v>44971</v>
      </c>
      <c r="AD528" s="1">
        <v>44986</v>
      </c>
      <c r="AE528" s="1">
        <v>45589</v>
      </c>
      <c r="AF528" s="1"/>
      <c r="AG528" s="1" t="s">
        <v>968</v>
      </c>
      <c r="AH528" s="1" t="s">
        <v>971</v>
      </c>
      <c r="AI528" s="1"/>
      <c r="AJ528" s="31">
        <v>44986</v>
      </c>
      <c r="AK528" t="s">
        <v>2423</v>
      </c>
      <c r="AL528">
        <v>45883</v>
      </c>
      <c r="AM528" t="s">
        <v>2423</v>
      </c>
      <c r="AN528">
        <v>45997</v>
      </c>
      <c r="AO528"/>
      <c r="AP528"/>
      <c r="AQ528" s="81"/>
      <c r="AR528" s="81"/>
      <c r="AS528" s="81"/>
      <c r="AT528" s="81"/>
      <c r="AU528" s="81"/>
      <c r="AV528" s="81"/>
      <c r="AW528" s="81"/>
      <c r="AX528" s="81"/>
      <c r="AY528" s="81"/>
    </row>
    <row r="529" spans="1:51" hidden="1">
      <c r="A529" s="1" t="s">
        <v>2542</v>
      </c>
      <c r="B529" s="1">
        <v>220315</v>
      </c>
      <c r="C529" s="1">
        <v>8210037</v>
      </c>
      <c r="D529" s="1" t="s">
        <v>822</v>
      </c>
      <c r="E529" s="1" t="s">
        <v>831</v>
      </c>
      <c r="F529" t="s">
        <v>831</v>
      </c>
      <c r="G529"/>
      <c r="H529" s="1" t="s">
        <v>2204</v>
      </c>
      <c r="I529" s="1" t="s">
        <v>2205</v>
      </c>
      <c r="J529" s="1" t="s">
        <v>18</v>
      </c>
      <c r="K529" s="1" t="s">
        <v>50</v>
      </c>
      <c r="L529" s="1">
        <v>34262</v>
      </c>
      <c r="M529" s="1">
        <v>32</v>
      </c>
      <c r="N529" s="1">
        <v>1400</v>
      </c>
      <c r="P529" s="1">
        <v>1990</v>
      </c>
      <c r="Q529" s="1"/>
      <c r="R529" s="1">
        <v>590</v>
      </c>
      <c r="S529">
        <v>320000</v>
      </c>
      <c r="T529">
        <v>16048</v>
      </c>
      <c r="U529" t="s">
        <v>814</v>
      </c>
      <c r="V529">
        <v>29280</v>
      </c>
      <c r="W529" s="1">
        <v>45482</v>
      </c>
      <c r="X529" s="1" t="s">
        <v>55</v>
      </c>
      <c r="Y529" s="1" t="s">
        <v>51</v>
      </c>
      <c r="Z529" s="1" t="s">
        <v>1086</v>
      </c>
      <c r="AA529" s="1" t="s">
        <v>1087</v>
      </c>
      <c r="AB529" s="1" t="s">
        <v>1088</v>
      </c>
      <c r="AC529" s="1"/>
      <c r="AD529" s="1">
        <v>44986</v>
      </c>
      <c r="AE529" s="1">
        <v>45286</v>
      </c>
      <c r="AF529" s="1"/>
      <c r="AG529" s="1" t="s">
        <v>968</v>
      </c>
      <c r="AH529" s="1" t="s">
        <v>935</v>
      </c>
      <c r="AI529" s="1"/>
      <c r="AJ529" s="31">
        <v>44986</v>
      </c>
      <c r="AK529"/>
      <c r="AL529"/>
      <c r="AM529"/>
      <c r="AN529"/>
      <c r="AO529"/>
      <c r="AP529"/>
      <c r="AQ529" s="81"/>
      <c r="AR529" s="81"/>
      <c r="AS529" s="81"/>
      <c r="AT529" s="81"/>
      <c r="AU529" s="81"/>
      <c r="AV529" s="81"/>
      <c r="AW529" s="81"/>
      <c r="AX529" s="81"/>
      <c r="AY529" s="81"/>
    </row>
    <row r="530" spans="1:51" hidden="1">
      <c r="A530" s="1" t="s">
        <v>2542</v>
      </c>
      <c r="B530" s="1">
        <v>230301</v>
      </c>
      <c r="C530" s="1">
        <v>8210045</v>
      </c>
      <c r="D530" s="1" t="s">
        <v>823</v>
      </c>
      <c r="E530" s="1" t="s">
        <v>838</v>
      </c>
      <c r="F530" t="s">
        <v>838</v>
      </c>
      <c r="G530"/>
      <c r="H530" s="1" t="s">
        <v>969</v>
      </c>
      <c r="I530" s="1" t="s">
        <v>970</v>
      </c>
      <c r="J530" s="1" t="s">
        <v>18</v>
      </c>
      <c r="K530" s="1" t="s">
        <v>50</v>
      </c>
      <c r="L530" s="1">
        <v>33608</v>
      </c>
      <c r="M530" s="1">
        <v>33</v>
      </c>
      <c r="N530" s="1">
        <v>1555</v>
      </c>
      <c r="P530" s="1">
        <v>2225</v>
      </c>
      <c r="Q530" s="1"/>
      <c r="R530" s="1">
        <v>670</v>
      </c>
      <c r="S530">
        <v>360000</v>
      </c>
      <c r="T530">
        <v>18054</v>
      </c>
      <c r="U530" t="s">
        <v>814</v>
      </c>
      <c r="V530">
        <v>32940</v>
      </c>
      <c r="W530" s="1">
        <v>46657</v>
      </c>
      <c r="X530" s="1" t="s">
        <v>55</v>
      </c>
      <c r="Y530" s="1" t="s">
        <v>51</v>
      </c>
      <c r="Z530" s="1" t="s">
        <v>456</v>
      </c>
      <c r="AA530" s="1" t="s">
        <v>457</v>
      </c>
      <c r="AB530" s="1" t="s">
        <v>458</v>
      </c>
      <c r="AC530" s="1">
        <v>44985</v>
      </c>
      <c r="AD530" s="1">
        <v>44986</v>
      </c>
      <c r="AE530" s="1">
        <v>45735</v>
      </c>
      <c r="AF530" s="1"/>
      <c r="AG530" s="1" t="s">
        <v>968</v>
      </c>
      <c r="AH530" s="1" t="s">
        <v>935</v>
      </c>
      <c r="AI530" s="1"/>
      <c r="AJ530" s="31">
        <v>44986</v>
      </c>
      <c r="AK530" t="s">
        <v>2423</v>
      </c>
      <c r="AL530">
        <v>46058</v>
      </c>
      <c r="AM530" t="s">
        <v>2423</v>
      </c>
      <c r="AN530">
        <v>45727</v>
      </c>
      <c r="AO530"/>
      <c r="AP530"/>
      <c r="AQ530" s="81"/>
      <c r="AR530" s="81"/>
      <c r="AS530" s="81"/>
      <c r="AT530" s="81"/>
      <c r="AU530" s="81"/>
      <c r="AV530" s="81"/>
      <c r="AW530" s="81"/>
      <c r="AX530" s="81"/>
      <c r="AY530" s="81"/>
    </row>
    <row r="531" spans="1:51" hidden="1">
      <c r="A531" s="1" t="s">
        <v>2542</v>
      </c>
      <c r="B531" s="1">
        <v>230304</v>
      </c>
      <c r="C531" s="1">
        <v>232096</v>
      </c>
      <c r="D531" s="1" t="s">
        <v>83</v>
      </c>
      <c r="E531" s="1" t="s">
        <v>309</v>
      </c>
      <c r="F531" t="s">
        <v>1103</v>
      </c>
      <c r="G531" t="s">
        <v>2245</v>
      </c>
      <c r="H531" s="1" t="s">
        <v>976</v>
      </c>
      <c r="I531" s="1" t="s">
        <v>977</v>
      </c>
      <c r="J531" s="1" t="s">
        <v>18</v>
      </c>
      <c r="K531" s="1" t="s">
        <v>50</v>
      </c>
      <c r="L531" s="1">
        <v>36153</v>
      </c>
      <c r="M531" s="1">
        <v>26</v>
      </c>
      <c r="N531" s="1">
        <v>1300</v>
      </c>
      <c r="P531" s="1">
        <v>1700</v>
      </c>
      <c r="Q531" s="1"/>
      <c r="R531" s="1">
        <v>400</v>
      </c>
      <c r="S531">
        <v>240000</v>
      </c>
      <c r="T531">
        <v>12036</v>
      </c>
      <c r="U531" t="s">
        <v>814</v>
      </c>
      <c r="V531">
        <v>21960</v>
      </c>
      <c r="W531" s="1">
        <v>46440</v>
      </c>
      <c r="X531" s="1" t="s">
        <v>55</v>
      </c>
      <c r="Y531" s="1" t="s">
        <v>51</v>
      </c>
      <c r="Z531" s="1" t="s">
        <v>110</v>
      </c>
      <c r="AA531" s="1" t="s">
        <v>113</v>
      </c>
      <c r="AB531" s="1" t="s">
        <v>371</v>
      </c>
      <c r="AC531" s="1">
        <v>44979</v>
      </c>
      <c r="AD531" s="1">
        <v>44986</v>
      </c>
      <c r="AE531" s="1">
        <v>45611</v>
      </c>
      <c r="AF531" s="1"/>
      <c r="AG531" s="1" t="s">
        <v>968</v>
      </c>
      <c r="AH531" s="1" t="s">
        <v>942</v>
      </c>
      <c r="AI531" s="1"/>
      <c r="AJ531" s="31">
        <v>44986</v>
      </c>
      <c r="AK531"/>
      <c r="AL531"/>
      <c r="AM531"/>
      <c r="AN531"/>
      <c r="AO531"/>
      <c r="AP531"/>
      <c r="AQ531" s="81"/>
      <c r="AR531" s="81"/>
      <c r="AS531" s="81"/>
      <c r="AT531" s="81"/>
      <c r="AU531" s="81"/>
      <c r="AV531" s="81"/>
      <c r="AW531" s="81"/>
      <c r="AX531" s="81"/>
      <c r="AY531" s="81"/>
    </row>
    <row r="532" spans="1:51" hidden="1">
      <c r="A532" s="1" t="s">
        <v>2542</v>
      </c>
      <c r="B532" s="1">
        <v>230306</v>
      </c>
      <c r="C532" s="1">
        <v>232094</v>
      </c>
      <c r="D532" s="1" t="s">
        <v>83</v>
      </c>
      <c r="E532" s="1" t="s">
        <v>307</v>
      </c>
      <c r="F532" t="s">
        <v>2251</v>
      </c>
      <c r="G532" t="s">
        <v>2252</v>
      </c>
      <c r="H532" s="1" t="s">
        <v>980</v>
      </c>
      <c r="I532" s="1" t="s">
        <v>981</v>
      </c>
      <c r="J532" s="1" t="s">
        <v>18</v>
      </c>
      <c r="K532" s="1" t="s">
        <v>50</v>
      </c>
      <c r="L532" s="1">
        <v>35709</v>
      </c>
      <c r="M532" s="1">
        <v>28</v>
      </c>
      <c r="N532" s="1">
        <v>1300</v>
      </c>
      <c r="P532" s="1">
        <v>1700</v>
      </c>
      <c r="Q532" s="1"/>
      <c r="R532" s="1">
        <v>400</v>
      </c>
      <c r="S532">
        <v>240000</v>
      </c>
      <c r="T532">
        <v>12036</v>
      </c>
      <c r="U532" t="s">
        <v>814</v>
      </c>
      <c r="V532">
        <v>21960</v>
      </c>
      <c r="W532" s="1">
        <v>46440</v>
      </c>
      <c r="X532" s="1" t="s">
        <v>55</v>
      </c>
      <c r="Y532" s="1" t="s">
        <v>51</v>
      </c>
      <c r="Z532" s="1" t="s">
        <v>110</v>
      </c>
      <c r="AA532" s="1" t="s">
        <v>113</v>
      </c>
      <c r="AB532" s="1" t="s">
        <v>371</v>
      </c>
      <c r="AC532" s="1">
        <v>44979</v>
      </c>
      <c r="AD532" s="1">
        <v>44986</v>
      </c>
      <c r="AE532" s="1">
        <v>45686</v>
      </c>
      <c r="AF532" s="1"/>
      <c r="AG532" s="1" t="s">
        <v>968</v>
      </c>
      <c r="AH532" s="1" t="s">
        <v>942</v>
      </c>
      <c r="AI532" s="1"/>
      <c r="AJ532" s="31">
        <v>44986</v>
      </c>
      <c r="AK532"/>
      <c r="AL532"/>
      <c r="AM532"/>
      <c r="AN532"/>
      <c r="AO532"/>
      <c r="AP532"/>
      <c r="AQ532" s="81"/>
      <c r="AR532" s="81"/>
      <c r="AS532" s="81"/>
      <c r="AT532" s="81"/>
      <c r="AU532" s="81"/>
      <c r="AV532" s="81"/>
      <c r="AW532" s="81"/>
      <c r="AX532" s="81"/>
      <c r="AY532" s="81"/>
    </row>
    <row r="533" spans="1:51" hidden="1">
      <c r="A533" s="1" t="s">
        <v>2542</v>
      </c>
      <c r="B533" s="1">
        <v>230307</v>
      </c>
      <c r="C533" s="1">
        <v>232095</v>
      </c>
      <c r="D533" s="1" t="s">
        <v>83</v>
      </c>
      <c r="E533" s="1" t="s">
        <v>307</v>
      </c>
      <c r="F533" t="s">
        <v>2251</v>
      </c>
      <c r="G533" t="s">
        <v>2252</v>
      </c>
      <c r="H533" s="1" t="s">
        <v>664</v>
      </c>
      <c r="I533" s="1" t="s">
        <v>665</v>
      </c>
      <c r="J533" s="1" t="s">
        <v>18</v>
      </c>
      <c r="K533" s="1" t="s">
        <v>50</v>
      </c>
      <c r="L533" s="1">
        <v>36865</v>
      </c>
      <c r="M533" s="1">
        <v>24</v>
      </c>
      <c r="N533" s="1">
        <v>1300</v>
      </c>
      <c r="P533" s="1">
        <v>1700</v>
      </c>
      <c r="Q533" s="1"/>
      <c r="R533" s="1">
        <v>400</v>
      </c>
      <c r="S533">
        <v>240000</v>
      </c>
      <c r="T533">
        <v>12036</v>
      </c>
      <c r="U533" t="s">
        <v>814</v>
      </c>
      <c r="V533">
        <v>21960</v>
      </c>
      <c r="W533" s="1">
        <v>46440</v>
      </c>
      <c r="X533" s="1" t="s">
        <v>55</v>
      </c>
      <c r="Y533" s="1" t="s">
        <v>51</v>
      </c>
      <c r="Z533" s="1" t="s">
        <v>110</v>
      </c>
      <c r="AA533" s="1" t="s">
        <v>113</v>
      </c>
      <c r="AB533" s="1" t="s">
        <v>1317</v>
      </c>
      <c r="AC533" s="1">
        <v>45087</v>
      </c>
      <c r="AD533" s="1">
        <v>44986</v>
      </c>
      <c r="AE533" s="1">
        <v>45746</v>
      </c>
      <c r="AF533" s="1"/>
      <c r="AG533" s="1" t="s">
        <v>968</v>
      </c>
      <c r="AH533" s="1" t="s">
        <v>942</v>
      </c>
      <c r="AI533" s="1"/>
      <c r="AJ533" s="31">
        <v>44986</v>
      </c>
      <c r="AK533"/>
      <c r="AL533"/>
      <c r="AM533"/>
      <c r="AN533"/>
      <c r="AO533"/>
      <c r="AP533"/>
      <c r="AQ533" s="81"/>
      <c r="AR533" s="81"/>
      <c r="AS533" s="81"/>
      <c r="AT533" s="81"/>
      <c r="AU533" s="81"/>
      <c r="AV533" s="81"/>
      <c r="AW533" s="81"/>
      <c r="AX533" s="81"/>
      <c r="AY533" s="81"/>
    </row>
    <row r="534" spans="1:51" hidden="1">
      <c r="A534" s="1" t="s">
        <v>2542</v>
      </c>
      <c r="B534" s="1">
        <v>210404</v>
      </c>
      <c r="C534" s="1">
        <v>8210044</v>
      </c>
      <c r="D534" s="1" t="s">
        <v>822</v>
      </c>
      <c r="E534" s="1" t="s">
        <v>1312</v>
      </c>
      <c r="F534" t="s">
        <v>750</v>
      </c>
      <c r="G534"/>
      <c r="H534" s="1" t="s">
        <v>454</v>
      </c>
      <c r="I534" s="1" t="s">
        <v>455</v>
      </c>
      <c r="J534" s="1" t="s">
        <v>18</v>
      </c>
      <c r="K534" s="1" t="s">
        <v>50</v>
      </c>
      <c r="L534" s="1">
        <v>34845</v>
      </c>
      <c r="M534" s="1">
        <v>30</v>
      </c>
      <c r="N534" s="1">
        <v>1500</v>
      </c>
      <c r="P534" s="1">
        <v>1990</v>
      </c>
      <c r="Q534" s="1"/>
      <c r="R534" s="1">
        <v>490</v>
      </c>
      <c r="S534">
        <v>380000</v>
      </c>
      <c r="T534">
        <v>19057</v>
      </c>
      <c r="U534" t="s">
        <v>814</v>
      </c>
      <c r="V534">
        <v>34770</v>
      </c>
      <c r="W534" s="1">
        <v>47353</v>
      </c>
      <c r="X534" s="1" t="s">
        <v>55</v>
      </c>
      <c r="Y534" s="1" t="s">
        <v>51</v>
      </c>
      <c r="Z534" s="1" t="s">
        <v>1399</v>
      </c>
      <c r="AA534" s="1" t="s">
        <v>2491</v>
      </c>
      <c r="AB534" s="1" t="s">
        <v>2492</v>
      </c>
      <c r="AC534" s="1">
        <v>44988</v>
      </c>
      <c r="AD534" s="1">
        <v>44991</v>
      </c>
      <c r="AE534" s="1">
        <v>45686</v>
      </c>
      <c r="AF534" s="1"/>
      <c r="AG534" s="1" t="s">
        <v>968</v>
      </c>
      <c r="AH534" s="1" t="s">
        <v>971</v>
      </c>
      <c r="AI534" s="1" t="s">
        <v>2493</v>
      </c>
      <c r="AJ534" s="31">
        <v>44991</v>
      </c>
      <c r="AK534" t="s">
        <v>2423</v>
      </c>
      <c r="AL534">
        <v>46199</v>
      </c>
      <c r="AM534" t="s">
        <v>2423</v>
      </c>
      <c r="AN534">
        <v>45640</v>
      </c>
      <c r="AO534"/>
      <c r="AP534"/>
      <c r="AQ534" s="81"/>
      <c r="AR534" s="81"/>
      <c r="AS534" s="81"/>
      <c r="AT534" s="81"/>
      <c r="AU534" s="81"/>
      <c r="AV534" s="81"/>
      <c r="AW534" s="81"/>
      <c r="AX534" s="81"/>
      <c r="AY534" s="81"/>
    </row>
    <row r="535" spans="1:51" hidden="1">
      <c r="A535" s="1" t="s">
        <v>49</v>
      </c>
      <c r="B535" s="1">
        <v>230309</v>
      </c>
      <c r="C535" s="1">
        <v>8210048</v>
      </c>
      <c r="D535" s="1" t="s">
        <v>822</v>
      </c>
      <c r="E535" s="1" t="s">
        <v>2429</v>
      </c>
      <c r="F535" t="s">
        <v>2429</v>
      </c>
      <c r="G535"/>
      <c r="H535" s="1" t="s">
        <v>985</v>
      </c>
      <c r="I535" s="1" t="s">
        <v>986</v>
      </c>
      <c r="J535" s="1" t="s">
        <v>18</v>
      </c>
      <c r="K535" s="1" t="s">
        <v>50</v>
      </c>
      <c r="L535" s="1">
        <v>34483</v>
      </c>
      <c r="M535" s="1">
        <v>31</v>
      </c>
      <c r="N535" s="1">
        <v>1555</v>
      </c>
      <c r="P535" s="1">
        <v>2225</v>
      </c>
      <c r="Q535" s="1"/>
      <c r="R535" s="1">
        <v>670</v>
      </c>
      <c r="S535">
        <v>380000</v>
      </c>
      <c r="T535">
        <v>19057</v>
      </c>
      <c r="U535" t="s">
        <v>814</v>
      </c>
      <c r="V535">
        <v>34770</v>
      </c>
      <c r="W535" s="1">
        <v>46668</v>
      </c>
      <c r="X535" s="1" t="s">
        <v>55</v>
      </c>
      <c r="Y535" s="1" t="s">
        <v>51</v>
      </c>
      <c r="Z535" s="1" t="s">
        <v>578</v>
      </c>
      <c r="AA535" s="1" t="s">
        <v>1106</v>
      </c>
      <c r="AB535" s="1" t="s">
        <v>1107</v>
      </c>
      <c r="AC535" s="1" t="s">
        <v>53</v>
      </c>
      <c r="AD535" s="1">
        <v>44993</v>
      </c>
      <c r="AE535" s="1"/>
      <c r="AF535" s="1"/>
      <c r="AG535" s="1" t="s">
        <v>968</v>
      </c>
      <c r="AH535" s="1" t="s">
        <v>987</v>
      </c>
      <c r="AI535" s="1"/>
      <c r="AJ535" s="31">
        <v>44993</v>
      </c>
      <c r="AK535" t="s">
        <v>2470</v>
      </c>
      <c r="AL535">
        <v>46202</v>
      </c>
      <c r="AM535" t="s">
        <v>2468</v>
      </c>
      <c r="AN535">
        <v>46187</v>
      </c>
      <c r="AO535"/>
      <c r="AP535"/>
      <c r="AQ535" s="81"/>
      <c r="AR535" s="81"/>
      <c r="AS535" s="81"/>
      <c r="AT535" s="81"/>
      <c r="AU535" s="81"/>
      <c r="AV535" s="81"/>
      <c r="AW535" s="81"/>
      <c r="AX535" s="81"/>
      <c r="AY535" s="81"/>
    </row>
    <row r="536" spans="1:51" hidden="1">
      <c r="A536" s="1" t="s">
        <v>2542</v>
      </c>
      <c r="B536" s="1">
        <v>230308</v>
      </c>
      <c r="C536" s="1">
        <v>8210051</v>
      </c>
      <c r="D536" s="1" t="s">
        <v>818</v>
      </c>
      <c r="E536" s="1" t="s">
        <v>819</v>
      </c>
      <c r="F536" t="s">
        <v>819</v>
      </c>
      <c r="G536"/>
      <c r="H536" s="1" t="s">
        <v>3615</v>
      </c>
      <c r="I536" s="1" t="s">
        <v>3616</v>
      </c>
      <c r="J536" s="1" t="s">
        <v>18</v>
      </c>
      <c r="K536" s="1" t="s">
        <v>50</v>
      </c>
      <c r="L536" s="1">
        <v>34759</v>
      </c>
      <c r="M536" s="1">
        <v>30</v>
      </c>
      <c r="N536" s="1">
        <v>1450</v>
      </c>
      <c r="P536" s="1">
        <v>1990</v>
      </c>
      <c r="Q536" s="1"/>
      <c r="R536" s="1">
        <v>540</v>
      </c>
      <c r="S536">
        <v>180000</v>
      </c>
      <c r="T536">
        <v>9027</v>
      </c>
      <c r="U536" t="s">
        <v>814</v>
      </c>
      <c r="V536">
        <v>16470</v>
      </c>
      <c r="W536" s="1">
        <v>46709</v>
      </c>
      <c r="X536" s="1" t="s">
        <v>55</v>
      </c>
      <c r="Y536" s="1" t="s">
        <v>51</v>
      </c>
      <c r="Z536" s="1" t="s">
        <v>982</v>
      </c>
      <c r="AA536" s="1" t="s">
        <v>983</v>
      </c>
      <c r="AB536" s="1" t="s">
        <v>984</v>
      </c>
      <c r="AC536" s="1">
        <v>44991</v>
      </c>
      <c r="AD536" s="1">
        <v>44993</v>
      </c>
      <c r="AE536" s="1">
        <v>45043</v>
      </c>
      <c r="AF536" s="1"/>
      <c r="AG536" s="1" t="s">
        <v>968</v>
      </c>
      <c r="AH536" s="1" t="s">
        <v>971</v>
      </c>
      <c r="AI536" s="1"/>
      <c r="AJ536" s="31">
        <v>44993</v>
      </c>
      <c r="AK536"/>
      <c r="AL536"/>
      <c r="AM536"/>
      <c r="AN536"/>
      <c r="AO536"/>
      <c r="AP536"/>
      <c r="AQ536" s="81"/>
      <c r="AR536" s="81"/>
      <c r="AS536" s="81"/>
      <c r="AT536" s="81"/>
      <c r="AU536" s="81"/>
      <c r="AV536" s="81"/>
      <c r="AW536" s="81"/>
      <c r="AX536" s="81"/>
      <c r="AY536" s="81"/>
    </row>
    <row r="537" spans="1:51" hidden="1">
      <c r="A537" s="1" t="s">
        <v>2542</v>
      </c>
      <c r="B537" s="1">
        <v>230310</v>
      </c>
      <c r="C537" s="1">
        <v>8210049</v>
      </c>
      <c r="D537" s="1" t="s">
        <v>822</v>
      </c>
      <c r="E537" s="1" t="s">
        <v>2429</v>
      </c>
      <c r="F537" t="s">
        <v>2429</v>
      </c>
      <c r="G537"/>
      <c r="H537" s="1" t="s">
        <v>3617</v>
      </c>
      <c r="I537" s="1" t="s">
        <v>3618</v>
      </c>
      <c r="J537" s="1" t="s">
        <v>18</v>
      </c>
      <c r="K537" s="1" t="s">
        <v>50</v>
      </c>
      <c r="L537" s="1">
        <v>33402</v>
      </c>
      <c r="M537" s="1">
        <v>34</v>
      </c>
      <c r="N537" s="1">
        <v>1400</v>
      </c>
      <c r="P537" s="1">
        <v>1990</v>
      </c>
      <c r="Q537" s="1"/>
      <c r="R537" s="1">
        <v>590</v>
      </c>
      <c r="S537">
        <v>280000</v>
      </c>
      <c r="T537">
        <v>14042</v>
      </c>
      <c r="U537" t="s">
        <v>814</v>
      </c>
      <c r="V537">
        <v>25620</v>
      </c>
      <c r="W537" s="1">
        <v>45513</v>
      </c>
      <c r="X537" s="1" t="s">
        <v>55</v>
      </c>
      <c r="Y537" s="1" t="s">
        <v>51</v>
      </c>
      <c r="Z537" s="1" t="s">
        <v>3619</v>
      </c>
      <c r="AA537" s="1" t="s">
        <v>3620</v>
      </c>
      <c r="AB537" s="1" t="s">
        <v>3621</v>
      </c>
      <c r="AC537" s="1" t="s">
        <v>53</v>
      </c>
      <c r="AD537" s="1">
        <v>44993</v>
      </c>
      <c r="AE537" s="1">
        <v>45247</v>
      </c>
      <c r="AF537" s="1"/>
      <c r="AG537" s="1" t="s">
        <v>968</v>
      </c>
      <c r="AH537" s="1" t="s">
        <v>987</v>
      </c>
      <c r="AI537" s="1"/>
      <c r="AJ537" s="31">
        <v>44993</v>
      </c>
      <c r="AK537"/>
      <c r="AL537"/>
      <c r="AM537"/>
      <c r="AN537"/>
      <c r="AO537"/>
      <c r="AP537"/>
      <c r="AQ537" s="81"/>
      <c r="AR537" s="81"/>
      <c r="AS537" s="81"/>
      <c r="AT537" s="81"/>
      <c r="AU537" s="81"/>
      <c r="AV537" s="81"/>
      <c r="AW537" s="81"/>
      <c r="AX537" s="81"/>
      <c r="AY537" s="81"/>
    </row>
    <row r="538" spans="1:51" hidden="1">
      <c r="A538" s="1" t="s">
        <v>2542</v>
      </c>
      <c r="B538" s="1">
        <v>230311</v>
      </c>
      <c r="D538" s="1" t="s">
        <v>528</v>
      </c>
      <c r="F538"/>
      <c r="G538"/>
      <c r="H538" s="1" t="s">
        <v>3622</v>
      </c>
      <c r="I538" s="1" t="s">
        <v>3623</v>
      </c>
      <c r="J538" s="1" t="s">
        <v>18</v>
      </c>
      <c r="K538" s="1" t="s">
        <v>50</v>
      </c>
      <c r="L538" s="1">
        <v>35364</v>
      </c>
      <c r="M538" s="1">
        <v>29</v>
      </c>
      <c r="N538" s="1">
        <v>1400</v>
      </c>
      <c r="P538" s="1">
        <v>1900</v>
      </c>
      <c r="Q538" s="1"/>
      <c r="R538" s="1">
        <v>500</v>
      </c>
      <c r="S538">
        <v>240000</v>
      </c>
      <c r="T538">
        <v>12036</v>
      </c>
      <c r="U538" t="s">
        <v>814</v>
      </c>
      <c r="V538">
        <v>21960</v>
      </c>
      <c r="W538" s="1">
        <v>45643</v>
      </c>
      <c r="X538" s="1" t="s">
        <v>55</v>
      </c>
      <c r="Y538" s="1" t="s">
        <v>51</v>
      </c>
      <c r="Z538" s="1" t="s">
        <v>607</v>
      </c>
      <c r="AA538" s="1" t="s">
        <v>608</v>
      </c>
      <c r="AB538" s="1" t="s">
        <v>609</v>
      </c>
      <c r="AC538" s="1">
        <v>44993</v>
      </c>
      <c r="AD538" s="1">
        <v>44994</v>
      </c>
      <c r="AE538" s="1">
        <v>45408</v>
      </c>
      <c r="AF538" s="1"/>
      <c r="AG538" s="1" t="s">
        <v>968</v>
      </c>
      <c r="AH538" s="1" t="s">
        <v>935</v>
      </c>
      <c r="AI538" s="1"/>
      <c r="AJ538" s="31">
        <v>44994</v>
      </c>
      <c r="AK538"/>
      <c r="AL538"/>
      <c r="AM538"/>
      <c r="AN538"/>
      <c r="AO538"/>
      <c r="AP538"/>
      <c r="AQ538" s="81"/>
      <c r="AR538" s="81"/>
      <c r="AS538" s="81"/>
      <c r="AT538" s="81"/>
      <c r="AU538" s="81"/>
      <c r="AV538" s="81"/>
      <c r="AW538" s="81"/>
      <c r="AX538" s="81"/>
      <c r="AY538" s="81"/>
    </row>
    <row r="539" spans="1:51" hidden="1">
      <c r="A539" s="1" t="s">
        <v>2542</v>
      </c>
      <c r="B539" s="1">
        <v>230312</v>
      </c>
      <c r="D539" s="1" t="s">
        <v>548</v>
      </c>
      <c r="F539"/>
      <c r="G539"/>
      <c r="H539" s="1" t="s">
        <v>3624</v>
      </c>
      <c r="I539" s="1" t="s">
        <v>3625</v>
      </c>
      <c r="J539" s="1" t="s">
        <v>18</v>
      </c>
      <c r="K539" s="1" t="s">
        <v>50</v>
      </c>
      <c r="L539" s="1">
        <v>34862</v>
      </c>
      <c r="M539" s="1">
        <v>30</v>
      </c>
      <c r="N539" s="1">
        <v>1400</v>
      </c>
      <c r="P539" s="1">
        <v>1900</v>
      </c>
      <c r="Q539" s="1"/>
      <c r="R539" s="1">
        <v>500</v>
      </c>
      <c r="S539">
        <v>260000</v>
      </c>
      <c r="T539">
        <v>13039</v>
      </c>
      <c r="U539" t="s">
        <v>814</v>
      </c>
      <c r="V539">
        <v>23790</v>
      </c>
      <c r="W539" s="1">
        <v>45769</v>
      </c>
      <c r="X539" s="1" t="s">
        <v>55</v>
      </c>
      <c r="Y539" s="1" t="s">
        <v>51</v>
      </c>
      <c r="Z539" s="1" t="s">
        <v>585</v>
      </c>
      <c r="AA539" s="1" t="s">
        <v>840</v>
      </c>
      <c r="AB539" s="1" t="s">
        <v>3385</v>
      </c>
      <c r="AC539" s="1"/>
      <c r="AD539" s="1">
        <v>44995</v>
      </c>
      <c r="AE539" s="1">
        <v>45371</v>
      </c>
      <c r="AF539" s="1"/>
      <c r="AG539" s="1" t="s">
        <v>968</v>
      </c>
      <c r="AH539" s="1" t="s">
        <v>935</v>
      </c>
      <c r="AI539" s="1"/>
      <c r="AJ539" s="31">
        <v>44995</v>
      </c>
      <c r="AK539"/>
      <c r="AL539"/>
      <c r="AM539"/>
      <c r="AN539"/>
      <c r="AO539"/>
      <c r="AP539"/>
      <c r="AQ539" s="81"/>
      <c r="AR539" s="81"/>
      <c r="AS539" s="81"/>
      <c r="AT539" s="81"/>
      <c r="AU539" s="81"/>
      <c r="AV539" s="81"/>
      <c r="AW539" s="81"/>
      <c r="AX539" s="81"/>
      <c r="AY539" s="81"/>
    </row>
    <row r="540" spans="1:51" hidden="1">
      <c r="A540" s="1" t="s">
        <v>2542</v>
      </c>
      <c r="B540" s="1">
        <v>230313</v>
      </c>
      <c r="C540" s="1">
        <v>8210047</v>
      </c>
      <c r="D540" s="1" t="s">
        <v>818</v>
      </c>
      <c r="E540" s="1" t="s">
        <v>834</v>
      </c>
      <c r="F540" t="s">
        <v>834</v>
      </c>
      <c r="G540"/>
      <c r="H540" s="1" t="s">
        <v>3626</v>
      </c>
      <c r="I540" s="1" t="s">
        <v>3627</v>
      </c>
      <c r="J540" s="1" t="s">
        <v>18</v>
      </c>
      <c r="K540" s="1" t="s">
        <v>50</v>
      </c>
      <c r="L540" s="1">
        <v>31426</v>
      </c>
      <c r="M540" s="1">
        <v>39</v>
      </c>
      <c r="N540" s="1">
        <v>1400</v>
      </c>
      <c r="P540" s="1">
        <v>1990</v>
      </c>
      <c r="Q540" s="1"/>
      <c r="R540" s="1">
        <v>590</v>
      </c>
      <c r="S540">
        <v>340000</v>
      </c>
      <c r="T540">
        <v>17051</v>
      </c>
      <c r="U540" t="s">
        <v>814</v>
      </c>
      <c r="V540">
        <v>31110</v>
      </c>
      <c r="W540" s="1">
        <v>45465</v>
      </c>
      <c r="X540" s="1" t="s">
        <v>55</v>
      </c>
      <c r="Y540" s="1" t="s">
        <v>51</v>
      </c>
      <c r="Z540" s="1" t="s">
        <v>2751</v>
      </c>
      <c r="AA540" s="1" t="s">
        <v>3628</v>
      </c>
      <c r="AB540" s="1" t="s">
        <v>3629</v>
      </c>
      <c r="AC540" s="1" t="s">
        <v>53</v>
      </c>
      <c r="AD540" s="1">
        <v>44998</v>
      </c>
      <c r="AE540" s="1">
        <v>45461</v>
      </c>
      <c r="AF540" s="1"/>
      <c r="AG540" s="1" t="s">
        <v>968</v>
      </c>
      <c r="AH540" s="1" t="s">
        <v>987</v>
      </c>
      <c r="AI540" s="1"/>
      <c r="AJ540" s="31">
        <v>44998</v>
      </c>
      <c r="AK540"/>
      <c r="AL540"/>
      <c r="AM540"/>
      <c r="AN540"/>
      <c r="AO540"/>
      <c r="AP540"/>
      <c r="AQ540" s="81"/>
      <c r="AR540" s="81"/>
      <c r="AS540" s="81"/>
      <c r="AT540" s="81"/>
      <c r="AU540" s="81"/>
      <c r="AV540" s="81"/>
      <c r="AW540" s="81"/>
      <c r="AX540" s="81"/>
      <c r="AY540" s="81"/>
    </row>
    <row r="541" spans="1:51" hidden="1">
      <c r="A541" s="1" t="s">
        <v>2542</v>
      </c>
      <c r="B541" s="1">
        <v>230314</v>
      </c>
      <c r="D541" s="1" t="s">
        <v>436</v>
      </c>
      <c r="F541"/>
      <c r="G541"/>
      <c r="H541" s="1" t="s">
        <v>3630</v>
      </c>
      <c r="I541" s="1" t="s">
        <v>3631</v>
      </c>
      <c r="J541" s="1" t="s">
        <v>18</v>
      </c>
      <c r="K541" s="1" t="s">
        <v>50</v>
      </c>
      <c r="L541" s="1">
        <v>32551</v>
      </c>
      <c r="M541" s="1">
        <v>36</v>
      </c>
      <c r="N541" s="1">
        <v>1500</v>
      </c>
      <c r="P541" s="1">
        <v>2000</v>
      </c>
      <c r="Q541" s="1"/>
      <c r="R541" s="1">
        <v>500</v>
      </c>
      <c r="S541">
        <v>320000</v>
      </c>
      <c r="T541">
        <v>16048</v>
      </c>
      <c r="U541" t="s">
        <v>814</v>
      </c>
      <c r="V541">
        <v>29280</v>
      </c>
      <c r="W541" s="1">
        <v>45965</v>
      </c>
      <c r="X541" s="1" t="s">
        <v>55</v>
      </c>
      <c r="Y541" s="1" t="s">
        <v>51</v>
      </c>
      <c r="Z541" s="1" t="s">
        <v>437</v>
      </c>
      <c r="AA541" s="1" t="s">
        <v>438</v>
      </c>
      <c r="AB541" s="1" t="s">
        <v>3604</v>
      </c>
      <c r="AC541" s="1">
        <v>44998</v>
      </c>
      <c r="AD541" s="1">
        <v>44999</v>
      </c>
      <c r="AE541" s="1">
        <v>45316</v>
      </c>
      <c r="AF541" s="1"/>
      <c r="AG541" s="1" t="s">
        <v>968</v>
      </c>
      <c r="AH541" s="1" t="s">
        <v>971</v>
      </c>
      <c r="AI541" s="1"/>
      <c r="AJ541" s="31">
        <v>44999</v>
      </c>
      <c r="AK541"/>
      <c r="AL541"/>
      <c r="AM541"/>
      <c r="AN541"/>
      <c r="AO541"/>
      <c r="AP541"/>
      <c r="AQ541" s="81"/>
      <c r="AR541" s="81"/>
      <c r="AS541" s="81"/>
      <c r="AT541" s="81"/>
      <c r="AU541" s="81"/>
      <c r="AV541" s="81"/>
      <c r="AW541" s="81"/>
      <c r="AX541" s="81"/>
      <c r="AY541" s="81"/>
    </row>
    <row r="542" spans="1:51" hidden="1">
      <c r="A542" s="1" t="s">
        <v>2542</v>
      </c>
      <c r="B542" s="1">
        <v>220117</v>
      </c>
      <c r="C542" s="1">
        <v>8210052</v>
      </c>
      <c r="D542" s="1" t="s">
        <v>815</v>
      </c>
      <c r="E542" s="1" t="s">
        <v>3214</v>
      </c>
      <c r="F542" t="s">
        <v>3632</v>
      </c>
      <c r="G542"/>
      <c r="H542" s="1" t="s">
        <v>3217</v>
      </c>
      <c r="I542" s="1" t="s">
        <v>3218</v>
      </c>
      <c r="J542" s="1" t="s">
        <v>18</v>
      </c>
      <c r="K542" s="1" t="s">
        <v>50</v>
      </c>
      <c r="L542" s="1">
        <v>34808</v>
      </c>
      <c r="M542" s="1">
        <v>30</v>
      </c>
      <c r="N542" s="1">
        <v>1400</v>
      </c>
      <c r="P542" s="1">
        <v>1990</v>
      </c>
      <c r="Q542" s="1"/>
      <c r="R542" s="1">
        <v>590</v>
      </c>
      <c r="S542">
        <v>180000</v>
      </c>
      <c r="T542">
        <v>9027</v>
      </c>
      <c r="U542" t="s">
        <v>814</v>
      </c>
      <c r="V542">
        <v>16470</v>
      </c>
      <c r="W542" s="1">
        <v>45625</v>
      </c>
      <c r="X542" s="1" t="s">
        <v>55</v>
      </c>
      <c r="Y542" s="1" t="s">
        <v>51</v>
      </c>
      <c r="Z542" s="1" t="s">
        <v>982</v>
      </c>
      <c r="AA542" s="1" t="s">
        <v>983</v>
      </c>
      <c r="AB542" s="1" t="s">
        <v>990</v>
      </c>
      <c r="AC542" s="1">
        <v>45002</v>
      </c>
      <c r="AD542" s="1">
        <v>45005</v>
      </c>
      <c r="AE542" s="1">
        <v>45198</v>
      </c>
      <c r="AF542" s="1"/>
      <c r="AG542" s="1" t="s">
        <v>968</v>
      </c>
      <c r="AH542" s="1" t="s">
        <v>987</v>
      </c>
      <c r="AI542" s="1"/>
      <c r="AJ542" s="31">
        <v>45005</v>
      </c>
      <c r="AK542"/>
      <c r="AL542"/>
      <c r="AM542"/>
      <c r="AN542"/>
      <c r="AO542"/>
      <c r="AP542"/>
      <c r="AQ542" s="81"/>
      <c r="AR542" s="81"/>
      <c r="AS542" s="81"/>
      <c r="AT542" s="81"/>
      <c r="AU542" s="81"/>
      <c r="AV542" s="81"/>
      <c r="AW542" s="81"/>
      <c r="AX542" s="81"/>
      <c r="AY542" s="81"/>
    </row>
    <row r="543" spans="1:51" hidden="1">
      <c r="A543" s="1" t="s">
        <v>2542</v>
      </c>
      <c r="B543" s="1">
        <v>230315</v>
      </c>
      <c r="C543" s="1">
        <v>5543</v>
      </c>
      <c r="D543" s="1" t="s">
        <v>846</v>
      </c>
      <c r="E543" s="1" t="s">
        <v>1232</v>
      </c>
      <c r="F543" t="s">
        <v>3489</v>
      </c>
      <c r="G543" t="s">
        <v>3492</v>
      </c>
      <c r="H543" s="1" t="s">
        <v>3633</v>
      </c>
      <c r="I543" s="1" t="s">
        <v>3634</v>
      </c>
      <c r="J543" s="1" t="s">
        <v>18</v>
      </c>
      <c r="K543" s="1" t="s">
        <v>50</v>
      </c>
      <c r="L543" s="1">
        <v>30065</v>
      </c>
      <c r="M543" s="1">
        <v>43</v>
      </c>
      <c r="N543" s="1">
        <v>1300</v>
      </c>
      <c r="P543" s="1">
        <v>1700</v>
      </c>
      <c r="Q543" s="1"/>
      <c r="R543" s="1">
        <v>400</v>
      </c>
      <c r="S543">
        <v>180000</v>
      </c>
      <c r="T543">
        <v>9027</v>
      </c>
      <c r="U543">
        <v>1431</v>
      </c>
      <c r="V543">
        <v>16470</v>
      </c>
      <c r="W543" s="1">
        <v>45370</v>
      </c>
      <c r="X543" s="1" t="s">
        <v>55</v>
      </c>
      <c r="Y543" s="1" t="s">
        <v>51</v>
      </c>
      <c r="Z543" s="1" t="s">
        <v>901</v>
      </c>
      <c r="AA543" s="1" t="s">
        <v>902</v>
      </c>
      <c r="AB543" s="1" t="s">
        <v>1097</v>
      </c>
      <c r="AC543" s="1">
        <v>45017</v>
      </c>
      <c r="AD543" s="1">
        <v>45007</v>
      </c>
      <c r="AE543" s="1">
        <v>45147</v>
      </c>
      <c r="AF543" s="1"/>
      <c r="AG543" s="1" t="s">
        <v>968</v>
      </c>
      <c r="AH543" s="1" t="s">
        <v>1108</v>
      </c>
      <c r="AI543" s="1"/>
      <c r="AJ543" s="31">
        <v>45007</v>
      </c>
      <c r="AK543"/>
      <c r="AL543"/>
      <c r="AM543"/>
      <c r="AN543"/>
      <c r="AO543"/>
      <c r="AP543"/>
      <c r="AQ543" s="81"/>
      <c r="AR543" s="81"/>
      <c r="AS543" s="81"/>
      <c r="AT543" s="81"/>
      <c r="AU543" s="81"/>
      <c r="AV543" s="81"/>
      <c r="AW543" s="81"/>
      <c r="AX543" s="81"/>
      <c r="AY543" s="81"/>
    </row>
    <row r="544" spans="1:51" hidden="1">
      <c r="A544" s="1" t="s">
        <v>49</v>
      </c>
      <c r="B544" s="1">
        <v>230316</v>
      </c>
      <c r="D544" s="1" t="s">
        <v>436</v>
      </c>
      <c r="E544" s="1" t="s">
        <v>503</v>
      </c>
      <c r="F544" t="s">
        <v>4372</v>
      </c>
      <c r="G544" t="s">
        <v>4373</v>
      </c>
      <c r="H544" s="1" t="s">
        <v>988</v>
      </c>
      <c r="I544" s="1" t="s">
        <v>989</v>
      </c>
      <c r="J544" s="1" t="s">
        <v>18</v>
      </c>
      <c r="K544" s="1" t="s">
        <v>50</v>
      </c>
      <c r="L544" s="1">
        <v>30667</v>
      </c>
      <c r="M544" s="1">
        <v>41</v>
      </c>
      <c r="N544" s="1">
        <v>1600</v>
      </c>
      <c r="P544" s="1">
        <v>2100</v>
      </c>
      <c r="Q544" s="1" t="s">
        <v>3474</v>
      </c>
      <c r="R544" s="1">
        <v>500</v>
      </c>
      <c r="S544">
        <v>360000</v>
      </c>
      <c r="T544">
        <v>18054</v>
      </c>
      <c r="U544">
        <v>2862</v>
      </c>
      <c r="V544">
        <v>32940</v>
      </c>
      <c r="W544" s="1">
        <v>46644</v>
      </c>
      <c r="X544" s="1" t="s">
        <v>55</v>
      </c>
      <c r="Y544" s="1" t="s">
        <v>51</v>
      </c>
      <c r="Z544" s="1" t="s">
        <v>504</v>
      </c>
      <c r="AA544" s="1" t="s">
        <v>505</v>
      </c>
      <c r="AB544" s="1" t="s">
        <v>673</v>
      </c>
      <c r="AC544" s="1">
        <v>45007</v>
      </c>
      <c r="AD544" s="1">
        <v>45007</v>
      </c>
      <c r="AE544" s="1"/>
      <c r="AF544" s="1"/>
      <c r="AG544" s="1" t="s">
        <v>968</v>
      </c>
      <c r="AH544" s="1" t="s">
        <v>1108</v>
      </c>
      <c r="AI544" s="1"/>
      <c r="AJ544" s="31">
        <v>45007</v>
      </c>
      <c r="AK544"/>
      <c r="AL544"/>
      <c r="AM544"/>
      <c r="AN544"/>
      <c r="AO544"/>
      <c r="AP544"/>
      <c r="AQ544" s="81"/>
      <c r="AR544" s="81"/>
      <c r="AS544" s="81"/>
      <c r="AT544" s="81"/>
      <c r="AU544" s="81"/>
      <c r="AV544" s="81"/>
      <c r="AW544" s="81"/>
      <c r="AX544" s="81"/>
      <c r="AY544" s="81"/>
    </row>
    <row r="545" spans="1:51" hidden="1">
      <c r="A545" s="1" t="s">
        <v>2542</v>
      </c>
      <c r="B545" s="1">
        <v>230317</v>
      </c>
      <c r="C545" s="1">
        <v>8210053</v>
      </c>
      <c r="D545" s="1" t="s">
        <v>823</v>
      </c>
      <c r="E545" s="1" t="s">
        <v>3635</v>
      </c>
      <c r="F545" t="s">
        <v>3635</v>
      </c>
      <c r="G545"/>
      <c r="H545" s="1" t="s">
        <v>3636</v>
      </c>
      <c r="I545" s="1" t="s">
        <v>3328</v>
      </c>
      <c r="J545" s="1" t="s">
        <v>18</v>
      </c>
      <c r="K545" s="1" t="s">
        <v>50</v>
      </c>
      <c r="L545" s="1">
        <v>34353</v>
      </c>
      <c r="M545" s="1">
        <v>31</v>
      </c>
      <c r="N545" s="1">
        <v>1400</v>
      </c>
      <c r="P545" s="1">
        <v>1990</v>
      </c>
      <c r="Q545" s="1"/>
      <c r="R545" s="1">
        <v>590</v>
      </c>
      <c r="S545">
        <v>180000</v>
      </c>
      <c r="T545">
        <v>9027</v>
      </c>
      <c r="U545" t="s">
        <v>814</v>
      </c>
      <c r="V545">
        <v>16470</v>
      </c>
      <c r="W545" s="1">
        <v>45206</v>
      </c>
      <c r="X545" s="1" t="s">
        <v>55</v>
      </c>
      <c r="Y545" s="1" t="s">
        <v>51</v>
      </c>
      <c r="Z545" s="1" t="s">
        <v>982</v>
      </c>
      <c r="AA545" s="1" t="s">
        <v>983</v>
      </c>
      <c r="AB545" s="1" t="s">
        <v>990</v>
      </c>
      <c r="AC545" s="1">
        <v>45009</v>
      </c>
      <c r="AD545" s="1">
        <v>45012</v>
      </c>
      <c r="AE545" s="1">
        <v>45058</v>
      </c>
      <c r="AF545" s="1"/>
      <c r="AG545" s="1" t="s">
        <v>968</v>
      </c>
      <c r="AH545" s="1" t="s">
        <v>1108</v>
      </c>
      <c r="AI545" s="1"/>
      <c r="AJ545" s="31">
        <v>45012</v>
      </c>
      <c r="AK545"/>
      <c r="AL545"/>
      <c r="AM545"/>
      <c r="AN545"/>
      <c r="AO545"/>
      <c r="AP545"/>
      <c r="AQ545" s="81"/>
      <c r="AR545" s="81"/>
      <c r="AS545" s="81"/>
      <c r="AT545" s="81"/>
      <c r="AU545" s="81"/>
      <c r="AV545" s="81"/>
      <c r="AW545" s="81"/>
      <c r="AX545" s="81"/>
      <c r="AY545" s="81"/>
    </row>
    <row r="546" spans="1:51" hidden="1">
      <c r="A546" s="1" t="s">
        <v>2542</v>
      </c>
      <c r="B546" s="1">
        <v>230319</v>
      </c>
      <c r="C546" s="1">
        <v>242061</v>
      </c>
      <c r="D546" s="1" t="s">
        <v>69</v>
      </c>
      <c r="E546" s="1" t="s">
        <v>306</v>
      </c>
      <c r="F546" t="s">
        <v>742</v>
      </c>
      <c r="G546" t="s">
        <v>317</v>
      </c>
      <c r="H546" s="1" t="s">
        <v>995</v>
      </c>
      <c r="I546" s="1" t="s">
        <v>996</v>
      </c>
      <c r="J546" s="1" t="s">
        <v>18</v>
      </c>
      <c r="K546" s="1" t="s">
        <v>50</v>
      </c>
      <c r="L546" s="1">
        <v>35493</v>
      </c>
      <c r="M546" s="1">
        <v>28</v>
      </c>
      <c r="N546" s="1">
        <v>1300</v>
      </c>
      <c r="P546" s="1">
        <v>1680</v>
      </c>
      <c r="Q546" s="1"/>
      <c r="R546" s="1">
        <v>380</v>
      </c>
      <c r="S546">
        <v>300000</v>
      </c>
      <c r="T546">
        <v>15045</v>
      </c>
      <c r="U546" t="s">
        <v>814</v>
      </c>
      <c r="V546">
        <v>27450</v>
      </c>
      <c r="W546" s="1">
        <v>45793</v>
      </c>
      <c r="X546" s="1" t="s">
        <v>55</v>
      </c>
      <c r="Y546" s="1" t="s">
        <v>51</v>
      </c>
      <c r="Z546" s="1" t="s">
        <v>493</v>
      </c>
      <c r="AA546" s="1" t="s">
        <v>993</v>
      </c>
      <c r="AB546" s="1" t="s">
        <v>994</v>
      </c>
      <c r="AC546" s="1">
        <v>45007</v>
      </c>
      <c r="AD546" s="1">
        <v>45012</v>
      </c>
      <c r="AE546" s="1">
        <v>45471</v>
      </c>
      <c r="AF546" s="1"/>
      <c r="AG546" s="1" t="s">
        <v>968</v>
      </c>
      <c r="AH546" s="1" t="s">
        <v>1108</v>
      </c>
      <c r="AI546" s="1"/>
      <c r="AJ546" s="31">
        <v>45012</v>
      </c>
      <c r="AK546"/>
      <c r="AL546"/>
      <c r="AM546"/>
      <c r="AN546"/>
      <c r="AO546"/>
      <c r="AP546"/>
      <c r="AQ546" s="81"/>
      <c r="AR546" s="81"/>
      <c r="AS546" s="81"/>
      <c r="AT546" s="81"/>
      <c r="AU546" s="81"/>
      <c r="AV546" s="81"/>
      <c r="AW546" s="81"/>
      <c r="AX546" s="81"/>
      <c r="AY546" s="81"/>
    </row>
    <row r="547" spans="1:51">
      <c r="A547" s="1" t="s">
        <v>49</v>
      </c>
      <c r="B547" s="1">
        <v>241217</v>
      </c>
      <c r="C547" s="1">
        <v>222079</v>
      </c>
      <c r="D547" s="1" t="s">
        <v>62</v>
      </c>
      <c r="E547" s="1" t="s">
        <v>3935</v>
      </c>
      <c r="F547" t="s">
        <v>794</v>
      </c>
      <c r="G547" t="s">
        <v>316</v>
      </c>
      <c r="H547" s="1" t="s">
        <v>4022</v>
      </c>
      <c r="I547" s="1" t="s">
        <v>4023</v>
      </c>
      <c r="J547" s="1" t="s">
        <v>18</v>
      </c>
      <c r="K547" s="1" t="s">
        <v>50</v>
      </c>
      <c r="L547" s="1">
        <v>37305</v>
      </c>
      <c r="M547" s="1">
        <v>23</v>
      </c>
      <c r="N547" s="1">
        <v>1250</v>
      </c>
      <c r="P547" s="1">
        <v>1650</v>
      </c>
      <c r="Q547" s="1"/>
      <c r="R547" s="1">
        <v>400</v>
      </c>
      <c r="S547">
        <v>240000</v>
      </c>
      <c r="T547">
        <v>12036</v>
      </c>
      <c r="U547" t="s">
        <v>814</v>
      </c>
      <c r="V547">
        <v>21960</v>
      </c>
      <c r="W547" s="1">
        <v>46002</v>
      </c>
      <c r="X547" s="1">
        <v>7</v>
      </c>
      <c r="Y547" s="1" t="s">
        <v>51</v>
      </c>
      <c r="Z547" s="1" t="s">
        <v>817</v>
      </c>
      <c r="AA547" s="1" t="s">
        <v>1422</v>
      </c>
      <c r="AB547" s="1" t="s">
        <v>1354</v>
      </c>
      <c r="AC547" s="1"/>
      <c r="AD547" s="1">
        <v>45643</v>
      </c>
      <c r="AE547" s="1"/>
      <c r="AF547" s="1"/>
      <c r="AG547" s="1">
        <v>45643</v>
      </c>
      <c r="AH547" s="1" t="s">
        <v>4008</v>
      </c>
      <c r="AI547" s="1"/>
      <c r="AJ547" s="31">
        <v>45643</v>
      </c>
      <c r="AK547"/>
      <c r="AL547"/>
      <c r="AM547"/>
      <c r="AN547"/>
      <c r="AO547"/>
      <c r="AP547"/>
      <c r="AQ547" s="81"/>
      <c r="AR547" s="81"/>
      <c r="AS547" s="81"/>
      <c r="AT547" s="81"/>
      <c r="AU547" s="81"/>
      <c r="AV547" s="81"/>
      <c r="AW547" s="81"/>
      <c r="AX547" s="81"/>
      <c r="AY547" s="81"/>
    </row>
    <row r="548" spans="1:51" hidden="1">
      <c r="A548" s="1" t="s">
        <v>2542</v>
      </c>
      <c r="B548" s="1">
        <v>230320</v>
      </c>
      <c r="C548" s="1">
        <v>232102</v>
      </c>
      <c r="D548" s="1" t="s">
        <v>83</v>
      </c>
      <c r="E548" s="1" t="s">
        <v>307</v>
      </c>
      <c r="F548" t="s">
        <v>2251</v>
      </c>
      <c r="G548" t="s">
        <v>2252</v>
      </c>
      <c r="H548" s="1" t="s">
        <v>997</v>
      </c>
      <c r="I548" s="1" t="s">
        <v>998</v>
      </c>
      <c r="J548" s="1" t="s">
        <v>18</v>
      </c>
      <c r="K548" s="1" t="s">
        <v>50</v>
      </c>
      <c r="L548" s="1">
        <v>35746</v>
      </c>
      <c r="M548" s="1">
        <v>28</v>
      </c>
      <c r="N548" s="1">
        <v>1310</v>
      </c>
      <c r="P548" s="1">
        <v>1730</v>
      </c>
      <c r="Q548" s="1"/>
      <c r="R548" s="1">
        <v>420</v>
      </c>
      <c r="S548">
        <v>220000</v>
      </c>
      <c r="T548">
        <v>11033</v>
      </c>
      <c r="U548" t="s">
        <v>814</v>
      </c>
      <c r="V548">
        <v>20130</v>
      </c>
      <c r="W548" s="1">
        <v>46468</v>
      </c>
      <c r="X548" s="1" t="s">
        <v>55</v>
      </c>
      <c r="Y548" s="1" t="s">
        <v>51</v>
      </c>
      <c r="Z548" s="1" t="s">
        <v>110</v>
      </c>
      <c r="AA548" s="1" t="s">
        <v>127</v>
      </c>
      <c r="AB548" s="1" t="s">
        <v>3467</v>
      </c>
      <c r="AC548" s="1">
        <v>45009</v>
      </c>
      <c r="AD548" s="1">
        <v>45013</v>
      </c>
      <c r="AE548" s="1">
        <v>45877</v>
      </c>
      <c r="AF548" s="1"/>
      <c r="AG548" s="1" t="s">
        <v>968</v>
      </c>
      <c r="AH548" s="1" t="s">
        <v>1108</v>
      </c>
      <c r="AI548" s="1"/>
      <c r="AJ548" s="31">
        <v>45013</v>
      </c>
      <c r="AK548"/>
      <c r="AL548"/>
      <c r="AM548"/>
      <c r="AN548"/>
      <c r="AO548"/>
      <c r="AP548"/>
      <c r="AQ548" s="81"/>
      <c r="AR548" s="81"/>
      <c r="AS548" s="81"/>
      <c r="AT548" s="81"/>
      <c r="AU548" s="81"/>
      <c r="AV548" s="81"/>
      <c r="AW548" s="81"/>
      <c r="AX548" s="81"/>
      <c r="AY548" s="81"/>
    </row>
    <row r="549" spans="1:51" hidden="1">
      <c r="A549" s="1" t="s">
        <v>49</v>
      </c>
      <c r="B549" s="1">
        <v>230321</v>
      </c>
      <c r="C549" s="1">
        <v>232103</v>
      </c>
      <c r="D549" s="1" t="s">
        <v>83</v>
      </c>
      <c r="E549" s="1" t="s">
        <v>307</v>
      </c>
      <c r="F549" t="s">
        <v>2251</v>
      </c>
      <c r="G549" t="s">
        <v>2252</v>
      </c>
      <c r="H549" s="1" t="s">
        <v>999</v>
      </c>
      <c r="I549" s="1" t="s">
        <v>1000</v>
      </c>
      <c r="J549" s="1" t="s">
        <v>18</v>
      </c>
      <c r="K549" s="1" t="s">
        <v>50</v>
      </c>
      <c r="L549" s="1">
        <v>35956</v>
      </c>
      <c r="M549" s="1">
        <v>27</v>
      </c>
      <c r="N549" s="1">
        <v>1320</v>
      </c>
      <c r="P549" s="1">
        <v>1740</v>
      </c>
      <c r="Q549" s="1"/>
      <c r="R549" s="1">
        <v>420</v>
      </c>
      <c r="S549">
        <v>260000</v>
      </c>
      <c r="T549">
        <v>13039</v>
      </c>
      <c r="U549" t="s">
        <v>814</v>
      </c>
      <c r="V549">
        <v>23790</v>
      </c>
      <c r="W549" s="1">
        <v>46468</v>
      </c>
      <c r="X549" s="1" t="s">
        <v>55</v>
      </c>
      <c r="Y549" s="1" t="s">
        <v>51</v>
      </c>
      <c r="Z549" s="1" t="s">
        <v>110</v>
      </c>
      <c r="AA549" s="1" t="s">
        <v>113</v>
      </c>
      <c r="AB549" s="1" t="s">
        <v>114</v>
      </c>
      <c r="AC549" s="1">
        <v>45009</v>
      </c>
      <c r="AD549" s="1">
        <v>45013</v>
      </c>
      <c r="AE549" s="1"/>
      <c r="AF549" s="1"/>
      <c r="AG549" s="1" t="s">
        <v>968</v>
      </c>
      <c r="AH549" s="1" t="s">
        <v>1108</v>
      </c>
      <c r="AI549" s="1"/>
      <c r="AJ549" s="31">
        <v>45013</v>
      </c>
      <c r="AK549"/>
      <c r="AL549"/>
      <c r="AM549"/>
      <c r="AN549"/>
      <c r="AO549"/>
      <c r="AP549"/>
      <c r="AQ549" s="81"/>
      <c r="AR549" s="81"/>
      <c r="AS549" s="81"/>
      <c r="AT549" s="81"/>
      <c r="AU549" s="81"/>
      <c r="AV549" s="81"/>
      <c r="AW549" s="81"/>
      <c r="AX549" s="81"/>
      <c r="AY549" s="81"/>
    </row>
    <row r="550" spans="1:51" hidden="1">
      <c r="A550" s="1" t="s">
        <v>49</v>
      </c>
      <c r="B550" s="1">
        <v>230322</v>
      </c>
      <c r="C550" s="1">
        <v>232099</v>
      </c>
      <c r="D550" s="1" t="s">
        <v>83</v>
      </c>
      <c r="E550" s="1" t="s">
        <v>307</v>
      </c>
      <c r="F550" t="s">
        <v>2251</v>
      </c>
      <c r="G550" t="s">
        <v>2252</v>
      </c>
      <c r="H550" s="1" t="s">
        <v>1001</v>
      </c>
      <c r="I550" s="1" t="s">
        <v>1002</v>
      </c>
      <c r="J550" s="1" t="s">
        <v>18</v>
      </c>
      <c r="K550" s="1" t="s">
        <v>50</v>
      </c>
      <c r="L550" s="1">
        <v>36793</v>
      </c>
      <c r="M550" s="1">
        <v>25</v>
      </c>
      <c r="N550" s="1">
        <v>1310</v>
      </c>
      <c r="P550" s="1">
        <v>1750</v>
      </c>
      <c r="Q550" s="1"/>
      <c r="R550" s="1">
        <v>440</v>
      </c>
      <c r="S550">
        <v>260000</v>
      </c>
      <c r="T550">
        <v>13039</v>
      </c>
      <c r="U550" t="s">
        <v>814</v>
      </c>
      <c r="V550">
        <v>23790</v>
      </c>
      <c r="W550" s="1">
        <v>46468</v>
      </c>
      <c r="X550" s="1" t="s">
        <v>55</v>
      </c>
      <c r="Y550" s="1" t="s">
        <v>51</v>
      </c>
      <c r="Z550" s="1" t="s">
        <v>110</v>
      </c>
      <c r="AA550" s="1" t="s">
        <v>113</v>
      </c>
      <c r="AB550" s="1" t="s">
        <v>114</v>
      </c>
      <c r="AC550" s="1">
        <v>45009</v>
      </c>
      <c r="AD550" s="1">
        <v>45013</v>
      </c>
      <c r="AE550" s="1"/>
      <c r="AF550" s="1"/>
      <c r="AG550" s="1" t="s">
        <v>968</v>
      </c>
      <c r="AH550" s="1" t="s">
        <v>1108</v>
      </c>
      <c r="AI550" s="1"/>
      <c r="AJ550" s="31">
        <v>45013</v>
      </c>
      <c r="AK550"/>
      <c r="AL550"/>
      <c r="AM550"/>
      <c r="AN550"/>
      <c r="AO550"/>
      <c r="AP550"/>
      <c r="AQ550" s="81"/>
      <c r="AR550" s="81"/>
      <c r="AS550" s="81"/>
      <c r="AT550" s="81"/>
      <c r="AU550" s="81"/>
      <c r="AV550" s="81"/>
      <c r="AW550" s="81"/>
      <c r="AX550" s="81"/>
      <c r="AY550" s="81"/>
    </row>
    <row r="551" spans="1:51" hidden="1">
      <c r="A551" s="1" t="s">
        <v>49</v>
      </c>
      <c r="B551" s="1">
        <v>230325</v>
      </c>
      <c r="C551" s="1">
        <v>232100</v>
      </c>
      <c r="D551" s="1" t="s">
        <v>83</v>
      </c>
      <c r="E551" s="1" t="s">
        <v>307</v>
      </c>
      <c r="F551" t="s">
        <v>2251</v>
      </c>
      <c r="G551" t="s">
        <v>2252</v>
      </c>
      <c r="H551" s="1" t="s">
        <v>1003</v>
      </c>
      <c r="I551" s="1" t="s">
        <v>1004</v>
      </c>
      <c r="J551" s="1" t="s">
        <v>18</v>
      </c>
      <c r="K551" s="1" t="s">
        <v>50</v>
      </c>
      <c r="L551" s="1">
        <v>36800</v>
      </c>
      <c r="M551" s="1">
        <v>25</v>
      </c>
      <c r="N551" s="1">
        <v>1320</v>
      </c>
      <c r="P551" s="1">
        <v>1740</v>
      </c>
      <c r="Q551" s="1"/>
      <c r="R551" s="1">
        <v>420</v>
      </c>
      <c r="S551">
        <v>260000</v>
      </c>
      <c r="T551">
        <v>13039</v>
      </c>
      <c r="U551" t="s">
        <v>814</v>
      </c>
      <c r="V551">
        <v>23790</v>
      </c>
      <c r="W551" s="1">
        <v>46468</v>
      </c>
      <c r="X551" s="1" t="s">
        <v>55</v>
      </c>
      <c r="Y551" s="1" t="s">
        <v>51</v>
      </c>
      <c r="Z551" s="1" t="s">
        <v>110</v>
      </c>
      <c r="AA551" s="1" t="s">
        <v>113</v>
      </c>
      <c r="AB551" s="1" t="s">
        <v>4374</v>
      </c>
      <c r="AC551" s="1">
        <v>45009</v>
      </c>
      <c r="AD551" s="1">
        <v>45013</v>
      </c>
      <c r="AE551" s="1"/>
      <c r="AF551" s="1"/>
      <c r="AG551" s="1" t="s">
        <v>968</v>
      </c>
      <c r="AH551" s="1" t="s">
        <v>1108</v>
      </c>
      <c r="AI551" s="1"/>
      <c r="AJ551" s="31">
        <v>45013</v>
      </c>
      <c r="AK551"/>
      <c r="AL551"/>
      <c r="AM551"/>
      <c r="AN551"/>
      <c r="AO551"/>
      <c r="AP551"/>
      <c r="AQ551" s="81"/>
      <c r="AR551" s="81"/>
      <c r="AS551" s="81"/>
      <c r="AT551" s="81"/>
      <c r="AU551" s="81"/>
      <c r="AV551" s="81"/>
      <c r="AW551" s="81"/>
      <c r="AX551" s="81"/>
      <c r="AY551" s="81"/>
    </row>
    <row r="552" spans="1:51" hidden="1">
      <c r="A552" s="1" t="s">
        <v>2542</v>
      </c>
      <c r="B552" s="1">
        <v>230323</v>
      </c>
      <c r="C552" s="1">
        <v>232104</v>
      </c>
      <c r="D552" s="1" t="s">
        <v>83</v>
      </c>
      <c r="E552" s="1" t="s">
        <v>3640</v>
      </c>
      <c r="F552" t="s">
        <v>2655</v>
      </c>
      <c r="G552" t="s">
        <v>2656</v>
      </c>
      <c r="H552" s="1" t="s">
        <v>3641</v>
      </c>
      <c r="I552" s="1" t="s">
        <v>3642</v>
      </c>
      <c r="J552" s="1" t="s">
        <v>18</v>
      </c>
      <c r="K552" s="1" t="s">
        <v>50</v>
      </c>
      <c r="L552" s="1">
        <v>35548</v>
      </c>
      <c r="M552" s="1">
        <v>28</v>
      </c>
      <c r="N552" s="1">
        <v>1300</v>
      </c>
      <c r="P552" s="1">
        <v>1715</v>
      </c>
      <c r="Q552" s="1"/>
      <c r="R552" s="1">
        <v>415</v>
      </c>
      <c r="S552">
        <v>180000</v>
      </c>
      <c r="T552">
        <v>9027</v>
      </c>
      <c r="U552" t="s">
        <v>814</v>
      </c>
      <c r="V552">
        <v>16470</v>
      </c>
      <c r="W552" s="1">
        <v>45373</v>
      </c>
      <c r="X552" s="1" t="s">
        <v>55</v>
      </c>
      <c r="Y552" s="1" t="s">
        <v>51</v>
      </c>
      <c r="Z552" s="1" t="s">
        <v>110</v>
      </c>
      <c r="AA552" s="1" t="s">
        <v>1109</v>
      </c>
      <c r="AB552" s="1" t="s">
        <v>3639</v>
      </c>
      <c r="AC552" s="1">
        <v>45009</v>
      </c>
      <c r="AD552" s="1">
        <v>45013</v>
      </c>
      <c r="AE552" s="1">
        <v>45432</v>
      </c>
      <c r="AF552" s="1"/>
      <c r="AG552" s="1" t="s">
        <v>968</v>
      </c>
      <c r="AH552" s="1" t="s">
        <v>1108</v>
      </c>
      <c r="AI552" s="1"/>
      <c r="AJ552" s="31">
        <v>45013</v>
      </c>
      <c r="AK552"/>
      <c r="AL552"/>
      <c r="AM552"/>
      <c r="AN552"/>
      <c r="AO552"/>
      <c r="AP552"/>
      <c r="AQ552" s="81"/>
      <c r="AR552" s="81"/>
      <c r="AS552" s="81"/>
      <c r="AT552" s="81"/>
      <c r="AU552" s="81"/>
      <c r="AV552" s="81"/>
      <c r="AW552" s="81"/>
      <c r="AX552" s="81"/>
      <c r="AY552" s="81"/>
    </row>
    <row r="553" spans="1:51" hidden="1">
      <c r="A553" s="1" t="s">
        <v>2542</v>
      </c>
      <c r="B553" s="1">
        <v>230324</v>
      </c>
      <c r="C553" s="1">
        <v>232101</v>
      </c>
      <c r="D553" s="1" t="s">
        <v>83</v>
      </c>
      <c r="E553" s="1" t="s">
        <v>307</v>
      </c>
      <c r="F553" t="s">
        <v>2655</v>
      </c>
      <c r="G553" t="s">
        <v>2656</v>
      </c>
      <c r="H553" s="1" t="s">
        <v>3637</v>
      </c>
      <c r="I553" s="1" t="s">
        <v>3638</v>
      </c>
      <c r="J553" s="1" t="s">
        <v>18</v>
      </c>
      <c r="K553" s="1" t="s">
        <v>50</v>
      </c>
      <c r="L553" s="1">
        <v>36221</v>
      </c>
      <c r="M553" s="1">
        <v>26</v>
      </c>
      <c r="N553" s="1">
        <v>1200</v>
      </c>
      <c r="P553" s="1">
        <v>1660</v>
      </c>
      <c r="Q553" s="1"/>
      <c r="R553" s="1">
        <v>460</v>
      </c>
      <c r="S553">
        <v>180000</v>
      </c>
      <c r="T553">
        <v>9027</v>
      </c>
      <c r="U553" t="s">
        <v>814</v>
      </c>
      <c r="V553">
        <v>16470</v>
      </c>
      <c r="W553" s="1">
        <v>45373</v>
      </c>
      <c r="X553" s="1" t="s">
        <v>55</v>
      </c>
      <c r="Y553" s="1" t="s">
        <v>51</v>
      </c>
      <c r="Z553" s="1" t="s">
        <v>110</v>
      </c>
      <c r="AA553" s="1" t="s">
        <v>1109</v>
      </c>
      <c r="AB553" s="1" t="s">
        <v>3639</v>
      </c>
      <c r="AC553" s="1">
        <v>45009</v>
      </c>
      <c r="AD553" s="1">
        <v>45013</v>
      </c>
      <c r="AE553" s="1">
        <v>45173</v>
      </c>
      <c r="AF553" s="1"/>
      <c r="AG553" s="1" t="s">
        <v>968</v>
      </c>
      <c r="AH553" s="1" t="s">
        <v>1108</v>
      </c>
      <c r="AI553" s="1"/>
      <c r="AJ553" s="31">
        <v>45013</v>
      </c>
      <c r="AK553"/>
      <c r="AL553"/>
      <c r="AM553"/>
      <c r="AN553"/>
      <c r="AO553"/>
      <c r="AP553"/>
      <c r="AQ553" s="81"/>
      <c r="AR553" s="81"/>
      <c r="AS553" s="81"/>
      <c r="AT553" s="81"/>
      <c r="AU553" s="81"/>
      <c r="AV553" s="81"/>
      <c r="AW553" s="81"/>
      <c r="AX553" s="81"/>
      <c r="AY553" s="81"/>
    </row>
    <row r="554" spans="1:51" hidden="1">
      <c r="A554" s="1" t="s">
        <v>2542</v>
      </c>
      <c r="B554" s="1">
        <v>230326</v>
      </c>
      <c r="D554" s="1" t="s">
        <v>447</v>
      </c>
      <c r="E554" s="1" t="s">
        <v>1270</v>
      </c>
      <c r="F554" t="s">
        <v>1271</v>
      </c>
      <c r="G554" t="s">
        <v>1267</v>
      </c>
      <c r="H554" s="1" t="s">
        <v>1005</v>
      </c>
      <c r="I554" s="1" t="s">
        <v>1006</v>
      </c>
      <c r="J554" s="1" t="s">
        <v>18</v>
      </c>
      <c r="K554" s="1" t="s">
        <v>50</v>
      </c>
      <c r="L554" s="1">
        <v>33252</v>
      </c>
      <c r="M554" s="1">
        <v>34</v>
      </c>
      <c r="N554" s="1">
        <v>1300</v>
      </c>
      <c r="P554" s="1">
        <v>1700</v>
      </c>
      <c r="Q554" s="1"/>
      <c r="R554" s="1">
        <v>400</v>
      </c>
      <c r="S554">
        <v>320000</v>
      </c>
      <c r="T554">
        <v>16048</v>
      </c>
      <c r="U554" t="s">
        <v>814</v>
      </c>
      <c r="V554">
        <v>29280</v>
      </c>
      <c r="W554" s="1">
        <v>46558</v>
      </c>
      <c r="X554" s="1" t="s">
        <v>55</v>
      </c>
      <c r="Y554" s="1" t="s">
        <v>51</v>
      </c>
      <c r="Z554" s="1" t="s">
        <v>448</v>
      </c>
      <c r="AA554" s="1" t="s">
        <v>449</v>
      </c>
      <c r="AB554" s="1" t="s">
        <v>501</v>
      </c>
      <c r="AC554" s="1">
        <v>45661</v>
      </c>
      <c r="AD554" s="1">
        <v>45014</v>
      </c>
      <c r="AE554" s="1">
        <v>45737</v>
      </c>
      <c r="AF554" s="1"/>
      <c r="AG554" s="1" t="s">
        <v>968</v>
      </c>
      <c r="AH554" s="1" t="s">
        <v>1108</v>
      </c>
      <c r="AI554" s="1"/>
      <c r="AJ554" s="31">
        <v>45014</v>
      </c>
      <c r="AK554"/>
      <c r="AL554"/>
      <c r="AM554"/>
      <c r="AN554"/>
      <c r="AO554"/>
      <c r="AP554"/>
      <c r="AQ554" s="81"/>
      <c r="AR554" s="81"/>
      <c r="AS554" s="81"/>
      <c r="AT554" s="81"/>
      <c r="AU554" s="81"/>
      <c r="AV554" s="81"/>
      <c r="AW554" s="81"/>
      <c r="AX554" s="81"/>
      <c r="AY554" s="81"/>
    </row>
    <row r="555" spans="1:51" hidden="1">
      <c r="A555" s="1" t="s">
        <v>2542</v>
      </c>
      <c r="B555" s="1">
        <v>230401</v>
      </c>
      <c r="C555" s="1">
        <v>8210055</v>
      </c>
      <c r="D555" s="1" t="s">
        <v>822</v>
      </c>
      <c r="E555" s="1" t="s">
        <v>2161</v>
      </c>
      <c r="F555" t="s">
        <v>3643</v>
      </c>
      <c r="G555"/>
      <c r="H555" s="1" t="s">
        <v>3644</v>
      </c>
      <c r="I555" s="1" t="s">
        <v>3645</v>
      </c>
      <c r="J555" s="1" t="s">
        <v>18</v>
      </c>
      <c r="K555" s="1" t="s">
        <v>404</v>
      </c>
      <c r="L555" s="1">
        <v>36540</v>
      </c>
      <c r="M555" s="1">
        <v>25</v>
      </c>
      <c r="N555" s="1">
        <v>1400</v>
      </c>
      <c r="P555" s="1">
        <v>1990</v>
      </c>
      <c r="Q555" s="1"/>
      <c r="R555" s="1">
        <v>590</v>
      </c>
      <c r="S555">
        <v>260000</v>
      </c>
      <c r="T555">
        <v>13039</v>
      </c>
      <c r="U555" t="s">
        <v>814</v>
      </c>
      <c r="V555">
        <v>23790</v>
      </c>
      <c r="W555" s="1">
        <v>45382</v>
      </c>
      <c r="X555" s="1" t="s">
        <v>55</v>
      </c>
      <c r="Y555" s="1" t="s">
        <v>540</v>
      </c>
      <c r="Z555" s="1" t="s">
        <v>3646</v>
      </c>
      <c r="AA555" s="1" t="s">
        <v>3647</v>
      </c>
      <c r="AB555" s="1" t="s">
        <v>3648</v>
      </c>
      <c r="AC555" s="1" t="s">
        <v>53</v>
      </c>
      <c r="AD555" s="1">
        <v>45026</v>
      </c>
      <c r="AE555" s="1">
        <v>45219</v>
      </c>
      <c r="AF555" s="1"/>
      <c r="AG555" s="1" t="s">
        <v>1110</v>
      </c>
      <c r="AH555" s="1" t="s">
        <v>1111</v>
      </c>
      <c r="AI555" s="1"/>
      <c r="AJ555" s="31">
        <v>45026</v>
      </c>
      <c r="AK555"/>
      <c r="AL555"/>
      <c r="AM555"/>
      <c r="AN555"/>
      <c r="AO555"/>
      <c r="AP555"/>
      <c r="AQ555" s="81"/>
      <c r="AR555" s="81"/>
      <c r="AS555" s="81"/>
      <c r="AT555" s="81"/>
      <c r="AU555" s="81"/>
      <c r="AV555" s="81"/>
      <c r="AW555" s="81"/>
      <c r="AX555" s="81"/>
      <c r="AY555" s="81"/>
    </row>
    <row r="556" spans="1:51" hidden="1">
      <c r="A556" s="1" t="s">
        <v>2542</v>
      </c>
      <c r="B556" s="1">
        <v>230402</v>
      </c>
      <c r="D556" s="1" t="s">
        <v>447</v>
      </c>
      <c r="E556" s="1" t="s">
        <v>1270</v>
      </c>
      <c r="F556" t="s">
        <v>1271</v>
      </c>
      <c r="G556" t="s">
        <v>1267</v>
      </c>
      <c r="H556" s="1" t="s">
        <v>153</v>
      </c>
      <c r="I556" s="1" t="s">
        <v>1116</v>
      </c>
      <c r="J556" s="1" t="s">
        <v>18</v>
      </c>
      <c r="K556" s="1" t="s">
        <v>50</v>
      </c>
      <c r="L556" s="1">
        <v>36751</v>
      </c>
      <c r="M556" s="1">
        <v>25</v>
      </c>
      <c r="N556" s="1">
        <v>1300</v>
      </c>
      <c r="P556" s="1">
        <v>1700</v>
      </c>
      <c r="Q556" s="1"/>
      <c r="R556" s="1">
        <v>400</v>
      </c>
      <c r="S556">
        <v>280000</v>
      </c>
      <c r="T556">
        <v>14042</v>
      </c>
      <c r="U556" t="s">
        <v>814</v>
      </c>
      <c r="V556">
        <v>25620</v>
      </c>
      <c r="W556" s="1">
        <v>46131</v>
      </c>
      <c r="X556" s="1" t="s">
        <v>55</v>
      </c>
      <c r="Y556" s="1" t="s">
        <v>51</v>
      </c>
      <c r="Z556" s="1" t="s">
        <v>448</v>
      </c>
      <c r="AA556" s="1" t="s">
        <v>478</v>
      </c>
      <c r="AB556" s="1" t="s">
        <v>1588</v>
      </c>
      <c r="AC556" s="1" t="s">
        <v>53</v>
      </c>
      <c r="AD556" s="1">
        <v>45026</v>
      </c>
      <c r="AE556" s="1">
        <v>45835</v>
      </c>
      <c r="AF556" s="1"/>
      <c r="AG556" s="1" t="s">
        <v>1110</v>
      </c>
      <c r="AH556" s="1" t="s">
        <v>1111</v>
      </c>
      <c r="AI556" s="1"/>
      <c r="AJ556" s="31">
        <v>45026</v>
      </c>
      <c r="AK556"/>
      <c r="AL556"/>
      <c r="AM556"/>
      <c r="AN556"/>
      <c r="AO556"/>
      <c r="AP556"/>
      <c r="AQ556" s="81"/>
      <c r="AR556" s="81"/>
      <c r="AS556" s="81"/>
      <c r="AT556" s="81"/>
      <c r="AU556" s="81"/>
      <c r="AV556" s="81"/>
      <c r="AW556" s="81"/>
      <c r="AX556" s="81"/>
      <c r="AY556" s="81"/>
    </row>
    <row r="557" spans="1:51" hidden="1">
      <c r="A557" s="1" t="s">
        <v>2542</v>
      </c>
      <c r="B557" s="1">
        <v>230403</v>
      </c>
      <c r="C557" s="1">
        <v>5550</v>
      </c>
      <c r="D557" s="1" t="s">
        <v>846</v>
      </c>
      <c r="E557" s="1" t="s">
        <v>1585</v>
      </c>
      <c r="F557" t="s">
        <v>1273</v>
      </c>
      <c r="G557" t="s">
        <v>1514</v>
      </c>
      <c r="H557" s="1" t="s">
        <v>1112</v>
      </c>
      <c r="I557" s="1" t="s">
        <v>1113</v>
      </c>
      <c r="J557" s="1" t="s">
        <v>18</v>
      </c>
      <c r="K557" s="1" t="s">
        <v>50</v>
      </c>
      <c r="L557" s="1">
        <v>34497</v>
      </c>
      <c r="M557" s="1">
        <v>31</v>
      </c>
      <c r="N557" s="1">
        <v>1320</v>
      </c>
      <c r="O557" s="1" t="s">
        <v>4365</v>
      </c>
      <c r="P557" s="1">
        <v>1730</v>
      </c>
      <c r="Q557" s="1" t="s">
        <v>4366</v>
      </c>
      <c r="R557" s="1">
        <v>410</v>
      </c>
      <c r="S557">
        <v>300000</v>
      </c>
      <c r="T557">
        <v>15045</v>
      </c>
      <c r="U557" t="s">
        <v>814</v>
      </c>
      <c r="V557">
        <v>27450</v>
      </c>
      <c r="W557" s="1">
        <v>46783</v>
      </c>
      <c r="X557" s="1" t="s">
        <v>55</v>
      </c>
      <c r="Y557" s="1" t="s">
        <v>51</v>
      </c>
      <c r="Z557" s="1" t="s">
        <v>801</v>
      </c>
      <c r="AA557" s="1" t="s">
        <v>1114</v>
      </c>
      <c r="AB557" s="1" t="s">
        <v>1115</v>
      </c>
      <c r="AC557" s="1">
        <v>45044</v>
      </c>
      <c r="AD557" s="1">
        <v>45026</v>
      </c>
      <c r="AE557" s="1">
        <v>45900</v>
      </c>
      <c r="AF557" s="1"/>
      <c r="AG557" s="1" t="s">
        <v>1110</v>
      </c>
      <c r="AH557" s="1" t="s">
        <v>1111</v>
      </c>
      <c r="AI557" s="1"/>
      <c r="AJ557" s="31">
        <v>45026</v>
      </c>
      <c r="AK557"/>
      <c r="AL557"/>
      <c r="AM557"/>
      <c r="AN557"/>
      <c r="AO557"/>
      <c r="AP557"/>
      <c r="AQ557" s="81"/>
      <c r="AR557" s="81"/>
      <c r="AS557" s="81"/>
      <c r="AT557" s="81"/>
      <c r="AU557" s="81"/>
      <c r="AV557" s="81"/>
      <c r="AW557" s="81"/>
      <c r="AX557" s="81"/>
      <c r="AY557" s="81"/>
    </row>
    <row r="558" spans="1:51" s="81" customFormat="1" hidden="1">
      <c r="A558" s="1" t="s">
        <v>2542</v>
      </c>
      <c r="B558" s="1">
        <v>230404</v>
      </c>
      <c r="C558" s="1">
        <v>5551</v>
      </c>
      <c r="D558" s="1" t="s">
        <v>846</v>
      </c>
      <c r="E558" s="1" t="s">
        <v>1585</v>
      </c>
      <c r="F558" t="s">
        <v>1273</v>
      </c>
      <c r="G558" t="s">
        <v>1514</v>
      </c>
      <c r="H558" s="1" t="s">
        <v>3649</v>
      </c>
      <c r="I558" s="1" t="s">
        <v>3650</v>
      </c>
      <c r="J558" s="1" t="s">
        <v>18</v>
      </c>
      <c r="K558" s="1" t="s">
        <v>50</v>
      </c>
      <c r="L558" s="1">
        <v>34497</v>
      </c>
      <c r="M558" s="1">
        <v>31</v>
      </c>
      <c r="N558" s="1">
        <v>1300</v>
      </c>
      <c r="O558" s="1"/>
      <c r="P558" s="1">
        <v>1700</v>
      </c>
      <c r="Q558" s="1"/>
      <c r="R558" s="1">
        <v>400</v>
      </c>
      <c r="S558">
        <v>280000</v>
      </c>
      <c r="T558">
        <v>14042</v>
      </c>
      <c r="U558" t="s">
        <v>814</v>
      </c>
      <c r="V558">
        <v>25620</v>
      </c>
      <c r="W558" s="1">
        <v>45566</v>
      </c>
      <c r="X558" s="1" t="s">
        <v>55</v>
      </c>
      <c r="Y558" s="1" t="s">
        <v>51</v>
      </c>
      <c r="Z558" s="1" t="s">
        <v>901</v>
      </c>
      <c r="AA558" s="1" t="s">
        <v>902</v>
      </c>
      <c r="AB558" s="1" t="s">
        <v>1097</v>
      </c>
      <c r="AC558" s="1">
        <v>45044</v>
      </c>
      <c r="AD558" s="1">
        <v>45026</v>
      </c>
      <c r="AE558" s="1">
        <v>45288</v>
      </c>
      <c r="AF558" s="1"/>
      <c r="AG558" s="1" t="s">
        <v>1110</v>
      </c>
      <c r="AH558" s="1" t="s">
        <v>1111</v>
      </c>
      <c r="AI558" s="1"/>
      <c r="AJ558" s="31">
        <v>45026</v>
      </c>
      <c r="AK558"/>
      <c r="AL558"/>
      <c r="AM558"/>
      <c r="AN558"/>
      <c r="AO558"/>
      <c r="AP558"/>
    </row>
    <row r="559" spans="1:51" s="81" customFormat="1" hidden="1">
      <c r="A559" s="1" t="s">
        <v>2542</v>
      </c>
      <c r="B559" s="1">
        <v>230405</v>
      </c>
      <c r="C559" s="1"/>
      <c r="D559" s="1" t="s">
        <v>414</v>
      </c>
      <c r="E559" s="1" t="s">
        <v>1065</v>
      </c>
      <c r="F559" t="s">
        <v>1083</v>
      </c>
      <c r="G559" t="s">
        <v>1068</v>
      </c>
      <c r="H559" s="1" t="s">
        <v>1117</v>
      </c>
      <c r="I559" s="1" t="s">
        <v>1118</v>
      </c>
      <c r="J559" s="1" t="s">
        <v>18</v>
      </c>
      <c r="K559" s="1" t="s">
        <v>50</v>
      </c>
      <c r="L559" s="1">
        <v>32613</v>
      </c>
      <c r="M559" s="1">
        <v>36</v>
      </c>
      <c r="N559" s="1">
        <v>1300</v>
      </c>
      <c r="O559" s="1"/>
      <c r="P559" s="1">
        <v>1650</v>
      </c>
      <c r="Q559" s="1"/>
      <c r="R559" s="1">
        <v>350</v>
      </c>
      <c r="S559">
        <v>320000</v>
      </c>
      <c r="T559">
        <v>16048</v>
      </c>
      <c r="U559" t="s">
        <v>814</v>
      </c>
      <c r="V559">
        <v>29280</v>
      </c>
      <c r="W559" s="1">
        <v>46852</v>
      </c>
      <c r="X559" s="1" t="s">
        <v>55</v>
      </c>
      <c r="Y559" s="1" t="s">
        <v>51</v>
      </c>
      <c r="Z559" s="1" t="s">
        <v>551</v>
      </c>
      <c r="AA559" s="1" t="s">
        <v>1122</v>
      </c>
      <c r="AB559" s="1" t="s">
        <v>1123</v>
      </c>
      <c r="AC559" s="1">
        <v>45034</v>
      </c>
      <c r="AD559" s="1">
        <v>45034</v>
      </c>
      <c r="AE559" s="1">
        <v>45861</v>
      </c>
      <c r="AF559" s="1"/>
      <c r="AG559" s="1" t="s">
        <v>1110</v>
      </c>
      <c r="AH559" s="1" t="s">
        <v>1119</v>
      </c>
      <c r="AI559" s="1"/>
      <c r="AJ559" s="31">
        <v>45034</v>
      </c>
      <c r="AK559"/>
      <c r="AL559"/>
      <c r="AM559"/>
      <c r="AN559"/>
      <c r="AO559"/>
      <c r="AP559"/>
    </row>
    <row r="560" spans="1:51" hidden="1">
      <c r="A560" s="1" t="s">
        <v>2542</v>
      </c>
      <c r="B560" s="1">
        <v>230406</v>
      </c>
      <c r="D560" s="1" t="s">
        <v>414</v>
      </c>
      <c r="E560" s="1" t="s">
        <v>1065</v>
      </c>
      <c r="F560" t="s">
        <v>1083</v>
      </c>
      <c r="G560" t="s">
        <v>1068</v>
      </c>
      <c r="H560" s="1" t="s">
        <v>3651</v>
      </c>
      <c r="I560" s="1" t="s">
        <v>3652</v>
      </c>
      <c r="J560" s="1" t="s">
        <v>18</v>
      </c>
      <c r="K560" s="1" t="s">
        <v>50</v>
      </c>
      <c r="L560" s="1">
        <v>35515</v>
      </c>
      <c r="M560" s="1">
        <v>28</v>
      </c>
      <c r="N560" s="1">
        <v>1300</v>
      </c>
      <c r="P560" s="1">
        <v>1650</v>
      </c>
      <c r="Q560" s="1"/>
      <c r="R560" s="1">
        <v>350</v>
      </c>
      <c r="S560">
        <v>180000</v>
      </c>
      <c r="T560">
        <v>9027</v>
      </c>
      <c r="U560" t="s">
        <v>814</v>
      </c>
      <c r="V560">
        <v>16470</v>
      </c>
      <c r="W560" s="1">
        <v>45796</v>
      </c>
      <c r="X560" s="1" t="s">
        <v>55</v>
      </c>
      <c r="Y560" s="1" t="s">
        <v>51</v>
      </c>
      <c r="Z560" s="1" t="s">
        <v>1121</v>
      </c>
      <c r="AA560" s="1" t="s">
        <v>1122</v>
      </c>
      <c r="AB560" s="1" t="s">
        <v>1123</v>
      </c>
      <c r="AC560" s="1">
        <v>45042</v>
      </c>
      <c r="AD560" s="1">
        <v>45040</v>
      </c>
      <c r="AE560" s="1">
        <v>45391</v>
      </c>
      <c r="AF560" s="1"/>
      <c r="AG560" s="1" t="s">
        <v>1110</v>
      </c>
      <c r="AH560" s="1" t="s">
        <v>1120</v>
      </c>
      <c r="AI560" s="1"/>
      <c r="AJ560" s="31">
        <v>45040</v>
      </c>
      <c r="AK560"/>
      <c r="AL560"/>
      <c r="AM560"/>
      <c r="AN560"/>
      <c r="AO560"/>
      <c r="AP560"/>
      <c r="AQ560" s="81"/>
      <c r="AR560" s="81"/>
      <c r="AS560" s="81"/>
      <c r="AT560" s="81"/>
      <c r="AU560" s="81"/>
      <c r="AV560" s="81"/>
      <c r="AW560" s="81"/>
      <c r="AX560" s="81"/>
      <c r="AY560" s="81"/>
    </row>
    <row r="561" spans="1:51" hidden="1">
      <c r="A561" s="1" t="s">
        <v>2542</v>
      </c>
      <c r="B561" s="1">
        <v>230407</v>
      </c>
      <c r="D561" s="1" t="s">
        <v>447</v>
      </c>
      <c r="E561" s="1" t="s">
        <v>1270</v>
      </c>
      <c r="F561" t="s">
        <v>1271</v>
      </c>
      <c r="G561" t="s">
        <v>1267</v>
      </c>
      <c r="H561" s="1" t="s">
        <v>3653</v>
      </c>
      <c r="I561" s="1" t="s">
        <v>3654</v>
      </c>
      <c r="J561" s="1" t="s">
        <v>18</v>
      </c>
      <c r="K561" s="1" t="s">
        <v>50</v>
      </c>
      <c r="L561" s="1">
        <v>30803</v>
      </c>
      <c r="M561" s="1">
        <v>41</v>
      </c>
      <c r="N561" s="1">
        <v>1300</v>
      </c>
      <c r="P561" s="1">
        <v>1700</v>
      </c>
      <c r="Q561" s="1"/>
      <c r="R561" s="1">
        <v>400</v>
      </c>
      <c r="S561">
        <v>180000</v>
      </c>
      <c r="T561">
        <v>9027</v>
      </c>
      <c r="U561">
        <v>1431</v>
      </c>
      <c r="V561">
        <v>16470</v>
      </c>
      <c r="W561" s="1">
        <v>45548</v>
      </c>
      <c r="X561" s="1" t="s">
        <v>55</v>
      </c>
      <c r="Y561" s="1" t="s">
        <v>51</v>
      </c>
      <c r="Z561" s="1" t="s">
        <v>448</v>
      </c>
      <c r="AA561" s="1" t="s">
        <v>3575</v>
      </c>
      <c r="AB561" s="1" t="s">
        <v>484</v>
      </c>
      <c r="AC561" s="1"/>
      <c r="AD561" s="1">
        <v>45040</v>
      </c>
      <c r="AE561" s="1">
        <v>45190</v>
      </c>
      <c r="AF561" s="1"/>
      <c r="AG561" s="1" t="s">
        <v>1110</v>
      </c>
      <c r="AH561" s="1" t="s">
        <v>1120</v>
      </c>
      <c r="AI561" s="1"/>
      <c r="AJ561" s="31">
        <v>45040</v>
      </c>
      <c r="AK561"/>
      <c r="AL561"/>
      <c r="AM561"/>
      <c r="AN561"/>
      <c r="AO561"/>
      <c r="AP561"/>
      <c r="AQ561" s="81"/>
      <c r="AR561" s="81"/>
      <c r="AS561" s="81"/>
      <c r="AT561" s="81"/>
      <c r="AU561" s="81"/>
      <c r="AV561" s="81"/>
      <c r="AW561" s="81"/>
      <c r="AX561" s="81"/>
      <c r="AY561" s="81"/>
    </row>
    <row r="562" spans="1:51" hidden="1">
      <c r="A562" s="1" t="s">
        <v>2542</v>
      </c>
      <c r="B562" s="1">
        <v>230408</v>
      </c>
      <c r="D562" s="1" t="s">
        <v>414</v>
      </c>
      <c r="E562" s="1" t="s">
        <v>1065</v>
      </c>
      <c r="F562" t="s">
        <v>1083</v>
      </c>
      <c r="G562" t="s">
        <v>1068</v>
      </c>
      <c r="H562" s="1" t="s">
        <v>3655</v>
      </c>
      <c r="I562" s="1" t="s">
        <v>3656</v>
      </c>
      <c r="J562" s="1" t="s">
        <v>18</v>
      </c>
      <c r="K562" s="1" t="s">
        <v>50</v>
      </c>
      <c r="L562" s="1">
        <v>34351</v>
      </c>
      <c r="M562" s="1">
        <v>31</v>
      </c>
      <c r="N562" s="1">
        <v>1300</v>
      </c>
      <c r="P562" s="1">
        <v>1650</v>
      </c>
      <c r="Q562" s="1"/>
      <c r="R562" s="1">
        <v>350</v>
      </c>
      <c r="S562">
        <v>180000</v>
      </c>
      <c r="T562">
        <v>9027</v>
      </c>
      <c r="U562" t="s">
        <v>814</v>
      </c>
      <c r="V562">
        <v>16470</v>
      </c>
      <c r="W562" s="1">
        <v>45459</v>
      </c>
      <c r="X562" s="1" t="s">
        <v>55</v>
      </c>
      <c r="Y562" s="1" t="s">
        <v>51</v>
      </c>
      <c r="Z562" s="1" t="s">
        <v>1121</v>
      </c>
      <c r="AA562" s="1" t="s">
        <v>1122</v>
      </c>
      <c r="AB562" s="1" t="s">
        <v>1123</v>
      </c>
      <c r="AC562" s="1">
        <v>45042</v>
      </c>
      <c r="AD562" s="1">
        <v>45043</v>
      </c>
      <c r="AE562" s="1">
        <v>45065</v>
      </c>
      <c r="AF562" s="1"/>
      <c r="AG562" s="1" t="s">
        <v>1110</v>
      </c>
      <c r="AH562" s="1" t="s">
        <v>1120</v>
      </c>
      <c r="AI562" s="1"/>
      <c r="AJ562" s="31">
        <v>45043</v>
      </c>
      <c r="AK562"/>
      <c r="AL562"/>
      <c r="AM562"/>
      <c r="AN562"/>
      <c r="AO562"/>
      <c r="AP562"/>
      <c r="AQ562" s="81"/>
      <c r="AR562" s="81"/>
      <c r="AS562" s="81"/>
      <c r="AT562" s="81"/>
      <c r="AU562" s="81"/>
      <c r="AV562" s="81"/>
      <c r="AW562" s="81"/>
      <c r="AX562" s="81"/>
      <c r="AY562" s="81"/>
    </row>
    <row r="563" spans="1:51" hidden="1">
      <c r="A563" s="1" t="s">
        <v>2542</v>
      </c>
      <c r="B563" s="1">
        <v>230501</v>
      </c>
      <c r="D563" s="1" t="s">
        <v>688</v>
      </c>
      <c r="E563" s="1" t="s">
        <v>851</v>
      </c>
      <c r="F563" t="s">
        <v>851</v>
      </c>
      <c r="G563" t="s">
        <v>1183</v>
      </c>
      <c r="H563" s="1" t="s">
        <v>3657</v>
      </c>
      <c r="I563" s="1" t="s">
        <v>3658</v>
      </c>
      <c r="J563" s="1" t="s">
        <v>18</v>
      </c>
      <c r="K563" s="1" t="s">
        <v>50</v>
      </c>
      <c r="L563" s="1">
        <v>34695</v>
      </c>
      <c r="M563" s="1">
        <v>30</v>
      </c>
      <c r="N563" s="1">
        <v>1350</v>
      </c>
      <c r="P563" s="1">
        <v>1800</v>
      </c>
      <c r="Q563" s="1"/>
      <c r="R563" s="1">
        <v>450</v>
      </c>
      <c r="S563">
        <v>180000</v>
      </c>
      <c r="T563">
        <v>9027</v>
      </c>
      <c r="U563" t="s">
        <v>814</v>
      </c>
      <c r="V563">
        <v>16470</v>
      </c>
      <c r="W563" s="1">
        <v>46119</v>
      </c>
      <c r="X563" s="1" t="s">
        <v>55</v>
      </c>
      <c r="Y563" s="1" t="s">
        <v>51</v>
      </c>
      <c r="Z563" s="1" t="s">
        <v>761</v>
      </c>
      <c r="AA563" s="1" t="s">
        <v>1124</v>
      </c>
      <c r="AB563" s="1" t="s">
        <v>1125</v>
      </c>
      <c r="AC563" s="1">
        <v>45055</v>
      </c>
      <c r="AD563" s="1">
        <v>45056</v>
      </c>
      <c r="AE563" s="1">
        <v>45285</v>
      </c>
      <c r="AF563" s="1"/>
      <c r="AG563" s="1" t="s">
        <v>1126</v>
      </c>
      <c r="AH563" s="1" t="s">
        <v>1127</v>
      </c>
      <c r="AI563" s="1"/>
      <c r="AJ563" s="31">
        <v>45056</v>
      </c>
      <c r="AK563"/>
      <c r="AL563"/>
      <c r="AM563"/>
      <c r="AN563"/>
      <c r="AO563"/>
      <c r="AP563"/>
      <c r="AQ563" s="81"/>
      <c r="AR563" s="81"/>
      <c r="AS563" s="81"/>
      <c r="AT563" s="81"/>
      <c r="AU563" s="81"/>
      <c r="AV563" s="81"/>
      <c r="AW563" s="81"/>
      <c r="AX563" s="81"/>
      <c r="AY563" s="81"/>
    </row>
    <row r="564" spans="1:51" hidden="1">
      <c r="A564" s="1" t="s">
        <v>2542</v>
      </c>
      <c r="B564" s="1">
        <v>230502</v>
      </c>
      <c r="C564" s="1">
        <v>242063</v>
      </c>
      <c r="D564" s="1" t="s">
        <v>69</v>
      </c>
      <c r="E564" s="1" t="s">
        <v>306</v>
      </c>
      <c r="F564" t="s">
        <v>742</v>
      </c>
      <c r="G564" t="s">
        <v>317</v>
      </c>
      <c r="H564" s="1" t="s">
        <v>3659</v>
      </c>
      <c r="I564" s="1" t="s">
        <v>3660</v>
      </c>
      <c r="J564" s="1" t="s">
        <v>18</v>
      </c>
      <c r="K564" s="1" t="s">
        <v>50</v>
      </c>
      <c r="L564" s="1">
        <v>36559</v>
      </c>
      <c r="M564" s="1">
        <v>25</v>
      </c>
      <c r="N564" s="1">
        <v>1200</v>
      </c>
      <c r="P564" s="1">
        <v>1650</v>
      </c>
      <c r="Q564" s="1"/>
      <c r="R564" s="1">
        <v>450</v>
      </c>
      <c r="S564">
        <v>180000</v>
      </c>
      <c r="T564">
        <v>9027</v>
      </c>
      <c r="U564" t="s">
        <v>814</v>
      </c>
      <c r="V564">
        <v>16470</v>
      </c>
      <c r="W564" s="1">
        <v>45422</v>
      </c>
      <c r="X564" s="1" t="s">
        <v>55</v>
      </c>
      <c r="Y564" s="1" t="s">
        <v>51</v>
      </c>
      <c r="Z564" s="1" t="s">
        <v>485</v>
      </c>
      <c r="AA564" s="1" t="s">
        <v>1133</v>
      </c>
      <c r="AB564" s="1" t="s">
        <v>1134</v>
      </c>
      <c r="AC564" s="1">
        <v>45056</v>
      </c>
      <c r="AD564" s="1">
        <v>45061</v>
      </c>
      <c r="AE564" s="1">
        <v>45229</v>
      </c>
      <c r="AF564" s="1"/>
      <c r="AG564" s="1" t="s">
        <v>1126</v>
      </c>
      <c r="AH564" s="1" t="s">
        <v>1130</v>
      </c>
      <c r="AI564" s="1"/>
      <c r="AJ564" s="31">
        <v>45061</v>
      </c>
      <c r="AK564"/>
      <c r="AL564"/>
      <c r="AM564"/>
      <c r="AN564"/>
      <c r="AO564"/>
      <c r="AP564"/>
      <c r="AQ564" s="81"/>
      <c r="AR564" s="81"/>
      <c r="AS564" s="81"/>
      <c r="AT564" s="81"/>
      <c r="AU564" s="81"/>
      <c r="AV564" s="81"/>
      <c r="AW564" s="81"/>
      <c r="AX564" s="81"/>
      <c r="AY564" s="81"/>
    </row>
    <row r="565" spans="1:51" hidden="1">
      <c r="A565" s="1" t="s">
        <v>2542</v>
      </c>
      <c r="B565" s="1">
        <v>230506</v>
      </c>
      <c r="C565" s="1">
        <v>232105</v>
      </c>
      <c r="D565" s="1" t="s">
        <v>83</v>
      </c>
      <c r="E565" s="1" t="s">
        <v>307</v>
      </c>
      <c r="F565" t="s">
        <v>2251</v>
      </c>
      <c r="G565" t="s">
        <v>2252</v>
      </c>
      <c r="H565" s="1" t="s">
        <v>1128</v>
      </c>
      <c r="I565" s="1" t="s">
        <v>1129</v>
      </c>
      <c r="J565" s="1" t="s">
        <v>18</v>
      </c>
      <c r="K565" s="1" t="s">
        <v>50</v>
      </c>
      <c r="L565" s="1">
        <v>37030</v>
      </c>
      <c r="M565" s="1">
        <v>24</v>
      </c>
      <c r="N565" s="1">
        <v>1310</v>
      </c>
      <c r="P565" s="1">
        <v>1690</v>
      </c>
      <c r="Q565" s="1"/>
      <c r="R565" s="1">
        <v>380</v>
      </c>
      <c r="S565">
        <v>280000</v>
      </c>
      <c r="T565">
        <v>14042</v>
      </c>
      <c r="U565" t="s">
        <v>814</v>
      </c>
      <c r="V565">
        <v>25620</v>
      </c>
      <c r="W565" s="1">
        <v>46527</v>
      </c>
      <c r="X565" s="1" t="s">
        <v>55</v>
      </c>
      <c r="Y565" s="1" t="s">
        <v>51</v>
      </c>
      <c r="Z565" s="1" t="s">
        <v>110</v>
      </c>
      <c r="AA565" s="1" t="s">
        <v>131</v>
      </c>
      <c r="AB565" s="1" t="s">
        <v>3885</v>
      </c>
      <c r="AC565" s="1">
        <v>45056</v>
      </c>
      <c r="AD565" s="1">
        <v>45061</v>
      </c>
      <c r="AE565" s="1">
        <v>45705</v>
      </c>
      <c r="AF565" s="1"/>
      <c r="AG565" s="1" t="s">
        <v>1126</v>
      </c>
      <c r="AH565" s="1" t="s">
        <v>1130</v>
      </c>
      <c r="AI565" s="1"/>
      <c r="AJ565" s="31">
        <v>45061</v>
      </c>
      <c r="AK565"/>
      <c r="AL565"/>
      <c r="AM565"/>
      <c r="AN565"/>
      <c r="AO565"/>
      <c r="AP565"/>
      <c r="AQ565" s="81"/>
      <c r="AR565" s="81"/>
      <c r="AS565" s="81"/>
      <c r="AT565" s="81"/>
      <c r="AU565" s="81"/>
      <c r="AV565" s="81"/>
      <c r="AW565" s="81"/>
      <c r="AX565" s="81"/>
      <c r="AY565" s="81"/>
    </row>
    <row r="566" spans="1:51">
      <c r="A566" s="1" t="s">
        <v>49</v>
      </c>
      <c r="B566" s="1">
        <v>250107</v>
      </c>
      <c r="C566" s="1">
        <v>222082</v>
      </c>
      <c r="D566" s="1" t="s">
        <v>62</v>
      </c>
      <c r="E566" s="1" t="s">
        <v>3935</v>
      </c>
      <c r="F566" t="s">
        <v>794</v>
      </c>
      <c r="G566" t="s">
        <v>316</v>
      </c>
      <c r="H566" s="1" t="s">
        <v>4072</v>
      </c>
      <c r="I566" s="1" t="s">
        <v>4073</v>
      </c>
      <c r="J566" s="1" t="s">
        <v>18</v>
      </c>
      <c r="K566" s="1" t="s">
        <v>50</v>
      </c>
      <c r="L566" s="1">
        <v>37475</v>
      </c>
      <c r="M566" s="1">
        <v>23</v>
      </c>
      <c r="N566" s="1">
        <v>1260</v>
      </c>
      <c r="P566" s="1">
        <v>1650</v>
      </c>
      <c r="Q566" s="1"/>
      <c r="R566" s="1">
        <v>390</v>
      </c>
      <c r="S566">
        <v>240000</v>
      </c>
      <c r="T566">
        <v>12036</v>
      </c>
      <c r="U566" t="s">
        <v>814</v>
      </c>
      <c r="V566">
        <v>21960</v>
      </c>
      <c r="W566" s="1">
        <v>46762</v>
      </c>
      <c r="X566" s="1" t="s">
        <v>55</v>
      </c>
      <c r="Y566" s="1" t="s">
        <v>51</v>
      </c>
      <c r="Z566" s="1" t="s">
        <v>817</v>
      </c>
      <c r="AA566" s="1" t="s">
        <v>1422</v>
      </c>
      <c r="AB566" s="1" t="s">
        <v>1354</v>
      </c>
      <c r="AC566" s="1"/>
      <c r="AD566" s="1">
        <v>45673</v>
      </c>
      <c r="AE566" s="1"/>
      <c r="AF566" s="1"/>
      <c r="AG566" s="1">
        <v>45673</v>
      </c>
      <c r="AH566" s="1" t="s">
        <v>4184</v>
      </c>
      <c r="AI566" s="1"/>
      <c r="AJ566" s="31">
        <v>45673</v>
      </c>
      <c r="AK566"/>
      <c r="AL566"/>
      <c r="AM566"/>
      <c r="AN566"/>
      <c r="AO566" t="s">
        <v>4165</v>
      </c>
      <c r="AP566"/>
      <c r="AQ566" s="81"/>
      <c r="AR566" s="81"/>
      <c r="AS566" s="81"/>
      <c r="AT566" s="81"/>
      <c r="AU566" s="81"/>
      <c r="AV566" s="81"/>
      <c r="AW566" s="81"/>
      <c r="AX566" s="81"/>
      <c r="AY566" s="81"/>
    </row>
    <row r="567" spans="1:51" hidden="1">
      <c r="A567" s="1" t="s">
        <v>2542</v>
      </c>
      <c r="B567" s="1">
        <v>230504</v>
      </c>
      <c r="C567" s="1">
        <v>242064</v>
      </c>
      <c r="D567" s="1" t="s">
        <v>69</v>
      </c>
      <c r="E567" s="1" t="s">
        <v>310</v>
      </c>
      <c r="F567" t="s">
        <v>749</v>
      </c>
      <c r="G567" t="s">
        <v>1093</v>
      </c>
      <c r="H567" s="1" t="s">
        <v>1131</v>
      </c>
      <c r="I567" s="1" t="s">
        <v>1132</v>
      </c>
      <c r="J567" s="1" t="s">
        <v>18</v>
      </c>
      <c r="K567" s="1" t="s">
        <v>50</v>
      </c>
      <c r="L567" s="1">
        <v>36849</v>
      </c>
      <c r="M567" s="1">
        <v>25</v>
      </c>
      <c r="N567" s="1">
        <v>1310</v>
      </c>
      <c r="P567" s="1">
        <v>1680</v>
      </c>
      <c r="Q567" s="1"/>
      <c r="R567" s="1">
        <v>370</v>
      </c>
      <c r="S567">
        <v>300000</v>
      </c>
      <c r="T567">
        <v>15045</v>
      </c>
      <c r="U567" t="s">
        <v>814</v>
      </c>
      <c r="V567">
        <v>27450</v>
      </c>
      <c r="W567" s="1">
        <v>46184</v>
      </c>
      <c r="X567" s="1" t="s">
        <v>55</v>
      </c>
      <c r="Y567" s="1" t="s">
        <v>51</v>
      </c>
      <c r="Z567" s="1" t="s">
        <v>72</v>
      </c>
      <c r="AA567" s="1" t="s">
        <v>526</v>
      </c>
      <c r="AB567" s="1" t="s">
        <v>527</v>
      </c>
      <c r="AC567" s="1">
        <v>45056</v>
      </c>
      <c r="AD567" s="1">
        <v>45061</v>
      </c>
      <c r="AE567" s="1">
        <v>45915</v>
      </c>
      <c r="AF567" s="1"/>
      <c r="AG567" s="1" t="s">
        <v>1126</v>
      </c>
      <c r="AH567" s="1" t="s">
        <v>1130</v>
      </c>
      <c r="AI567" s="1"/>
      <c r="AJ567" s="31">
        <v>45061</v>
      </c>
      <c r="AK567"/>
      <c r="AL567"/>
      <c r="AM567"/>
      <c r="AN567"/>
      <c r="AO567" t="s">
        <v>4165</v>
      </c>
      <c r="AP567"/>
      <c r="AQ567" s="81"/>
      <c r="AR567" s="81"/>
      <c r="AS567" s="81"/>
      <c r="AT567" s="81"/>
      <c r="AU567" s="81"/>
      <c r="AV567" s="81"/>
      <c r="AW567" s="81"/>
      <c r="AX567" s="81"/>
      <c r="AY567" s="81"/>
    </row>
    <row r="568" spans="1:51">
      <c r="A568" s="1" t="s">
        <v>49</v>
      </c>
      <c r="B568" s="1">
        <v>250404</v>
      </c>
      <c r="C568" s="1">
        <v>222087</v>
      </c>
      <c r="D568" s="1" t="s">
        <v>62</v>
      </c>
      <c r="E568" s="1" t="s">
        <v>3935</v>
      </c>
      <c r="F568" t="s">
        <v>794</v>
      </c>
      <c r="G568" t="s">
        <v>316</v>
      </c>
      <c r="H568" s="1" t="s">
        <v>4237</v>
      </c>
      <c r="I568" s="1" t="s">
        <v>4238</v>
      </c>
      <c r="J568" s="1" t="s">
        <v>18</v>
      </c>
      <c r="K568" s="1" t="s">
        <v>50</v>
      </c>
      <c r="L568" s="1">
        <v>34535</v>
      </c>
      <c r="M568" s="1">
        <v>31</v>
      </c>
      <c r="N568" s="1">
        <v>1200</v>
      </c>
      <c r="P568" s="1">
        <v>1650</v>
      </c>
      <c r="Q568" s="1"/>
      <c r="R568" s="1">
        <v>450</v>
      </c>
      <c r="S568">
        <v>200000</v>
      </c>
      <c r="T568">
        <v>10030</v>
      </c>
      <c r="U568" t="s">
        <v>814</v>
      </c>
      <c r="V568">
        <v>18300</v>
      </c>
      <c r="W568" s="1">
        <v>46837</v>
      </c>
      <c r="X568" s="1" t="s">
        <v>55</v>
      </c>
      <c r="Y568" s="1" t="s">
        <v>51</v>
      </c>
      <c r="Z568" s="1" t="s">
        <v>91</v>
      </c>
      <c r="AA568" s="1" t="s">
        <v>158</v>
      </c>
      <c r="AB568" s="1" t="s">
        <v>159</v>
      </c>
      <c r="AC568" s="1"/>
      <c r="AD568" s="1">
        <v>45748</v>
      </c>
      <c r="AE568" s="1"/>
      <c r="AF568" s="1"/>
      <c r="AG568" s="1">
        <v>45748</v>
      </c>
      <c r="AH568" s="1" t="s">
        <v>2346</v>
      </c>
      <c r="AI568" s="1"/>
      <c r="AJ568" s="31">
        <v>45748</v>
      </c>
      <c r="AK568"/>
      <c r="AL568"/>
      <c r="AM568"/>
      <c r="AN568"/>
      <c r="AO568"/>
      <c r="AP568"/>
      <c r="AQ568" s="81"/>
      <c r="AR568" s="81"/>
      <c r="AS568" s="81"/>
      <c r="AT568" s="81"/>
      <c r="AU568" s="81"/>
      <c r="AV568" s="81"/>
      <c r="AW568" s="81"/>
      <c r="AX568" s="81"/>
      <c r="AY568" s="81"/>
    </row>
    <row r="569" spans="1:51" hidden="1">
      <c r="A569" s="1" t="s">
        <v>2542</v>
      </c>
      <c r="B569" s="1">
        <v>210107</v>
      </c>
      <c r="C569" s="1">
        <v>8210056</v>
      </c>
      <c r="D569" s="1" t="s">
        <v>818</v>
      </c>
      <c r="E569" s="1" t="s">
        <v>819</v>
      </c>
      <c r="F569" t="s">
        <v>819</v>
      </c>
      <c r="G569"/>
      <c r="H569" s="1" t="s">
        <v>418</v>
      </c>
      <c r="I569" s="1" t="s">
        <v>419</v>
      </c>
      <c r="J569" s="1" t="s">
        <v>18</v>
      </c>
      <c r="K569" s="1" t="s">
        <v>50</v>
      </c>
      <c r="L569" s="1">
        <v>33227</v>
      </c>
      <c r="M569" s="1">
        <v>34</v>
      </c>
      <c r="N569" s="1">
        <v>1430</v>
      </c>
      <c r="P569" s="1">
        <v>2020</v>
      </c>
      <c r="Q569" s="1"/>
      <c r="R569" s="1">
        <v>590</v>
      </c>
      <c r="S569">
        <v>410000</v>
      </c>
      <c r="T569">
        <v>20561</v>
      </c>
      <c r="U569" t="s">
        <v>814</v>
      </c>
      <c r="V569">
        <v>37515</v>
      </c>
      <c r="W569" s="1">
        <v>46545</v>
      </c>
      <c r="X569" s="1" t="s">
        <v>55</v>
      </c>
      <c r="Y569" s="1" t="s">
        <v>51</v>
      </c>
      <c r="Z569" s="1" t="s">
        <v>982</v>
      </c>
      <c r="AA569" s="1" t="s">
        <v>983</v>
      </c>
      <c r="AB569" s="1" t="s">
        <v>984</v>
      </c>
      <c r="AC569" s="1">
        <v>45073</v>
      </c>
      <c r="AD569" s="1">
        <v>45064</v>
      </c>
      <c r="AE569" s="1">
        <v>45699</v>
      </c>
      <c r="AF569" s="1"/>
      <c r="AG569" s="1" t="s">
        <v>1126</v>
      </c>
      <c r="AH569" s="1" t="s">
        <v>1127</v>
      </c>
      <c r="AI569" s="1"/>
      <c r="AJ569" s="31">
        <v>45064</v>
      </c>
      <c r="AK569" t="s">
        <v>2423</v>
      </c>
      <c r="AL569">
        <v>45677</v>
      </c>
      <c r="AM569" t="s">
        <v>2423</v>
      </c>
      <c r="AN569">
        <v>45795</v>
      </c>
      <c r="AO569"/>
      <c r="AP569"/>
      <c r="AQ569" s="81"/>
      <c r="AR569" s="81"/>
      <c r="AS569" s="81"/>
      <c r="AT569" s="81"/>
      <c r="AU569" s="81"/>
      <c r="AV569" s="81"/>
      <c r="AW569" s="81"/>
      <c r="AX569" s="81"/>
      <c r="AY569" s="81"/>
    </row>
    <row r="570" spans="1:51" hidden="1">
      <c r="A570" s="1" t="s">
        <v>49</v>
      </c>
      <c r="B570" s="1">
        <v>230507</v>
      </c>
      <c r="D570" s="1" t="s">
        <v>447</v>
      </c>
      <c r="E570" s="1" t="s">
        <v>1270</v>
      </c>
      <c r="F570" t="s">
        <v>1271</v>
      </c>
      <c r="G570" t="s">
        <v>1267</v>
      </c>
      <c r="H570" s="1" t="s">
        <v>1139</v>
      </c>
      <c r="I570" s="1" t="s">
        <v>1140</v>
      </c>
      <c r="J570" s="1" t="s">
        <v>18</v>
      </c>
      <c r="K570" s="1" t="s">
        <v>50</v>
      </c>
      <c r="L570" s="1">
        <v>36566</v>
      </c>
      <c r="M570" s="1">
        <v>25</v>
      </c>
      <c r="N570" s="1">
        <v>1350</v>
      </c>
      <c r="P570" s="1">
        <v>1750</v>
      </c>
      <c r="Q570" s="1"/>
      <c r="R570" s="1">
        <v>400</v>
      </c>
      <c r="S570">
        <v>300000</v>
      </c>
      <c r="T570">
        <v>15045</v>
      </c>
      <c r="U570" t="s">
        <v>814</v>
      </c>
      <c r="V570">
        <v>27450</v>
      </c>
      <c r="W570" s="1">
        <v>46931</v>
      </c>
      <c r="X570" s="1" t="s">
        <v>55</v>
      </c>
      <c r="Y570" s="1" t="s">
        <v>51</v>
      </c>
      <c r="Z570" s="1" t="s">
        <v>448</v>
      </c>
      <c r="AA570" s="1" t="s">
        <v>449</v>
      </c>
      <c r="AB570" s="1" t="s">
        <v>1199</v>
      </c>
      <c r="AC570" s="1">
        <v>45063</v>
      </c>
      <c r="AD570" s="1">
        <v>45068</v>
      </c>
      <c r="AE570" s="1"/>
      <c r="AF570" s="1"/>
      <c r="AG570" s="1" t="s">
        <v>1274</v>
      </c>
      <c r="AH570" s="1" t="s">
        <v>1275</v>
      </c>
      <c r="AI570" s="1"/>
      <c r="AJ570" s="31">
        <v>45068</v>
      </c>
      <c r="AK570"/>
      <c r="AL570"/>
      <c r="AM570"/>
      <c r="AN570"/>
      <c r="AO570"/>
      <c r="AP570"/>
      <c r="AQ570" s="81"/>
      <c r="AR570" s="81"/>
      <c r="AS570" s="81"/>
      <c r="AT570" s="81"/>
      <c r="AU570" s="81"/>
      <c r="AV570" s="81"/>
      <c r="AW570" s="81"/>
      <c r="AX570" s="81"/>
      <c r="AY570" s="81"/>
    </row>
    <row r="571" spans="1:51" hidden="1">
      <c r="A571" s="1" t="s">
        <v>49</v>
      </c>
      <c r="B571" s="1">
        <v>230508</v>
      </c>
      <c r="D571" s="1" t="s">
        <v>447</v>
      </c>
      <c r="E571" s="1" t="s">
        <v>1270</v>
      </c>
      <c r="F571" t="s">
        <v>1271</v>
      </c>
      <c r="G571" t="s">
        <v>1267</v>
      </c>
      <c r="H571" s="1" t="s">
        <v>1141</v>
      </c>
      <c r="I571" s="1" t="s">
        <v>1142</v>
      </c>
      <c r="J571" s="1" t="s">
        <v>18</v>
      </c>
      <c r="K571" s="1" t="s">
        <v>50</v>
      </c>
      <c r="L571" s="1">
        <v>37185</v>
      </c>
      <c r="M571" s="1">
        <v>24</v>
      </c>
      <c r="N571" s="1">
        <v>1310</v>
      </c>
      <c r="P571" s="1">
        <v>1700</v>
      </c>
      <c r="Q571" s="1"/>
      <c r="R571" s="1">
        <v>390</v>
      </c>
      <c r="S571">
        <v>300000</v>
      </c>
      <c r="T571">
        <v>15045</v>
      </c>
      <c r="U571" t="s">
        <v>814</v>
      </c>
      <c r="V571">
        <v>27450</v>
      </c>
      <c r="W571" s="1">
        <v>46931</v>
      </c>
      <c r="X571" s="1" t="s">
        <v>55</v>
      </c>
      <c r="Y571" s="1" t="s">
        <v>51</v>
      </c>
      <c r="Z571" s="1" t="s">
        <v>448</v>
      </c>
      <c r="AA571" s="1" t="s">
        <v>449</v>
      </c>
      <c r="AB571" s="1" t="s">
        <v>1199</v>
      </c>
      <c r="AC571" s="1">
        <v>45063</v>
      </c>
      <c r="AD571" s="1">
        <v>45068</v>
      </c>
      <c r="AE571" s="1"/>
      <c r="AF571" s="1"/>
      <c r="AG571" s="1" t="s">
        <v>1274</v>
      </c>
      <c r="AH571" s="1" t="s">
        <v>1275</v>
      </c>
      <c r="AI571" s="1"/>
      <c r="AJ571" s="31">
        <v>45068</v>
      </c>
      <c r="AK571"/>
      <c r="AL571"/>
      <c r="AM571"/>
      <c r="AN571"/>
      <c r="AO571"/>
      <c r="AP571"/>
      <c r="AQ571" s="81"/>
      <c r="AR571" s="81"/>
      <c r="AS571" s="81"/>
      <c r="AT571" s="81"/>
      <c r="AU571" s="81"/>
      <c r="AV571" s="81"/>
      <c r="AW571" s="81"/>
      <c r="AX571" s="81"/>
      <c r="AY571" s="81"/>
    </row>
    <row r="572" spans="1:51" hidden="1">
      <c r="A572" s="1" t="s">
        <v>2542</v>
      </c>
      <c r="B572" s="1">
        <v>230509</v>
      </c>
      <c r="D572" s="1" t="s">
        <v>447</v>
      </c>
      <c r="E572" s="1" t="s">
        <v>1270</v>
      </c>
      <c r="F572" t="s">
        <v>1271</v>
      </c>
      <c r="G572" t="s">
        <v>1267</v>
      </c>
      <c r="H572" s="1" t="s">
        <v>1143</v>
      </c>
      <c r="I572" s="1" t="s">
        <v>1144</v>
      </c>
      <c r="J572" s="1" t="s">
        <v>18</v>
      </c>
      <c r="K572" s="1" t="s">
        <v>50</v>
      </c>
      <c r="L572" s="1">
        <v>33983</v>
      </c>
      <c r="M572" s="1">
        <v>32</v>
      </c>
      <c r="N572" s="1">
        <v>1250</v>
      </c>
      <c r="P572" s="1">
        <v>1700</v>
      </c>
      <c r="Q572" s="1"/>
      <c r="R572" s="1">
        <v>450</v>
      </c>
      <c r="S572">
        <v>280000</v>
      </c>
      <c r="T572">
        <v>14042</v>
      </c>
      <c r="U572" t="s">
        <v>814</v>
      </c>
      <c r="V572">
        <v>25620</v>
      </c>
      <c r="W572" s="1">
        <v>45835</v>
      </c>
      <c r="X572" s="1" t="s">
        <v>55</v>
      </c>
      <c r="Y572" s="1" t="s">
        <v>51</v>
      </c>
      <c r="Z572" s="1" t="s">
        <v>448</v>
      </c>
      <c r="AA572" s="1" t="s">
        <v>449</v>
      </c>
      <c r="AB572" s="1" t="s">
        <v>1200</v>
      </c>
      <c r="AC572" s="1">
        <v>45077</v>
      </c>
      <c r="AD572" s="1">
        <v>45068</v>
      </c>
      <c r="AE572" s="1">
        <v>45568</v>
      </c>
      <c r="AF572" s="1"/>
      <c r="AG572" s="1" t="s">
        <v>1274</v>
      </c>
      <c r="AH572" s="1" t="s">
        <v>1275</v>
      </c>
      <c r="AI572" s="1"/>
      <c r="AJ572" s="31">
        <v>45068</v>
      </c>
      <c r="AK572"/>
      <c r="AL572"/>
      <c r="AM572"/>
      <c r="AN572"/>
      <c r="AO572"/>
      <c r="AP572"/>
      <c r="AQ572" s="81"/>
      <c r="AR572" s="81"/>
      <c r="AS572" s="81"/>
      <c r="AT572" s="81"/>
      <c r="AU572" s="81"/>
      <c r="AV572" s="81"/>
      <c r="AW572" s="81"/>
      <c r="AX572" s="81"/>
      <c r="AY572" s="81"/>
    </row>
    <row r="573" spans="1:51" hidden="1">
      <c r="A573" s="1" t="s">
        <v>2542</v>
      </c>
      <c r="B573" s="1">
        <v>230510</v>
      </c>
      <c r="D573" s="1" t="s">
        <v>447</v>
      </c>
      <c r="E573" s="1" t="s">
        <v>1270</v>
      </c>
      <c r="F573" t="s">
        <v>1271</v>
      </c>
      <c r="G573" t="s">
        <v>1267</v>
      </c>
      <c r="H573" s="1" t="s">
        <v>2424</v>
      </c>
      <c r="I573" s="1" t="s">
        <v>1145</v>
      </c>
      <c r="J573" s="1" t="s">
        <v>18</v>
      </c>
      <c r="K573" s="1" t="s">
        <v>50</v>
      </c>
      <c r="L573" s="1">
        <v>35086</v>
      </c>
      <c r="M573" s="1">
        <v>29</v>
      </c>
      <c r="N573" s="1">
        <v>1250</v>
      </c>
      <c r="P573" s="1">
        <v>1700</v>
      </c>
      <c r="Q573" s="1"/>
      <c r="R573" s="1">
        <v>450</v>
      </c>
      <c r="S573">
        <v>320000</v>
      </c>
      <c r="T573">
        <v>16048</v>
      </c>
      <c r="U573" t="s">
        <v>814</v>
      </c>
      <c r="V573">
        <v>29280</v>
      </c>
      <c r="W573" s="1">
        <v>45835</v>
      </c>
      <c r="X573" s="1" t="s">
        <v>55</v>
      </c>
      <c r="Y573" s="1" t="s">
        <v>51</v>
      </c>
      <c r="Z573" s="1" t="s">
        <v>448</v>
      </c>
      <c r="AA573" s="1" t="s">
        <v>449</v>
      </c>
      <c r="AB573" s="1" t="s">
        <v>1200</v>
      </c>
      <c r="AC573" s="1">
        <v>45077</v>
      </c>
      <c r="AD573" s="1">
        <v>45068</v>
      </c>
      <c r="AE573" s="1">
        <v>45531</v>
      </c>
      <c r="AF573" s="1"/>
      <c r="AG573" s="1" t="s">
        <v>1274</v>
      </c>
      <c r="AH573" s="1" t="s">
        <v>1275</v>
      </c>
      <c r="AI573" s="1"/>
      <c r="AJ573" s="31">
        <v>45068</v>
      </c>
      <c r="AK573"/>
      <c r="AL573"/>
      <c r="AM573"/>
      <c r="AN573"/>
      <c r="AO573"/>
      <c r="AP573"/>
      <c r="AQ573" s="81"/>
      <c r="AR573" s="81"/>
      <c r="AS573" s="81"/>
      <c r="AT573" s="81"/>
      <c r="AU573" s="81"/>
      <c r="AV573" s="81"/>
      <c r="AW573" s="81"/>
      <c r="AX573" s="81"/>
      <c r="AY573" s="81"/>
    </row>
    <row r="574" spans="1:51" hidden="1">
      <c r="A574" s="1" t="s">
        <v>2542</v>
      </c>
      <c r="B574" s="1">
        <v>230601</v>
      </c>
      <c r="C574" s="1">
        <v>8210057</v>
      </c>
      <c r="D574" s="1" t="s">
        <v>818</v>
      </c>
      <c r="E574" s="1" t="s">
        <v>834</v>
      </c>
      <c r="F574" t="s">
        <v>834</v>
      </c>
      <c r="G574"/>
      <c r="H574" s="1" t="s">
        <v>1146</v>
      </c>
      <c r="I574" s="1" t="s">
        <v>1147</v>
      </c>
      <c r="J574" s="1" t="s">
        <v>18</v>
      </c>
      <c r="K574" s="1" t="s">
        <v>50</v>
      </c>
      <c r="L574" s="1">
        <v>30966</v>
      </c>
      <c r="M574" s="1">
        <v>41</v>
      </c>
      <c r="N574" s="1">
        <v>1430</v>
      </c>
      <c r="P574" s="1">
        <v>2020</v>
      </c>
      <c r="Q574" s="1"/>
      <c r="R574" s="1">
        <v>590</v>
      </c>
      <c r="S574">
        <v>380000</v>
      </c>
      <c r="T574">
        <v>19057</v>
      </c>
      <c r="U574">
        <v>3021</v>
      </c>
      <c r="V574">
        <v>34770</v>
      </c>
      <c r="W574" s="1">
        <v>45701</v>
      </c>
      <c r="X574" s="1" t="s">
        <v>55</v>
      </c>
      <c r="Y574" s="1" t="s">
        <v>51</v>
      </c>
      <c r="Z574" s="1" t="s">
        <v>2751</v>
      </c>
      <c r="AA574" s="1" t="s">
        <v>2752</v>
      </c>
      <c r="AB574" s="1" t="s">
        <v>3892</v>
      </c>
      <c r="AC574" s="1" t="s">
        <v>53</v>
      </c>
      <c r="AD574" s="1">
        <v>45078</v>
      </c>
      <c r="AE574" s="1">
        <v>45687</v>
      </c>
      <c r="AF574" s="1"/>
      <c r="AG574" s="1" t="s">
        <v>1126</v>
      </c>
      <c r="AH574" s="1" t="s">
        <v>1202</v>
      </c>
      <c r="AI574" s="1"/>
      <c r="AJ574" s="31">
        <v>45078</v>
      </c>
      <c r="AK574" t="s">
        <v>2423</v>
      </c>
      <c r="AL574">
        <v>45607</v>
      </c>
      <c r="AM574" t="s">
        <v>2423</v>
      </c>
      <c r="AN574">
        <v>46019</v>
      </c>
      <c r="AO574"/>
      <c r="AP574"/>
      <c r="AQ574" s="81"/>
      <c r="AR574" s="81"/>
      <c r="AS574" s="81"/>
      <c r="AT574" s="81"/>
      <c r="AU574" s="81"/>
      <c r="AV574" s="81"/>
      <c r="AW574" s="81"/>
      <c r="AX574" s="81"/>
      <c r="AY574" s="81"/>
    </row>
    <row r="575" spans="1:51" hidden="1">
      <c r="A575" s="1" t="s">
        <v>49</v>
      </c>
      <c r="B575" s="1">
        <v>230602</v>
      </c>
      <c r="C575" s="1">
        <v>5570</v>
      </c>
      <c r="D575" s="1" t="s">
        <v>871</v>
      </c>
      <c r="E575" s="1" t="s">
        <v>1536</v>
      </c>
      <c r="F575" t="s">
        <v>1237</v>
      </c>
      <c r="G575" t="s">
        <v>1514</v>
      </c>
      <c r="H575" s="1" t="s">
        <v>1276</v>
      </c>
      <c r="I575" s="1" t="s">
        <v>1277</v>
      </c>
      <c r="J575" s="1" t="s">
        <v>18</v>
      </c>
      <c r="K575" s="1" t="s">
        <v>50</v>
      </c>
      <c r="L575" s="1">
        <v>33704</v>
      </c>
      <c r="M575" s="1">
        <v>33</v>
      </c>
      <c r="N575" s="1">
        <v>1330</v>
      </c>
      <c r="O575" s="1" t="s">
        <v>4355</v>
      </c>
      <c r="P575" s="1">
        <v>1745</v>
      </c>
      <c r="Q575" s="1" t="s">
        <v>4356</v>
      </c>
      <c r="R575" s="1">
        <v>415</v>
      </c>
      <c r="S575">
        <v>240000</v>
      </c>
      <c r="T575">
        <v>12036</v>
      </c>
      <c r="U575" t="s">
        <v>814</v>
      </c>
      <c r="V575">
        <v>21960</v>
      </c>
      <c r="W575" s="1">
        <v>46361</v>
      </c>
      <c r="X575" s="1" t="s">
        <v>55</v>
      </c>
      <c r="Y575" s="1" t="s">
        <v>51</v>
      </c>
      <c r="Z575" s="1" t="s">
        <v>1094</v>
      </c>
      <c r="AA575" s="1" t="s">
        <v>1095</v>
      </c>
      <c r="AB575" s="1" t="s">
        <v>1096</v>
      </c>
      <c r="AC575" s="1">
        <v>45077</v>
      </c>
      <c r="AD575" s="1">
        <v>45082</v>
      </c>
      <c r="AE575" s="1"/>
      <c r="AF575" s="1"/>
      <c r="AG575" s="1" t="s">
        <v>1319</v>
      </c>
      <c r="AH575" s="1" t="s">
        <v>1320</v>
      </c>
      <c r="AI575" s="1"/>
      <c r="AJ575" s="31">
        <v>45082</v>
      </c>
      <c r="AK575"/>
      <c r="AL575"/>
      <c r="AM575"/>
      <c r="AN575"/>
      <c r="AO575"/>
      <c r="AP575"/>
      <c r="AQ575" s="81"/>
      <c r="AR575" s="81"/>
      <c r="AS575" s="81"/>
      <c r="AT575" s="81"/>
      <c r="AU575" s="81"/>
      <c r="AV575" s="81"/>
      <c r="AW575" s="81"/>
      <c r="AX575" s="81"/>
      <c r="AY575" s="81"/>
    </row>
    <row r="576" spans="1:51" s="81" customFormat="1" hidden="1">
      <c r="A576" s="1" t="s">
        <v>2542</v>
      </c>
      <c r="B576" s="1">
        <v>230603</v>
      </c>
      <c r="C576" s="1">
        <v>8210058</v>
      </c>
      <c r="D576" s="1" t="s">
        <v>822</v>
      </c>
      <c r="E576" s="1" t="s">
        <v>2429</v>
      </c>
      <c r="F576" t="s">
        <v>2429</v>
      </c>
      <c r="G576"/>
      <c r="H576" s="1" t="s">
        <v>1278</v>
      </c>
      <c r="I576" s="1" t="s">
        <v>1250</v>
      </c>
      <c r="J576" s="1" t="s">
        <v>18</v>
      </c>
      <c r="K576" s="1" t="s">
        <v>50</v>
      </c>
      <c r="L576" s="1">
        <v>34115</v>
      </c>
      <c r="M576" s="1">
        <v>32</v>
      </c>
      <c r="N576" s="1">
        <v>1400</v>
      </c>
      <c r="O576" s="1"/>
      <c r="P576" s="1">
        <v>1990</v>
      </c>
      <c r="Q576" s="1"/>
      <c r="R576" s="1">
        <v>590</v>
      </c>
      <c r="S576">
        <v>340000</v>
      </c>
      <c r="T576">
        <v>17051</v>
      </c>
      <c r="U576" t="s">
        <v>814</v>
      </c>
      <c r="V576">
        <v>31110</v>
      </c>
      <c r="W576" s="1">
        <v>46622</v>
      </c>
      <c r="X576" s="1" t="s">
        <v>55</v>
      </c>
      <c r="Y576" s="1" t="s">
        <v>51</v>
      </c>
      <c r="Z576" s="1" t="s">
        <v>1321</v>
      </c>
      <c r="AA576" s="1" t="s">
        <v>1322</v>
      </c>
      <c r="AB576" s="1" t="s">
        <v>1323</v>
      </c>
      <c r="AC576" s="1">
        <v>45099</v>
      </c>
      <c r="AD576" s="1">
        <v>45089</v>
      </c>
      <c r="AE576" s="1">
        <v>45677</v>
      </c>
      <c r="AF576" s="1"/>
      <c r="AG576" s="1" t="s">
        <v>1324</v>
      </c>
      <c r="AH576" s="1" t="s">
        <v>1325</v>
      </c>
      <c r="AI576" s="1"/>
      <c r="AJ576" s="31">
        <v>45089</v>
      </c>
      <c r="AK576" t="s">
        <v>2470</v>
      </c>
      <c r="AL576">
        <v>45834</v>
      </c>
      <c r="AM576" t="s">
        <v>2468</v>
      </c>
      <c r="AN576">
        <v>46270</v>
      </c>
      <c r="AO576"/>
      <c r="AP576"/>
    </row>
    <row r="577" spans="1:51" hidden="1">
      <c r="A577" s="1" t="s">
        <v>2542</v>
      </c>
      <c r="B577" s="1">
        <v>220208</v>
      </c>
      <c r="D577" s="1" t="s">
        <v>813</v>
      </c>
      <c r="E577" s="1" t="s">
        <v>1268</v>
      </c>
      <c r="F577" t="s">
        <v>1269</v>
      </c>
      <c r="G577" t="s">
        <v>1266</v>
      </c>
      <c r="H577" s="1" t="s">
        <v>220</v>
      </c>
      <c r="I577" s="1" t="s">
        <v>221</v>
      </c>
      <c r="J577" s="1" t="s">
        <v>18</v>
      </c>
      <c r="K577" s="1" t="s">
        <v>50</v>
      </c>
      <c r="L577" s="1">
        <v>35358</v>
      </c>
      <c r="M577" s="1">
        <v>29</v>
      </c>
      <c r="N577" s="1">
        <v>1300</v>
      </c>
      <c r="P577" s="1">
        <v>1800</v>
      </c>
      <c r="Q577" s="1"/>
      <c r="R577" s="1">
        <v>500</v>
      </c>
      <c r="S577">
        <v>260000</v>
      </c>
      <c r="T577">
        <v>13039</v>
      </c>
      <c r="U577" t="s">
        <v>814</v>
      </c>
      <c r="V577">
        <v>23790</v>
      </c>
      <c r="W577" s="1">
        <v>46742</v>
      </c>
      <c r="X577" s="1" t="s">
        <v>55</v>
      </c>
      <c r="Y577" s="1" t="s">
        <v>51</v>
      </c>
      <c r="Z577" s="1" t="s">
        <v>52</v>
      </c>
      <c r="AA577" s="1" t="s">
        <v>816</v>
      </c>
      <c r="AB577" s="1" t="s">
        <v>1100</v>
      </c>
      <c r="AC577" s="1">
        <v>45101</v>
      </c>
      <c r="AD577" s="1">
        <v>45093</v>
      </c>
      <c r="AE577" s="1">
        <v>45755</v>
      </c>
      <c r="AF577" s="1"/>
      <c r="AG577" s="1" t="s">
        <v>1327</v>
      </c>
      <c r="AH577" s="1" t="s">
        <v>1328</v>
      </c>
      <c r="AI577" s="1" t="s">
        <v>1377</v>
      </c>
      <c r="AJ577" s="31">
        <v>45093</v>
      </c>
      <c r="AK577"/>
      <c r="AL577"/>
      <c r="AM577"/>
      <c r="AN577"/>
      <c r="AO577"/>
      <c r="AP577"/>
      <c r="AQ577" s="81"/>
      <c r="AR577" s="81"/>
      <c r="AS577" s="81"/>
      <c r="AT577" s="81"/>
      <c r="AU577" s="81"/>
      <c r="AV577" s="81"/>
      <c r="AW577" s="81"/>
      <c r="AX577" s="81"/>
      <c r="AY577" s="81"/>
    </row>
    <row r="578" spans="1:51" hidden="1">
      <c r="A578" s="1" t="s">
        <v>49</v>
      </c>
      <c r="B578" s="1">
        <v>230604</v>
      </c>
      <c r="C578" s="1">
        <v>232110</v>
      </c>
      <c r="D578" s="1" t="s">
        <v>83</v>
      </c>
      <c r="E578" s="1" t="s">
        <v>307</v>
      </c>
      <c r="F578" t="s">
        <v>2251</v>
      </c>
      <c r="G578" t="s">
        <v>2252</v>
      </c>
      <c r="H578" s="1" t="s">
        <v>1279</v>
      </c>
      <c r="I578" s="1" t="s">
        <v>1280</v>
      </c>
      <c r="J578" s="1" t="s">
        <v>18</v>
      </c>
      <c r="K578" s="1" t="s">
        <v>50</v>
      </c>
      <c r="L578" s="1">
        <v>33756</v>
      </c>
      <c r="M578" s="1">
        <v>33</v>
      </c>
      <c r="N578" s="1">
        <v>1310</v>
      </c>
      <c r="P578" s="1">
        <v>1710</v>
      </c>
      <c r="Q578" s="1"/>
      <c r="R578" s="1">
        <v>400</v>
      </c>
      <c r="S578">
        <v>280000</v>
      </c>
      <c r="T578">
        <v>14042</v>
      </c>
      <c r="U578" t="s">
        <v>814</v>
      </c>
      <c r="V578">
        <v>25620</v>
      </c>
      <c r="W578" s="1">
        <v>46550</v>
      </c>
      <c r="X578" s="1" t="s">
        <v>55</v>
      </c>
      <c r="Y578" s="1" t="s">
        <v>51</v>
      </c>
      <c r="Z578" s="1" t="s">
        <v>110</v>
      </c>
      <c r="AA578" s="1" t="s">
        <v>1326</v>
      </c>
      <c r="AB578" s="1" t="s">
        <v>756</v>
      </c>
      <c r="AC578" s="1">
        <v>45089</v>
      </c>
      <c r="AD578" s="1">
        <v>45093</v>
      </c>
      <c r="AE578" s="1"/>
      <c r="AF578" s="1"/>
      <c r="AG578" s="1" t="s">
        <v>1327</v>
      </c>
      <c r="AH578" s="1" t="s">
        <v>1328</v>
      </c>
      <c r="AI578" s="1"/>
      <c r="AJ578" s="31">
        <v>45093</v>
      </c>
      <c r="AK578"/>
      <c r="AL578"/>
      <c r="AM578"/>
      <c r="AN578"/>
      <c r="AO578"/>
      <c r="AP578"/>
      <c r="AQ578" s="81"/>
      <c r="AR578" s="81"/>
      <c r="AS578" s="81"/>
      <c r="AT578" s="81"/>
      <c r="AU578" s="81"/>
      <c r="AV578" s="81"/>
      <c r="AW578" s="81"/>
      <c r="AX578" s="81"/>
      <c r="AY578" s="81"/>
    </row>
    <row r="579" spans="1:51" hidden="1">
      <c r="A579" s="1" t="s">
        <v>49</v>
      </c>
      <c r="B579" s="1">
        <v>230608</v>
      </c>
      <c r="C579" s="1">
        <v>232108</v>
      </c>
      <c r="D579" s="1" t="s">
        <v>83</v>
      </c>
      <c r="E579" s="1" t="s">
        <v>307</v>
      </c>
      <c r="F579" t="s">
        <v>2251</v>
      </c>
      <c r="G579" t="s">
        <v>2252</v>
      </c>
      <c r="H579" s="1" t="s">
        <v>1287</v>
      </c>
      <c r="I579" s="1" t="s">
        <v>1288</v>
      </c>
      <c r="J579" s="1" t="s">
        <v>18</v>
      </c>
      <c r="K579" s="1" t="s">
        <v>50</v>
      </c>
      <c r="L579" s="1">
        <v>36244</v>
      </c>
      <c r="M579" s="1">
        <v>26</v>
      </c>
      <c r="N579" s="1">
        <v>1320</v>
      </c>
      <c r="P579" s="1">
        <v>1720</v>
      </c>
      <c r="Q579" s="1"/>
      <c r="R579" s="1">
        <v>400</v>
      </c>
      <c r="S579">
        <v>260000</v>
      </c>
      <c r="T579">
        <v>13039</v>
      </c>
      <c r="U579" t="s">
        <v>814</v>
      </c>
      <c r="V579">
        <v>23790</v>
      </c>
      <c r="W579" s="1">
        <v>46550</v>
      </c>
      <c r="X579" s="1" t="s">
        <v>55</v>
      </c>
      <c r="Y579" s="1" t="s">
        <v>51</v>
      </c>
      <c r="Z579" s="1" t="s">
        <v>110</v>
      </c>
      <c r="AA579" s="1" t="s">
        <v>1326</v>
      </c>
      <c r="AB579" s="1" t="s">
        <v>756</v>
      </c>
      <c r="AC579" s="1">
        <v>45089</v>
      </c>
      <c r="AD579" s="1">
        <v>45093</v>
      </c>
      <c r="AE579" s="1"/>
      <c r="AF579" s="1"/>
      <c r="AG579" s="1" t="s">
        <v>1327</v>
      </c>
      <c r="AH579" s="1" t="s">
        <v>1328</v>
      </c>
      <c r="AI579" s="1"/>
      <c r="AJ579" s="31">
        <v>45093</v>
      </c>
      <c r="AK579"/>
      <c r="AL579"/>
      <c r="AM579"/>
      <c r="AN579"/>
      <c r="AO579"/>
      <c r="AP579"/>
      <c r="AQ579" s="81"/>
      <c r="AR579" s="81"/>
      <c r="AS579" s="81"/>
      <c r="AT579" s="81"/>
      <c r="AU579" s="81"/>
      <c r="AV579" s="81"/>
      <c r="AW579" s="81"/>
      <c r="AX579" s="81"/>
      <c r="AY579" s="81"/>
    </row>
    <row r="580" spans="1:51" hidden="1">
      <c r="A580" s="1" t="s">
        <v>49</v>
      </c>
      <c r="B580" s="1">
        <v>230611</v>
      </c>
      <c r="C580" s="1">
        <v>232109</v>
      </c>
      <c r="D580" s="1" t="s">
        <v>83</v>
      </c>
      <c r="E580" s="1" t="s">
        <v>307</v>
      </c>
      <c r="F580" t="s">
        <v>2251</v>
      </c>
      <c r="G580" t="s">
        <v>2252</v>
      </c>
      <c r="H580" s="1" t="s">
        <v>235</v>
      </c>
      <c r="I580" s="1" t="s">
        <v>612</v>
      </c>
      <c r="J580" s="1" t="s">
        <v>18</v>
      </c>
      <c r="K580" s="1" t="s">
        <v>50</v>
      </c>
      <c r="L580" s="1">
        <v>36586</v>
      </c>
      <c r="M580" s="1">
        <v>25</v>
      </c>
      <c r="N580" s="1">
        <v>1310</v>
      </c>
      <c r="P580" s="1">
        <v>1740</v>
      </c>
      <c r="Q580" s="1"/>
      <c r="R580" s="1">
        <v>430</v>
      </c>
      <c r="S580">
        <v>280000</v>
      </c>
      <c r="T580">
        <v>14042</v>
      </c>
      <c r="U580" t="s">
        <v>814</v>
      </c>
      <c r="V580">
        <v>25620</v>
      </c>
      <c r="W580" s="1">
        <v>46550</v>
      </c>
      <c r="X580" s="1" t="s">
        <v>55</v>
      </c>
      <c r="Y580" s="1" t="s">
        <v>51</v>
      </c>
      <c r="Z580" s="1" t="s">
        <v>110</v>
      </c>
      <c r="AA580" s="1" t="s">
        <v>1326</v>
      </c>
      <c r="AB580" s="1" t="s">
        <v>755</v>
      </c>
      <c r="AC580" s="1">
        <v>45089</v>
      </c>
      <c r="AD580" s="1">
        <v>45093</v>
      </c>
      <c r="AE580" s="1"/>
      <c r="AF580" s="1"/>
      <c r="AG580" s="1" t="s">
        <v>1327</v>
      </c>
      <c r="AH580" s="1" t="s">
        <v>1328</v>
      </c>
      <c r="AI580" s="1"/>
      <c r="AJ580" s="31">
        <v>45093</v>
      </c>
      <c r="AK580"/>
      <c r="AL580"/>
      <c r="AM580"/>
      <c r="AN580"/>
      <c r="AO580"/>
      <c r="AP580"/>
      <c r="AQ580" s="81"/>
      <c r="AR580" s="81"/>
      <c r="AS580" s="81"/>
      <c r="AT580" s="81"/>
      <c r="AU580" s="81"/>
      <c r="AV580" s="81"/>
      <c r="AW580" s="81"/>
      <c r="AX580" s="81"/>
      <c r="AY580" s="81"/>
    </row>
    <row r="581" spans="1:51" hidden="1">
      <c r="A581" s="1" t="s">
        <v>2542</v>
      </c>
      <c r="B581" s="1">
        <v>230605</v>
      </c>
      <c r="C581" s="1">
        <v>232113</v>
      </c>
      <c r="D581" s="1" t="s">
        <v>83</v>
      </c>
      <c r="E581" s="1" t="s">
        <v>307</v>
      </c>
      <c r="F581" t="s">
        <v>2251</v>
      </c>
      <c r="G581" t="s">
        <v>2252</v>
      </c>
      <c r="H581" s="1" t="s">
        <v>1281</v>
      </c>
      <c r="I581" s="1" t="s">
        <v>1282</v>
      </c>
      <c r="J581" s="1" t="s">
        <v>18</v>
      </c>
      <c r="K581" s="1" t="s">
        <v>50</v>
      </c>
      <c r="L581" s="1">
        <v>36477</v>
      </c>
      <c r="M581" s="1">
        <v>26</v>
      </c>
      <c r="N581" s="1">
        <v>1300</v>
      </c>
      <c r="P581" s="1">
        <v>1690</v>
      </c>
      <c r="Q581" s="1"/>
      <c r="R581" s="1">
        <v>390</v>
      </c>
      <c r="S581">
        <v>240000</v>
      </c>
      <c r="T581">
        <v>12036</v>
      </c>
      <c r="U581" t="s">
        <v>814</v>
      </c>
      <c r="V581">
        <v>21960</v>
      </c>
      <c r="W581" s="1">
        <v>46550</v>
      </c>
      <c r="X581" s="1" t="s">
        <v>55</v>
      </c>
      <c r="Y581" s="1" t="s">
        <v>51</v>
      </c>
      <c r="Z581" s="1" t="s">
        <v>110</v>
      </c>
      <c r="AA581" s="1" t="s">
        <v>127</v>
      </c>
      <c r="AB581" s="1" t="s">
        <v>128</v>
      </c>
      <c r="AC581" s="1">
        <v>45089</v>
      </c>
      <c r="AD581" s="1">
        <v>45093</v>
      </c>
      <c r="AE581" s="1">
        <v>45653</v>
      </c>
      <c r="AF581" s="1"/>
      <c r="AG581" s="1" t="s">
        <v>1327</v>
      </c>
      <c r="AH581" s="1" t="s">
        <v>1328</v>
      </c>
      <c r="AI581" s="1"/>
      <c r="AJ581" s="31">
        <v>45093</v>
      </c>
      <c r="AK581"/>
      <c r="AL581"/>
      <c r="AM581"/>
      <c r="AN581"/>
      <c r="AO581"/>
      <c r="AP581"/>
      <c r="AQ581" s="81"/>
      <c r="AR581" s="81"/>
      <c r="AS581" s="81"/>
      <c r="AT581" s="81"/>
      <c r="AU581" s="81"/>
      <c r="AV581" s="81"/>
      <c r="AW581" s="81"/>
      <c r="AX581" s="81"/>
      <c r="AY581" s="81"/>
    </row>
    <row r="582" spans="1:51" hidden="1">
      <c r="A582" s="1" t="s">
        <v>2542</v>
      </c>
      <c r="B582" s="1">
        <v>230606</v>
      </c>
      <c r="C582" s="1">
        <v>232112</v>
      </c>
      <c r="D582" s="1" t="s">
        <v>83</v>
      </c>
      <c r="E582" s="1" t="s">
        <v>307</v>
      </c>
      <c r="F582" t="s">
        <v>2251</v>
      </c>
      <c r="G582" t="s">
        <v>2252</v>
      </c>
      <c r="H582" s="1" t="s">
        <v>1283</v>
      </c>
      <c r="I582" s="1" t="s">
        <v>1284</v>
      </c>
      <c r="J582" s="1" t="s">
        <v>18</v>
      </c>
      <c r="K582" s="1" t="s">
        <v>50</v>
      </c>
      <c r="L582" s="1">
        <v>36426</v>
      </c>
      <c r="M582" s="1">
        <v>26</v>
      </c>
      <c r="N582" s="1">
        <v>1310</v>
      </c>
      <c r="P582" s="1">
        <v>1690</v>
      </c>
      <c r="Q582" s="1"/>
      <c r="R582" s="1">
        <v>380</v>
      </c>
      <c r="S582">
        <v>260000</v>
      </c>
      <c r="T582">
        <v>13039</v>
      </c>
      <c r="U582" t="s">
        <v>814</v>
      </c>
      <c r="V582">
        <v>23790</v>
      </c>
      <c r="W582" s="1">
        <v>46550</v>
      </c>
      <c r="X582" s="1" t="s">
        <v>55</v>
      </c>
      <c r="Y582" s="1" t="s">
        <v>51</v>
      </c>
      <c r="Z582" s="1" t="s">
        <v>86</v>
      </c>
      <c r="AA582" s="1" t="s">
        <v>87</v>
      </c>
      <c r="AB582" s="1" t="s">
        <v>839</v>
      </c>
      <c r="AC582" s="1">
        <v>45089</v>
      </c>
      <c r="AD582" s="1">
        <v>45093</v>
      </c>
      <c r="AE582" s="1">
        <v>45700</v>
      </c>
      <c r="AF582" s="1"/>
      <c r="AG582" s="1" t="s">
        <v>1327</v>
      </c>
      <c r="AH582" s="1" t="s">
        <v>1328</v>
      </c>
      <c r="AI582" s="1"/>
      <c r="AJ582" s="31">
        <v>45093</v>
      </c>
      <c r="AK582"/>
      <c r="AL582"/>
      <c r="AM582"/>
      <c r="AN582"/>
      <c r="AO582"/>
      <c r="AP582"/>
      <c r="AQ582" s="81"/>
      <c r="AR582" s="81"/>
      <c r="AS582" s="81"/>
      <c r="AT582" s="81"/>
      <c r="AU582" s="81"/>
      <c r="AV582" s="81"/>
      <c r="AW582" s="81"/>
      <c r="AX582" s="81"/>
      <c r="AY582" s="81"/>
    </row>
    <row r="583" spans="1:51" hidden="1">
      <c r="A583" s="1" t="s">
        <v>2542</v>
      </c>
      <c r="B583" s="1">
        <v>230607</v>
      </c>
      <c r="C583" s="1">
        <v>232111</v>
      </c>
      <c r="D583" s="1" t="s">
        <v>83</v>
      </c>
      <c r="E583" s="1" t="s">
        <v>307</v>
      </c>
      <c r="F583" t="s">
        <v>2251</v>
      </c>
      <c r="G583" t="s">
        <v>2252</v>
      </c>
      <c r="H583" s="1" t="s">
        <v>1285</v>
      </c>
      <c r="I583" s="1" t="s">
        <v>1286</v>
      </c>
      <c r="J583" s="1" t="s">
        <v>18</v>
      </c>
      <c r="K583" s="1" t="s">
        <v>50</v>
      </c>
      <c r="L583" s="1">
        <v>34445</v>
      </c>
      <c r="M583" s="1">
        <v>31</v>
      </c>
      <c r="N583" s="1">
        <v>1310</v>
      </c>
      <c r="P583" s="1">
        <v>1690</v>
      </c>
      <c r="Q583" s="1"/>
      <c r="R583" s="1">
        <v>380</v>
      </c>
      <c r="S583">
        <v>260000</v>
      </c>
      <c r="T583">
        <v>13039</v>
      </c>
      <c r="U583" t="s">
        <v>814</v>
      </c>
      <c r="V583">
        <v>23790</v>
      </c>
      <c r="W583" s="1">
        <v>46550</v>
      </c>
      <c r="X583" s="1" t="s">
        <v>55</v>
      </c>
      <c r="Y583" s="1" t="s">
        <v>51</v>
      </c>
      <c r="Z583" s="1" t="s">
        <v>110</v>
      </c>
      <c r="AA583" s="1" t="s">
        <v>1326</v>
      </c>
      <c r="AB583" s="1" t="s">
        <v>755</v>
      </c>
      <c r="AC583" s="1">
        <v>45089</v>
      </c>
      <c r="AD583" s="1">
        <v>45093</v>
      </c>
      <c r="AE583" s="1">
        <v>45698</v>
      </c>
      <c r="AF583" s="1"/>
      <c r="AG583" s="1" t="s">
        <v>1327</v>
      </c>
      <c r="AH583" s="1" t="s">
        <v>1328</v>
      </c>
      <c r="AI583" s="1"/>
      <c r="AJ583" s="31">
        <v>45093</v>
      </c>
      <c r="AK583"/>
      <c r="AL583"/>
      <c r="AM583"/>
      <c r="AN583"/>
      <c r="AO583"/>
      <c r="AP583"/>
      <c r="AQ583" s="81"/>
      <c r="AR583" s="81"/>
      <c r="AS583" s="81"/>
      <c r="AT583" s="81"/>
      <c r="AU583" s="81"/>
      <c r="AV583" s="81"/>
      <c r="AW583" s="81"/>
      <c r="AX583" s="81"/>
      <c r="AY583" s="81"/>
    </row>
    <row r="584" spans="1:51" hidden="1">
      <c r="A584" s="1" t="s">
        <v>2542</v>
      </c>
      <c r="B584" s="1">
        <v>230609</v>
      </c>
      <c r="C584" s="1">
        <v>232101</v>
      </c>
      <c r="D584" s="1" t="s">
        <v>83</v>
      </c>
      <c r="E584" s="1" t="s">
        <v>307</v>
      </c>
      <c r="F584" t="s">
        <v>2251</v>
      </c>
      <c r="G584" t="s">
        <v>2252</v>
      </c>
      <c r="H584" s="1" t="s">
        <v>1289</v>
      </c>
      <c r="I584" s="1" t="s">
        <v>1290</v>
      </c>
      <c r="J584" s="1" t="s">
        <v>18</v>
      </c>
      <c r="K584" s="1" t="s">
        <v>50</v>
      </c>
      <c r="L584" s="1">
        <v>33830</v>
      </c>
      <c r="M584" s="1">
        <v>33</v>
      </c>
      <c r="N584" s="1">
        <v>1300</v>
      </c>
      <c r="P584" s="1">
        <v>1690</v>
      </c>
      <c r="Q584" s="1"/>
      <c r="R584" s="1">
        <v>390</v>
      </c>
      <c r="S584">
        <v>220000</v>
      </c>
      <c r="T584">
        <v>11033</v>
      </c>
      <c r="U584" t="s">
        <v>814</v>
      </c>
      <c r="V584">
        <v>20130</v>
      </c>
      <c r="W584" s="1">
        <v>46550</v>
      </c>
      <c r="X584" s="1" t="s">
        <v>55</v>
      </c>
      <c r="Y584" s="1" t="s">
        <v>51</v>
      </c>
      <c r="Z584" s="1" t="s">
        <v>110</v>
      </c>
      <c r="AA584" s="1" t="s">
        <v>122</v>
      </c>
      <c r="AB584" s="1" t="s">
        <v>136</v>
      </c>
      <c r="AC584" s="1">
        <v>45388</v>
      </c>
      <c r="AD584" s="1">
        <v>45093</v>
      </c>
      <c r="AE584" s="1">
        <v>45572</v>
      </c>
      <c r="AF584" s="1"/>
      <c r="AG584" s="1" t="s">
        <v>1327</v>
      </c>
      <c r="AH584" s="1" t="s">
        <v>1328</v>
      </c>
      <c r="AI584" s="1"/>
      <c r="AJ584" s="31">
        <v>45093</v>
      </c>
      <c r="AK584"/>
      <c r="AL584"/>
      <c r="AM584"/>
      <c r="AN584"/>
      <c r="AO584"/>
      <c r="AP584"/>
      <c r="AQ584" s="81"/>
      <c r="AR584" s="81"/>
      <c r="AS584" s="81"/>
      <c r="AT584" s="81"/>
      <c r="AU584" s="81"/>
      <c r="AV584" s="81"/>
      <c r="AW584" s="81"/>
      <c r="AX584" s="81"/>
      <c r="AY584" s="81"/>
    </row>
    <row r="585" spans="1:51" hidden="1">
      <c r="A585" s="1" t="s">
        <v>2542</v>
      </c>
      <c r="B585" s="1">
        <v>230610</v>
      </c>
      <c r="C585" s="1">
        <v>232106</v>
      </c>
      <c r="D585" s="1" t="s">
        <v>83</v>
      </c>
      <c r="E585" s="1" t="s">
        <v>307</v>
      </c>
      <c r="F585" t="s">
        <v>2251</v>
      </c>
      <c r="G585" t="s">
        <v>2252</v>
      </c>
      <c r="H585" s="1" t="s">
        <v>1291</v>
      </c>
      <c r="I585" s="1" t="s">
        <v>1292</v>
      </c>
      <c r="J585" s="1" t="s">
        <v>18</v>
      </c>
      <c r="K585" s="1" t="s">
        <v>50</v>
      </c>
      <c r="L585" s="1">
        <v>37030</v>
      </c>
      <c r="M585" s="1">
        <v>24</v>
      </c>
      <c r="N585" s="1">
        <v>1300</v>
      </c>
      <c r="P585" s="1">
        <v>1690</v>
      </c>
      <c r="Q585" s="1"/>
      <c r="R585" s="1">
        <v>390</v>
      </c>
      <c r="S585">
        <v>260000</v>
      </c>
      <c r="T585">
        <v>13039</v>
      </c>
      <c r="U585" t="s">
        <v>814</v>
      </c>
      <c r="V585">
        <v>23790</v>
      </c>
      <c r="W585" s="1">
        <v>46550</v>
      </c>
      <c r="X585" s="1" t="s">
        <v>55</v>
      </c>
      <c r="Y585" s="1" t="s">
        <v>51</v>
      </c>
      <c r="Z585" s="1" t="s">
        <v>110</v>
      </c>
      <c r="AA585" s="1" t="s">
        <v>127</v>
      </c>
      <c r="AB585" s="1" t="s">
        <v>128</v>
      </c>
      <c r="AC585" s="1">
        <v>45412</v>
      </c>
      <c r="AD585" s="1">
        <v>45093</v>
      </c>
      <c r="AE585" s="1">
        <v>45702</v>
      </c>
      <c r="AF585" s="1"/>
      <c r="AG585" s="1" t="s">
        <v>1327</v>
      </c>
      <c r="AH585" s="1" t="s">
        <v>1328</v>
      </c>
      <c r="AI585" s="1"/>
      <c r="AJ585" s="31">
        <v>45093</v>
      </c>
      <c r="AK585"/>
      <c r="AL585"/>
      <c r="AM585"/>
      <c r="AN585"/>
      <c r="AO585"/>
      <c r="AP585"/>
      <c r="AQ585" s="81"/>
      <c r="AR585" s="81"/>
      <c r="AS585" s="81"/>
      <c r="AT585" s="81"/>
      <c r="AU585" s="81"/>
      <c r="AV585" s="81"/>
      <c r="AW585" s="81"/>
      <c r="AX585" s="81"/>
      <c r="AY585" s="81"/>
    </row>
    <row r="586" spans="1:51" hidden="1">
      <c r="A586" s="1" t="s">
        <v>2542</v>
      </c>
      <c r="B586" s="1">
        <v>210609</v>
      </c>
      <c r="C586" s="1">
        <v>8210059</v>
      </c>
      <c r="D586" s="1" t="s">
        <v>822</v>
      </c>
      <c r="E586" s="1" t="s">
        <v>1312</v>
      </c>
      <c r="F586" t="s">
        <v>1312</v>
      </c>
      <c r="G586"/>
      <c r="H586" s="1" t="s">
        <v>2872</v>
      </c>
      <c r="I586" s="1" t="s">
        <v>2665</v>
      </c>
      <c r="J586" s="1" t="s">
        <v>18</v>
      </c>
      <c r="K586" s="1" t="s">
        <v>50</v>
      </c>
      <c r="L586" s="1">
        <v>34826</v>
      </c>
      <c r="M586" s="1">
        <v>30</v>
      </c>
      <c r="N586" s="1">
        <v>1400</v>
      </c>
      <c r="P586" s="1">
        <v>1960</v>
      </c>
      <c r="Q586" s="1"/>
      <c r="R586" s="1">
        <v>560</v>
      </c>
      <c r="S586">
        <v>220000</v>
      </c>
      <c r="T586">
        <v>11033</v>
      </c>
      <c r="U586" t="s">
        <v>814</v>
      </c>
      <c r="V586">
        <v>20130</v>
      </c>
      <c r="W586" s="1">
        <v>45418</v>
      </c>
      <c r="X586" s="1" t="s">
        <v>55</v>
      </c>
      <c r="Y586" s="1" t="s">
        <v>51</v>
      </c>
      <c r="Z586" s="1" t="s">
        <v>1321</v>
      </c>
      <c r="AA586" s="1" t="s">
        <v>1322</v>
      </c>
      <c r="AB586" s="1" t="s">
        <v>1323</v>
      </c>
      <c r="AC586" s="1">
        <v>45099</v>
      </c>
      <c r="AD586" s="1">
        <v>45103</v>
      </c>
      <c r="AE586" s="1">
        <v>45303</v>
      </c>
      <c r="AF586" s="1"/>
      <c r="AG586" s="1" t="s">
        <v>3665</v>
      </c>
      <c r="AH586" s="1" t="s">
        <v>3666</v>
      </c>
      <c r="AI586" s="1"/>
      <c r="AJ586" s="31">
        <v>45103</v>
      </c>
      <c r="AK586"/>
      <c r="AL586"/>
      <c r="AM586"/>
      <c r="AN586"/>
      <c r="AO586"/>
      <c r="AP586"/>
      <c r="AQ586" s="81"/>
      <c r="AR586" s="81"/>
      <c r="AS586" s="81"/>
      <c r="AT586" s="81"/>
      <c r="AU586" s="81"/>
      <c r="AV586" s="81"/>
      <c r="AW586" s="81"/>
      <c r="AX586" s="81"/>
      <c r="AY586" s="81"/>
    </row>
    <row r="587" spans="1:51" hidden="1">
      <c r="A587" s="1" t="s">
        <v>2542</v>
      </c>
      <c r="B587" s="1">
        <v>230612</v>
      </c>
      <c r="C587" s="1">
        <v>242066</v>
      </c>
      <c r="D587" s="1" t="s">
        <v>69</v>
      </c>
      <c r="E587" s="1" t="s">
        <v>306</v>
      </c>
      <c r="F587" t="s">
        <v>390</v>
      </c>
      <c r="G587" t="s">
        <v>1085</v>
      </c>
      <c r="H587" s="1" t="s">
        <v>3661</v>
      </c>
      <c r="I587" s="1" t="s">
        <v>3662</v>
      </c>
      <c r="J587" s="1" t="s">
        <v>18</v>
      </c>
      <c r="K587" s="1" t="s">
        <v>50</v>
      </c>
      <c r="L587" s="1">
        <v>35972</v>
      </c>
      <c r="M587" s="1">
        <v>27</v>
      </c>
      <c r="N587" s="1">
        <v>1250</v>
      </c>
      <c r="P587" s="1">
        <v>1650</v>
      </c>
      <c r="Q587" s="1"/>
      <c r="R587" s="1">
        <v>400</v>
      </c>
      <c r="S587">
        <v>280000</v>
      </c>
      <c r="T587">
        <v>14042</v>
      </c>
      <c r="U587" t="s">
        <v>814</v>
      </c>
      <c r="V587">
        <v>25620</v>
      </c>
      <c r="W587" s="1">
        <v>45683</v>
      </c>
      <c r="X587" s="1" t="s">
        <v>55</v>
      </c>
      <c r="Y587" s="1" t="s">
        <v>51</v>
      </c>
      <c r="Z587" s="1" t="s">
        <v>72</v>
      </c>
      <c r="AA587" s="1" t="s">
        <v>526</v>
      </c>
      <c r="AB587" s="1" t="s">
        <v>2001</v>
      </c>
      <c r="AC587" s="1">
        <v>45097</v>
      </c>
      <c r="AD587" s="1">
        <v>45103</v>
      </c>
      <c r="AE587" s="1">
        <v>45377</v>
      </c>
      <c r="AF587" s="1"/>
      <c r="AG587" s="1" t="s">
        <v>3663</v>
      </c>
      <c r="AH587" s="1" t="s">
        <v>1378</v>
      </c>
      <c r="AI587" s="1" t="s">
        <v>3664</v>
      </c>
      <c r="AJ587" s="31">
        <v>45103</v>
      </c>
      <c r="AK587"/>
      <c r="AL587"/>
      <c r="AM587"/>
      <c r="AN587"/>
      <c r="AO587"/>
      <c r="AP587"/>
      <c r="AQ587" s="81"/>
      <c r="AR587" s="81"/>
      <c r="AS587" s="81"/>
      <c r="AT587" s="81"/>
      <c r="AU587" s="81"/>
      <c r="AV587" s="81"/>
      <c r="AW587" s="81"/>
      <c r="AX587" s="81"/>
      <c r="AY587" s="81"/>
    </row>
    <row r="588" spans="1:51">
      <c r="A588" s="1" t="s">
        <v>49</v>
      </c>
      <c r="B588" s="1">
        <v>201106</v>
      </c>
      <c r="C588" s="1">
        <v>222004</v>
      </c>
      <c r="D588" s="1" t="s">
        <v>62</v>
      </c>
      <c r="E588" s="1" t="s">
        <v>3935</v>
      </c>
      <c r="F588" t="s">
        <v>2465</v>
      </c>
      <c r="G588" t="s">
        <v>3936</v>
      </c>
      <c r="H588" s="1" t="s">
        <v>63</v>
      </c>
      <c r="I588" s="1" t="s">
        <v>64</v>
      </c>
      <c r="J588" s="1" t="s">
        <v>18</v>
      </c>
      <c r="K588" s="1" t="s">
        <v>50</v>
      </c>
      <c r="L588" s="1">
        <v>34415</v>
      </c>
      <c r="M588" s="1">
        <v>31</v>
      </c>
      <c r="N588" s="1">
        <v>1420</v>
      </c>
      <c r="O588" s="1" t="s">
        <v>65</v>
      </c>
      <c r="P588" s="1">
        <v>1830</v>
      </c>
      <c r="Q588" s="1" t="s">
        <v>66</v>
      </c>
      <c r="R588" s="1">
        <v>410</v>
      </c>
      <c r="S588">
        <v>280000</v>
      </c>
      <c r="T588">
        <v>14042</v>
      </c>
      <c r="U588" t="s">
        <v>814</v>
      </c>
      <c r="V588">
        <v>25620</v>
      </c>
      <c r="W588" s="1">
        <v>46627</v>
      </c>
      <c r="X588" s="1" t="s">
        <v>55</v>
      </c>
      <c r="Y588" s="1" t="s">
        <v>51</v>
      </c>
      <c r="Z588" s="1" t="s">
        <v>67</v>
      </c>
      <c r="AA588" s="1" t="s">
        <v>4163</v>
      </c>
      <c r="AB588" s="1"/>
      <c r="AC588" s="1" t="s">
        <v>53</v>
      </c>
      <c r="AD588" s="1">
        <v>44159</v>
      </c>
      <c r="AE588" s="1"/>
      <c r="AF588" s="1">
        <v>45651</v>
      </c>
      <c r="AG588" s="1">
        <v>44197</v>
      </c>
      <c r="AH588" s="1" t="s">
        <v>54</v>
      </c>
      <c r="AI588" s="1"/>
      <c r="AJ588" s="31">
        <v>44159</v>
      </c>
      <c r="AK588"/>
      <c r="AL588"/>
      <c r="AM588"/>
      <c r="AN588"/>
      <c r="AO588" t="s">
        <v>4164</v>
      </c>
      <c r="AP588"/>
      <c r="AQ588" s="81"/>
      <c r="AR588" s="81"/>
      <c r="AS588" s="81"/>
      <c r="AT588" s="81"/>
      <c r="AU588" s="81"/>
      <c r="AV588" s="81"/>
      <c r="AW588" s="81"/>
      <c r="AX588" s="81"/>
      <c r="AY588" s="81"/>
    </row>
    <row r="589" spans="1:51" hidden="1">
      <c r="A589" s="1" t="s">
        <v>49</v>
      </c>
      <c r="B589" s="1">
        <v>210710</v>
      </c>
      <c r="C589" s="1">
        <v>8210062</v>
      </c>
      <c r="D589" s="1" t="s">
        <v>822</v>
      </c>
      <c r="E589" s="1" t="s">
        <v>1312</v>
      </c>
      <c r="F589" t="s">
        <v>1312</v>
      </c>
      <c r="G589"/>
      <c r="H589" s="1" t="s">
        <v>596</v>
      </c>
      <c r="I589" s="1" t="s">
        <v>597</v>
      </c>
      <c r="J589" s="1" t="s">
        <v>18</v>
      </c>
      <c r="K589" s="1" t="s">
        <v>50</v>
      </c>
      <c r="L589" s="1">
        <v>33139</v>
      </c>
      <c r="M589" s="1">
        <v>35</v>
      </c>
      <c r="N589" s="1">
        <v>1655</v>
      </c>
      <c r="P589" s="1">
        <v>2225</v>
      </c>
      <c r="Q589" s="1"/>
      <c r="R589" s="1">
        <v>570</v>
      </c>
      <c r="S589">
        <v>410000</v>
      </c>
      <c r="T589">
        <v>20561</v>
      </c>
      <c r="U589" t="s">
        <v>814</v>
      </c>
      <c r="V589">
        <v>37515</v>
      </c>
      <c r="W589" s="1">
        <v>46558</v>
      </c>
      <c r="X589" s="1" t="s">
        <v>55</v>
      </c>
      <c r="Y589" s="1" t="s">
        <v>51</v>
      </c>
      <c r="Z589" s="1" t="s">
        <v>529</v>
      </c>
      <c r="AA589" s="1" t="s">
        <v>1379</v>
      </c>
      <c r="AB589" s="1" t="s">
        <v>1380</v>
      </c>
      <c r="AC589" s="1" t="s">
        <v>53</v>
      </c>
      <c r="AD589" s="1">
        <v>45110</v>
      </c>
      <c r="AE589" s="1"/>
      <c r="AF589" s="1"/>
      <c r="AG589" s="1" t="s">
        <v>1381</v>
      </c>
      <c r="AH589" s="1" t="s">
        <v>1382</v>
      </c>
      <c r="AI589" s="1"/>
      <c r="AJ589" s="31">
        <v>45110</v>
      </c>
      <c r="AK589" t="s">
        <v>2470</v>
      </c>
      <c r="AL589">
        <v>45588</v>
      </c>
      <c r="AM589" t="s">
        <v>2468</v>
      </c>
      <c r="AN589">
        <v>45915</v>
      </c>
      <c r="AO589"/>
      <c r="AP589"/>
      <c r="AQ589" s="81"/>
      <c r="AR589" s="81"/>
      <c r="AS589" s="81"/>
      <c r="AT589" s="81"/>
      <c r="AU589" s="81"/>
      <c r="AV589" s="81"/>
      <c r="AW589" s="81"/>
      <c r="AX589" s="81"/>
      <c r="AY589" s="81"/>
    </row>
    <row r="590" spans="1:51" hidden="1">
      <c r="A590" s="1" t="s">
        <v>2542</v>
      </c>
      <c r="B590" s="1">
        <v>230701</v>
      </c>
      <c r="D590" s="1" t="s">
        <v>688</v>
      </c>
      <c r="E590" s="1" t="s">
        <v>851</v>
      </c>
      <c r="F590" t="s">
        <v>851</v>
      </c>
      <c r="G590" t="s">
        <v>1183</v>
      </c>
      <c r="H590" s="1" t="s">
        <v>1333</v>
      </c>
      <c r="I590" s="1" t="s">
        <v>1334</v>
      </c>
      <c r="J590" s="1" t="s">
        <v>18</v>
      </c>
      <c r="K590" s="1" t="s">
        <v>50</v>
      </c>
      <c r="L590" s="1">
        <v>31876</v>
      </c>
      <c r="M590" s="1">
        <v>38</v>
      </c>
      <c r="N590" s="1">
        <v>1350</v>
      </c>
      <c r="P590" s="1">
        <v>1800</v>
      </c>
      <c r="Q590" s="1"/>
      <c r="R590" s="1">
        <v>450</v>
      </c>
      <c r="S590">
        <v>240000</v>
      </c>
      <c r="T590">
        <v>12036</v>
      </c>
      <c r="U590" t="s">
        <v>814</v>
      </c>
      <c r="V590">
        <v>21960</v>
      </c>
      <c r="W590" s="1">
        <v>46096</v>
      </c>
      <c r="X590" s="1" t="s">
        <v>55</v>
      </c>
      <c r="Y590" s="1" t="s">
        <v>51</v>
      </c>
      <c r="Z590" s="1" t="s">
        <v>761</v>
      </c>
      <c r="AA590" s="1" t="s">
        <v>1124</v>
      </c>
      <c r="AB590" s="1" t="s">
        <v>1125</v>
      </c>
      <c r="AC590" s="1">
        <v>45104</v>
      </c>
      <c r="AD590" s="1">
        <v>45110</v>
      </c>
      <c r="AE590" s="1">
        <v>45838</v>
      </c>
      <c r="AF590" s="1"/>
      <c r="AG590" s="1" t="s">
        <v>1381</v>
      </c>
      <c r="AH590" s="1" t="s">
        <v>1382</v>
      </c>
      <c r="AI590" s="1"/>
      <c r="AJ590" s="31">
        <v>45110</v>
      </c>
      <c r="AK590"/>
      <c r="AL590"/>
      <c r="AM590"/>
      <c r="AN590"/>
      <c r="AO590"/>
      <c r="AP590"/>
      <c r="AQ590" s="81"/>
      <c r="AR590" s="81"/>
      <c r="AS590" s="81"/>
      <c r="AT590" s="81"/>
      <c r="AU590" s="81"/>
      <c r="AV590" s="81"/>
      <c r="AW590" s="81"/>
      <c r="AX590" s="81"/>
      <c r="AY590" s="81"/>
    </row>
    <row r="591" spans="1:51" hidden="1">
      <c r="A591" s="1" t="s">
        <v>2542</v>
      </c>
      <c r="B591" s="1">
        <v>230702</v>
      </c>
      <c r="C591" s="1">
        <v>8210063</v>
      </c>
      <c r="D591" s="1" t="s">
        <v>822</v>
      </c>
      <c r="E591" s="1" t="s">
        <v>1312</v>
      </c>
      <c r="F591" t="s">
        <v>1312</v>
      </c>
      <c r="G591"/>
      <c r="H591" s="1" t="s">
        <v>1335</v>
      </c>
      <c r="I591" s="1" t="s">
        <v>1336</v>
      </c>
      <c r="J591" s="1" t="s">
        <v>18</v>
      </c>
      <c r="K591" s="1" t="s">
        <v>50</v>
      </c>
      <c r="L591" s="1">
        <v>32063</v>
      </c>
      <c r="M591" s="1">
        <v>38</v>
      </c>
      <c r="N591" s="1">
        <v>1400</v>
      </c>
      <c r="P591" s="1">
        <v>1990</v>
      </c>
      <c r="Q591" s="1"/>
      <c r="R591" s="1">
        <v>590</v>
      </c>
      <c r="S591">
        <v>320000</v>
      </c>
      <c r="T591">
        <v>16048</v>
      </c>
      <c r="U591" t="s">
        <v>814</v>
      </c>
      <c r="V591">
        <v>29280</v>
      </c>
      <c r="W591" s="1">
        <v>45911</v>
      </c>
      <c r="X591" s="1" t="s">
        <v>55</v>
      </c>
      <c r="Y591" s="1" t="s">
        <v>51</v>
      </c>
      <c r="Z591" s="1" t="s">
        <v>578</v>
      </c>
      <c r="AA591" s="1" t="s">
        <v>2275</v>
      </c>
      <c r="AB591" s="1" t="s">
        <v>2276</v>
      </c>
      <c r="AC591" s="1" t="s">
        <v>53</v>
      </c>
      <c r="AD591" s="1">
        <v>45110</v>
      </c>
      <c r="AE591" s="1">
        <v>45688</v>
      </c>
      <c r="AF591" s="1"/>
      <c r="AG591" s="1" t="s">
        <v>1381</v>
      </c>
      <c r="AH591" s="1" t="s">
        <v>1382</v>
      </c>
      <c r="AI591" s="1"/>
      <c r="AJ591" s="31">
        <v>45110</v>
      </c>
      <c r="AK591" t="s">
        <v>2423</v>
      </c>
      <c r="AL591">
        <v>47070</v>
      </c>
      <c r="AM591" t="s">
        <v>2423</v>
      </c>
      <c r="AN591">
        <v>46715</v>
      </c>
      <c r="AO591"/>
      <c r="AP591"/>
      <c r="AQ591" s="81"/>
      <c r="AR591" s="81"/>
      <c r="AS591" s="81"/>
      <c r="AT591" s="81"/>
      <c r="AU591" s="81"/>
      <c r="AV591" s="81"/>
      <c r="AW591" s="81"/>
      <c r="AX591" s="81"/>
      <c r="AY591" s="81"/>
    </row>
    <row r="592" spans="1:51" hidden="1">
      <c r="A592" s="1" t="s">
        <v>2542</v>
      </c>
      <c r="B592" s="1">
        <v>230703</v>
      </c>
      <c r="C592" s="1">
        <v>8210061</v>
      </c>
      <c r="D592" s="1" t="s">
        <v>815</v>
      </c>
      <c r="E592" s="1" t="s">
        <v>825</v>
      </c>
      <c r="F592" t="s">
        <v>825</v>
      </c>
      <c r="G592"/>
      <c r="H592" s="1" t="s">
        <v>1337</v>
      </c>
      <c r="I592" s="1" t="s">
        <v>1338</v>
      </c>
      <c r="J592" s="1" t="s">
        <v>18</v>
      </c>
      <c r="K592" s="1" t="s">
        <v>50</v>
      </c>
      <c r="L592" s="1">
        <v>34476</v>
      </c>
      <c r="M592" s="1">
        <v>31</v>
      </c>
      <c r="N592" s="1">
        <v>1400</v>
      </c>
      <c r="P592" s="1">
        <v>1990</v>
      </c>
      <c r="Q592" s="1"/>
      <c r="R592" s="1">
        <v>590</v>
      </c>
      <c r="S592">
        <v>220000</v>
      </c>
      <c r="T592">
        <v>11033</v>
      </c>
      <c r="U592" t="s">
        <v>814</v>
      </c>
      <c r="V592">
        <v>20130</v>
      </c>
      <c r="W592" s="1">
        <v>45758</v>
      </c>
      <c r="X592" s="1" t="s">
        <v>55</v>
      </c>
      <c r="Y592" s="1" t="s">
        <v>51</v>
      </c>
      <c r="Z592" s="1" t="s">
        <v>2163</v>
      </c>
      <c r="AA592" s="1" t="s">
        <v>2164</v>
      </c>
      <c r="AB592" s="1" t="s">
        <v>2165</v>
      </c>
      <c r="AC592" s="1">
        <v>45109</v>
      </c>
      <c r="AD592" s="1">
        <v>45110</v>
      </c>
      <c r="AE592" s="1">
        <v>45541</v>
      </c>
      <c r="AF592" s="1"/>
      <c r="AG592" s="1" t="s">
        <v>1381</v>
      </c>
      <c r="AH592" s="1" t="s">
        <v>1382</v>
      </c>
      <c r="AI592" s="1"/>
      <c r="AJ592" s="31">
        <v>45110</v>
      </c>
      <c r="AK592" t="s">
        <v>2470</v>
      </c>
      <c r="AL592">
        <v>46195</v>
      </c>
      <c r="AM592" t="s">
        <v>2468</v>
      </c>
      <c r="AN592">
        <v>46452</v>
      </c>
      <c r="AO592"/>
      <c r="AP592"/>
      <c r="AQ592" s="81"/>
      <c r="AR592" s="81"/>
      <c r="AS592" s="81"/>
      <c r="AT592" s="81"/>
      <c r="AU592" s="81"/>
      <c r="AV592" s="81"/>
      <c r="AW592" s="81"/>
      <c r="AX592" s="81"/>
      <c r="AY592" s="81"/>
    </row>
    <row r="593" spans="1:51" hidden="1">
      <c r="A593" s="1" t="s">
        <v>49</v>
      </c>
      <c r="B593" s="1">
        <v>230704</v>
      </c>
      <c r="C593" s="1">
        <v>5678</v>
      </c>
      <c r="D593" s="1" t="s">
        <v>846</v>
      </c>
      <c r="E593" s="1" t="s">
        <v>1234</v>
      </c>
      <c r="F593" t="s">
        <v>1583</v>
      </c>
      <c r="G593" t="s">
        <v>1514</v>
      </c>
      <c r="H593" s="1" t="s">
        <v>1339</v>
      </c>
      <c r="I593" s="1" t="s">
        <v>1340</v>
      </c>
      <c r="J593" s="1" t="s">
        <v>18</v>
      </c>
      <c r="K593" s="1" t="s">
        <v>50</v>
      </c>
      <c r="L593" s="1">
        <v>34363</v>
      </c>
      <c r="M593" s="1">
        <v>31</v>
      </c>
      <c r="N593" s="1">
        <v>1300</v>
      </c>
      <c r="P593" s="1">
        <v>1800</v>
      </c>
      <c r="Q593" s="1"/>
      <c r="R593" s="1">
        <v>500</v>
      </c>
      <c r="S593">
        <v>260000</v>
      </c>
      <c r="T593">
        <v>13039</v>
      </c>
      <c r="U593" t="s">
        <v>814</v>
      </c>
      <c r="V593">
        <v>23790</v>
      </c>
      <c r="W593" s="1">
        <v>46598</v>
      </c>
      <c r="X593" s="1" t="s">
        <v>55</v>
      </c>
      <c r="Y593" s="1" t="s">
        <v>51</v>
      </c>
      <c r="Z593" s="1" t="s">
        <v>4175</v>
      </c>
      <c r="AA593" s="1" t="s">
        <v>4176</v>
      </c>
      <c r="AB593" s="1" t="s">
        <v>4177</v>
      </c>
      <c r="AC593" s="1">
        <v>45207</v>
      </c>
      <c r="AD593" s="1">
        <v>45112</v>
      </c>
      <c r="AE593" s="1"/>
      <c r="AF593" s="1"/>
      <c r="AG593" s="1" t="s">
        <v>1383</v>
      </c>
      <c r="AH593" s="1" t="s">
        <v>1382</v>
      </c>
      <c r="AI593" s="1" t="s">
        <v>4046</v>
      </c>
      <c r="AJ593" s="31">
        <v>45112</v>
      </c>
      <c r="AK593"/>
      <c r="AL593"/>
      <c r="AM593"/>
      <c r="AN593"/>
      <c r="AO593"/>
      <c r="AP593"/>
      <c r="AQ593" s="81"/>
      <c r="AR593" s="81"/>
      <c r="AS593" s="81"/>
      <c r="AT593" s="81"/>
      <c r="AU593" s="81"/>
      <c r="AV593" s="81"/>
      <c r="AW593" s="81"/>
      <c r="AX593" s="81"/>
      <c r="AY593" s="81"/>
    </row>
    <row r="594" spans="1:51" hidden="1">
      <c r="A594" s="1" t="s">
        <v>2542</v>
      </c>
      <c r="B594" s="1">
        <v>230705</v>
      </c>
      <c r="D594" s="1" t="s">
        <v>402</v>
      </c>
      <c r="E594" s="1" t="s">
        <v>1341</v>
      </c>
      <c r="F594" t="s">
        <v>3667</v>
      </c>
      <c r="G594" t="s">
        <v>1351</v>
      </c>
      <c r="H594" s="1" t="s">
        <v>4278</v>
      </c>
      <c r="I594" s="1" t="s">
        <v>3668</v>
      </c>
      <c r="J594" s="1" t="s">
        <v>18</v>
      </c>
      <c r="K594" s="1" t="s">
        <v>900</v>
      </c>
      <c r="L594" s="1">
        <v>28516</v>
      </c>
      <c r="M594" s="1">
        <v>47</v>
      </c>
      <c r="N594" s="1">
        <v>1400</v>
      </c>
      <c r="P594" s="1">
        <v>1872</v>
      </c>
      <c r="Q594" s="1"/>
      <c r="R594" s="1">
        <v>472</v>
      </c>
      <c r="S594">
        <v>220000</v>
      </c>
      <c r="T594">
        <v>11033</v>
      </c>
      <c r="U594">
        <v>1749</v>
      </c>
      <c r="V594">
        <v>20130</v>
      </c>
      <c r="W594" s="1">
        <v>46081</v>
      </c>
      <c r="X594" s="1" t="s">
        <v>55</v>
      </c>
      <c r="Y594" s="1" t="s">
        <v>3669</v>
      </c>
      <c r="Z594" s="1" t="s">
        <v>3670</v>
      </c>
      <c r="AA594" s="1" t="s">
        <v>3671</v>
      </c>
      <c r="AB594" s="1" t="s">
        <v>3672</v>
      </c>
      <c r="AC594" s="1" t="s">
        <v>53</v>
      </c>
      <c r="AD594" s="1">
        <v>45112</v>
      </c>
      <c r="AE594" s="1">
        <v>45229</v>
      </c>
      <c r="AF594" s="1"/>
      <c r="AG594" s="1" t="s">
        <v>1383</v>
      </c>
      <c r="AH594" s="1" t="s">
        <v>1382</v>
      </c>
      <c r="AI594" s="1"/>
      <c r="AJ594" s="31">
        <v>45112</v>
      </c>
      <c r="AK594"/>
      <c r="AL594"/>
      <c r="AM594"/>
      <c r="AN594"/>
      <c r="AO594"/>
      <c r="AP594"/>
      <c r="AQ594" s="81"/>
      <c r="AR594" s="81"/>
      <c r="AS594" s="81"/>
      <c r="AT594" s="81"/>
      <c r="AU594" s="81"/>
      <c r="AV594" s="81"/>
      <c r="AW594" s="81"/>
      <c r="AX594" s="81"/>
      <c r="AY594" s="81"/>
    </row>
    <row r="595" spans="1:51" hidden="1">
      <c r="A595" s="1" t="s">
        <v>49</v>
      </c>
      <c r="B595" s="1">
        <v>230706</v>
      </c>
      <c r="C595" s="1">
        <v>232114</v>
      </c>
      <c r="D595" s="1" t="s">
        <v>83</v>
      </c>
      <c r="E595" s="1" t="s">
        <v>1386</v>
      </c>
      <c r="F595" t="s">
        <v>2259</v>
      </c>
      <c r="G595" t="s">
        <v>388</v>
      </c>
      <c r="H595" s="1" t="s">
        <v>1342</v>
      </c>
      <c r="I595" s="1" t="s">
        <v>1343</v>
      </c>
      <c r="J595" s="1" t="s">
        <v>17</v>
      </c>
      <c r="K595" s="1" t="s">
        <v>50</v>
      </c>
      <c r="L595" s="1">
        <v>33757</v>
      </c>
      <c r="M595" s="1">
        <v>33</v>
      </c>
      <c r="N595" s="1">
        <v>1100</v>
      </c>
      <c r="P595" s="1">
        <v>1630</v>
      </c>
      <c r="Q595" s="1"/>
      <c r="R595" s="1">
        <v>530</v>
      </c>
      <c r="S595">
        <v>88000</v>
      </c>
      <c r="T595">
        <v>4413</v>
      </c>
      <c r="U595" t="s">
        <v>814</v>
      </c>
      <c r="V595">
        <v>8052</v>
      </c>
      <c r="W595" s="1">
        <v>46152</v>
      </c>
      <c r="X595" s="1" t="s">
        <v>55</v>
      </c>
      <c r="Y595" s="1" t="s">
        <v>121</v>
      </c>
      <c r="Z595" s="1" t="s">
        <v>110</v>
      </c>
      <c r="AA595" s="1" t="s">
        <v>134</v>
      </c>
      <c r="AB595" s="1" t="s">
        <v>135</v>
      </c>
      <c r="AC595" s="1">
        <v>45318</v>
      </c>
      <c r="AD595" s="1">
        <v>45117</v>
      </c>
      <c r="AE595" s="1"/>
      <c r="AF595" s="1"/>
      <c r="AG595" s="1" t="s">
        <v>1387</v>
      </c>
      <c r="AH595" s="1" t="s">
        <v>639</v>
      </c>
      <c r="AI595" s="1"/>
      <c r="AJ595" s="31">
        <v>45117</v>
      </c>
      <c r="AK595"/>
      <c r="AL595"/>
      <c r="AM595"/>
      <c r="AN595"/>
      <c r="AO595"/>
      <c r="AP595"/>
      <c r="AQ595" s="81"/>
      <c r="AR595" s="81"/>
      <c r="AS595" s="81"/>
      <c r="AT595" s="81"/>
      <c r="AU595" s="81"/>
      <c r="AV595" s="81"/>
      <c r="AW595" s="81"/>
      <c r="AX595" s="81"/>
      <c r="AY595" s="81"/>
    </row>
    <row r="596" spans="1:51" hidden="1">
      <c r="A596" s="1" t="s">
        <v>2542</v>
      </c>
      <c r="B596" s="1">
        <v>230707</v>
      </c>
      <c r="C596" s="1">
        <v>232115</v>
      </c>
      <c r="D596" s="1" t="s">
        <v>83</v>
      </c>
      <c r="E596" s="1" t="s">
        <v>311</v>
      </c>
      <c r="F596" t="s">
        <v>3594</v>
      </c>
      <c r="G596" t="s">
        <v>364</v>
      </c>
      <c r="H596" s="1" t="s">
        <v>3673</v>
      </c>
      <c r="I596" s="1" t="s">
        <v>3674</v>
      </c>
      <c r="J596" s="1" t="s">
        <v>17</v>
      </c>
      <c r="K596" s="1" t="s">
        <v>50</v>
      </c>
      <c r="L596" s="1">
        <v>34232</v>
      </c>
      <c r="M596" s="1">
        <v>32</v>
      </c>
      <c r="N596" s="1">
        <v>1100</v>
      </c>
      <c r="P596" s="1">
        <v>1600</v>
      </c>
      <c r="Q596" s="1"/>
      <c r="R596" s="1">
        <v>500</v>
      </c>
      <c r="S596">
        <v>126000</v>
      </c>
      <c r="T596">
        <v>6319</v>
      </c>
      <c r="U596" t="s">
        <v>814</v>
      </c>
      <c r="V596">
        <v>11529</v>
      </c>
      <c r="W596" s="1">
        <v>45630</v>
      </c>
      <c r="X596" s="1" t="s">
        <v>55</v>
      </c>
      <c r="Y596" s="1" t="s">
        <v>121</v>
      </c>
      <c r="Z596" s="1" t="s">
        <v>110</v>
      </c>
      <c r="AA596" s="1" t="s">
        <v>113</v>
      </c>
      <c r="AB596" s="1" t="s">
        <v>3675</v>
      </c>
      <c r="AC596" s="1">
        <v>45118</v>
      </c>
      <c r="AD596" s="1">
        <v>45125</v>
      </c>
      <c r="AE596" s="1">
        <v>45180</v>
      </c>
      <c r="AF596" s="1"/>
      <c r="AG596" s="1" t="s">
        <v>3676</v>
      </c>
      <c r="AH596" s="1" t="s">
        <v>3677</v>
      </c>
      <c r="AI596" s="1"/>
      <c r="AJ596" s="31">
        <v>45125</v>
      </c>
      <c r="AK596"/>
      <c r="AL596"/>
      <c r="AM596"/>
      <c r="AN596"/>
      <c r="AO596"/>
      <c r="AP596"/>
      <c r="AQ596" s="81"/>
      <c r="AR596" s="81"/>
      <c r="AS596" s="81"/>
      <c r="AT596" s="81"/>
      <c r="AU596" s="81"/>
      <c r="AV596" s="81"/>
      <c r="AW596" s="81"/>
      <c r="AX596" s="81"/>
      <c r="AY596" s="81"/>
    </row>
    <row r="597" spans="1:51" hidden="1">
      <c r="A597" s="1" t="s">
        <v>2542</v>
      </c>
      <c r="B597" s="1">
        <v>230708</v>
      </c>
      <c r="C597" s="1">
        <v>5578</v>
      </c>
      <c r="D597" s="1" t="s">
        <v>846</v>
      </c>
      <c r="E597" s="1" t="s">
        <v>1232</v>
      </c>
      <c r="F597" t="s">
        <v>1237</v>
      </c>
      <c r="G597" t="s">
        <v>1514</v>
      </c>
      <c r="H597" s="1" t="s">
        <v>3678</v>
      </c>
      <c r="I597" s="1" t="s">
        <v>3679</v>
      </c>
      <c r="J597" s="1" t="s">
        <v>18</v>
      </c>
      <c r="K597" s="1" t="s">
        <v>50</v>
      </c>
      <c r="L597" s="1">
        <v>33552</v>
      </c>
      <c r="M597" s="1">
        <v>34</v>
      </c>
      <c r="N597" s="1">
        <v>1300</v>
      </c>
      <c r="P597" s="1">
        <v>1700</v>
      </c>
      <c r="Q597" s="1"/>
      <c r="R597" s="1">
        <v>400</v>
      </c>
      <c r="S597">
        <v>220000</v>
      </c>
      <c r="T597">
        <v>11033</v>
      </c>
      <c r="U597" t="s">
        <v>814</v>
      </c>
      <c r="V597">
        <v>20130</v>
      </c>
      <c r="W597" s="1">
        <v>46103</v>
      </c>
      <c r="X597" s="1" t="s">
        <v>55</v>
      </c>
      <c r="Y597" s="1" t="s">
        <v>51</v>
      </c>
      <c r="Z597" s="1" t="s">
        <v>1094</v>
      </c>
      <c r="AA597" s="1" t="s">
        <v>1095</v>
      </c>
      <c r="AB597" s="1" t="s">
        <v>1096</v>
      </c>
      <c r="AC597" s="1">
        <v>45126</v>
      </c>
      <c r="AD597" s="1">
        <v>45128</v>
      </c>
      <c r="AE597" s="1">
        <v>45248</v>
      </c>
      <c r="AF597" s="1"/>
      <c r="AG597" s="1" t="s">
        <v>3680</v>
      </c>
      <c r="AH597" s="1" t="s">
        <v>3677</v>
      </c>
      <c r="AI597" s="1"/>
      <c r="AJ597" s="31">
        <v>45128</v>
      </c>
      <c r="AK597"/>
      <c r="AL597"/>
      <c r="AM597"/>
      <c r="AN597"/>
      <c r="AO597"/>
      <c r="AP597"/>
      <c r="AQ597" s="81"/>
      <c r="AR597" s="81"/>
      <c r="AS597" s="81"/>
      <c r="AT597" s="81"/>
      <c r="AU597" s="81"/>
      <c r="AV597" s="81"/>
      <c r="AW597" s="81"/>
      <c r="AX597" s="81"/>
      <c r="AY597" s="81"/>
    </row>
    <row r="598" spans="1:51" s="81" customFormat="1" hidden="1">
      <c r="A598" s="1" t="s">
        <v>2542</v>
      </c>
      <c r="B598" s="1">
        <v>230709</v>
      </c>
      <c r="C598" s="1"/>
      <c r="D598" s="1" t="s">
        <v>688</v>
      </c>
      <c r="E598" s="1" t="s">
        <v>851</v>
      </c>
      <c r="F598" t="s">
        <v>851</v>
      </c>
      <c r="G598" t="s">
        <v>1183</v>
      </c>
      <c r="H598" s="1" t="s">
        <v>3681</v>
      </c>
      <c r="I598" s="1" t="s">
        <v>3682</v>
      </c>
      <c r="J598" s="1" t="s">
        <v>18</v>
      </c>
      <c r="K598" s="1" t="s">
        <v>50</v>
      </c>
      <c r="L598" s="1">
        <v>35288</v>
      </c>
      <c r="M598" s="1">
        <v>29</v>
      </c>
      <c r="N598" s="1">
        <v>1350</v>
      </c>
      <c r="O598" s="1"/>
      <c r="P598" s="1">
        <v>1800</v>
      </c>
      <c r="Q598" s="1"/>
      <c r="R598" s="1">
        <v>450</v>
      </c>
      <c r="S598">
        <v>200000</v>
      </c>
      <c r="T598">
        <v>10030</v>
      </c>
      <c r="U598" t="s">
        <v>814</v>
      </c>
      <c r="V598">
        <v>18300</v>
      </c>
      <c r="W598" s="1">
        <v>45369</v>
      </c>
      <c r="X598" s="1" t="s">
        <v>55</v>
      </c>
      <c r="Y598" s="1" t="s">
        <v>51</v>
      </c>
      <c r="Z598" s="1" t="s">
        <v>3683</v>
      </c>
      <c r="AA598" s="1" t="s">
        <v>3684</v>
      </c>
      <c r="AB598" s="1" t="s">
        <v>3685</v>
      </c>
      <c r="AC598" s="1">
        <v>45123</v>
      </c>
      <c r="AD598" s="1">
        <v>45132</v>
      </c>
      <c r="AE598" s="1">
        <v>45275</v>
      </c>
      <c r="AF598" s="1"/>
      <c r="AG598" s="1" t="s">
        <v>3686</v>
      </c>
      <c r="AH598" s="1" t="s">
        <v>639</v>
      </c>
      <c r="AI598" s="1"/>
      <c r="AJ598" s="31">
        <v>45132</v>
      </c>
      <c r="AK598"/>
      <c r="AL598"/>
      <c r="AM598"/>
      <c r="AN598"/>
      <c r="AO598"/>
      <c r="AP598"/>
    </row>
    <row r="599" spans="1:51" hidden="1">
      <c r="A599" s="1" t="s">
        <v>2542</v>
      </c>
      <c r="B599" s="1">
        <v>230710</v>
      </c>
      <c r="D599" s="1" t="s">
        <v>688</v>
      </c>
      <c r="E599" s="1" t="s">
        <v>851</v>
      </c>
      <c r="F599" t="s">
        <v>851</v>
      </c>
      <c r="G599" t="s">
        <v>1183</v>
      </c>
      <c r="H599" s="1" t="s">
        <v>3687</v>
      </c>
      <c r="I599" s="1" t="s">
        <v>3688</v>
      </c>
      <c r="J599" s="1" t="s">
        <v>18</v>
      </c>
      <c r="K599" s="1" t="s">
        <v>50</v>
      </c>
      <c r="L599" s="1">
        <v>35502</v>
      </c>
      <c r="M599" s="1">
        <v>28</v>
      </c>
      <c r="N599" s="1">
        <v>1350</v>
      </c>
      <c r="P599" s="1">
        <v>1800</v>
      </c>
      <c r="Q599" s="1"/>
      <c r="R599" s="1">
        <v>450</v>
      </c>
      <c r="S599">
        <v>200000</v>
      </c>
      <c r="T599">
        <v>10030</v>
      </c>
      <c r="U599" t="s">
        <v>814</v>
      </c>
      <c r="V599">
        <v>18300</v>
      </c>
      <c r="W599" s="1">
        <v>45634</v>
      </c>
      <c r="X599" s="1" t="s">
        <v>55</v>
      </c>
      <c r="Y599" s="1" t="s">
        <v>51</v>
      </c>
      <c r="Z599" s="1" t="s">
        <v>3683</v>
      </c>
      <c r="AA599" s="1" t="s">
        <v>3684</v>
      </c>
      <c r="AB599" s="1" t="s">
        <v>3685</v>
      </c>
      <c r="AC599" s="1">
        <v>45123</v>
      </c>
      <c r="AD599" s="1">
        <v>45132</v>
      </c>
      <c r="AE599" s="1">
        <v>45273</v>
      </c>
      <c r="AF599" s="1"/>
      <c r="AG599" s="1" t="s">
        <v>3686</v>
      </c>
      <c r="AH599" s="1" t="s">
        <v>639</v>
      </c>
      <c r="AI599" s="1"/>
      <c r="AJ599" s="31">
        <v>45132</v>
      </c>
      <c r="AK599"/>
      <c r="AL599"/>
      <c r="AM599"/>
      <c r="AN599"/>
      <c r="AO599"/>
      <c r="AP599"/>
      <c r="AQ599" s="81"/>
      <c r="AR599" s="81"/>
      <c r="AS599" s="81"/>
      <c r="AT599" s="81"/>
      <c r="AU599" s="81"/>
      <c r="AV599" s="81"/>
      <c r="AW599" s="81"/>
      <c r="AX599" s="81"/>
      <c r="AY599" s="81"/>
    </row>
    <row r="600" spans="1:51" hidden="1">
      <c r="A600" s="1" t="s">
        <v>2542</v>
      </c>
      <c r="B600" s="1">
        <v>230711</v>
      </c>
      <c r="C600" s="1">
        <v>8210064</v>
      </c>
      <c r="D600" s="1" t="s">
        <v>823</v>
      </c>
      <c r="F600"/>
      <c r="G600"/>
      <c r="H600" s="1" t="s">
        <v>3689</v>
      </c>
      <c r="I600" s="1" t="s">
        <v>3690</v>
      </c>
      <c r="J600" s="1" t="s">
        <v>18</v>
      </c>
      <c r="K600" s="1" t="s">
        <v>50</v>
      </c>
      <c r="L600" s="1">
        <v>34375</v>
      </c>
      <c r="M600" s="1">
        <v>31</v>
      </c>
      <c r="N600" s="1">
        <v>1400</v>
      </c>
      <c r="P600" s="1">
        <v>1990</v>
      </c>
      <c r="Q600" s="1"/>
      <c r="R600" s="1">
        <v>590</v>
      </c>
      <c r="S600">
        <v>0</v>
      </c>
      <c r="T600" t="s">
        <v>55</v>
      </c>
      <c r="U600" t="s">
        <v>814</v>
      </c>
      <c r="V600">
        <v>0</v>
      </c>
      <c r="W600" s="1">
        <v>45620</v>
      </c>
      <c r="X600" s="1" t="s">
        <v>55</v>
      </c>
      <c r="Y600" s="1" t="s">
        <v>51</v>
      </c>
      <c r="Z600" s="1" t="s">
        <v>982</v>
      </c>
      <c r="AA600" s="1" t="s">
        <v>983</v>
      </c>
      <c r="AB600" s="1" t="s">
        <v>990</v>
      </c>
      <c r="AC600" s="1">
        <v>45131</v>
      </c>
      <c r="AD600" s="1">
        <v>45133</v>
      </c>
      <c r="AE600" s="1">
        <v>45149</v>
      </c>
      <c r="AF600" s="1"/>
      <c r="AG600" s="1"/>
      <c r="AH600" s="1"/>
      <c r="AI600" s="1"/>
      <c r="AJ600" s="31">
        <v>45133</v>
      </c>
      <c r="AK600"/>
      <c r="AL600"/>
      <c r="AM600"/>
      <c r="AN600"/>
      <c r="AO600"/>
      <c r="AP600"/>
      <c r="AQ600" s="81"/>
      <c r="AR600" s="81"/>
      <c r="AS600" s="81"/>
      <c r="AT600" s="81"/>
      <c r="AU600" s="81"/>
      <c r="AV600" s="81"/>
      <c r="AW600" s="81"/>
      <c r="AX600" s="81"/>
      <c r="AY600" s="81"/>
    </row>
    <row r="601" spans="1:51" hidden="1">
      <c r="A601" s="1" t="s">
        <v>2542</v>
      </c>
      <c r="B601" s="1">
        <v>230712</v>
      </c>
      <c r="C601" s="1">
        <v>8210065</v>
      </c>
      <c r="D601" s="1" t="s">
        <v>815</v>
      </c>
      <c r="F601"/>
      <c r="G601"/>
      <c r="H601" s="1" t="s">
        <v>3691</v>
      </c>
      <c r="I601" s="1" t="s">
        <v>3692</v>
      </c>
      <c r="J601" s="1" t="s">
        <v>18</v>
      </c>
      <c r="K601" s="1" t="s">
        <v>50</v>
      </c>
      <c r="L601" s="1">
        <v>34848</v>
      </c>
      <c r="M601" s="1">
        <v>30</v>
      </c>
      <c r="N601" s="1">
        <v>1400</v>
      </c>
      <c r="P601" s="1">
        <v>1990</v>
      </c>
      <c r="Q601" s="1"/>
      <c r="R601" s="1">
        <v>590</v>
      </c>
      <c r="S601">
        <v>220000</v>
      </c>
      <c r="T601">
        <v>11033</v>
      </c>
      <c r="U601" t="s">
        <v>814</v>
      </c>
      <c r="V601">
        <v>20130</v>
      </c>
      <c r="W601" s="1">
        <v>45795</v>
      </c>
      <c r="X601" s="1" t="s">
        <v>55</v>
      </c>
      <c r="Y601" s="1" t="s">
        <v>51</v>
      </c>
      <c r="Z601" s="1" t="s">
        <v>982</v>
      </c>
      <c r="AA601" s="1" t="s">
        <v>983</v>
      </c>
      <c r="AB601" s="1" t="s">
        <v>1201</v>
      </c>
      <c r="AC601" s="1">
        <v>45131</v>
      </c>
      <c r="AD601" s="1">
        <v>45133</v>
      </c>
      <c r="AE601" s="1">
        <v>45219</v>
      </c>
      <c r="AF601" s="1"/>
      <c r="AG601" s="1" t="s">
        <v>3693</v>
      </c>
      <c r="AH601" s="1" t="s">
        <v>1388</v>
      </c>
      <c r="AI601" s="1"/>
      <c r="AJ601" s="31">
        <v>45133</v>
      </c>
      <c r="AK601"/>
      <c r="AL601"/>
      <c r="AM601"/>
      <c r="AN601"/>
      <c r="AO601"/>
      <c r="AP601"/>
      <c r="AQ601" s="81"/>
      <c r="AR601" s="81"/>
      <c r="AS601" s="81"/>
      <c r="AT601" s="81"/>
      <c r="AU601" s="81"/>
      <c r="AV601" s="81"/>
      <c r="AW601" s="81"/>
      <c r="AX601" s="81"/>
      <c r="AY601" s="81"/>
    </row>
    <row r="602" spans="1:51" hidden="1">
      <c r="A602" s="1" t="s">
        <v>49</v>
      </c>
      <c r="B602" s="1">
        <v>230713</v>
      </c>
      <c r="D602" s="1" t="s">
        <v>447</v>
      </c>
      <c r="E602" s="1" t="s">
        <v>1270</v>
      </c>
      <c r="F602" t="s">
        <v>1271</v>
      </c>
      <c r="G602" t="s">
        <v>1267</v>
      </c>
      <c r="H602" s="1" t="s">
        <v>1389</v>
      </c>
      <c r="I602" s="1" t="s">
        <v>1390</v>
      </c>
      <c r="J602" s="1" t="s">
        <v>18</v>
      </c>
      <c r="K602" s="1" t="s">
        <v>50</v>
      </c>
      <c r="L602" s="1">
        <v>37078</v>
      </c>
      <c r="M602" s="1">
        <v>24</v>
      </c>
      <c r="N602" s="1">
        <v>1310</v>
      </c>
      <c r="P602" s="1">
        <v>1700</v>
      </c>
      <c r="Q602" s="1"/>
      <c r="R602" s="1">
        <v>390</v>
      </c>
      <c r="S602">
        <v>240000</v>
      </c>
      <c r="T602">
        <v>12036</v>
      </c>
      <c r="U602" t="s">
        <v>814</v>
      </c>
      <c r="V602">
        <v>21960</v>
      </c>
      <c r="W602" s="1">
        <v>46993</v>
      </c>
      <c r="X602" s="1" t="s">
        <v>55</v>
      </c>
      <c r="Y602" s="1" t="s">
        <v>51</v>
      </c>
      <c r="Z602" s="1" t="s">
        <v>448</v>
      </c>
      <c r="AA602" s="1" t="s">
        <v>478</v>
      </c>
      <c r="AB602" s="1" t="s">
        <v>2166</v>
      </c>
      <c r="AC602" s="1">
        <v>45133</v>
      </c>
      <c r="AD602" s="1">
        <v>45138</v>
      </c>
      <c r="AE602" s="1"/>
      <c r="AF602" s="1">
        <v>45347</v>
      </c>
      <c r="AG602" s="1" t="s">
        <v>1392</v>
      </c>
      <c r="AH602" s="1" t="s">
        <v>1388</v>
      </c>
      <c r="AI602" s="1"/>
      <c r="AJ602" s="31">
        <v>45138</v>
      </c>
      <c r="AK602"/>
      <c r="AL602"/>
      <c r="AM602"/>
      <c r="AN602"/>
      <c r="AO602"/>
      <c r="AP602"/>
      <c r="AQ602" s="81"/>
      <c r="AR602" s="81"/>
      <c r="AS602" s="81"/>
      <c r="AT602" s="81"/>
      <c r="AU602" s="81"/>
      <c r="AV602" s="81"/>
      <c r="AW602" s="81"/>
      <c r="AX602" s="81"/>
      <c r="AY602" s="81"/>
    </row>
    <row r="603" spans="1:51" hidden="1">
      <c r="A603" s="1" t="s">
        <v>49</v>
      </c>
      <c r="B603" s="1">
        <v>230714</v>
      </c>
      <c r="D603" s="1" t="s">
        <v>447</v>
      </c>
      <c r="E603" s="1" t="s">
        <v>1270</v>
      </c>
      <c r="F603" t="s">
        <v>1271</v>
      </c>
      <c r="G603" t="s">
        <v>1267</v>
      </c>
      <c r="H603" s="1" t="s">
        <v>1393</v>
      </c>
      <c r="I603" s="1" t="s">
        <v>1394</v>
      </c>
      <c r="J603" s="1" t="s">
        <v>18</v>
      </c>
      <c r="K603" s="1" t="s">
        <v>50</v>
      </c>
      <c r="L603" s="1">
        <v>35400</v>
      </c>
      <c r="M603" s="1">
        <v>29</v>
      </c>
      <c r="N603" s="1">
        <v>1310</v>
      </c>
      <c r="P603" s="1">
        <v>1700</v>
      </c>
      <c r="Q603" s="1"/>
      <c r="R603" s="1">
        <v>390</v>
      </c>
      <c r="S603">
        <v>260000</v>
      </c>
      <c r="T603">
        <v>13039</v>
      </c>
      <c r="U603" t="s">
        <v>814</v>
      </c>
      <c r="V603">
        <v>23790</v>
      </c>
      <c r="W603" s="1">
        <v>46993</v>
      </c>
      <c r="X603" s="1" t="s">
        <v>55</v>
      </c>
      <c r="Y603" s="1" t="s">
        <v>51</v>
      </c>
      <c r="Z603" s="1" t="s">
        <v>448</v>
      </c>
      <c r="AA603" s="1" t="s">
        <v>449</v>
      </c>
      <c r="AB603" s="1" t="s">
        <v>1391</v>
      </c>
      <c r="AC603" s="1">
        <v>45133</v>
      </c>
      <c r="AD603" s="1">
        <v>45138</v>
      </c>
      <c r="AE603" s="1"/>
      <c r="AF603" s="1"/>
      <c r="AG603" s="1" t="s">
        <v>1392</v>
      </c>
      <c r="AH603" s="1" t="s">
        <v>1388</v>
      </c>
      <c r="AI603" s="1"/>
      <c r="AJ603" s="31">
        <v>45138</v>
      </c>
      <c r="AK603"/>
      <c r="AL603"/>
      <c r="AM603"/>
      <c r="AN603"/>
      <c r="AO603"/>
      <c r="AP603"/>
      <c r="AQ603" s="81"/>
      <c r="AR603" s="81"/>
      <c r="AS603" s="81"/>
      <c r="AT603" s="81"/>
      <c r="AU603" s="81"/>
      <c r="AV603" s="81"/>
      <c r="AW603" s="81"/>
      <c r="AX603" s="81"/>
      <c r="AY603" s="81"/>
    </row>
    <row r="604" spans="1:51" hidden="1">
      <c r="A604" s="1" t="s">
        <v>49</v>
      </c>
      <c r="B604" s="1">
        <v>230715</v>
      </c>
      <c r="D604" s="1" t="s">
        <v>447</v>
      </c>
      <c r="E604" s="1" t="s">
        <v>1270</v>
      </c>
      <c r="F604" t="s">
        <v>1271</v>
      </c>
      <c r="G604" t="s">
        <v>1267</v>
      </c>
      <c r="H604" s="1" t="s">
        <v>1395</v>
      </c>
      <c r="I604" s="1" t="s">
        <v>1396</v>
      </c>
      <c r="J604" s="1" t="s">
        <v>18</v>
      </c>
      <c r="K604" s="1" t="s">
        <v>50</v>
      </c>
      <c r="L604" s="1">
        <v>36146</v>
      </c>
      <c r="M604" s="1">
        <v>26</v>
      </c>
      <c r="N604" s="1">
        <v>1310</v>
      </c>
      <c r="P604" s="1">
        <v>1700</v>
      </c>
      <c r="Q604" s="1"/>
      <c r="R604" s="1">
        <v>390</v>
      </c>
      <c r="S604">
        <v>260000</v>
      </c>
      <c r="T604">
        <v>13039</v>
      </c>
      <c r="U604" t="s">
        <v>814</v>
      </c>
      <c r="V604">
        <v>23790</v>
      </c>
      <c r="W604" s="1">
        <v>46993</v>
      </c>
      <c r="X604" s="1" t="s">
        <v>55</v>
      </c>
      <c r="Y604" s="1" t="s">
        <v>51</v>
      </c>
      <c r="Z604" s="1" t="s">
        <v>448</v>
      </c>
      <c r="AA604" s="1" t="s">
        <v>449</v>
      </c>
      <c r="AB604" s="1" t="s">
        <v>501</v>
      </c>
      <c r="AC604" s="1">
        <v>45133</v>
      </c>
      <c r="AD604" s="1">
        <v>45138</v>
      </c>
      <c r="AE604" s="1"/>
      <c r="AF604" s="1"/>
      <c r="AG604" s="1" t="s">
        <v>1392</v>
      </c>
      <c r="AH604" s="1" t="s">
        <v>1388</v>
      </c>
      <c r="AI604" s="1"/>
      <c r="AJ604" s="31">
        <v>45138</v>
      </c>
      <c r="AK604"/>
      <c r="AL604"/>
      <c r="AM604"/>
      <c r="AN604"/>
      <c r="AO604"/>
      <c r="AP604"/>
      <c r="AQ604" s="81"/>
      <c r="AR604" s="81"/>
      <c r="AS604" s="81"/>
      <c r="AT604" s="81"/>
      <c r="AU604" s="81"/>
      <c r="AV604" s="81"/>
      <c r="AW604" s="81"/>
      <c r="AX604" s="81"/>
      <c r="AY604" s="81"/>
    </row>
    <row r="605" spans="1:51" hidden="1">
      <c r="A605" s="1" t="s">
        <v>49</v>
      </c>
      <c r="B605" s="1">
        <v>230801</v>
      </c>
      <c r="C605" s="1">
        <v>8210068</v>
      </c>
      <c r="D605" s="1" t="s">
        <v>822</v>
      </c>
      <c r="E605" s="1" t="s">
        <v>1312</v>
      </c>
      <c r="F605" t="s">
        <v>1312</v>
      </c>
      <c r="G605"/>
      <c r="H605" s="1" t="s">
        <v>1397</v>
      </c>
      <c r="I605" s="1" t="s">
        <v>1398</v>
      </c>
      <c r="J605" s="1" t="s">
        <v>18</v>
      </c>
      <c r="K605" s="1" t="s">
        <v>50</v>
      </c>
      <c r="L605" s="1">
        <v>35830</v>
      </c>
      <c r="M605" s="1">
        <v>27</v>
      </c>
      <c r="N605" s="1">
        <v>1555</v>
      </c>
      <c r="P605" s="1">
        <v>2225</v>
      </c>
      <c r="Q605" s="1"/>
      <c r="R605" s="1">
        <v>670</v>
      </c>
      <c r="S605">
        <v>360000</v>
      </c>
      <c r="T605">
        <v>18054</v>
      </c>
      <c r="U605" t="s">
        <v>814</v>
      </c>
      <c r="V605">
        <v>32940</v>
      </c>
      <c r="W605" s="1">
        <v>46843</v>
      </c>
      <c r="X605" s="1" t="s">
        <v>55</v>
      </c>
      <c r="Y605" s="1" t="s">
        <v>51</v>
      </c>
      <c r="Z605" s="1" t="s">
        <v>1399</v>
      </c>
      <c r="AA605" s="1" t="s">
        <v>1400</v>
      </c>
      <c r="AB605" s="1" t="s">
        <v>1401</v>
      </c>
      <c r="AC605" s="1">
        <v>45140</v>
      </c>
      <c r="AD605" s="1">
        <v>45139</v>
      </c>
      <c r="AE605" s="1"/>
      <c r="AF605" s="1"/>
      <c r="AG605" s="1" t="s">
        <v>1392</v>
      </c>
      <c r="AH605" s="1" t="s">
        <v>1402</v>
      </c>
      <c r="AI605" s="1"/>
      <c r="AJ605" s="31">
        <v>45139</v>
      </c>
      <c r="AK605" t="s">
        <v>2423</v>
      </c>
      <c r="AL605">
        <v>45720</v>
      </c>
      <c r="AM605" t="s">
        <v>2423</v>
      </c>
      <c r="AN605">
        <v>46080</v>
      </c>
      <c r="AO605"/>
      <c r="AP605"/>
      <c r="AQ605" s="81"/>
      <c r="AR605" s="81"/>
      <c r="AS605" s="81"/>
      <c r="AT605" s="81"/>
      <c r="AU605" s="81"/>
      <c r="AV605" s="81"/>
      <c r="AW605" s="81"/>
      <c r="AX605" s="81"/>
      <c r="AY605" s="81"/>
    </row>
    <row r="606" spans="1:51" hidden="1">
      <c r="A606" s="1" t="s">
        <v>49</v>
      </c>
      <c r="B606" s="1">
        <v>230802</v>
      </c>
      <c r="C606" s="1">
        <v>8210069</v>
      </c>
      <c r="D606" s="1" t="s">
        <v>822</v>
      </c>
      <c r="E606" s="1" t="s">
        <v>1312</v>
      </c>
      <c r="F606" t="s">
        <v>1312</v>
      </c>
      <c r="G606"/>
      <c r="H606" s="1" t="s">
        <v>1403</v>
      </c>
      <c r="I606" s="1" t="s">
        <v>1404</v>
      </c>
      <c r="J606" s="1" t="s">
        <v>18</v>
      </c>
      <c r="K606" s="1" t="s">
        <v>50</v>
      </c>
      <c r="L606" s="1">
        <v>35119</v>
      </c>
      <c r="M606" s="1">
        <v>29</v>
      </c>
      <c r="N606" s="1">
        <v>1555</v>
      </c>
      <c r="P606" s="1">
        <v>2225</v>
      </c>
      <c r="Q606" s="1"/>
      <c r="R606" s="1">
        <v>670</v>
      </c>
      <c r="S606">
        <v>360000</v>
      </c>
      <c r="T606">
        <v>18054</v>
      </c>
      <c r="U606" t="s">
        <v>814</v>
      </c>
      <c r="V606">
        <v>32940</v>
      </c>
      <c r="W606" s="1">
        <v>46119</v>
      </c>
      <c r="X606" s="1" t="s">
        <v>55</v>
      </c>
      <c r="Y606" s="1" t="s">
        <v>51</v>
      </c>
      <c r="Z606" s="1" t="s">
        <v>1399</v>
      </c>
      <c r="AA606" s="1" t="s">
        <v>1400</v>
      </c>
      <c r="AB606" s="1" t="s">
        <v>1401</v>
      </c>
      <c r="AC606" s="1">
        <v>45140</v>
      </c>
      <c r="AD606" s="1">
        <v>45139</v>
      </c>
      <c r="AE606" s="1"/>
      <c r="AF606" s="1"/>
      <c r="AG606" s="1" t="s">
        <v>1392</v>
      </c>
      <c r="AH606" s="1" t="s">
        <v>1402</v>
      </c>
      <c r="AI606" s="1"/>
      <c r="AJ606" s="31">
        <v>45139</v>
      </c>
      <c r="AK606"/>
      <c r="AL606"/>
      <c r="AM606" t="s">
        <v>2466</v>
      </c>
      <c r="AN606">
        <v>45903</v>
      </c>
      <c r="AO606"/>
      <c r="AP606"/>
      <c r="AQ606" s="81"/>
      <c r="AR606" s="81"/>
      <c r="AS606" s="81"/>
      <c r="AT606" s="81"/>
      <c r="AU606" s="81"/>
      <c r="AV606" s="81"/>
      <c r="AW606" s="81"/>
      <c r="AX606" s="81"/>
      <c r="AY606" s="81"/>
    </row>
    <row r="607" spans="1:51" hidden="1">
      <c r="A607" s="1" t="s">
        <v>2542</v>
      </c>
      <c r="B607" s="1">
        <v>230803</v>
      </c>
      <c r="C607" s="1">
        <v>232117</v>
      </c>
      <c r="D607" s="1" t="s">
        <v>83</v>
      </c>
      <c r="E607" s="1" t="s">
        <v>3640</v>
      </c>
      <c r="F607" t="s">
        <v>2655</v>
      </c>
      <c r="G607" t="s">
        <v>2656</v>
      </c>
      <c r="H607" s="1" t="s">
        <v>3696</v>
      </c>
      <c r="I607" s="1" t="s">
        <v>3697</v>
      </c>
      <c r="J607" s="1" t="s">
        <v>18</v>
      </c>
      <c r="K607" s="1" t="s">
        <v>50</v>
      </c>
      <c r="L607" s="1">
        <v>36751</v>
      </c>
      <c r="M607" s="1">
        <v>25</v>
      </c>
      <c r="N607" s="1">
        <v>1200</v>
      </c>
      <c r="P607" s="1">
        <v>1650</v>
      </c>
      <c r="Q607" s="1"/>
      <c r="R607" s="1">
        <v>450</v>
      </c>
      <c r="S607">
        <v>180000</v>
      </c>
      <c r="T607">
        <v>9027</v>
      </c>
      <c r="U607" t="s">
        <v>814</v>
      </c>
      <c r="V607">
        <v>16470</v>
      </c>
      <c r="W607" s="1">
        <v>45499</v>
      </c>
      <c r="X607" s="1" t="s">
        <v>55</v>
      </c>
      <c r="Y607" s="1" t="s">
        <v>51</v>
      </c>
      <c r="Z607" s="1" t="s">
        <v>86</v>
      </c>
      <c r="AA607" s="1" t="s">
        <v>1405</v>
      </c>
      <c r="AB607" s="1"/>
      <c r="AC607" s="1">
        <v>45133</v>
      </c>
      <c r="AD607" s="1">
        <v>45139</v>
      </c>
      <c r="AE607" s="1">
        <v>45397</v>
      </c>
      <c r="AF607" s="1"/>
      <c r="AG607" s="1" t="s">
        <v>1392</v>
      </c>
      <c r="AH607" s="1" t="s">
        <v>1402</v>
      </c>
      <c r="AI607" s="1"/>
      <c r="AJ607" s="31">
        <v>45139</v>
      </c>
      <c r="AK607"/>
      <c r="AL607"/>
      <c r="AM607"/>
      <c r="AN607"/>
      <c r="AO607"/>
      <c r="AP607"/>
      <c r="AQ607" s="81"/>
      <c r="AR607" s="81"/>
      <c r="AS607" s="81"/>
      <c r="AT607" s="81"/>
      <c r="AU607" s="81"/>
      <c r="AV607" s="81"/>
      <c r="AW607" s="81"/>
      <c r="AX607" s="81"/>
      <c r="AY607" s="81"/>
    </row>
    <row r="608" spans="1:51" hidden="1">
      <c r="A608" s="1" t="s">
        <v>2542</v>
      </c>
      <c r="B608" s="1">
        <v>230804</v>
      </c>
      <c r="C608" s="1">
        <v>232119</v>
      </c>
      <c r="D608" s="1" t="s">
        <v>83</v>
      </c>
      <c r="E608" s="1" t="s">
        <v>307</v>
      </c>
      <c r="F608" t="s">
        <v>2251</v>
      </c>
      <c r="G608" t="s">
        <v>2252</v>
      </c>
      <c r="H608" s="1" t="s">
        <v>1406</v>
      </c>
      <c r="I608" s="1" t="s">
        <v>1407</v>
      </c>
      <c r="J608" s="1" t="s">
        <v>18</v>
      </c>
      <c r="K608" s="1" t="s">
        <v>50</v>
      </c>
      <c r="L608" s="1">
        <v>36740</v>
      </c>
      <c r="M608" s="1">
        <v>25</v>
      </c>
      <c r="N608" s="1">
        <v>1300</v>
      </c>
      <c r="P608" s="1">
        <v>1690</v>
      </c>
      <c r="Q608" s="1"/>
      <c r="R608" s="1">
        <v>390</v>
      </c>
      <c r="S608">
        <v>300000</v>
      </c>
      <c r="T608">
        <v>15045</v>
      </c>
      <c r="U608" t="s">
        <v>814</v>
      </c>
      <c r="V608">
        <v>27450</v>
      </c>
      <c r="W608" s="1">
        <v>46594</v>
      </c>
      <c r="X608" s="1" t="s">
        <v>55</v>
      </c>
      <c r="Y608" s="1" t="s">
        <v>51</v>
      </c>
      <c r="Z608" s="1" t="s">
        <v>86</v>
      </c>
      <c r="AA608" s="1" t="s">
        <v>1405</v>
      </c>
      <c r="AB608" s="1"/>
      <c r="AC608" s="1">
        <v>45133</v>
      </c>
      <c r="AD608" s="1">
        <v>45139</v>
      </c>
      <c r="AE608" s="1">
        <v>45761</v>
      </c>
      <c r="AF608" s="1"/>
      <c r="AG608" s="1" t="s">
        <v>1392</v>
      </c>
      <c r="AH608" s="1" t="s">
        <v>1408</v>
      </c>
      <c r="AI608" s="1"/>
      <c r="AJ608" s="31">
        <v>45139</v>
      </c>
      <c r="AK608"/>
      <c r="AL608"/>
      <c r="AM608"/>
      <c r="AN608"/>
      <c r="AO608"/>
      <c r="AP608"/>
      <c r="AQ608" s="81"/>
      <c r="AR608" s="81"/>
      <c r="AS608" s="81"/>
      <c r="AT608" s="81"/>
      <c r="AU608" s="81"/>
      <c r="AV608" s="81"/>
      <c r="AW608" s="81"/>
      <c r="AX608" s="81"/>
      <c r="AY608" s="81"/>
    </row>
    <row r="609" spans="1:51" hidden="1">
      <c r="A609" s="1" t="s">
        <v>2542</v>
      </c>
      <c r="B609" s="1">
        <v>230805</v>
      </c>
      <c r="C609" s="1">
        <v>232116</v>
      </c>
      <c r="D609" s="1" t="s">
        <v>83</v>
      </c>
      <c r="E609" s="1" t="s">
        <v>307</v>
      </c>
      <c r="F609" t="s">
        <v>2251</v>
      </c>
      <c r="G609" t="s">
        <v>2252</v>
      </c>
      <c r="H609" s="1" t="s">
        <v>1409</v>
      </c>
      <c r="I609" s="1" t="s">
        <v>1410</v>
      </c>
      <c r="J609" s="1" t="s">
        <v>18</v>
      </c>
      <c r="K609" s="1" t="s">
        <v>50</v>
      </c>
      <c r="L609" s="1">
        <v>37079</v>
      </c>
      <c r="M609" s="1">
        <v>24</v>
      </c>
      <c r="N609" s="1">
        <v>1300</v>
      </c>
      <c r="P609" s="1">
        <v>1690</v>
      </c>
      <c r="Q609" s="1"/>
      <c r="R609" s="1">
        <v>390</v>
      </c>
      <c r="S609">
        <v>220000</v>
      </c>
      <c r="T609">
        <v>11033</v>
      </c>
      <c r="U609" t="s">
        <v>814</v>
      </c>
      <c r="V609">
        <v>20130</v>
      </c>
      <c r="W609" s="1">
        <v>46594</v>
      </c>
      <c r="X609" s="1" t="s">
        <v>55</v>
      </c>
      <c r="Y609" s="1" t="s">
        <v>51</v>
      </c>
      <c r="Z609" s="1" t="s">
        <v>86</v>
      </c>
      <c r="AA609" s="1" t="s">
        <v>1405</v>
      </c>
      <c r="AB609" s="1"/>
      <c r="AC609" s="1">
        <v>45133</v>
      </c>
      <c r="AD609" s="1">
        <v>45139</v>
      </c>
      <c r="AE609" s="1">
        <v>45667</v>
      </c>
      <c r="AF609" s="1"/>
      <c r="AG609" s="1" t="s">
        <v>1392</v>
      </c>
      <c r="AH609" s="1" t="s">
        <v>1408</v>
      </c>
      <c r="AI609" s="1"/>
      <c r="AJ609" s="31">
        <v>45139</v>
      </c>
      <c r="AK609"/>
      <c r="AL609"/>
      <c r="AM609"/>
      <c r="AN609"/>
      <c r="AO609"/>
      <c r="AP609"/>
      <c r="AQ609" s="81"/>
      <c r="AR609" s="81"/>
      <c r="AS609" s="81"/>
      <c r="AT609" s="81"/>
      <c r="AU609" s="81"/>
      <c r="AV609" s="81"/>
      <c r="AW609" s="81"/>
      <c r="AX609" s="81"/>
      <c r="AY609" s="81"/>
    </row>
    <row r="610" spans="1:51" hidden="1">
      <c r="A610" s="1" t="s">
        <v>2542</v>
      </c>
      <c r="B610" s="1">
        <v>230806</v>
      </c>
      <c r="C610" s="1">
        <v>232118</v>
      </c>
      <c r="D610" s="1" t="s">
        <v>83</v>
      </c>
      <c r="E610" s="1" t="s">
        <v>307</v>
      </c>
      <c r="F610" t="s">
        <v>2251</v>
      </c>
      <c r="G610" t="s">
        <v>2252</v>
      </c>
      <c r="H610" s="1" t="s">
        <v>1411</v>
      </c>
      <c r="I610" s="1" t="s">
        <v>1412</v>
      </c>
      <c r="J610" s="1" t="s">
        <v>18</v>
      </c>
      <c r="K610" s="1" t="s">
        <v>50</v>
      </c>
      <c r="L610" s="1">
        <v>36596</v>
      </c>
      <c r="M610" s="1">
        <v>25</v>
      </c>
      <c r="N610" s="1">
        <v>1250</v>
      </c>
      <c r="P610" s="1">
        <v>1690</v>
      </c>
      <c r="Q610" s="1"/>
      <c r="R610" s="1">
        <v>440</v>
      </c>
      <c r="S610">
        <v>240000</v>
      </c>
      <c r="T610">
        <v>12036</v>
      </c>
      <c r="U610" t="s">
        <v>814</v>
      </c>
      <c r="V610">
        <v>21960</v>
      </c>
      <c r="W610" s="1">
        <v>46594</v>
      </c>
      <c r="X610" s="1" t="s">
        <v>55</v>
      </c>
      <c r="Y610" s="1" t="s">
        <v>51</v>
      </c>
      <c r="Z610" s="1" t="s">
        <v>86</v>
      </c>
      <c r="AA610" s="1" t="s">
        <v>1405</v>
      </c>
      <c r="AB610" s="1"/>
      <c r="AC610" s="1">
        <v>45133</v>
      </c>
      <c r="AD610" s="1">
        <v>45139</v>
      </c>
      <c r="AE610" s="1">
        <v>45602</v>
      </c>
      <c r="AF610" s="1"/>
      <c r="AG610" s="1" t="s">
        <v>1392</v>
      </c>
      <c r="AH610" s="1" t="s">
        <v>1408</v>
      </c>
      <c r="AI610" s="1"/>
      <c r="AJ610" s="31">
        <v>45139</v>
      </c>
      <c r="AK610"/>
      <c r="AL610"/>
      <c r="AM610"/>
      <c r="AN610"/>
      <c r="AO610"/>
      <c r="AP610"/>
      <c r="AQ610" s="81"/>
      <c r="AR610" s="81"/>
      <c r="AS610" s="81"/>
      <c r="AT610" s="81"/>
      <c r="AU610" s="81"/>
      <c r="AV610" s="81"/>
      <c r="AW610" s="81"/>
      <c r="AX610" s="81"/>
      <c r="AY610" s="81"/>
    </row>
    <row r="611" spans="1:51" hidden="1">
      <c r="A611" s="1" t="s">
        <v>2542</v>
      </c>
      <c r="B611" s="1">
        <v>230807</v>
      </c>
      <c r="C611" s="1">
        <v>242070</v>
      </c>
      <c r="D611" s="1" t="s">
        <v>69</v>
      </c>
      <c r="E611" s="1" t="s">
        <v>310</v>
      </c>
      <c r="F611" t="s">
        <v>744</v>
      </c>
      <c r="G611" t="s">
        <v>1093</v>
      </c>
      <c r="H611" s="1" t="s">
        <v>1413</v>
      </c>
      <c r="I611" s="1" t="s">
        <v>1414</v>
      </c>
      <c r="J611" s="1" t="s">
        <v>18</v>
      </c>
      <c r="K611" s="1" t="s">
        <v>50</v>
      </c>
      <c r="L611" s="1">
        <v>36053</v>
      </c>
      <c r="M611" s="1">
        <v>27</v>
      </c>
      <c r="N611" s="1">
        <v>1300</v>
      </c>
      <c r="P611" s="1">
        <v>1690</v>
      </c>
      <c r="Q611" s="1"/>
      <c r="R611" s="1">
        <v>390</v>
      </c>
      <c r="S611">
        <v>240000</v>
      </c>
      <c r="T611">
        <v>12036</v>
      </c>
      <c r="U611" t="s">
        <v>814</v>
      </c>
      <c r="V611">
        <v>21960</v>
      </c>
      <c r="W611" s="1">
        <v>45892</v>
      </c>
      <c r="X611" s="1" t="s">
        <v>55</v>
      </c>
      <c r="Y611" s="1" t="s">
        <v>51</v>
      </c>
      <c r="Z611" s="1" t="s">
        <v>493</v>
      </c>
      <c r="AA611" s="1" t="s">
        <v>993</v>
      </c>
      <c r="AB611" s="1" t="s">
        <v>1415</v>
      </c>
      <c r="AC611" s="1">
        <v>45133</v>
      </c>
      <c r="AD611" s="1">
        <v>45139</v>
      </c>
      <c r="AE611" s="1">
        <v>45611</v>
      </c>
      <c r="AF611" s="1"/>
      <c r="AG611" s="1" t="s">
        <v>1392</v>
      </c>
      <c r="AH611" s="1" t="s">
        <v>1408</v>
      </c>
      <c r="AI611" s="1"/>
      <c r="AJ611" s="31">
        <v>45139</v>
      </c>
      <c r="AK611"/>
      <c r="AL611"/>
      <c r="AM611"/>
      <c r="AN611"/>
      <c r="AO611"/>
      <c r="AP611"/>
      <c r="AQ611" s="81"/>
      <c r="AR611" s="81"/>
      <c r="AS611" s="81"/>
      <c r="AT611" s="81"/>
      <c r="AU611" s="81"/>
      <c r="AV611" s="81"/>
      <c r="AW611" s="81"/>
      <c r="AX611" s="81"/>
      <c r="AY611" s="81"/>
    </row>
    <row r="612" spans="1:51" hidden="1">
      <c r="A612" s="1" t="s">
        <v>2542</v>
      </c>
      <c r="B612" s="1">
        <v>230809</v>
      </c>
      <c r="C612" s="1">
        <v>242071</v>
      </c>
      <c r="D612" s="1" t="s">
        <v>69</v>
      </c>
      <c r="E612" s="1" t="s">
        <v>310</v>
      </c>
      <c r="F612" t="s">
        <v>2003</v>
      </c>
      <c r="G612" t="s">
        <v>2004</v>
      </c>
      <c r="H612" s="1" t="s">
        <v>3694</v>
      </c>
      <c r="I612" s="1" t="s">
        <v>3695</v>
      </c>
      <c r="J612" s="1" t="s">
        <v>18</v>
      </c>
      <c r="K612" s="1" t="s">
        <v>50</v>
      </c>
      <c r="L612" s="1">
        <v>36239</v>
      </c>
      <c r="M612" s="1">
        <v>26</v>
      </c>
      <c r="N612" s="1">
        <v>1200</v>
      </c>
      <c r="P612" s="1">
        <v>1650</v>
      </c>
      <c r="Q612" s="1"/>
      <c r="R612" s="1">
        <v>450</v>
      </c>
      <c r="S612">
        <v>180000</v>
      </c>
      <c r="T612">
        <v>9027</v>
      </c>
      <c r="U612" t="s">
        <v>814</v>
      </c>
      <c r="V612">
        <v>16470</v>
      </c>
      <c r="W612" s="1">
        <v>45499</v>
      </c>
      <c r="X612" s="1" t="s">
        <v>55</v>
      </c>
      <c r="Y612" s="1" t="s">
        <v>51</v>
      </c>
      <c r="Z612" s="1" t="s">
        <v>493</v>
      </c>
      <c r="AA612" s="1" t="s">
        <v>993</v>
      </c>
      <c r="AB612" s="1" t="s">
        <v>1415</v>
      </c>
      <c r="AC612" s="1">
        <v>45133</v>
      </c>
      <c r="AD612" s="1">
        <v>45139</v>
      </c>
      <c r="AE612" s="1">
        <v>45282</v>
      </c>
      <c r="AF612" s="1"/>
      <c r="AG612" s="1" t="s">
        <v>1392</v>
      </c>
      <c r="AH612" s="1" t="s">
        <v>1408</v>
      </c>
      <c r="AI612" s="1"/>
      <c r="AJ612" s="31">
        <v>45139</v>
      </c>
      <c r="AK612"/>
      <c r="AL612"/>
      <c r="AM612"/>
      <c r="AN612"/>
      <c r="AO612"/>
      <c r="AP612"/>
      <c r="AQ612" s="81"/>
      <c r="AR612" s="81"/>
      <c r="AS612" s="81"/>
      <c r="AT612" s="81"/>
      <c r="AU612" s="81"/>
      <c r="AV612" s="81"/>
      <c r="AW612" s="81"/>
      <c r="AX612" s="81"/>
      <c r="AY612" s="81"/>
    </row>
    <row r="613" spans="1:51" hidden="1">
      <c r="A613" s="1" t="s">
        <v>2542</v>
      </c>
      <c r="B613" s="1">
        <v>230810</v>
      </c>
      <c r="C613" s="1">
        <v>242068</v>
      </c>
      <c r="D613" s="1" t="s">
        <v>69</v>
      </c>
      <c r="E613" s="1" t="s">
        <v>306</v>
      </c>
      <c r="F613" t="s">
        <v>390</v>
      </c>
      <c r="G613" t="s">
        <v>1085</v>
      </c>
      <c r="H613" s="1" t="s">
        <v>1418</v>
      </c>
      <c r="I613" s="1" t="s">
        <v>1419</v>
      </c>
      <c r="J613" s="1" t="s">
        <v>18</v>
      </c>
      <c r="K613" s="1" t="s">
        <v>50</v>
      </c>
      <c r="L613" s="1">
        <v>32899</v>
      </c>
      <c r="M613" s="1">
        <v>35</v>
      </c>
      <c r="N613" s="1">
        <v>1300</v>
      </c>
      <c r="P613" s="1">
        <v>1690</v>
      </c>
      <c r="Q613" s="1"/>
      <c r="R613" s="1">
        <v>390</v>
      </c>
      <c r="S613">
        <v>240000</v>
      </c>
      <c r="T613">
        <v>12036</v>
      </c>
      <c r="U613" t="s">
        <v>814</v>
      </c>
      <c r="V613">
        <v>21960</v>
      </c>
      <c r="W613" s="1">
        <v>45897</v>
      </c>
      <c r="X613" s="1" t="s">
        <v>55</v>
      </c>
      <c r="Y613" s="1" t="s">
        <v>51</v>
      </c>
      <c r="Z613" s="1" t="s">
        <v>72</v>
      </c>
      <c r="AA613" s="1" t="s">
        <v>526</v>
      </c>
      <c r="AB613" s="1" t="s">
        <v>2001</v>
      </c>
      <c r="AC613" s="1">
        <v>45133</v>
      </c>
      <c r="AD613" s="1">
        <v>45139</v>
      </c>
      <c r="AE613" s="1">
        <v>45590</v>
      </c>
      <c r="AF613" s="1"/>
      <c r="AG613" s="1" t="s">
        <v>1392</v>
      </c>
      <c r="AH613" s="1" t="s">
        <v>1408</v>
      </c>
      <c r="AI613" s="1"/>
      <c r="AJ613" s="31">
        <v>45139</v>
      </c>
      <c r="AK613"/>
      <c r="AL613"/>
      <c r="AM613"/>
      <c r="AN613"/>
      <c r="AO613"/>
      <c r="AP613"/>
      <c r="AQ613" s="81"/>
      <c r="AR613" s="81"/>
      <c r="AS613" s="81"/>
      <c r="AT613" s="81"/>
      <c r="AU613" s="81"/>
      <c r="AV613" s="81"/>
      <c r="AW613" s="81"/>
      <c r="AX613" s="81"/>
      <c r="AY613" s="81"/>
    </row>
    <row r="614" spans="1:51" hidden="1">
      <c r="A614" s="1" t="s">
        <v>2542</v>
      </c>
      <c r="B614" s="1">
        <v>230813</v>
      </c>
      <c r="C614" s="1">
        <v>212041</v>
      </c>
      <c r="D614" s="1" t="s">
        <v>414</v>
      </c>
      <c r="E614" s="1" t="s">
        <v>76</v>
      </c>
      <c r="F614" t="s">
        <v>739</v>
      </c>
      <c r="G614" t="s">
        <v>1092</v>
      </c>
      <c r="H614" s="1" t="s">
        <v>1427</v>
      </c>
      <c r="I614" s="1" t="s">
        <v>1428</v>
      </c>
      <c r="J614" s="1" t="s">
        <v>18</v>
      </c>
      <c r="K614" s="1" t="s">
        <v>50</v>
      </c>
      <c r="L614" s="1">
        <v>36654</v>
      </c>
      <c r="M614" s="1">
        <v>25</v>
      </c>
      <c r="N614" s="1">
        <v>1250</v>
      </c>
      <c r="P614" s="1">
        <v>1650</v>
      </c>
      <c r="Q614" s="1"/>
      <c r="R614" s="1">
        <v>400</v>
      </c>
      <c r="S614">
        <v>300000</v>
      </c>
      <c r="T614">
        <v>15045</v>
      </c>
      <c r="U614" t="s">
        <v>814</v>
      </c>
      <c r="V614">
        <v>27450</v>
      </c>
      <c r="W614" s="1">
        <v>45903</v>
      </c>
      <c r="X614" s="1" t="s">
        <v>55</v>
      </c>
      <c r="Y614" s="1" t="s">
        <v>51</v>
      </c>
      <c r="Z614" s="1" t="s">
        <v>1121</v>
      </c>
      <c r="AA614" s="1" t="s">
        <v>1122</v>
      </c>
      <c r="AB614" s="1" t="s">
        <v>1123</v>
      </c>
      <c r="AC614" s="1">
        <v>45133</v>
      </c>
      <c r="AD614" s="1">
        <v>45139</v>
      </c>
      <c r="AE614" s="1">
        <v>45755</v>
      </c>
      <c r="AF614" s="1"/>
      <c r="AG614" s="1" t="s">
        <v>1392</v>
      </c>
      <c r="AH614" s="1" t="s">
        <v>1388</v>
      </c>
      <c r="AI614" s="1" t="s">
        <v>2289</v>
      </c>
      <c r="AJ614" s="31">
        <v>45139</v>
      </c>
      <c r="AK614"/>
      <c r="AL614"/>
      <c r="AM614"/>
      <c r="AN614"/>
      <c r="AO614"/>
      <c r="AP614"/>
      <c r="AQ614" s="81"/>
      <c r="AR614" s="81"/>
      <c r="AS614" s="81"/>
      <c r="AT614" s="81"/>
      <c r="AU614" s="81"/>
      <c r="AV614" s="81"/>
      <c r="AW614" s="81"/>
      <c r="AX614" s="81"/>
      <c r="AY614" s="81"/>
    </row>
    <row r="615" spans="1:51" hidden="1">
      <c r="A615" s="1" t="s">
        <v>2542</v>
      </c>
      <c r="B615" s="1">
        <v>230808</v>
      </c>
      <c r="C615" s="1">
        <v>242069</v>
      </c>
      <c r="D615" s="1" t="s">
        <v>69</v>
      </c>
      <c r="E615" s="1" t="s">
        <v>306</v>
      </c>
      <c r="F615" t="s">
        <v>390</v>
      </c>
      <c r="G615" t="s">
        <v>1085</v>
      </c>
      <c r="H615" s="1" t="s">
        <v>1416</v>
      </c>
      <c r="I615" s="1" t="s">
        <v>1417</v>
      </c>
      <c r="J615" s="1" t="s">
        <v>18</v>
      </c>
      <c r="K615" s="1" t="s">
        <v>50</v>
      </c>
      <c r="L615" s="1">
        <v>37208</v>
      </c>
      <c r="M615" s="1">
        <v>24</v>
      </c>
      <c r="N615" s="1">
        <v>1310</v>
      </c>
      <c r="P615" s="1">
        <v>1690</v>
      </c>
      <c r="Q615" s="1"/>
      <c r="R615" s="1">
        <v>380</v>
      </c>
      <c r="S615">
        <v>260000</v>
      </c>
      <c r="T615">
        <v>13039</v>
      </c>
      <c r="U615" t="s">
        <v>814</v>
      </c>
      <c r="V615">
        <v>23790</v>
      </c>
      <c r="W615" s="1">
        <v>47001</v>
      </c>
      <c r="X615" s="1" t="s">
        <v>55</v>
      </c>
      <c r="Y615" s="1" t="s">
        <v>51</v>
      </c>
      <c r="Z615" s="1" t="s">
        <v>72</v>
      </c>
      <c r="AA615" s="1" t="s">
        <v>526</v>
      </c>
      <c r="AB615" s="1" t="s">
        <v>2001</v>
      </c>
      <c r="AC615" s="1">
        <v>45133</v>
      </c>
      <c r="AD615" s="1">
        <v>45139</v>
      </c>
      <c r="AE615" s="1">
        <v>45961</v>
      </c>
      <c r="AF615" s="1"/>
      <c r="AG615" s="1" t="s">
        <v>1392</v>
      </c>
      <c r="AH615" s="1" t="s">
        <v>1408</v>
      </c>
      <c r="AI615" s="1"/>
      <c r="AJ615" s="31">
        <v>45139</v>
      </c>
      <c r="AK615"/>
      <c r="AL615"/>
      <c r="AM615"/>
      <c r="AN615"/>
      <c r="AO615"/>
      <c r="AP615"/>
      <c r="AQ615" s="81"/>
      <c r="AR615" s="81"/>
      <c r="AS615" s="81"/>
      <c r="AT615" s="81"/>
      <c r="AU615" s="81"/>
      <c r="AV615" s="81"/>
      <c r="AW615" s="81"/>
      <c r="AX615" s="81"/>
      <c r="AY615" s="81"/>
    </row>
    <row r="616" spans="1:51">
      <c r="A616" s="1" t="s">
        <v>49</v>
      </c>
      <c r="B616" s="1">
        <v>210910</v>
      </c>
      <c r="C616" s="1">
        <v>222027</v>
      </c>
      <c r="D616" s="1" t="s">
        <v>62</v>
      </c>
      <c r="E616" s="1" t="s">
        <v>3935</v>
      </c>
      <c r="F616" s="1" t="s">
        <v>2465</v>
      </c>
      <c r="G616" t="s">
        <v>3936</v>
      </c>
      <c r="H616" s="1" t="s">
        <v>154</v>
      </c>
      <c r="I616" s="1" t="s">
        <v>155</v>
      </c>
      <c r="J616" s="1" t="s">
        <v>18</v>
      </c>
      <c r="K616" s="1" t="s">
        <v>50</v>
      </c>
      <c r="L616" s="1">
        <v>32792</v>
      </c>
      <c r="M616" s="1">
        <v>36</v>
      </c>
      <c r="N616" s="1">
        <v>1410</v>
      </c>
      <c r="P616" s="1">
        <v>1820</v>
      </c>
      <c r="Q616" s="1" t="s">
        <v>71</v>
      </c>
      <c r="R616" s="1">
        <v>410</v>
      </c>
      <c r="S616">
        <v>300000</v>
      </c>
      <c r="T616">
        <v>15045</v>
      </c>
      <c r="U616" t="s">
        <v>814</v>
      </c>
      <c r="V616">
        <v>27450</v>
      </c>
      <c r="W616" s="1">
        <v>46524</v>
      </c>
      <c r="X616" s="1" t="s">
        <v>55</v>
      </c>
      <c r="Y616" s="1" t="s">
        <v>51</v>
      </c>
      <c r="Z616" s="1" t="s">
        <v>80</v>
      </c>
      <c r="AA616" s="1" t="s">
        <v>81</v>
      </c>
      <c r="AB616" s="1" t="s">
        <v>82</v>
      </c>
      <c r="AC616" s="1">
        <v>44458</v>
      </c>
      <c r="AD616" s="1">
        <v>44460</v>
      </c>
      <c r="AE616" s="1">
        <v>46017</v>
      </c>
      <c r="AF616" s="1"/>
      <c r="AG616" s="1">
        <v>44531</v>
      </c>
      <c r="AH616" s="1" t="s">
        <v>54</v>
      </c>
      <c r="AI616" s="1"/>
      <c r="AJ616" s="31">
        <v>44460</v>
      </c>
      <c r="AK616"/>
      <c r="AL616"/>
      <c r="AM616"/>
      <c r="AN616"/>
      <c r="AO616" t="s">
        <v>4165</v>
      </c>
      <c r="AP616"/>
      <c r="AQ616" s="81"/>
      <c r="AR616" s="81"/>
      <c r="AS616" s="81"/>
      <c r="AT616" s="81"/>
      <c r="AU616" s="81"/>
      <c r="AV616" s="81"/>
      <c r="AW616" s="81"/>
      <c r="AX616" s="81"/>
      <c r="AY616" s="81"/>
    </row>
    <row r="617" spans="1:51">
      <c r="A617" s="1" t="s">
        <v>49</v>
      </c>
      <c r="B617" s="1">
        <v>220116</v>
      </c>
      <c r="C617" s="1">
        <v>222038</v>
      </c>
      <c r="D617" s="1" t="s">
        <v>62</v>
      </c>
      <c r="E617" s="1" t="s">
        <v>3935</v>
      </c>
      <c r="F617" t="s">
        <v>2465</v>
      </c>
      <c r="G617" t="s">
        <v>3936</v>
      </c>
      <c r="H617" s="1" t="s">
        <v>201</v>
      </c>
      <c r="I617" s="1" t="s">
        <v>202</v>
      </c>
      <c r="J617" s="1" t="s">
        <v>18</v>
      </c>
      <c r="K617" s="1" t="s">
        <v>50</v>
      </c>
      <c r="L617" s="1">
        <v>34773</v>
      </c>
      <c r="M617" s="1">
        <v>30</v>
      </c>
      <c r="N617" s="1">
        <v>1410</v>
      </c>
      <c r="P617" s="1">
        <v>1830</v>
      </c>
      <c r="Q617" s="1"/>
      <c r="R617" s="1">
        <v>420</v>
      </c>
      <c r="S617">
        <v>300000</v>
      </c>
      <c r="T617">
        <v>15045</v>
      </c>
      <c r="U617" t="s">
        <v>814</v>
      </c>
      <c r="V617">
        <v>27450</v>
      </c>
      <c r="W617" s="1">
        <v>46720</v>
      </c>
      <c r="X617" s="1" t="s">
        <v>55</v>
      </c>
      <c r="Y617" s="1" t="s">
        <v>51</v>
      </c>
      <c r="Z617" s="1" t="s">
        <v>67</v>
      </c>
      <c r="AA617" s="1" t="s">
        <v>209</v>
      </c>
      <c r="AB617" s="1" t="s">
        <v>4272</v>
      </c>
      <c r="AC617" s="1">
        <v>44589</v>
      </c>
      <c r="AD617" s="1">
        <v>44578</v>
      </c>
      <c r="AE617" s="1"/>
      <c r="AF617" s="1"/>
      <c r="AG617" s="1">
        <v>22.04</v>
      </c>
      <c r="AH617" s="1" t="s">
        <v>54</v>
      </c>
      <c r="AI617" s="1" t="s">
        <v>206</v>
      </c>
      <c r="AJ617" s="31">
        <v>44578</v>
      </c>
      <c r="AK617"/>
      <c r="AL617"/>
      <c r="AM617"/>
      <c r="AN617"/>
      <c r="AO617"/>
      <c r="AP617"/>
      <c r="AQ617" s="81"/>
      <c r="AR617" s="81"/>
      <c r="AS617" s="81"/>
      <c r="AT617" s="81"/>
      <c r="AU617" s="81"/>
      <c r="AV617" s="81"/>
      <c r="AW617" s="81"/>
      <c r="AX617" s="81"/>
      <c r="AY617" s="81"/>
    </row>
    <row r="618" spans="1:51" hidden="1">
      <c r="A618" s="1" t="s">
        <v>2542</v>
      </c>
      <c r="B618" s="1">
        <v>230814</v>
      </c>
      <c r="C618" s="1">
        <v>222054</v>
      </c>
      <c r="D618" s="1" t="s">
        <v>95</v>
      </c>
      <c r="E618" s="1" t="s">
        <v>3938</v>
      </c>
      <c r="F618" t="s">
        <v>800</v>
      </c>
      <c r="G618" t="s">
        <v>3944</v>
      </c>
      <c r="H618" s="1" t="s">
        <v>1432</v>
      </c>
      <c r="I618" s="1" t="s">
        <v>1433</v>
      </c>
      <c r="J618" s="1" t="s">
        <v>18</v>
      </c>
      <c r="K618" s="1" t="s">
        <v>50</v>
      </c>
      <c r="L618" s="1">
        <v>32096</v>
      </c>
      <c r="M618" s="1">
        <v>38</v>
      </c>
      <c r="N618" s="1">
        <v>1300</v>
      </c>
      <c r="P618" s="1">
        <v>1680</v>
      </c>
      <c r="Q618" s="1"/>
      <c r="R618" s="1">
        <v>380</v>
      </c>
      <c r="S618">
        <v>260000</v>
      </c>
      <c r="T618">
        <v>13039</v>
      </c>
      <c r="U618" t="s">
        <v>814</v>
      </c>
      <c r="V618">
        <v>23790</v>
      </c>
      <c r="W618" s="1">
        <v>45897</v>
      </c>
      <c r="X618" s="1" t="s">
        <v>55</v>
      </c>
      <c r="Y618" s="1" t="s">
        <v>51</v>
      </c>
      <c r="Z618" s="1" t="s">
        <v>817</v>
      </c>
      <c r="AA618" s="1" t="s">
        <v>1422</v>
      </c>
      <c r="AB618" s="1" t="s">
        <v>1426</v>
      </c>
      <c r="AC618" s="1">
        <v>45133</v>
      </c>
      <c r="AD618" s="1">
        <v>45140</v>
      </c>
      <c r="AE618" s="1">
        <v>45685</v>
      </c>
      <c r="AF618" s="1"/>
      <c r="AG618" s="1" t="s">
        <v>1431</v>
      </c>
      <c r="AH618" s="1" t="s">
        <v>1402</v>
      </c>
      <c r="AI618" s="1"/>
      <c r="AJ618" s="31">
        <v>45140</v>
      </c>
      <c r="AK618"/>
      <c r="AL618"/>
      <c r="AM618"/>
      <c r="AN618"/>
      <c r="AO618"/>
      <c r="AP618"/>
      <c r="AQ618" s="81"/>
      <c r="AR618" s="81"/>
      <c r="AS618" s="81"/>
      <c r="AT618" s="81"/>
      <c r="AU618" s="81"/>
      <c r="AV618" s="81"/>
      <c r="AW618" s="81"/>
      <c r="AX618" s="81"/>
      <c r="AY618" s="81"/>
    </row>
    <row r="619" spans="1:51" s="81" customFormat="1" hidden="1">
      <c r="A619" s="1" t="s">
        <v>49</v>
      </c>
      <c r="B619" s="1">
        <v>230815</v>
      </c>
      <c r="C619" s="1">
        <v>5579</v>
      </c>
      <c r="D619" s="1" t="s">
        <v>871</v>
      </c>
      <c r="E619" s="1" t="s">
        <v>1249</v>
      </c>
      <c r="F619" t="s">
        <v>1247</v>
      </c>
      <c r="G619" t="s">
        <v>1514</v>
      </c>
      <c r="H619" s="1" t="s">
        <v>1429</v>
      </c>
      <c r="I619" s="1" t="s">
        <v>1430</v>
      </c>
      <c r="J619" s="1" t="s">
        <v>18</v>
      </c>
      <c r="K619" s="1" t="s">
        <v>50</v>
      </c>
      <c r="L619" s="1">
        <v>32314</v>
      </c>
      <c r="M619" s="1">
        <v>37</v>
      </c>
      <c r="N619" s="1">
        <v>1300</v>
      </c>
      <c r="O619" s="1"/>
      <c r="P619" s="1">
        <v>1700</v>
      </c>
      <c r="Q619" s="1"/>
      <c r="R619" s="1">
        <v>400</v>
      </c>
      <c r="S619">
        <v>240000</v>
      </c>
      <c r="T619">
        <v>12036</v>
      </c>
      <c r="U619" t="s">
        <v>814</v>
      </c>
      <c r="V619">
        <v>21960</v>
      </c>
      <c r="W619" s="1">
        <v>46548</v>
      </c>
      <c r="X619" s="1" t="s">
        <v>55</v>
      </c>
      <c r="Y619" s="1" t="s">
        <v>51</v>
      </c>
      <c r="Z619" s="1" t="s">
        <v>652</v>
      </c>
      <c r="AA619" s="1" t="s">
        <v>659</v>
      </c>
      <c r="AB619" s="1" t="s">
        <v>660</v>
      </c>
      <c r="AC619" s="1"/>
      <c r="AD619" s="1">
        <v>45140</v>
      </c>
      <c r="AE619" s="1"/>
      <c r="AF619" s="1"/>
      <c r="AG619" s="1" t="s">
        <v>1431</v>
      </c>
      <c r="AH619" s="1" t="s">
        <v>1408</v>
      </c>
      <c r="AI619" s="1"/>
      <c r="AJ619" s="31">
        <v>45140</v>
      </c>
      <c r="AK619"/>
      <c r="AL619"/>
      <c r="AM619"/>
      <c r="AN619"/>
      <c r="AO619"/>
      <c r="AP619"/>
    </row>
    <row r="620" spans="1:51" hidden="1">
      <c r="A620" s="1" t="s">
        <v>2542</v>
      </c>
      <c r="B620" s="1">
        <v>230816</v>
      </c>
      <c r="D620" s="1" t="s">
        <v>61</v>
      </c>
      <c r="E620" s="1" t="s">
        <v>1065</v>
      </c>
      <c r="F620" t="s">
        <v>3698</v>
      </c>
      <c r="G620" t="s">
        <v>1871</v>
      </c>
      <c r="H620" s="1" t="s">
        <v>3699</v>
      </c>
      <c r="I620" s="1" t="s">
        <v>3700</v>
      </c>
      <c r="J620" s="1" t="s">
        <v>18</v>
      </c>
      <c r="K620" s="1" t="s">
        <v>50</v>
      </c>
      <c r="L620" s="1">
        <v>33874</v>
      </c>
      <c r="M620" s="1">
        <v>33</v>
      </c>
      <c r="N620" s="1">
        <v>1300</v>
      </c>
      <c r="P620" s="1">
        <v>1750</v>
      </c>
      <c r="Q620" s="1"/>
      <c r="R620" s="1">
        <v>450</v>
      </c>
      <c r="S620">
        <v>200000</v>
      </c>
      <c r="T620">
        <v>10030</v>
      </c>
      <c r="U620" t="s">
        <v>814</v>
      </c>
      <c r="V620">
        <v>18300</v>
      </c>
      <c r="W620" s="1">
        <v>45681</v>
      </c>
      <c r="X620" s="1" t="s">
        <v>55</v>
      </c>
      <c r="Y620" s="1" t="s">
        <v>51</v>
      </c>
      <c r="Z620" s="1" t="s">
        <v>3479</v>
      </c>
      <c r="AA620" s="1" t="s">
        <v>3480</v>
      </c>
      <c r="AB620" s="1" t="s">
        <v>3481</v>
      </c>
      <c r="AC620" s="1">
        <v>45140</v>
      </c>
      <c r="AD620" s="1">
        <v>45141</v>
      </c>
      <c r="AE620" s="1">
        <v>45405</v>
      </c>
      <c r="AF620" s="1"/>
      <c r="AG620" s="1" t="s">
        <v>1431</v>
      </c>
      <c r="AH620" s="1" t="s">
        <v>1408</v>
      </c>
      <c r="AI620" s="1"/>
      <c r="AJ620" s="31">
        <v>45141</v>
      </c>
      <c r="AK620"/>
      <c r="AL620"/>
      <c r="AM620"/>
      <c r="AN620"/>
      <c r="AO620"/>
      <c r="AP620"/>
      <c r="AQ620" s="81"/>
      <c r="AR620" s="81"/>
      <c r="AS620" s="81"/>
      <c r="AT620" s="81"/>
      <c r="AU620" s="81"/>
      <c r="AV620" s="81"/>
      <c r="AW620" s="81"/>
      <c r="AX620" s="81"/>
      <c r="AY620" s="81"/>
    </row>
    <row r="621" spans="1:51" hidden="1">
      <c r="A621" s="1" t="s">
        <v>49</v>
      </c>
      <c r="B621" s="1">
        <v>230817</v>
      </c>
      <c r="C621" s="1">
        <v>8210070</v>
      </c>
      <c r="D621" s="1" t="s">
        <v>822</v>
      </c>
      <c r="E621" s="1" t="s">
        <v>1312</v>
      </c>
      <c r="F621" t="s">
        <v>1312</v>
      </c>
      <c r="G621"/>
      <c r="H621" s="1" t="s">
        <v>1434</v>
      </c>
      <c r="I621" s="1" t="s">
        <v>1435</v>
      </c>
      <c r="J621" s="1" t="s">
        <v>18</v>
      </c>
      <c r="K621" s="1" t="s">
        <v>50</v>
      </c>
      <c r="L621" s="1">
        <v>35362</v>
      </c>
      <c r="M621" s="1">
        <v>29</v>
      </c>
      <c r="N621" s="1">
        <v>1555</v>
      </c>
      <c r="P621" s="1">
        <v>2225</v>
      </c>
      <c r="Q621" s="1"/>
      <c r="R621" s="1">
        <v>670</v>
      </c>
      <c r="S621">
        <v>360000</v>
      </c>
      <c r="T621">
        <v>18054</v>
      </c>
      <c r="U621" t="s">
        <v>814</v>
      </c>
      <c r="V621">
        <v>32940</v>
      </c>
      <c r="W621" s="1">
        <v>46777</v>
      </c>
      <c r="X621" s="1" t="s">
        <v>55</v>
      </c>
      <c r="Y621" s="1" t="s">
        <v>51</v>
      </c>
      <c r="Z621" s="1" t="s">
        <v>1399</v>
      </c>
      <c r="AA621" s="1" t="s">
        <v>1400</v>
      </c>
      <c r="AB621" s="1" t="s">
        <v>1401</v>
      </c>
      <c r="AC621" s="1">
        <v>45140</v>
      </c>
      <c r="AD621" s="1">
        <v>45145</v>
      </c>
      <c r="AE621" s="1"/>
      <c r="AF621" s="1"/>
      <c r="AG621" s="1" t="s">
        <v>1436</v>
      </c>
      <c r="AH621" s="1" t="s">
        <v>1408</v>
      </c>
      <c r="AI621" s="1"/>
      <c r="AJ621" s="31">
        <v>45145</v>
      </c>
      <c r="AK621"/>
      <c r="AL621"/>
      <c r="AM621" t="s">
        <v>2466</v>
      </c>
      <c r="AN621">
        <v>45870</v>
      </c>
      <c r="AO621"/>
      <c r="AP621"/>
      <c r="AQ621" s="81"/>
      <c r="AR621" s="81"/>
      <c r="AS621" s="81"/>
      <c r="AT621" s="81"/>
      <c r="AU621" s="81"/>
      <c r="AV621" s="81"/>
      <c r="AW621" s="81"/>
      <c r="AX621" s="81"/>
      <c r="AY621" s="81"/>
    </row>
    <row r="622" spans="1:51" hidden="1">
      <c r="A622" s="1" t="s">
        <v>2542</v>
      </c>
      <c r="B622" s="1">
        <v>230818</v>
      </c>
      <c r="C622" s="1">
        <v>8210072</v>
      </c>
      <c r="D622" s="1" t="s">
        <v>818</v>
      </c>
      <c r="E622" s="1" t="s">
        <v>834</v>
      </c>
      <c r="F622" t="s">
        <v>834</v>
      </c>
      <c r="G622"/>
      <c r="H622" s="1" t="s">
        <v>1437</v>
      </c>
      <c r="I622" s="1" t="s">
        <v>1438</v>
      </c>
      <c r="J622" s="1" t="s">
        <v>18</v>
      </c>
      <c r="K622" s="1" t="s">
        <v>50</v>
      </c>
      <c r="L622" s="1">
        <v>33188</v>
      </c>
      <c r="M622" s="1">
        <v>35</v>
      </c>
      <c r="N622" s="1">
        <v>1400</v>
      </c>
      <c r="P622" s="1">
        <v>2050</v>
      </c>
      <c r="Q622" s="1"/>
      <c r="R622" s="1">
        <v>650</v>
      </c>
      <c r="S622">
        <v>360000</v>
      </c>
      <c r="T622">
        <v>18054</v>
      </c>
      <c r="U622" t="s">
        <v>814</v>
      </c>
      <c r="V622">
        <v>32940</v>
      </c>
      <c r="W622" s="1">
        <v>46597</v>
      </c>
      <c r="X622" s="1" t="s">
        <v>55</v>
      </c>
      <c r="Y622" s="1" t="s">
        <v>51</v>
      </c>
      <c r="Z622" s="1" t="s">
        <v>982</v>
      </c>
      <c r="AA622" s="1" t="s">
        <v>983</v>
      </c>
      <c r="AB622" s="1" t="s">
        <v>984</v>
      </c>
      <c r="AC622" s="1">
        <v>45152</v>
      </c>
      <c r="AD622" s="1">
        <v>45159</v>
      </c>
      <c r="AE622" s="1">
        <v>45603</v>
      </c>
      <c r="AF622" s="1"/>
      <c r="AG622" s="1" t="s">
        <v>1439</v>
      </c>
      <c r="AH622" s="1" t="s">
        <v>376</v>
      </c>
      <c r="AI622" s="1"/>
      <c r="AJ622" s="31">
        <v>45159</v>
      </c>
      <c r="AK622" t="s">
        <v>2423</v>
      </c>
      <c r="AL622">
        <v>46367</v>
      </c>
      <c r="AM622" t="s">
        <v>2423</v>
      </c>
      <c r="AN622">
        <v>45739</v>
      </c>
      <c r="AO622"/>
      <c r="AP622"/>
      <c r="AQ622" s="81"/>
      <c r="AR622" s="81"/>
      <c r="AS622" s="81"/>
      <c r="AT622" s="81"/>
      <c r="AU622" s="81"/>
      <c r="AV622" s="81"/>
      <c r="AW622" s="81"/>
      <c r="AX622" s="81"/>
      <c r="AY622" s="81"/>
    </row>
    <row r="623" spans="1:51" hidden="1">
      <c r="A623" s="1" t="s">
        <v>2542</v>
      </c>
      <c r="B623" s="1">
        <v>230819</v>
      </c>
      <c r="C623" s="1">
        <v>8210071</v>
      </c>
      <c r="D623" s="1" t="s">
        <v>822</v>
      </c>
      <c r="E623" s="1" t="s">
        <v>1312</v>
      </c>
      <c r="F623" t="s">
        <v>1312</v>
      </c>
      <c r="G623"/>
      <c r="H623" s="1" t="s">
        <v>108</v>
      </c>
      <c r="I623" s="1" t="s">
        <v>3701</v>
      </c>
      <c r="J623" s="1" t="s">
        <v>18</v>
      </c>
      <c r="K623" s="1" t="s">
        <v>50</v>
      </c>
      <c r="L623" s="1">
        <v>33046</v>
      </c>
      <c r="M623" s="1">
        <v>35</v>
      </c>
      <c r="N623" s="1">
        <v>1400</v>
      </c>
      <c r="P623" s="1">
        <v>1960</v>
      </c>
      <c r="Q623" s="1"/>
      <c r="R623" s="1">
        <v>560</v>
      </c>
      <c r="S623">
        <v>200000</v>
      </c>
      <c r="T623">
        <v>10030</v>
      </c>
      <c r="U623" t="s">
        <v>814</v>
      </c>
      <c r="V623">
        <v>18300</v>
      </c>
      <c r="W623" s="1">
        <v>45436</v>
      </c>
      <c r="X623" s="1" t="s">
        <v>55</v>
      </c>
      <c r="Y623" s="1" t="s">
        <v>51</v>
      </c>
      <c r="Z623" s="1" t="s">
        <v>3702</v>
      </c>
      <c r="AA623" s="1" t="s">
        <v>3703</v>
      </c>
      <c r="AB623" s="1" t="s">
        <v>3704</v>
      </c>
      <c r="AC623" s="1" t="s">
        <v>53</v>
      </c>
      <c r="AD623" s="1">
        <v>45159</v>
      </c>
      <c r="AE623" s="1">
        <v>45258</v>
      </c>
      <c r="AF623" s="1"/>
      <c r="AG623" s="1" t="s">
        <v>1439</v>
      </c>
      <c r="AH623" s="1" t="s">
        <v>376</v>
      </c>
      <c r="AI623" s="1"/>
      <c r="AJ623" s="31">
        <v>45159</v>
      </c>
      <c r="AK623"/>
      <c r="AL623"/>
      <c r="AM623"/>
      <c r="AN623"/>
      <c r="AO623"/>
      <c r="AP623"/>
      <c r="AQ623" s="81"/>
      <c r="AR623" s="81"/>
      <c r="AS623" s="81"/>
      <c r="AT623" s="81"/>
      <c r="AU623" s="81"/>
      <c r="AV623" s="81"/>
      <c r="AW623" s="81"/>
      <c r="AX623" s="81"/>
      <c r="AY623" s="81"/>
    </row>
    <row r="624" spans="1:51" hidden="1">
      <c r="A624" s="1" t="s">
        <v>2542</v>
      </c>
      <c r="B624" s="1">
        <v>230820</v>
      </c>
      <c r="C624" s="1">
        <v>8210073</v>
      </c>
      <c r="D624" s="1" t="s">
        <v>823</v>
      </c>
      <c r="E624" s="1" t="s">
        <v>824</v>
      </c>
      <c r="F624" t="s">
        <v>824</v>
      </c>
      <c r="G624"/>
      <c r="H624" s="1" t="s">
        <v>3705</v>
      </c>
      <c r="I624" s="1" t="s">
        <v>3706</v>
      </c>
      <c r="J624" s="1" t="s">
        <v>18</v>
      </c>
      <c r="K624" s="1" t="s">
        <v>50</v>
      </c>
      <c r="L624" s="1">
        <v>32587</v>
      </c>
      <c r="M624" s="1">
        <v>36</v>
      </c>
      <c r="N624" s="1">
        <v>1400</v>
      </c>
      <c r="P624" s="1">
        <v>1990</v>
      </c>
      <c r="Q624" s="1"/>
      <c r="R624" s="1">
        <v>590</v>
      </c>
      <c r="S624">
        <v>200000</v>
      </c>
      <c r="T624">
        <v>10030</v>
      </c>
      <c r="U624" t="s">
        <v>814</v>
      </c>
      <c r="V624">
        <v>18300</v>
      </c>
      <c r="W624" s="1">
        <v>45979</v>
      </c>
      <c r="X624" s="1" t="s">
        <v>55</v>
      </c>
      <c r="Y624" s="1" t="s">
        <v>51</v>
      </c>
      <c r="Z624" s="1" t="s">
        <v>982</v>
      </c>
      <c r="AA624" s="1" t="s">
        <v>983</v>
      </c>
      <c r="AB624" s="1" t="s">
        <v>1201</v>
      </c>
      <c r="AC624" s="1"/>
      <c r="AD624" s="1">
        <v>45159</v>
      </c>
      <c r="AE624" s="1">
        <v>45456</v>
      </c>
      <c r="AF624" s="1"/>
      <c r="AG624" s="1" t="s">
        <v>1439</v>
      </c>
      <c r="AH624" s="1" t="s">
        <v>376</v>
      </c>
      <c r="AI624" s="1"/>
      <c r="AJ624" s="31">
        <v>45159</v>
      </c>
      <c r="AK624"/>
      <c r="AL624"/>
      <c r="AM624"/>
      <c r="AN624"/>
      <c r="AO624"/>
      <c r="AP624"/>
      <c r="AQ624" s="81"/>
      <c r="AR624" s="81"/>
      <c r="AS624" s="81"/>
      <c r="AT624" s="81"/>
      <c r="AU624" s="81"/>
      <c r="AV624" s="81"/>
      <c r="AW624" s="81"/>
      <c r="AX624" s="81"/>
      <c r="AY624" s="81"/>
    </row>
    <row r="625" spans="1:51" hidden="1">
      <c r="A625" s="1" t="s">
        <v>2542</v>
      </c>
      <c r="B625" s="1">
        <v>230821</v>
      </c>
      <c r="C625" s="1">
        <v>222055</v>
      </c>
      <c r="D625" s="1" t="s">
        <v>62</v>
      </c>
      <c r="E625" s="1" t="s">
        <v>2469</v>
      </c>
      <c r="F625" t="s">
        <v>753</v>
      </c>
      <c r="G625" t="s">
        <v>388</v>
      </c>
      <c r="H625" s="1" t="s">
        <v>1440</v>
      </c>
      <c r="I625" s="1" t="s">
        <v>1441</v>
      </c>
      <c r="J625" s="1" t="s">
        <v>18</v>
      </c>
      <c r="K625" s="1" t="s">
        <v>404</v>
      </c>
      <c r="L625" s="1">
        <v>22150</v>
      </c>
      <c r="M625" s="1">
        <v>65</v>
      </c>
      <c r="N625" s="1">
        <v>1400</v>
      </c>
      <c r="P625" s="1">
        <v>1780</v>
      </c>
      <c r="Q625" s="1"/>
      <c r="R625" s="1">
        <v>380</v>
      </c>
      <c r="S625">
        <v>340000</v>
      </c>
      <c r="T625">
        <v>17051</v>
      </c>
      <c r="U625" t="s">
        <v>814</v>
      </c>
      <c r="V625">
        <v>31110</v>
      </c>
      <c r="W625" s="1">
        <v>46918</v>
      </c>
      <c r="X625" s="1" t="s">
        <v>55</v>
      </c>
      <c r="Y625" s="1" t="s">
        <v>60</v>
      </c>
      <c r="Z625" s="1" t="s">
        <v>1442</v>
      </c>
      <c r="AA625" s="1" t="s">
        <v>1443</v>
      </c>
      <c r="AB625" s="1" t="s">
        <v>1444</v>
      </c>
      <c r="AC625" s="1" t="s">
        <v>53</v>
      </c>
      <c r="AD625" s="1">
        <v>45159</v>
      </c>
      <c r="AE625" s="1">
        <v>45674</v>
      </c>
      <c r="AF625" s="1"/>
      <c r="AG625" s="1" t="s">
        <v>1439</v>
      </c>
      <c r="AH625" s="1" t="s">
        <v>376</v>
      </c>
      <c r="AI625" s="1"/>
      <c r="AJ625" s="31">
        <v>45159</v>
      </c>
      <c r="AK625"/>
      <c r="AL625"/>
      <c r="AM625"/>
      <c r="AN625"/>
      <c r="AO625"/>
      <c r="AP625"/>
      <c r="AQ625" s="81"/>
      <c r="AR625" s="81"/>
      <c r="AS625" s="81"/>
      <c r="AT625" s="81"/>
      <c r="AU625" s="81"/>
      <c r="AV625" s="81"/>
      <c r="AW625" s="81"/>
      <c r="AX625" s="81"/>
      <c r="AY625" s="81"/>
    </row>
    <row r="626" spans="1:51" hidden="1">
      <c r="A626" s="1" t="s">
        <v>2542</v>
      </c>
      <c r="B626" s="1">
        <v>230903</v>
      </c>
      <c r="D626" s="1" t="s">
        <v>61</v>
      </c>
      <c r="F626"/>
      <c r="G626"/>
      <c r="H626" s="1" t="s">
        <v>3707</v>
      </c>
      <c r="I626" s="1" t="s">
        <v>3708</v>
      </c>
      <c r="J626" s="1" t="s">
        <v>18</v>
      </c>
      <c r="K626" s="1" t="s">
        <v>50</v>
      </c>
      <c r="L626" s="1">
        <v>31674</v>
      </c>
      <c r="M626" s="1">
        <v>39</v>
      </c>
      <c r="N626" s="1">
        <v>1300</v>
      </c>
      <c r="P626" s="1">
        <v>1750</v>
      </c>
      <c r="Q626" s="1"/>
      <c r="R626" s="1">
        <v>450</v>
      </c>
      <c r="S626">
        <v>220000</v>
      </c>
      <c r="T626">
        <v>11033</v>
      </c>
      <c r="U626" t="s">
        <v>814</v>
      </c>
      <c r="V626">
        <v>20130</v>
      </c>
      <c r="W626" s="1">
        <v>45427</v>
      </c>
      <c r="X626" s="1" t="s">
        <v>55</v>
      </c>
      <c r="Y626" s="1" t="s">
        <v>51</v>
      </c>
      <c r="Z626" s="1" t="s">
        <v>3709</v>
      </c>
      <c r="AA626" s="1" t="s">
        <v>3710</v>
      </c>
      <c r="AB626" s="1" t="s">
        <v>3711</v>
      </c>
      <c r="AC626" s="1" t="s">
        <v>53</v>
      </c>
      <c r="AD626" s="1">
        <v>45170</v>
      </c>
      <c r="AE626" s="1">
        <v>45239</v>
      </c>
      <c r="AF626" s="1"/>
      <c r="AG626" s="1" t="s">
        <v>1447</v>
      </c>
      <c r="AH626" s="1" t="s">
        <v>1448</v>
      </c>
      <c r="AI626" s="1"/>
      <c r="AJ626" s="31">
        <v>45170</v>
      </c>
      <c r="AK626"/>
      <c r="AL626"/>
      <c r="AM626"/>
      <c r="AN626"/>
      <c r="AO626"/>
      <c r="AP626"/>
      <c r="AQ626" s="81"/>
      <c r="AR626" s="81"/>
      <c r="AS626" s="81"/>
      <c r="AT626" s="81"/>
      <c r="AU626" s="81"/>
      <c r="AV626" s="81"/>
      <c r="AW626" s="81"/>
      <c r="AX626" s="81"/>
      <c r="AY626" s="81"/>
    </row>
    <row r="627" spans="1:51">
      <c r="A627" s="1" t="s">
        <v>49</v>
      </c>
      <c r="B627" s="1">
        <v>220515</v>
      </c>
      <c r="C627" s="1">
        <v>222045</v>
      </c>
      <c r="D627" s="1" t="s">
        <v>62</v>
      </c>
      <c r="E627" s="1" t="s">
        <v>3935</v>
      </c>
      <c r="F627" t="s">
        <v>2465</v>
      </c>
      <c r="G627" t="s">
        <v>3936</v>
      </c>
      <c r="H627" s="1" t="s">
        <v>265</v>
      </c>
      <c r="I627" s="1" t="s">
        <v>266</v>
      </c>
      <c r="J627" s="1" t="s">
        <v>18</v>
      </c>
      <c r="K627" s="1" t="s">
        <v>50</v>
      </c>
      <c r="L627" s="1">
        <v>36160</v>
      </c>
      <c r="M627" s="1">
        <v>26</v>
      </c>
      <c r="N627" s="1">
        <v>1310</v>
      </c>
      <c r="P627" s="1">
        <v>1710</v>
      </c>
      <c r="Q627" s="1"/>
      <c r="R627" s="1">
        <v>400</v>
      </c>
      <c r="S627">
        <v>260000</v>
      </c>
      <c r="T627">
        <v>13039</v>
      </c>
      <c r="U627" t="s">
        <v>814</v>
      </c>
      <c r="V627">
        <v>23790</v>
      </c>
      <c r="W627" s="1">
        <v>46907</v>
      </c>
      <c r="X627" s="1" t="s">
        <v>55</v>
      </c>
      <c r="Y627" s="1" t="s">
        <v>51</v>
      </c>
      <c r="Z627" s="1" t="s">
        <v>91</v>
      </c>
      <c r="AA627" s="1" t="s">
        <v>4170</v>
      </c>
      <c r="AB627" s="1" t="s">
        <v>4359</v>
      </c>
      <c r="AC627" s="1" t="s">
        <v>53</v>
      </c>
      <c r="AD627" s="1">
        <v>44693</v>
      </c>
      <c r="AE627" s="1"/>
      <c r="AF627" s="1"/>
      <c r="AG627" s="1" t="s">
        <v>248</v>
      </c>
      <c r="AH627" s="1" t="s">
        <v>259</v>
      </c>
      <c r="AI627" s="1"/>
      <c r="AJ627" s="31">
        <v>44693</v>
      </c>
      <c r="AK627"/>
      <c r="AL627"/>
      <c r="AM627"/>
      <c r="AN627"/>
      <c r="AO627"/>
      <c r="AP627"/>
      <c r="AQ627" s="81"/>
      <c r="AR627" s="81"/>
      <c r="AS627" s="81"/>
      <c r="AT627" s="81"/>
      <c r="AU627" s="81"/>
      <c r="AV627" s="81"/>
      <c r="AW627" s="81"/>
      <c r="AX627" s="81"/>
      <c r="AY627" s="81"/>
    </row>
    <row r="628" spans="1:51" hidden="1">
      <c r="A628" s="1" t="s">
        <v>2542</v>
      </c>
      <c r="B628" s="1">
        <v>230902</v>
      </c>
      <c r="C628" s="1">
        <v>242072</v>
      </c>
      <c r="D628" s="1" t="s">
        <v>69</v>
      </c>
      <c r="E628" s="1" t="s">
        <v>306</v>
      </c>
      <c r="F628" t="s">
        <v>740</v>
      </c>
      <c r="G628" t="s">
        <v>317</v>
      </c>
      <c r="H628" s="1" t="s">
        <v>1449</v>
      </c>
      <c r="I628" s="1" t="s">
        <v>1450</v>
      </c>
      <c r="J628" s="1" t="s">
        <v>18</v>
      </c>
      <c r="K628" s="1" t="s">
        <v>50</v>
      </c>
      <c r="L628" s="1">
        <v>32987</v>
      </c>
      <c r="M628" s="1">
        <v>35</v>
      </c>
      <c r="N628" s="1">
        <v>1300</v>
      </c>
      <c r="P628" s="1">
        <v>1700</v>
      </c>
      <c r="Q628" s="1"/>
      <c r="R628" s="1">
        <v>400</v>
      </c>
      <c r="S628">
        <v>320000</v>
      </c>
      <c r="T628">
        <v>16048</v>
      </c>
      <c r="U628" t="s">
        <v>814</v>
      </c>
      <c r="V628">
        <v>29280</v>
      </c>
      <c r="W628" s="1">
        <v>45897</v>
      </c>
      <c r="X628" s="1" t="s">
        <v>55</v>
      </c>
      <c r="Y628" s="1" t="s">
        <v>51</v>
      </c>
      <c r="Z628" s="1" t="s">
        <v>72</v>
      </c>
      <c r="AA628" s="1" t="s">
        <v>1445</v>
      </c>
      <c r="AB628" s="1" t="s">
        <v>1446</v>
      </c>
      <c r="AC628" s="1">
        <v>45166</v>
      </c>
      <c r="AD628" s="1">
        <v>45170</v>
      </c>
      <c r="AE628" s="1">
        <v>45915</v>
      </c>
      <c r="AF628" s="1"/>
      <c r="AG628" s="1" t="s">
        <v>1447</v>
      </c>
      <c r="AH628" s="1" t="s">
        <v>1448</v>
      </c>
      <c r="AI628" s="1"/>
      <c r="AJ628" s="31">
        <v>45170</v>
      </c>
      <c r="AK628"/>
      <c r="AL628"/>
      <c r="AM628"/>
      <c r="AN628"/>
      <c r="AO628"/>
      <c r="AP628"/>
      <c r="AQ628" s="81"/>
      <c r="AR628" s="81"/>
      <c r="AS628" s="81"/>
      <c r="AT628" s="81"/>
      <c r="AU628" s="81"/>
      <c r="AV628" s="81"/>
      <c r="AW628" s="81"/>
      <c r="AX628" s="81"/>
      <c r="AY628" s="81"/>
    </row>
    <row r="629" spans="1:51" hidden="1">
      <c r="A629" s="1" t="s">
        <v>2542</v>
      </c>
      <c r="B629" s="1">
        <v>230904</v>
      </c>
      <c r="D629" s="1" t="s">
        <v>846</v>
      </c>
      <c r="F629"/>
      <c r="G629"/>
      <c r="H629" s="1" t="s">
        <v>3712</v>
      </c>
      <c r="I629" s="1" t="s">
        <v>3713</v>
      </c>
      <c r="J629" s="1" t="s">
        <v>18</v>
      </c>
      <c r="K629" s="1" t="s">
        <v>50</v>
      </c>
      <c r="L629" s="1">
        <v>35730</v>
      </c>
      <c r="M629" s="1">
        <v>28</v>
      </c>
      <c r="N629" s="1">
        <v>1300</v>
      </c>
      <c r="P629" s="1">
        <v>1700</v>
      </c>
      <c r="Q629" s="1"/>
      <c r="R629" s="1">
        <v>400</v>
      </c>
      <c r="S629">
        <v>0</v>
      </c>
      <c r="T629" t="s">
        <v>55</v>
      </c>
      <c r="U629" t="s">
        <v>814</v>
      </c>
      <c r="V629">
        <v>0</v>
      </c>
      <c r="W629" s="1">
        <v>45387</v>
      </c>
      <c r="X629" s="1" t="s">
        <v>55</v>
      </c>
      <c r="Y629" s="1" t="s">
        <v>51</v>
      </c>
      <c r="Z629" s="1" t="s">
        <v>801</v>
      </c>
      <c r="AA629" s="1" t="s">
        <v>1114</v>
      </c>
      <c r="AB629" s="1" t="s">
        <v>1115</v>
      </c>
      <c r="AC629" s="1">
        <v>45173</v>
      </c>
      <c r="AD629" s="1">
        <v>45175</v>
      </c>
      <c r="AE629" s="1">
        <v>45181</v>
      </c>
      <c r="AF629" s="1"/>
      <c r="AG629" s="1" t="s">
        <v>3714</v>
      </c>
      <c r="AH629" s="1" t="s">
        <v>1448</v>
      </c>
      <c r="AI629" s="1"/>
      <c r="AJ629" s="31">
        <v>45175</v>
      </c>
      <c r="AK629"/>
      <c r="AL629"/>
      <c r="AM629"/>
      <c r="AN629"/>
      <c r="AO629"/>
      <c r="AP629"/>
      <c r="AQ629" s="81"/>
      <c r="AR629" s="81"/>
      <c r="AS629" s="81"/>
      <c r="AT629" s="81"/>
      <c r="AU629" s="81"/>
      <c r="AV629" s="81"/>
      <c r="AW629" s="81"/>
      <c r="AX629" s="81"/>
      <c r="AY629" s="81"/>
    </row>
    <row r="630" spans="1:51" hidden="1">
      <c r="A630" s="1" t="s">
        <v>2542</v>
      </c>
      <c r="B630" s="1">
        <v>230905</v>
      </c>
      <c r="C630" s="1">
        <v>8210075</v>
      </c>
      <c r="D630" s="1" t="s">
        <v>822</v>
      </c>
      <c r="E630" s="1" t="s">
        <v>831</v>
      </c>
      <c r="F630" t="s">
        <v>831</v>
      </c>
      <c r="G630"/>
      <c r="H630" s="1" t="s">
        <v>3715</v>
      </c>
      <c r="I630" s="1" t="s">
        <v>3716</v>
      </c>
      <c r="J630" s="1" t="s">
        <v>18</v>
      </c>
      <c r="K630" s="1" t="s">
        <v>50</v>
      </c>
      <c r="L630" s="1">
        <v>32065</v>
      </c>
      <c r="M630" s="1">
        <v>38</v>
      </c>
      <c r="N630" s="1">
        <v>1400</v>
      </c>
      <c r="P630" s="1">
        <v>1960</v>
      </c>
      <c r="Q630" s="1"/>
      <c r="R630" s="1">
        <v>560</v>
      </c>
      <c r="S630">
        <v>240000</v>
      </c>
      <c r="T630">
        <v>12036</v>
      </c>
      <c r="U630" t="s">
        <v>814</v>
      </c>
      <c r="V630">
        <v>21960</v>
      </c>
      <c r="W630" s="1">
        <v>45463</v>
      </c>
      <c r="X630" s="1" t="s">
        <v>55</v>
      </c>
      <c r="Y630" s="1" t="s">
        <v>51</v>
      </c>
      <c r="Z630" s="1" t="s">
        <v>1455</v>
      </c>
      <c r="AA630" s="1" t="s">
        <v>1456</v>
      </c>
      <c r="AB630" s="1" t="s">
        <v>1457</v>
      </c>
      <c r="AC630" s="1"/>
      <c r="AD630" s="1">
        <v>45180</v>
      </c>
      <c r="AE630" s="1">
        <v>45288</v>
      </c>
      <c r="AF630" s="1"/>
      <c r="AG630" s="1" t="s">
        <v>1453</v>
      </c>
      <c r="AH630" s="1" t="s">
        <v>1454</v>
      </c>
      <c r="AI630" s="1"/>
      <c r="AJ630" s="31">
        <v>45180</v>
      </c>
      <c r="AK630"/>
      <c r="AL630"/>
      <c r="AM630"/>
      <c r="AN630"/>
      <c r="AO630"/>
      <c r="AP630"/>
      <c r="AQ630" s="81"/>
      <c r="AR630" s="81"/>
      <c r="AS630" s="81"/>
      <c r="AT630" s="81"/>
      <c r="AU630" s="81"/>
      <c r="AV630" s="81"/>
      <c r="AW630" s="81"/>
      <c r="AX630" s="81"/>
      <c r="AY630" s="81"/>
    </row>
    <row r="631" spans="1:51" hidden="1">
      <c r="A631" s="1" t="s">
        <v>2542</v>
      </c>
      <c r="B631" s="1">
        <v>230906</v>
      </c>
      <c r="C631" s="1">
        <v>8210074</v>
      </c>
      <c r="D631" s="1" t="s">
        <v>823</v>
      </c>
      <c r="E631" s="1" t="s">
        <v>824</v>
      </c>
      <c r="F631" t="s">
        <v>824</v>
      </c>
      <c r="G631"/>
      <c r="H631" s="1" t="s">
        <v>1458</v>
      </c>
      <c r="I631" s="1" t="s">
        <v>1459</v>
      </c>
      <c r="J631" s="1" t="s">
        <v>18</v>
      </c>
      <c r="K631" s="1" t="s">
        <v>50</v>
      </c>
      <c r="L631" s="1">
        <v>34237</v>
      </c>
      <c r="M631" s="1">
        <v>32</v>
      </c>
      <c r="N631" s="1">
        <v>1400</v>
      </c>
      <c r="P631" s="1">
        <v>1960</v>
      </c>
      <c r="Q631" s="1"/>
      <c r="R631" s="1">
        <v>560</v>
      </c>
      <c r="S631">
        <v>240000</v>
      </c>
      <c r="T631">
        <v>12036</v>
      </c>
      <c r="U631" t="s">
        <v>814</v>
      </c>
      <c r="V631">
        <v>21960</v>
      </c>
      <c r="W631" s="1">
        <v>46915</v>
      </c>
      <c r="X631" s="1" t="s">
        <v>55</v>
      </c>
      <c r="Y631" s="1" t="s">
        <v>51</v>
      </c>
      <c r="Z631" s="1" t="s">
        <v>1455</v>
      </c>
      <c r="AA631" s="1" t="s">
        <v>1456</v>
      </c>
      <c r="AB631" s="1" t="s">
        <v>1457</v>
      </c>
      <c r="AC631" s="1"/>
      <c r="AD631" s="1">
        <v>45180</v>
      </c>
      <c r="AE631" s="1">
        <v>45373</v>
      </c>
      <c r="AF631" s="1"/>
      <c r="AG631" s="1" t="s">
        <v>1453</v>
      </c>
      <c r="AH631" s="1" t="s">
        <v>1454</v>
      </c>
      <c r="AI631" s="1"/>
      <c r="AJ631" s="31">
        <v>45180</v>
      </c>
      <c r="AK631"/>
      <c r="AL631"/>
      <c r="AM631"/>
      <c r="AN631"/>
      <c r="AO631"/>
      <c r="AP631"/>
      <c r="AQ631" s="81"/>
      <c r="AR631" s="81"/>
      <c r="AS631" s="81"/>
      <c r="AT631" s="81"/>
      <c r="AU631" s="81"/>
      <c r="AV631" s="81"/>
      <c r="AW631" s="81"/>
      <c r="AX631" s="81"/>
      <c r="AY631" s="81"/>
    </row>
    <row r="632" spans="1:51" hidden="1">
      <c r="A632" s="1" t="s">
        <v>49</v>
      </c>
      <c r="B632" s="1">
        <v>230907</v>
      </c>
      <c r="C632" s="1">
        <v>8210076</v>
      </c>
      <c r="D632" s="1" t="s">
        <v>822</v>
      </c>
      <c r="E632" s="1" t="s">
        <v>1312</v>
      </c>
      <c r="F632" t="s">
        <v>1312</v>
      </c>
      <c r="G632"/>
      <c r="H632" s="1" t="s">
        <v>1451</v>
      </c>
      <c r="I632" s="1" t="s">
        <v>1452</v>
      </c>
      <c r="J632" s="1" t="s">
        <v>18</v>
      </c>
      <c r="K632" s="1" t="s">
        <v>50</v>
      </c>
      <c r="L632" s="1">
        <v>35182</v>
      </c>
      <c r="M632" s="1">
        <v>29</v>
      </c>
      <c r="N632" s="1">
        <v>1500</v>
      </c>
      <c r="P632" s="1">
        <v>2150</v>
      </c>
      <c r="Q632" s="1"/>
      <c r="R632" s="1">
        <v>650</v>
      </c>
      <c r="S632">
        <v>380000</v>
      </c>
      <c r="T632">
        <v>19057</v>
      </c>
      <c r="U632" t="s">
        <v>814</v>
      </c>
      <c r="V632">
        <v>34770</v>
      </c>
      <c r="W632" s="1">
        <v>46862</v>
      </c>
      <c r="X632" s="1" t="s">
        <v>55</v>
      </c>
      <c r="Y632" s="1" t="s">
        <v>51</v>
      </c>
      <c r="Z632" s="1" t="s">
        <v>543</v>
      </c>
      <c r="AA632" s="1" t="s">
        <v>544</v>
      </c>
      <c r="AB632" s="1" t="s">
        <v>545</v>
      </c>
      <c r="AC632" s="1">
        <v>45180</v>
      </c>
      <c r="AD632" s="1">
        <v>45180</v>
      </c>
      <c r="AE632" s="1">
        <v>45991</v>
      </c>
      <c r="AF632" s="1"/>
      <c r="AG632" s="1" t="s">
        <v>1453</v>
      </c>
      <c r="AH632" s="1" t="s">
        <v>1454</v>
      </c>
      <c r="AI632" s="1"/>
      <c r="AJ632" s="31">
        <v>45180</v>
      </c>
      <c r="AK632" t="s">
        <v>2423</v>
      </c>
      <c r="AL632">
        <v>45804</v>
      </c>
      <c r="AM632" t="s">
        <v>2423</v>
      </c>
      <c r="AN632">
        <v>45909</v>
      </c>
      <c r="AO632"/>
      <c r="AP632"/>
      <c r="AQ632" s="81"/>
      <c r="AR632" s="81"/>
      <c r="AS632" s="81"/>
      <c r="AT632" s="81"/>
      <c r="AU632" s="81"/>
      <c r="AV632" s="81"/>
      <c r="AW632" s="81"/>
      <c r="AX632" s="81"/>
      <c r="AY632" s="81"/>
    </row>
    <row r="633" spans="1:51" hidden="1">
      <c r="A633" s="1" t="s">
        <v>2542</v>
      </c>
      <c r="B633" s="1">
        <v>230908</v>
      </c>
      <c r="C633" s="1">
        <v>212043</v>
      </c>
      <c r="D633" s="1" t="s">
        <v>75</v>
      </c>
      <c r="E633" s="1" t="s">
        <v>3934</v>
      </c>
      <c r="F633" t="s">
        <v>1460</v>
      </c>
      <c r="G633" t="s">
        <v>1461</v>
      </c>
      <c r="H633" s="1" t="s">
        <v>1462</v>
      </c>
      <c r="I633" s="1" t="s">
        <v>1463</v>
      </c>
      <c r="J633" s="1" t="s">
        <v>18</v>
      </c>
      <c r="K633" s="1" t="s">
        <v>50</v>
      </c>
      <c r="L633" s="1">
        <v>36910</v>
      </c>
      <c r="M633" s="1">
        <v>24</v>
      </c>
      <c r="N633" s="1">
        <v>1300</v>
      </c>
      <c r="P633" s="1">
        <v>1660</v>
      </c>
      <c r="Q633" s="1"/>
      <c r="R633" s="1">
        <v>360</v>
      </c>
      <c r="S633">
        <v>320000</v>
      </c>
      <c r="T633">
        <v>16048</v>
      </c>
      <c r="U633" t="s">
        <v>814</v>
      </c>
      <c r="V633">
        <v>29280</v>
      </c>
      <c r="W633" s="1">
        <v>45927</v>
      </c>
      <c r="X633" s="1" t="s">
        <v>55</v>
      </c>
      <c r="Y633" s="1" t="s">
        <v>51</v>
      </c>
      <c r="Z633" s="1" t="s">
        <v>817</v>
      </c>
      <c r="AA633" s="1" t="s">
        <v>1422</v>
      </c>
      <c r="AB633" s="1" t="s">
        <v>1423</v>
      </c>
      <c r="AC633" s="1">
        <v>45181</v>
      </c>
      <c r="AD633" s="1">
        <v>45187</v>
      </c>
      <c r="AE633" s="1">
        <v>45737</v>
      </c>
      <c r="AF633" s="1"/>
      <c r="AG633" s="1" t="s">
        <v>1464</v>
      </c>
      <c r="AH633" s="1" t="s">
        <v>760</v>
      </c>
      <c r="AI633" s="1"/>
      <c r="AJ633" s="31">
        <v>45187</v>
      </c>
      <c r="AK633"/>
      <c r="AL633"/>
      <c r="AM633"/>
      <c r="AN633"/>
      <c r="AO633" t="s">
        <v>4165</v>
      </c>
      <c r="AP633"/>
      <c r="AQ633" s="81"/>
      <c r="AR633" s="81"/>
      <c r="AS633" s="81"/>
      <c r="AT633" s="81"/>
      <c r="AU633" s="81"/>
      <c r="AV633" s="81"/>
      <c r="AW633" s="81"/>
      <c r="AX633" s="81"/>
      <c r="AY633" s="81"/>
    </row>
    <row r="634" spans="1:51" hidden="1">
      <c r="A634" s="1" t="s">
        <v>2542</v>
      </c>
      <c r="B634" s="1">
        <v>230910</v>
      </c>
      <c r="C634" s="1">
        <v>242076</v>
      </c>
      <c r="D634" s="1" t="s">
        <v>69</v>
      </c>
      <c r="E634" s="1" t="s">
        <v>306</v>
      </c>
      <c r="F634" t="s">
        <v>390</v>
      </c>
      <c r="G634" t="s">
        <v>1085</v>
      </c>
      <c r="H634" s="1" t="s">
        <v>1470</v>
      </c>
      <c r="I634" s="1" t="s">
        <v>1471</v>
      </c>
      <c r="J634" s="1" t="s">
        <v>18</v>
      </c>
      <c r="K634" s="1" t="s">
        <v>50</v>
      </c>
      <c r="L634" s="1">
        <v>36274</v>
      </c>
      <c r="M634" s="1">
        <v>26</v>
      </c>
      <c r="N634" s="1">
        <v>1300</v>
      </c>
      <c r="P634" s="1">
        <v>1680</v>
      </c>
      <c r="Q634" s="1"/>
      <c r="R634" s="1">
        <v>380</v>
      </c>
      <c r="S634">
        <v>260000</v>
      </c>
      <c r="T634">
        <v>13039</v>
      </c>
      <c r="U634" t="s">
        <v>814</v>
      </c>
      <c r="V634">
        <v>23790</v>
      </c>
      <c r="W634" s="1">
        <v>45927</v>
      </c>
      <c r="X634" s="1" t="s">
        <v>55</v>
      </c>
      <c r="Y634" s="1" t="s">
        <v>51</v>
      </c>
      <c r="Z634" s="1" t="s">
        <v>485</v>
      </c>
      <c r="AA634" s="1" t="s">
        <v>486</v>
      </c>
      <c r="AB634" s="1" t="s">
        <v>593</v>
      </c>
      <c r="AC634" s="1">
        <v>45181</v>
      </c>
      <c r="AD634" s="1">
        <v>45188</v>
      </c>
      <c r="AE634" s="1">
        <v>45707</v>
      </c>
      <c r="AF634" s="1"/>
      <c r="AG634" s="1" t="s">
        <v>1469</v>
      </c>
      <c r="AH634" s="1" t="s">
        <v>760</v>
      </c>
      <c r="AI634" s="1"/>
      <c r="AJ634" s="31">
        <v>45188</v>
      </c>
      <c r="AK634"/>
      <c r="AL634"/>
      <c r="AM634"/>
      <c r="AN634"/>
      <c r="AO634"/>
      <c r="AP634"/>
      <c r="AQ634" s="81"/>
      <c r="AR634" s="81"/>
      <c r="AS634" s="81"/>
      <c r="AT634" s="81"/>
      <c r="AU634" s="81"/>
      <c r="AV634" s="81"/>
      <c r="AW634" s="81"/>
      <c r="AX634" s="81"/>
      <c r="AY634" s="81"/>
    </row>
    <row r="635" spans="1:51" hidden="1">
      <c r="A635" s="1" t="s">
        <v>2542</v>
      </c>
      <c r="B635" s="1">
        <v>230911</v>
      </c>
      <c r="C635" s="1">
        <v>242075</v>
      </c>
      <c r="D635" s="1" t="s">
        <v>69</v>
      </c>
      <c r="E635" s="1" t="s">
        <v>306</v>
      </c>
      <c r="F635" t="s">
        <v>390</v>
      </c>
      <c r="G635" t="s">
        <v>1085</v>
      </c>
      <c r="H635" s="1" t="s">
        <v>1472</v>
      </c>
      <c r="I635" s="1" t="s">
        <v>1473</v>
      </c>
      <c r="J635" s="1" t="s">
        <v>18</v>
      </c>
      <c r="K635" s="1" t="s">
        <v>50</v>
      </c>
      <c r="L635" s="1">
        <v>36248</v>
      </c>
      <c r="M635" s="1">
        <v>26</v>
      </c>
      <c r="N635" s="1">
        <v>1300</v>
      </c>
      <c r="P635" s="1">
        <v>1680</v>
      </c>
      <c r="Q635" s="1"/>
      <c r="R635" s="1">
        <v>380</v>
      </c>
      <c r="S635">
        <v>260000</v>
      </c>
      <c r="T635">
        <v>13039</v>
      </c>
      <c r="U635" t="s">
        <v>814</v>
      </c>
      <c r="V635">
        <v>23790</v>
      </c>
      <c r="W635" s="1">
        <v>45953</v>
      </c>
      <c r="X635" s="1" t="s">
        <v>55</v>
      </c>
      <c r="Y635" s="1" t="s">
        <v>51</v>
      </c>
      <c r="Z635" s="1" t="s">
        <v>427</v>
      </c>
      <c r="AA635" s="1" t="s">
        <v>445</v>
      </c>
      <c r="AB635" s="1" t="s">
        <v>446</v>
      </c>
      <c r="AC635" s="1">
        <v>45181</v>
      </c>
      <c r="AD635" s="1">
        <v>45188</v>
      </c>
      <c r="AE635" s="1">
        <v>45654</v>
      </c>
      <c r="AF635" s="1"/>
      <c r="AG635" s="1" t="s">
        <v>1469</v>
      </c>
      <c r="AH635" s="1" t="s">
        <v>760</v>
      </c>
      <c r="AI635" s="1"/>
      <c r="AJ635" s="31">
        <v>45188</v>
      </c>
      <c r="AK635"/>
      <c r="AL635"/>
      <c r="AM635"/>
      <c r="AN635"/>
      <c r="AO635"/>
      <c r="AP635"/>
      <c r="AQ635" s="81"/>
      <c r="AR635" s="81"/>
      <c r="AS635" s="81"/>
      <c r="AT635" s="81"/>
      <c r="AU635" s="81"/>
      <c r="AV635" s="81"/>
      <c r="AW635" s="81"/>
      <c r="AX635" s="81"/>
      <c r="AY635" s="81"/>
    </row>
    <row r="636" spans="1:51">
      <c r="A636" s="1" t="s">
        <v>49</v>
      </c>
      <c r="B636" s="1">
        <v>220602</v>
      </c>
      <c r="C636" s="1">
        <v>222048</v>
      </c>
      <c r="D636" s="1" t="s">
        <v>62</v>
      </c>
      <c r="E636" s="1" t="s">
        <v>3935</v>
      </c>
      <c r="F636" t="s">
        <v>2465</v>
      </c>
      <c r="G636" t="s">
        <v>3936</v>
      </c>
      <c r="H636" s="1" t="s">
        <v>270</v>
      </c>
      <c r="I636" s="1" t="s">
        <v>271</v>
      </c>
      <c r="J636" s="1" t="s">
        <v>18</v>
      </c>
      <c r="K636" s="1" t="s">
        <v>50</v>
      </c>
      <c r="L636" s="1">
        <v>36623</v>
      </c>
      <c r="M636" s="1">
        <v>25</v>
      </c>
      <c r="N636" s="1">
        <v>1310</v>
      </c>
      <c r="P636" s="1">
        <v>1710</v>
      </c>
      <c r="Q636" s="1"/>
      <c r="R636" s="1">
        <v>400</v>
      </c>
      <c r="S636">
        <v>260000</v>
      </c>
      <c r="T636">
        <v>13039</v>
      </c>
      <c r="U636" t="s">
        <v>814</v>
      </c>
      <c r="V636">
        <v>23790</v>
      </c>
      <c r="W636" s="1">
        <v>46597</v>
      </c>
      <c r="X636" s="1" t="s">
        <v>55</v>
      </c>
      <c r="Y636" s="1" t="s">
        <v>51</v>
      </c>
      <c r="Z636" s="1" t="s">
        <v>91</v>
      </c>
      <c r="AA636" s="1" t="s">
        <v>4360</v>
      </c>
      <c r="AB636" s="1" t="s">
        <v>4361</v>
      </c>
      <c r="AC636" s="1">
        <v>44713</v>
      </c>
      <c r="AD636" s="1">
        <v>44713</v>
      </c>
      <c r="AE636" s="1"/>
      <c r="AF636" s="1"/>
      <c r="AG636" s="1">
        <v>44774</v>
      </c>
      <c r="AH636" s="1" t="s">
        <v>267</v>
      </c>
      <c r="AI636" s="1"/>
      <c r="AJ636" s="31">
        <v>44713</v>
      </c>
      <c r="AK636"/>
      <c r="AL636"/>
      <c r="AM636"/>
      <c r="AN636"/>
      <c r="AO636"/>
      <c r="AP636"/>
      <c r="AQ636" s="81"/>
      <c r="AR636" s="81"/>
      <c r="AS636" s="81"/>
      <c r="AT636" s="81"/>
      <c r="AU636" s="81"/>
      <c r="AV636" s="81"/>
      <c r="AW636" s="81"/>
      <c r="AX636" s="81"/>
      <c r="AY636" s="81"/>
    </row>
    <row r="637" spans="1:51">
      <c r="A637" s="1" t="s">
        <v>49</v>
      </c>
      <c r="B637" s="1">
        <v>231108</v>
      </c>
      <c r="C637" s="1">
        <v>222058</v>
      </c>
      <c r="D637" s="1" t="s">
        <v>62</v>
      </c>
      <c r="E637" s="1" t="s">
        <v>3935</v>
      </c>
      <c r="F637" t="s">
        <v>2465</v>
      </c>
      <c r="G637" t="s">
        <v>3936</v>
      </c>
      <c r="H637" s="1" t="s">
        <v>1566</v>
      </c>
      <c r="I637" s="1" t="s">
        <v>1567</v>
      </c>
      <c r="J637" s="1" t="s">
        <v>18</v>
      </c>
      <c r="K637" s="1" t="s">
        <v>404</v>
      </c>
      <c r="L637" s="1">
        <v>36615</v>
      </c>
      <c r="M637" s="1">
        <v>25</v>
      </c>
      <c r="N637" s="1">
        <v>1300</v>
      </c>
      <c r="P637" s="1">
        <v>1700</v>
      </c>
      <c r="Q637" s="1"/>
      <c r="R637" s="1">
        <v>400</v>
      </c>
      <c r="S637">
        <v>240000</v>
      </c>
      <c r="T637">
        <v>12036</v>
      </c>
      <c r="U637" t="s">
        <v>814</v>
      </c>
      <c r="V637">
        <v>21960</v>
      </c>
      <c r="W637" s="1">
        <v>47084</v>
      </c>
      <c r="X637" s="1" t="s">
        <v>55</v>
      </c>
      <c r="Y637" s="1" t="s">
        <v>540</v>
      </c>
      <c r="Z637" s="1" t="s">
        <v>67</v>
      </c>
      <c r="AA637" s="1" t="s">
        <v>68</v>
      </c>
      <c r="AB637" s="1" t="s">
        <v>3878</v>
      </c>
      <c r="AC637" s="1"/>
      <c r="AD637" s="1">
        <v>45232</v>
      </c>
      <c r="AE637" s="1"/>
      <c r="AF637" s="1"/>
      <c r="AG637" s="1" t="s">
        <v>1594</v>
      </c>
      <c r="AH637" s="1" t="s">
        <v>1590</v>
      </c>
      <c r="AI637" s="1"/>
      <c r="AJ637" s="31">
        <v>45232</v>
      </c>
      <c r="AK637"/>
      <c r="AL637"/>
      <c r="AM637"/>
      <c r="AN637"/>
      <c r="AO637"/>
      <c r="AP637"/>
      <c r="AQ637" s="81"/>
      <c r="AR637" s="81"/>
      <c r="AS637" s="81"/>
      <c r="AT637" s="81"/>
      <c r="AU637" s="81"/>
      <c r="AV637" s="81"/>
      <c r="AW637" s="81"/>
      <c r="AX637" s="81"/>
      <c r="AY637" s="81"/>
    </row>
    <row r="638" spans="1:51">
      <c r="A638" s="1" t="s">
        <v>49</v>
      </c>
      <c r="B638" s="1">
        <v>240401</v>
      </c>
      <c r="C638" s="1">
        <v>222070</v>
      </c>
      <c r="D638" s="1" t="s">
        <v>62</v>
      </c>
      <c r="E638" s="1" t="s">
        <v>3935</v>
      </c>
      <c r="F638" t="s">
        <v>2465</v>
      </c>
      <c r="G638" t="s">
        <v>3936</v>
      </c>
      <c r="H638" s="1" t="s">
        <v>2339</v>
      </c>
      <c r="I638" s="1" t="s">
        <v>2340</v>
      </c>
      <c r="J638" s="1" t="s">
        <v>18</v>
      </c>
      <c r="K638" s="1" t="s">
        <v>50</v>
      </c>
      <c r="L638" s="1">
        <v>37096</v>
      </c>
      <c r="M638" s="1">
        <v>24</v>
      </c>
      <c r="N638" s="1">
        <v>1300</v>
      </c>
      <c r="P638" s="1">
        <v>1660</v>
      </c>
      <c r="Q638" s="1"/>
      <c r="R638" s="1">
        <v>360</v>
      </c>
      <c r="S638">
        <v>260000</v>
      </c>
      <c r="T638">
        <v>13039</v>
      </c>
      <c r="U638" t="s">
        <v>814</v>
      </c>
      <c r="V638">
        <v>23790</v>
      </c>
      <c r="W638" s="1">
        <v>46112</v>
      </c>
      <c r="X638" s="1" t="s">
        <v>55</v>
      </c>
      <c r="Y638" s="1" t="s">
        <v>51</v>
      </c>
      <c r="Z638" s="1" t="s">
        <v>182</v>
      </c>
      <c r="AA638" s="1" t="s">
        <v>2317</v>
      </c>
      <c r="AB638" s="1"/>
      <c r="AC638" s="1"/>
      <c r="AD638" s="1">
        <v>45384</v>
      </c>
      <c r="AE638" s="1"/>
      <c r="AF638" s="1"/>
      <c r="AG638" s="1" t="s">
        <v>2341</v>
      </c>
      <c r="AH638" s="1" t="s">
        <v>2332</v>
      </c>
      <c r="AI638" s="1"/>
      <c r="AJ638" s="31">
        <v>45384</v>
      </c>
      <c r="AK638"/>
      <c r="AL638"/>
      <c r="AM638"/>
      <c r="AN638"/>
      <c r="AO638"/>
      <c r="AP638"/>
      <c r="AQ638" s="81"/>
      <c r="AR638" s="81"/>
      <c r="AS638" s="81"/>
      <c r="AT638" s="81"/>
      <c r="AU638" s="81"/>
      <c r="AV638" s="81"/>
      <c r="AW638" s="81"/>
      <c r="AX638" s="81"/>
      <c r="AY638" s="81"/>
    </row>
    <row r="639" spans="1:51">
      <c r="A639" s="1" t="s">
        <v>49</v>
      </c>
      <c r="B639" s="1">
        <v>240711</v>
      </c>
      <c r="C639" s="1">
        <v>222072</v>
      </c>
      <c r="D639" s="1" t="s">
        <v>62</v>
      </c>
      <c r="E639" s="1" t="s">
        <v>3935</v>
      </c>
      <c r="F639" t="s">
        <v>2465</v>
      </c>
      <c r="G639" t="s">
        <v>3936</v>
      </c>
      <c r="H639" s="1" t="s">
        <v>2521</v>
      </c>
      <c r="I639" s="1" t="s">
        <v>2522</v>
      </c>
      <c r="J639" s="1" t="s">
        <v>18</v>
      </c>
      <c r="K639" s="1" t="s">
        <v>50</v>
      </c>
      <c r="L639" s="1">
        <v>36831</v>
      </c>
      <c r="M639" s="1">
        <v>25</v>
      </c>
      <c r="N639" s="1">
        <v>1300</v>
      </c>
      <c r="P639" s="1">
        <v>1650</v>
      </c>
      <c r="Q639" s="1"/>
      <c r="R639" s="1">
        <v>350</v>
      </c>
      <c r="S639">
        <v>240000</v>
      </c>
      <c r="T639">
        <v>12036</v>
      </c>
      <c r="U639" t="s">
        <v>814</v>
      </c>
      <c r="V639">
        <v>21960</v>
      </c>
      <c r="W639" s="1">
        <v>46220</v>
      </c>
      <c r="X639" s="1" t="s">
        <v>55</v>
      </c>
      <c r="Y639" s="1" t="s">
        <v>51</v>
      </c>
      <c r="Z639" s="1" t="s">
        <v>91</v>
      </c>
      <c r="AA639" s="1" t="s">
        <v>2393</v>
      </c>
      <c r="AB639" s="1" t="s">
        <v>2388</v>
      </c>
      <c r="AC639" s="1">
        <v>45490</v>
      </c>
      <c r="AD639" s="1">
        <v>45495</v>
      </c>
      <c r="AE639" s="1"/>
      <c r="AF639" s="1"/>
      <c r="AG639" s="1" t="s">
        <v>3776</v>
      </c>
      <c r="AH639" s="1" t="s">
        <v>3777</v>
      </c>
      <c r="AI639" s="1"/>
      <c r="AJ639" s="31">
        <v>45495</v>
      </c>
      <c r="AK639"/>
      <c r="AL639"/>
      <c r="AM639"/>
      <c r="AN639"/>
      <c r="AO639"/>
      <c r="AP639"/>
      <c r="AQ639" s="81"/>
      <c r="AR639" s="81"/>
      <c r="AS639" s="81"/>
      <c r="AT639" s="81"/>
      <c r="AU639" s="81"/>
      <c r="AV639" s="81"/>
      <c r="AW639" s="81"/>
      <c r="AX639" s="81"/>
      <c r="AY639" s="81"/>
    </row>
    <row r="640" spans="1:51">
      <c r="A640" s="1" t="s">
        <v>49</v>
      </c>
      <c r="B640" s="1">
        <v>240712</v>
      </c>
      <c r="C640" s="1">
        <v>222073</v>
      </c>
      <c r="D640" s="1" t="s">
        <v>62</v>
      </c>
      <c r="E640" s="1" t="s">
        <v>3935</v>
      </c>
      <c r="F640" t="s">
        <v>2465</v>
      </c>
      <c r="G640" t="s">
        <v>3936</v>
      </c>
      <c r="H640" s="1" t="s">
        <v>2523</v>
      </c>
      <c r="I640" s="1" t="s">
        <v>2524</v>
      </c>
      <c r="J640" s="1" t="s">
        <v>18</v>
      </c>
      <c r="K640" s="1" t="s">
        <v>50</v>
      </c>
      <c r="L640" s="1">
        <v>36410</v>
      </c>
      <c r="M640" s="1">
        <v>26</v>
      </c>
      <c r="N640" s="1">
        <v>1300</v>
      </c>
      <c r="P640" s="1">
        <v>1650</v>
      </c>
      <c r="Q640" s="1"/>
      <c r="R640" s="1">
        <v>350</v>
      </c>
      <c r="S640">
        <v>240000</v>
      </c>
      <c r="T640">
        <v>12036</v>
      </c>
      <c r="U640" t="s">
        <v>814</v>
      </c>
      <c r="V640">
        <v>21960</v>
      </c>
      <c r="W640" s="1">
        <v>46220</v>
      </c>
      <c r="X640" s="1" t="s">
        <v>55</v>
      </c>
      <c r="Y640" s="1" t="s">
        <v>51</v>
      </c>
      <c r="Z640" s="1" t="s">
        <v>181</v>
      </c>
      <c r="AA640" s="1" t="s">
        <v>1995</v>
      </c>
      <c r="AB640" s="1" t="s">
        <v>174</v>
      </c>
      <c r="AC640" s="1">
        <v>45490</v>
      </c>
      <c r="AD640" s="1">
        <v>45495</v>
      </c>
      <c r="AE640" s="1"/>
      <c r="AF640" s="1"/>
      <c r="AG640" s="1" t="s">
        <v>3776</v>
      </c>
      <c r="AH640" s="1" t="s">
        <v>3777</v>
      </c>
      <c r="AI640" s="1"/>
      <c r="AJ640" s="31">
        <v>45495</v>
      </c>
      <c r="AK640"/>
      <c r="AL640"/>
      <c r="AM640"/>
      <c r="AN640"/>
      <c r="AO640" t="s">
        <v>4169</v>
      </c>
      <c r="AP640"/>
      <c r="AQ640" s="81"/>
      <c r="AR640" s="81"/>
      <c r="AS640" s="81"/>
      <c r="AT640" s="81"/>
      <c r="AU640" s="81"/>
      <c r="AV640" s="81"/>
      <c r="AW640" s="81"/>
      <c r="AX640" s="81"/>
      <c r="AY640" s="81"/>
    </row>
    <row r="641" spans="1:51" hidden="1">
      <c r="A641" s="1" t="s">
        <v>49</v>
      </c>
      <c r="B641" s="1">
        <v>230916</v>
      </c>
      <c r="C641" s="1">
        <v>8210077</v>
      </c>
      <c r="D641" s="1" t="s">
        <v>815</v>
      </c>
      <c r="E641" s="1" t="s">
        <v>958</v>
      </c>
      <c r="F641" t="s">
        <v>958</v>
      </c>
      <c r="G641"/>
      <c r="H641" s="1" t="s">
        <v>1489</v>
      </c>
      <c r="I641" s="1" t="s">
        <v>1490</v>
      </c>
      <c r="J641" s="1" t="s">
        <v>18</v>
      </c>
      <c r="K641" s="1" t="s">
        <v>50</v>
      </c>
      <c r="L641" s="1">
        <v>36369</v>
      </c>
      <c r="M641" s="1">
        <v>26</v>
      </c>
      <c r="N641" s="1">
        <v>1500</v>
      </c>
      <c r="P641" s="1">
        <v>2150</v>
      </c>
      <c r="Q641" s="1"/>
      <c r="R641" s="1">
        <v>650</v>
      </c>
      <c r="S641">
        <v>360000</v>
      </c>
      <c r="T641">
        <v>18054</v>
      </c>
      <c r="U641" t="s">
        <v>814</v>
      </c>
      <c r="V641">
        <v>32940</v>
      </c>
      <c r="W641" s="1">
        <v>46137</v>
      </c>
      <c r="X641" s="1" t="s">
        <v>55</v>
      </c>
      <c r="Y641" s="1" t="s">
        <v>51</v>
      </c>
      <c r="Z641" s="1" t="s">
        <v>4302</v>
      </c>
      <c r="AA641" s="1" t="s">
        <v>4303</v>
      </c>
      <c r="AB641" s="1" t="s">
        <v>4304</v>
      </c>
      <c r="AC641" s="1">
        <v>45187</v>
      </c>
      <c r="AD641" s="1">
        <v>45194</v>
      </c>
      <c r="AE641" s="1"/>
      <c r="AF641" s="1"/>
      <c r="AG641" s="1" t="s">
        <v>1491</v>
      </c>
      <c r="AH641" s="1" t="s">
        <v>1486</v>
      </c>
      <c r="AI641" s="1"/>
      <c r="AJ641" s="31">
        <v>45194</v>
      </c>
      <c r="AK641" t="s">
        <v>2423</v>
      </c>
      <c r="AL641">
        <v>45897</v>
      </c>
      <c r="AM641" t="s">
        <v>2423</v>
      </c>
      <c r="AN641">
        <v>46103</v>
      </c>
      <c r="AO641"/>
      <c r="AP641"/>
      <c r="AQ641" s="81"/>
      <c r="AR641" s="81"/>
      <c r="AS641" s="81"/>
      <c r="AT641" s="81"/>
      <c r="AU641" s="81"/>
      <c r="AV641" s="81"/>
      <c r="AW641" s="81"/>
      <c r="AX641" s="81"/>
      <c r="AY641" s="81"/>
    </row>
    <row r="642" spans="1:51" hidden="1">
      <c r="A642" s="1" t="s">
        <v>49</v>
      </c>
      <c r="B642" s="1">
        <v>230917</v>
      </c>
      <c r="C642" s="1">
        <v>232124</v>
      </c>
      <c r="D642" s="1" t="s">
        <v>83</v>
      </c>
      <c r="E642" s="1" t="s">
        <v>307</v>
      </c>
      <c r="F642" t="s">
        <v>2251</v>
      </c>
      <c r="G642" t="s">
        <v>2252</v>
      </c>
      <c r="H642" s="1" t="s">
        <v>1492</v>
      </c>
      <c r="I642" s="1" t="s">
        <v>1493</v>
      </c>
      <c r="J642" s="1" t="s">
        <v>18</v>
      </c>
      <c r="K642" s="1" t="s">
        <v>50</v>
      </c>
      <c r="L642" s="1">
        <v>32860</v>
      </c>
      <c r="M642" s="1">
        <v>35</v>
      </c>
      <c r="N642" s="1">
        <v>1310</v>
      </c>
      <c r="P642" s="1">
        <v>1700</v>
      </c>
      <c r="Q642" s="1"/>
      <c r="R642" s="1">
        <v>390</v>
      </c>
      <c r="S642">
        <v>240000</v>
      </c>
      <c r="T642">
        <v>12036</v>
      </c>
      <c r="U642" t="s">
        <v>814</v>
      </c>
      <c r="V642">
        <v>21960</v>
      </c>
      <c r="W642" s="1">
        <v>46291</v>
      </c>
      <c r="X642" s="1" t="s">
        <v>55</v>
      </c>
      <c r="Y642" s="1" t="s">
        <v>51</v>
      </c>
      <c r="Z642" s="1" t="s">
        <v>110</v>
      </c>
      <c r="AA642" s="1" t="s">
        <v>1326</v>
      </c>
      <c r="AB642" s="1" t="s">
        <v>1494</v>
      </c>
      <c r="AC642" s="1">
        <v>45191</v>
      </c>
      <c r="AD642" s="1">
        <v>45197</v>
      </c>
      <c r="AE642" s="1"/>
      <c r="AF642" s="1"/>
      <c r="AG642" s="1" t="s">
        <v>1495</v>
      </c>
      <c r="AH642" s="1" t="s">
        <v>1486</v>
      </c>
      <c r="AI642" s="1"/>
      <c r="AJ642" s="31">
        <v>45197</v>
      </c>
      <c r="AK642"/>
      <c r="AL642"/>
      <c r="AM642"/>
      <c r="AN642"/>
      <c r="AO642"/>
      <c r="AP642"/>
      <c r="AQ642" s="81"/>
      <c r="AR642" s="81"/>
      <c r="AS642" s="81"/>
      <c r="AT642" s="81"/>
      <c r="AU642" s="81"/>
      <c r="AV642" s="81"/>
      <c r="AW642" s="81"/>
      <c r="AX642" s="81"/>
      <c r="AY642" s="81"/>
    </row>
    <row r="643" spans="1:51" hidden="1">
      <c r="A643" s="1" t="s">
        <v>49</v>
      </c>
      <c r="B643" s="1">
        <v>230919</v>
      </c>
      <c r="C643" s="1">
        <v>232121</v>
      </c>
      <c r="D643" s="1" t="s">
        <v>83</v>
      </c>
      <c r="E643" s="1" t="s">
        <v>307</v>
      </c>
      <c r="F643" t="s">
        <v>2251</v>
      </c>
      <c r="G643" t="s">
        <v>2252</v>
      </c>
      <c r="H643" s="1" t="s">
        <v>1498</v>
      </c>
      <c r="I643" s="1" t="s">
        <v>1499</v>
      </c>
      <c r="J643" s="1" t="s">
        <v>18</v>
      </c>
      <c r="K643" s="1" t="s">
        <v>50</v>
      </c>
      <c r="L643" s="1">
        <v>36595</v>
      </c>
      <c r="M643" s="1">
        <v>25</v>
      </c>
      <c r="N643" s="1">
        <v>1300</v>
      </c>
      <c r="P643" s="1">
        <v>1680</v>
      </c>
      <c r="Q643" s="1"/>
      <c r="R643" s="1">
        <v>380</v>
      </c>
      <c r="S643">
        <v>260000</v>
      </c>
      <c r="T643">
        <v>13039</v>
      </c>
      <c r="U643" t="s">
        <v>814</v>
      </c>
      <c r="V643">
        <v>23790</v>
      </c>
      <c r="W643" s="1">
        <v>46291</v>
      </c>
      <c r="X643" s="1" t="s">
        <v>55</v>
      </c>
      <c r="Y643" s="1" t="s">
        <v>51</v>
      </c>
      <c r="Z643" s="1" t="s">
        <v>110</v>
      </c>
      <c r="AA643" s="1" t="s">
        <v>1326</v>
      </c>
      <c r="AB643" s="1" t="s">
        <v>1494</v>
      </c>
      <c r="AC643" s="1">
        <v>45191</v>
      </c>
      <c r="AD643" s="1">
        <v>45197</v>
      </c>
      <c r="AE643" s="1"/>
      <c r="AF643" s="1"/>
      <c r="AG643" s="1" t="s">
        <v>1495</v>
      </c>
      <c r="AH643" s="1" t="s">
        <v>1486</v>
      </c>
      <c r="AI643" s="1"/>
      <c r="AJ643" s="31">
        <v>45197</v>
      </c>
      <c r="AK643"/>
      <c r="AL643"/>
      <c r="AM643"/>
      <c r="AN643"/>
      <c r="AO643"/>
      <c r="AP643"/>
      <c r="AQ643" s="81"/>
      <c r="AR643" s="81"/>
      <c r="AS643" s="81"/>
      <c r="AT643" s="81"/>
      <c r="AU643" s="81"/>
      <c r="AV643" s="81"/>
      <c r="AW643" s="81"/>
      <c r="AX643" s="81"/>
      <c r="AY643" s="81"/>
    </row>
    <row r="644" spans="1:51" hidden="1">
      <c r="A644" s="1" t="s">
        <v>2542</v>
      </c>
      <c r="B644" s="1">
        <v>230920</v>
      </c>
      <c r="C644" s="1">
        <v>232123</v>
      </c>
      <c r="D644" s="1" t="s">
        <v>83</v>
      </c>
      <c r="E644" s="1" t="s">
        <v>307</v>
      </c>
      <c r="F644" t="s">
        <v>2251</v>
      </c>
      <c r="G644" t="s">
        <v>2252</v>
      </c>
      <c r="H644" s="1" t="s">
        <v>1500</v>
      </c>
      <c r="I644" s="1" t="s">
        <v>1501</v>
      </c>
      <c r="J644" s="1" t="s">
        <v>18</v>
      </c>
      <c r="K644" s="1" t="s">
        <v>50</v>
      </c>
      <c r="L644" s="1">
        <v>36276</v>
      </c>
      <c r="M644" s="1">
        <v>26</v>
      </c>
      <c r="N644" s="1">
        <v>1300</v>
      </c>
      <c r="P644" s="1">
        <v>1700</v>
      </c>
      <c r="Q644" s="1"/>
      <c r="R644" s="1">
        <v>400</v>
      </c>
      <c r="S644">
        <v>260000</v>
      </c>
      <c r="T644">
        <v>13039</v>
      </c>
      <c r="U644" t="s">
        <v>814</v>
      </c>
      <c r="V644">
        <v>23790</v>
      </c>
      <c r="W644" s="1">
        <v>46291</v>
      </c>
      <c r="X644" s="1" t="s">
        <v>55</v>
      </c>
      <c r="Y644" s="1" t="s">
        <v>51</v>
      </c>
      <c r="Z644" s="1" t="s">
        <v>110</v>
      </c>
      <c r="AA644" s="1" t="s">
        <v>1538</v>
      </c>
      <c r="AB644" s="1" t="s">
        <v>210</v>
      </c>
      <c r="AC644" s="1">
        <v>45191</v>
      </c>
      <c r="AD644" s="1">
        <v>45197</v>
      </c>
      <c r="AE644" s="1">
        <v>45989</v>
      </c>
      <c r="AF644" s="1"/>
      <c r="AG644" s="1" t="s">
        <v>1502</v>
      </c>
      <c r="AH644" s="1" t="s">
        <v>1486</v>
      </c>
      <c r="AI644" s="1"/>
      <c r="AJ644" s="31">
        <v>45197</v>
      </c>
      <c r="AK644"/>
      <c r="AL644"/>
      <c r="AM644"/>
      <c r="AN644"/>
      <c r="AO644"/>
      <c r="AP644"/>
      <c r="AQ644" s="81"/>
      <c r="AR644" s="81"/>
      <c r="AS644" s="81"/>
      <c r="AT644" s="81"/>
      <c r="AU644" s="81"/>
      <c r="AV644" s="81"/>
      <c r="AW644" s="81"/>
      <c r="AX644" s="81"/>
      <c r="AY644" s="81"/>
    </row>
    <row r="645" spans="1:51" hidden="1">
      <c r="A645" s="1" t="s">
        <v>2542</v>
      </c>
      <c r="B645" s="1">
        <v>230918</v>
      </c>
      <c r="C645" s="1">
        <v>232122</v>
      </c>
      <c r="D645" s="1" t="s">
        <v>83</v>
      </c>
      <c r="E645" s="1" t="s">
        <v>307</v>
      </c>
      <c r="F645" t="s">
        <v>2251</v>
      </c>
      <c r="G645" t="s">
        <v>2252</v>
      </c>
      <c r="H645" s="1" t="s">
        <v>1496</v>
      </c>
      <c r="I645" s="1" t="s">
        <v>1497</v>
      </c>
      <c r="J645" s="1" t="s">
        <v>18</v>
      </c>
      <c r="K645" s="1" t="s">
        <v>50</v>
      </c>
      <c r="L645" s="1">
        <v>35911</v>
      </c>
      <c r="M645" s="1">
        <v>27</v>
      </c>
      <c r="N645" s="1">
        <v>1300</v>
      </c>
      <c r="P645" s="1">
        <v>1680</v>
      </c>
      <c r="Q645" s="1"/>
      <c r="R645" s="1">
        <v>380</v>
      </c>
      <c r="S645">
        <v>240000</v>
      </c>
      <c r="T645">
        <v>12036</v>
      </c>
      <c r="U645" t="s">
        <v>814</v>
      </c>
      <c r="V645">
        <v>21960</v>
      </c>
      <c r="W645" s="1">
        <v>45926</v>
      </c>
      <c r="X645" s="1" t="s">
        <v>55</v>
      </c>
      <c r="Y645" s="1" t="s">
        <v>51</v>
      </c>
      <c r="Z645" s="1" t="s">
        <v>110</v>
      </c>
      <c r="AA645" s="1" t="s">
        <v>1537</v>
      </c>
      <c r="AB645" s="1" t="s">
        <v>303</v>
      </c>
      <c r="AC645" s="1">
        <v>45191</v>
      </c>
      <c r="AD645" s="1">
        <v>45197</v>
      </c>
      <c r="AE645" s="1">
        <v>45644</v>
      </c>
      <c r="AF645" s="1"/>
      <c r="AG645" s="1" t="s">
        <v>1495</v>
      </c>
      <c r="AH645" s="1" t="s">
        <v>1486</v>
      </c>
      <c r="AI645" s="1"/>
      <c r="AJ645" s="31">
        <v>45197</v>
      </c>
      <c r="AK645"/>
      <c r="AL645"/>
      <c r="AM645"/>
      <c r="AN645"/>
      <c r="AO645"/>
      <c r="AP645"/>
      <c r="AQ645" s="81"/>
      <c r="AR645" s="81"/>
      <c r="AS645" s="81"/>
      <c r="AT645" s="81"/>
      <c r="AU645" s="81"/>
      <c r="AV645" s="81"/>
      <c r="AW645" s="81"/>
      <c r="AX645" s="81"/>
      <c r="AY645" s="81"/>
    </row>
    <row r="646" spans="1:51" hidden="1">
      <c r="A646" s="1" t="s">
        <v>49</v>
      </c>
      <c r="B646" s="1">
        <v>231001</v>
      </c>
      <c r="D646" s="1" t="s">
        <v>813</v>
      </c>
      <c r="F646"/>
      <c r="G646"/>
      <c r="H646" s="1" t="s">
        <v>1503</v>
      </c>
      <c r="I646" s="1" t="s">
        <v>1504</v>
      </c>
      <c r="J646" s="1" t="s">
        <v>18</v>
      </c>
      <c r="K646" s="1" t="s">
        <v>50</v>
      </c>
      <c r="L646" s="1">
        <v>36675</v>
      </c>
      <c r="M646" s="1">
        <v>25</v>
      </c>
      <c r="N646" s="1">
        <v>1300</v>
      </c>
      <c r="P646" s="1">
        <v>1800</v>
      </c>
      <c r="Q646" s="1"/>
      <c r="R646" s="1">
        <v>500</v>
      </c>
      <c r="S646">
        <v>240000</v>
      </c>
      <c r="T646">
        <v>12036</v>
      </c>
      <c r="U646" t="s">
        <v>814</v>
      </c>
      <c r="V646">
        <v>21960</v>
      </c>
      <c r="W646" s="1">
        <v>46854</v>
      </c>
      <c r="X646" s="1" t="s">
        <v>55</v>
      </c>
      <c r="Y646" s="1" t="s">
        <v>51</v>
      </c>
      <c r="Z646" s="1" t="s">
        <v>52</v>
      </c>
      <c r="AA646" s="1" t="s">
        <v>1384</v>
      </c>
      <c r="AB646" s="1" t="s">
        <v>1385</v>
      </c>
      <c r="AC646" s="1">
        <v>45199</v>
      </c>
      <c r="AD646" s="1">
        <v>45201</v>
      </c>
      <c r="AE646" s="1"/>
      <c r="AF646" s="1"/>
      <c r="AG646" s="1" t="s">
        <v>1539</v>
      </c>
      <c r="AH646" s="1" t="s">
        <v>1540</v>
      </c>
      <c r="AI646" s="1"/>
      <c r="AJ646" s="31">
        <v>45201</v>
      </c>
      <c r="AK646"/>
      <c r="AL646"/>
      <c r="AM646"/>
      <c r="AN646"/>
      <c r="AO646"/>
      <c r="AP646"/>
      <c r="AQ646" s="81"/>
      <c r="AR646" s="81"/>
      <c r="AS646" s="81"/>
      <c r="AT646" s="81"/>
      <c r="AU646" s="81"/>
      <c r="AV646" s="81"/>
      <c r="AW646" s="81"/>
      <c r="AX646" s="81"/>
      <c r="AY646" s="81"/>
    </row>
    <row r="647" spans="1:51" hidden="1">
      <c r="A647" s="1" t="s">
        <v>2542</v>
      </c>
      <c r="B647" s="1">
        <v>231009</v>
      </c>
      <c r="D647" s="1" t="s">
        <v>414</v>
      </c>
      <c r="F647"/>
      <c r="G647"/>
      <c r="H647" s="1" t="s">
        <v>3717</v>
      </c>
      <c r="I647" s="1" t="s">
        <v>3718</v>
      </c>
      <c r="J647" s="1" t="s">
        <v>18</v>
      </c>
      <c r="K647" s="1" t="s">
        <v>50</v>
      </c>
      <c r="L647" s="1">
        <v>33095</v>
      </c>
      <c r="M647" s="1">
        <v>35</v>
      </c>
      <c r="N647" s="1">
        <v>1300</v>
      </c>
      <c r="P647" s="1">
        <v>1650</v>
      </c>
      <c r="Q647" s="1"/>
      <c r="R647" s="1">
        <v>350</v>
      </c>
      <c r="S647">
        <v>0</v>
      </c>
      <c r="T647" t="s">
        <v>55</v>
      </c>
      <c r="U647" t="s">
        <v>814</v>
      </c>
      <c r="V647">
        <v>0</v>
      </c>
      <c r="W647" s="1">
        <v>45542</v>
      </c>
      <c r="X647" s="1" t="s">
        <v>55</v>
      </c>
      <c r="Y647" s="1" t="s">
        <v>51</v>
      </c>
      <c r="Z647" s="1" t="s">
        <v>1121</v>
      </c>
      <c r="AA647" s="1" t="s">
        <v>1122</v>
      </c>
      <c r="AB647" s="1" t="s">
        <v>1123</v>
      </c>
      <c r="AC647" s="1"/>
      <c r="AD647" s="1">
        <v>45201</v>
      </c>
      <c r="AE647" s="1">
        <v>45202</v>
      </c>
      <c r="AF647" s="1"/>
      <c r="AG647" s="1"/>
      <c r="AH647" s="1" t="s">
        <v>3719</v>
      </c>
      <c r="AI647" s="1"/>
      <c r="AJ647" s="31">
        <v>45201</v>
      </c>
      <c r="AK647"/>
      <c r="AL647"/>
      <c r="AM647"/>
      <c r="AN647"/>
      <c r="AO647"/>
      <c r="AP647"/>
      <c r="AQ647" s="81"/>
      <c r="AR647" s="81"/>
      <c r="AS647" s="81"/>
      <c r="AT647" s="81"/>
      <c r="AU647" s="81"/>
      <c r="AV647" s="81"/>
      <c r="AW647" s="81"/>
      <c r="AX647" s="81"/>
      <c r="AY647" s="81"/>
    </row>
    <row r="648" spans="1:51" hidden="1">
      <c r="A648" s="1" t="s">
        <v>49</v>
      </c>
      <c r="B648" s="1">
        <v>231002</v>
      </c>
      <c r="C648" s="1">
        <v>8210078</v>
      </c>
      <c r="D648" s="1" t="s">
        <v>815</v>
      </c>
      <c r="E648" s="1" t="s">
        <v>828</v>
      </c>
      <c r="F648" t="s">
        <v>828</v>
      </c>
      <c r="G648"/>
      <c r="H648" s="1" t="s">
        <v>1505</v>
      </c>
      <c r="I648" s="1" t="s">
        <v>1506</v>
      </c>
      <c r="J648" s="1" t="s">
        <v>18</v>
      </c>
      <c r="K648" s="1" t="s">
        <v>50</v>
      </c>
      <c r="L648" s="1">
        <v>35078</v>
      </c>
      <c r="M648" s="1">
        <v>29</v>
      </c>
      <c r="N648" s="1">
        <v>1500</v>
      </c>
      <c r="P648" s="1">
        <v>2150</v>
      </c>
      <c r="Q648" s="1"/>
      <c r="R648" s="1">
        <v>650</v>
      </c>
      <c r="S648">
        <v>360000</v>
      </c>
      <c r="T648">
        <v>18054</v>
      </c>
      <c r="U648" t="s">
        <v>814</v>
      </c>
      <c r="V648">
        <v>32940</v>
      </c>
      <c r="W648" s="1">
        <v>47036</v>
      </c>
      <c r="X648" s="1" t="s">
        <v>55</v>
      </c>
      <c r="Y648" s="1" t="s">
        <v>51</v>
      </c>
      <c r="Z648" s="1" t="s">
        <v>982</v>
      </c>
      <c r="AA648" s="1" t="s">
        <v>983</v>
      </c>
      <c r="AB648" s="1" t="s">
        <v>990</v>
      </c>
      <c r="AC648" s="1"/>
      <c r="AD648" s="1">
        <v>45215</v>
      </c>
      <c r="AE648" s="1"/>
      <c r="AF648" s="1"/>
      <c r="AG648" s="1" t="s">
        <v>1541</v>
      </c>
      <c r="AH648" s="1" t="s">
        <v>1540</v>
      </c>
      <c r="AI648" s="1"/>
      <c r="AJ648" s="31">
        <v>45215</v>
      </c>
      <c r="AK648" t="s">
        <v>2423</v>
      </c>
      <c r="AL648">
        <v>46067</v>
      </c>
      <c r="AM648" t="s">
        <v>2423</v>
      </c>
      <c r="AN648">
        <v>46309</v>
      </c>
      <c r="AO648"/>
      <c r="AP648"/>
      <c r="AQ648" s="81"/>
      <c r="AR648" s="81"/>
      <c r="AS648" s="81"/>
      <c r="AT648" s="81"/>
      <c r="AU648" s="81"/>
      <c r="AV648" s="81"/>
      <c r="AW648" s="81"/>
      <c r="AX648" s="81"/>
      <c r="AY648" s="81"/>
    </row>
    <row r="649" spans="1:51" hidden="1">
      <c r="A649" s="1" t="s">
        <v>2542</v>
      </c>
      <c r="B649" s="1">
        <v>231003</v>
      </c>
      <c r="C649" s="1">
        <v>8210079</v>
      </c>
      <c r="D649" s="1" t="s">
        <v>815</v>
      </c>
      <c r="F649"/>
      <c r="G649"/>
      <c r="H649" s="1" t="s">
        <v>3720</v>
      </c>
      <c r="I649" s="1" t="s">
        <v>3721</v>
      </c>
      <c r="J649" s="1" t="s">
        <v>18</v>
      </c>
      <c r="K649" s="1" t="s">
        <v>50</v>
      </c>
      <c r="L649" s="1">
        <v>36039</v>
      </c>
      <c r="M649" s="1">
        <v>27</v>
      </c>
      <c r="N649" s="1">
        <v>1400</v>
      </c>
      <c r="P649" s="1">
        <v>1990</v>
      </c>
      <c r="Q649" s="1"/>
      <c r="R649" s="1">
        <v>590</v>
      </c>
      <c r="S649">
        <v>0</v>
      </c>
      <c r="T649" t="s">
        <v>55</v>
      </c>
      <c r="U649" t="s">
        <v>814</v>
      </c>
      <c r="V649">
        <v>0</v>
      </c>
      <c r="W649" s="1">
        <v>45575</v>
      </c>
      <c r="X649" s="1" t="s">
        <v>55</v>
      </c>
      <c r="Y649" s="1" t="s">
        <v>51</v>
      </c>
      <c r="Z649" s="1" t="s">
        <v>982</v>
      </c>
      <c r="AA649" s="1" t="s">
        <v>983</v>
      </c>
      <c r="AB649" s="1" t="s">
        <v>990</v>
      </c>
      <c r="AC649" s="1"/>
      <c r="AD649" s="1">
        <v>45215</v>
      </c>
      <c r="AE649" s="1">
        <v>45219</v>
      </c>
      <c r="AF649" s="1"/>
      <c r="AG649" s="1"/>
      <c r="AH649" s="1"/>
      <c r="AI649" s="1"/>
      <c r="AJ649" s="31">
        <v>45215</v>
      </c>
      <c r="AK649"/>
      <c r="AL649"/>
      <c r="AM649"/>
      <c r="AN649"/>
      <c r="AO649"/>
      <c r="AP649"/>
      <c r="AQ649" s="81"/>
      <c r="AR649" s="81"/>
      <c r="AS649" s="81"/>
      <c r="AT649" s="81"/>
      <c r="AU649" s="81"/>
      <c r="AV649" s="81"/>
      <c r="AW649" s="81"/>
      <c r="AX649" s="81"/>
      <c r="AY649" s="81"/>
    </row>
    <row r="650" spans="1:51" s="81" customFormat="1" hidden="1">
      <c r="A650" s="1" t="s">
        <v>2542</v>
      </c>
      <c r="B650" s="1">
        <v>231004</v>
      </c>
      <c r="C650" s="1">
        <v>5600</v>
      </c>
      <c r="D650" s="1" t="s">
        <v>846</v>
      </c>
      <c r="E650" s="1" t="s">
        <v>1234</v>
      </c>
      <c r="F650" t="s">
        <v>1584</v>
      </c>
      <c r="G650" t="s">
        <v>1514</v>
      </c>
      <c r="H650" s="1" t="s">
        <v>3722</v>
      </c>
      <c r="I650" s="1" t="s">
        <v>3723</v>
      </c>
      <c r="J650" s="1" t="s">
        <v>18</v>
      </c>
      <c r="K650" s="1" t="s">
        <v>50</v>
      </c>
      <c r="L650" s="1">
        <v>34038</v>
      </c>
      <c r="M650" s="1">
        <v>32</v>
      </c>
      <c r="N650" s="1">
        <v>1300</v>
      </c>
      <c r="O650" s="1"/>
      <c r="P650" s="1">
        <v>1700</v>
      </c>
      <c r="Q650" s="1"/>
      <c r="R650" s="1">
        <v>400</v>
      </c>
      <c r="S650">
        <v>220000</v>
      </c>
      <c r="T650">
        <v>11033</v>
      </c>
      <c r="U650" t="s">
        <v>814</v>
      </c>
      <c r="V650">
        <v>20130</v>
      </c>
      <c r="W650" s="1">
        <v>45535</v>
      </c>
      <c r="X650" s="1" t="s">
        <v>55</v>
      </c>
      <c r="Y650" s="1" t="s">
        <v>51</v>
      </c>
      <c r="Z650" s="1" t="s">
        <v>3528</v>
      </c>
      <c r="AA650" s="1" t="s">
        <v>3529</v>
      </c>
      <c r="AB650" s="1" t="s">
        <v>3530</v>
      </c>
      <c r="AC650" s="1"/>
      <c r="AD650" s="1">
        <v>45215</v>
      </c>
      <c r="AE650" s="1">
        <v>45309</v>
      </c>
      <c r="AF650" s="1"/>
      <c r="AG650" s="1" t="s">
        <v>1541</v>
      </c>
      <c r="AH650" s="1" t="s">
        <v>1540</v>
      </c>
      <c r="AI650" s="1"/>
      <c r="AJ650" s="31">
        <v>45215</v>
      </c>
      <c r="AK650"/>
      <c r="AL650"/>
      <c r="AM650"/>
      <c r="AN650"/>
      <c r="AO650"/>
      <c r="AP650"/>
    </row>
    <row r="651" spans="1:51" s="81" customFormat="1" hidden="1">
      <c r="A651" s="1" t="s">
        <v>2542</v>
      </c>
      <c r="B651" s="1">
        <v>231005</v>
      </c>
      <c r="C651" s="1">
        <v>4805</v>
      </c>
      <c r="D651" s="1" t="s">
        <v>846</v>
      </c>
      <c r="E651" s="1" t="s">
        <v>1234</v>
      </c>
      <c r="F651" t="s">
        <v>1584</v>
      </c>
      <c r="G651" t="s">
        <v>1514</v>
      </c>
      <c r="H651" s="1" t="s">
        <v>3724</v>
      </c>
      <c r="I651" s="1" t="s">
        <v>3725</v>
      </c>
      <c r="J651" s="1" t="s">
        <v>18</v>
      </c>
      <c r="K651" s="1" t="s">
        <v>50</v>
      </c>
      <c r="L651" s="1">
        <v>33726</v>
      </c>
      <c r="M651" s="1">
        <v>33</v>
      </c>
      <c r="N651" s="1">
        <v>1300</v>
      </c>
      <c r="O651" s="1"/>
      <c r="P651" s="1">
        <v>1700</v>
      </c>
      <c r="Q651" s="1"/>
      <c r="R651" s="1">
        <v>400</v>
      </c>
      <c r="S651">
        <v>220000</v>
      </c>
      <c r="T651">
        <v>11033</v>
      </c>
      <c r="U651" t="s">
        <v>814</v>
      </c>
      <c r="V651">
        <v>20130</v>
      </c>
      <c r="W651" s="1">
        <v>45462</v>
      </c>
      <c r="X651" s="1" t="s">
        <v>55</v>
      </c>
      <c r="Y651" s="1" t="s">
        <v>51</v>
      </c>
      <c r="Z651" s="1" t="s">
        <v>801</v>
      </c>
      <c r="AA651" s="1" t="s">
        <v>1114</v>
      </c>
      <c r="AB651" s="1" t="s">
        <v>1115</v>
      </c>
      <c r="AC651" s="1"/>
      <c r="AD651" s="1">
        <v>45215</v>
      </c>
      <c r="AE651" s="1">
        <v>45316</v>
      </c>
      <c r="AF651" s="1"/>
      <c r="AG651" s="1" t="s">
        <v>1541</v>
      </c>
      <c r="AH651" s="1" t="s">
        <v>1540</v>
      </c>
      <c r="AI651" s="1"/>
      <c r="AJ651" s="31">
        <v>45215</v>
      </c>
      <c r="AK651"/>
      <c r="AL651"/>
      <c r="AM651"/>
      <c r="AN651"/>
      <c r="AO651"/>
      <c r="AP651"/>
    </row>
    <row r="652" spans="1:51" hidden="1">
      <c r="A652" s="1" t="s">
        <v>49</v>
      </c>
      <c r="B652" s="1">
        <v>231006</v>
      </c>
      <c r="D652" s="1" t="s">
        <v>414</v>
      </c>
      <c r="E652" s="1" t="s">
        <v>1065</v>
      </c>
      <c r="F652" t="s">
        <v>1083</v>
      </c>
      <c r="G652" t="s">
        <v>1068</v>
      </c>
      <c r="H652" s="1" t="s">
        <v>1507</v>
      </c>
      <c r="I652" s="1" t="s">
        <v>1508</v>
      </c>
      <c r="J652" s="1" t="s">
        <v>18</v>
      </c>
      <c r="K652" s="1" t="s">
        <v>50</v>
      </c>
      <c r="L652" s="1">
        <v>35593</v>
      </c>
      <c r="M652" s="1">
        <v>28</v>
      </c>
      <c r="N652" s="1">
        <v>1300</v>
      </c>
      <c r="P652" s="1">
        <v>1650</v>
      </c>
      <c r="Q652" s="1"/>
      <c r="R652" s="1">
        <v>350</v>
      </c>
      <c r="S652">
        <v>300000</v>
      </c>
      <c r="T652">
        <v>15045</v>
      </c>
      <c r="U652" t="s">
        <v>814</v>
      </c>
      <c r="V652">
        <v>27450</v>
      </c>
      <c r="W652" s="1">
        <v>46837</v>
      </c>
      <c r="X652" s="1" t="s">
        <v>55</v>
      </c>
      <c r="Y652" s="1" t="s">
        <v>51</v>
      </c>
      <c r="Z652" s="1" t="s">
        <v>1121</v>
      </c>
      <c r="AA652" s="1" t="s">
        <v>3747</v>
      </c>
      <c r="AB652" s="1" t="s">
        <v>3748</v>
      </c>
      <c r="AC652" s="1">
        <v>45215</v>
      </c>
      <c r="AD652" s="1">
        <v>45216</v>
      </c>
      <c r="AE652" s="1"/>
      <c r="AF652" s="1"/>
      <c r="AG652" s="1" t="s">
        <v>1542</v>
      </c>
      <c r="AH652" s="1" t="s">
        <v>1540</v>
      </c>
      <c r="AI652" s="1"/>
      <c r="AJ652" s="31">
        <v>45216</v>
      </c>
      <c r="AK652"/>
      <c r="AL652"/>
      <c r="AM652"/>
      <c r="AN652"/>
      <c r="AO652"/>
      <c r="AP652"/>
      <c r="AQ652" s="81"/>
      <c r="AR652" s="81"/>
      <c r="AS652" s="81"/>
      <c r="AT652" s="81"/>
      <c r="AU652" s="81"/>
      <c r="AV652" s="81"/>
      <c r="AW652" s="81"/>
      <c r="AX652" s="81"/>
      <c r="AY652" s="81"/>
    </row>
    <row r="653" spans="1:51" hidden="1">
      <c r="A653" s="1" t="s">
        <v>49</v>
      </c>
      <c r="B653" s="1">
        <v>231007</v>
      </c>
      <c r="D653" s="1" t="s">
        <v>813</v>
      </c>
      <c r="F653"/>
      <c r="G653"/>
      <c r="H653" s="1" t="s">
        <v>1509</v>
      </c>
      <c r="I653" s="1" t="s">
        <v>1510</v>
      </c>
      <c r="J653" s="1" t="s">
        <v>17</v>
      </c>
      <c r="K653" s="1" t="s">
        <v>50</v>
      </c>
      <c r="L653" s="1">
        <v>33632</v>
      </c>
      <c r="M653" s="1">
        <v>33</v>
      </c>
      <c r="N653" s="1">
        <v>1300</v>
      </c>
      <c r="P653" s="1">
        <v>1800</v>
      </c>
      <c r="Q653" s="1"/>
      <c r="R653" s="1">
        <v>500</v>
      </c>
      <c r="S653">
        <v>240000</v>
      </c>
      <c r="T653">
        <v>12036</v>
      </c>
      <c r="U653" t="s">
        <v>814</v>
      </c>
      <c r="V653">
        <v>21960</v>
      </c>
      <c r="W653" s="1">
        <v>47016</v>
      </c>
      <c r="X653" s="1" t="s">
        <v>55</v>
      </c>
      <c r="Y653" s="1" t="s">
        <v>51</v>
      </c>
      <c r="Z653" s="1" t="s">
        <v>52</v>
      </c>
      <c r="AA653" s="1" t="s">
        <v>816</v>
      </c>
      <c r="AB653" s="1" t="s">
        <v>1329</v>
      </c>
      <c r="AC653" s="1"/>
      <c r="AD653" s="1">
        <v>45217</v>
      </c>
      <c r="AE653" s="1"/>
      <c r="AF653" s="1"/>
      <c r="AG653" s="1" t="s">
        <v>1543</v>
      </c>
      <c r="AH653" s="1" t="s">
        <v>1540</v>
      </c>
      <c r="AI653" s="1"/>
      <c r="AJ653" s="31">
        <v>45217</v>
      </c>
      <c r="AK653"/>
      <c r="AL653"/>
      <c r="AM653"/>
      <c r="AN653"/>
      <c r="AO653"/>
      <c r="AP653"/>
      <c r="AQ653" s="81"/>
      <c r="AR653" s="81"/>
      <c r="AS653" s="81"/>
      <c r="AT653" s="81"/>
      <c r="AU653" s="81"/>
      <c r="AV653" s="81"/>
      <c r="AW653" s="81"/>
      <c r="AX653" s="81"/>
      <c r="AY653" s="81"/>
    </row>
    <row r="654" spans="1:51" hidden="1">
      <c r="A654" s="1" t="s">
        <v>2542</v>
      </c>
      <c r="B654" s="1">
        <v>231008</v>
      </c>
      <c r="C654" s="1">
        <v>8210080</v>
      </c>
      <c r="D654" s="1" t="s">
        <v>818</v>
      </c>
      <c r="E654" s="1" t="s">
        <v>4168</v>
      </c>
      <c r="F654" t="s">
        <v>4168</v>
      </c>
      <c r="G654"/>
      <c r="H654" s="1" t="s">
        <v>1511</v>
      </c>
      <c r="I654" s="1" t="s">
        <v>1512</v>
      </c>
      <c r="J654" s="1" t="s">
        <v>18</v>
      </c>
      <c r="K654" s="1" t="s">
        <v>50</v>
      </c>
      <c r="L654" s="1">
        <v>33460</v>
      </c>
      <c r="M654" s="1">
        <v>34</v>
      </c>
      <c r="N654" s="1">
        <v>1500</v>
      </c>
      <c r="P654" s="1">
        <v>2150</v>
      </c>
      <c r="Q654" s="1"/>
      <c r="R654" s="1">
        <v>650</v>
      </c>
      <c r="S654">
        <v>380000</v>
      </c>
      <c r="T654">
        <v>19057</v>
      </c>
      <c r="U654" t="s">
        <v>814</v>
      </c>
      <c r="V654">
        <v>34770</v>
      </c>
      <c r="W654" s="1">
        <v>46823</v>
      </c>
      <c r="X654" s="1" t="s">
        <v>55</v>
      </c>
      <c r="Y654" s="1" t="s">
        <v>51</v>
      </c>
      <c r="Z654" s="1" t="s">
        <v>2751</v>
      </c>
      <c r="AA654" s="1" t="s">
        <v>2752</v>
      </c>
      <c r="AB654" s="1" t="s">
        <v>3892</v>
      </c>
      <c r="AC654" s="1" t="s">
        <v>53</v>
      </c>
      <c r="AD654" s="1">
        <v>45223</v>
      </c>
      <c r="AE654" s="1">
        <v>45797</v>
      </c>
      <c r="AF654" s="1"/>
      <c r="AG654" s="1" t="s">
        <v>1544</v>
      </c>
      <c r="AH654" s="1" t="s">
        <v>1545</v>
      </c>
      <c r="AI654" s="1"/>
      <c r="AJ654" s="31">
        <v>45223</v>
      </c>
      <c r="AK654" t="s">
        <v>2470</v>
      </c>
      <c r="AL654">
        <v>45910</v>
      </c>
      <c r="AM654" t="s">
        <v>2468</v>
      </c>
      <c r="AN654">
        <v>46167</v>
      </c>
      <c r="AO654"/>
      <c r="AP654"/>
      <c r="AQ654" s="81"/>
      <c r="AR654" s="81"/>
      <c r="AS654" s="81"/>
      <c r="AT654" s="81"/>
      <c r="AU654" s="81"/>
      <c r="AV654" s="81"/>
      <c r="AW654" s="81"/>
      <c r="AX654" s="81"/>
      <c r="AY654" s="81"/>
    </row>
    <row r="655" spans="1:51" hidden="1">
      <c r="A655" s="1" t="s">
        <v>2542</v>
      </c>
      <c r="B655" s="1">
        <v>231010</v>
      </c>
      <c r="C655" s="1">
        <v>8210081</v>
      </c>
      <c r="D655" s="1" t="s">
        <v>818</v>
      </c>
      <c r="E655" s="1" t="s">
        <v>819</v>
      </c>
      <c r="F655" t="s">
        <v>819</v>
      </c>
      <c r="G655"/>
      <c r="H655" s="1" t="s">
        <v>3726</v>
      </c>
      <c r="I655" s="1" t="s">
        <v>3727</v>
      </c>
      <c r="J655" s="1" t="s">
        <v>18</v>
      </c>
      <c r="K655" s="1" t="s">
        <v>50</v>
      </c>
      <c r="L655" s="1">
        <v>35727</v>
      </c>
      <c r="M655" s="1">
        <v>28</v>
      </c>
      <c r="N655" s="1">
        <v>1400</v>
      </c>
      <c r="P655" s="1">
        <v>1960</v>
      </c>
      <c r="Q655" s="1"/>
      <c r="R655" s="1">
        <v>560</v>
      </c>
      <c r="S655">
        <v>240000</v>
      </c>
      <c r="T655">
        <v>12036</v>
      </c>
      <c r="U655" t="s">
        <v>814</v>
      </c>
      <c r="V655">
        <v>21960</v>
      </c>
      <c r="W655" s="1">
        <v>45536</v>
      </c>
      <c r="X655" s="1" t="s">
        <v>55</v>
      </c>
      <c r="Y655" s="1" t="s">
        <v>51</v>
      </c>
      <c r="Z655" s="1" t="s">
        <v>1546</v>
      </c>
      <c r="AA655" s="1" t="s">
        <v>3728</v>
      </c>
      <c r="AB655" s="1" t="s">
        <v>1547</v>
      </c>
      <c r="AC655" s="1"/>
      <c r="AD655" s="1">
        <v>45225</v>
      </c>
      <c r="AE655" s="1">
        <v>45485</v>
      </c>
      <c r="AF655" s="1"/>
      <c r="AG655" s="1" t="s">
        <v>3729</v>
      </c>
      <c r="AH655" s="1" t="s">
        <v>1548</v>
      </c>
      <c r="AI655" s="1"/>
      <c r="AJ655" s="31">
        <v>45225</v>
      </c>
      <c r="AK655"/>
      <c r="AL655"/>
      <c r="AM655"/>
      <c r="AN655"/>
      <c r="AO655"/>
      <c r="AP655"/>
      <c r="AQ655" s="81"/>
      <c r="AR655" s="81"/>
      <c r="AS655" s="81"/>
      <c r="AT655" s="81"/>
      <c r="AU655" s="81"/>
      <c r="AV655" s="81"/>
      <c r="AW655" s="81"/>
      <c r="AX655" s="81"/>
      <c r="AY655" s="81"/>
    </row>
    <row r="656" spans="1:51" hidden="1">
      <c r="A656" s="1" t="s">
        <v>2542</v>
      </c>
      <c r="B656" s="1">
        <v>231011</v>
      </c>
      <c r="C656" s="1">
        <v>8210082</v>
      </c>
      <c r="D656" s="1" t="s">
        <v>815</v>
      </c>
      <c r="E656" s="1" t="s">
        <v>1532</v>
      </c>
      <c r="F656" t="s">
        <v>1533</v>
      </c>
      <c r="G656"/>
      <c r="H656" s="1" t="s">
        <v>2394</v>
      </c>
      <c r="I656" s="1" t="s">
        <v>2395</v>
      </c>
      <c r="J656" s="1" t="s">
        <v>18</v>
      </c>
      <c r="K656" s="1" t="s">
        <v>50</v>
      </c>
      <c r="L656" s="1">
        <v>31659</v>
      </c>
      <c r="M656" s="1">
        <v>39</v>
      </c>
      <c r="N656" s="1">
        <v>1400</v>
      </c>
      <c r="P656" s="1">
        <v>1960</v>
      </c>
      <c r="Q656" s="1"/>
      <c r="R656" s="1">
        <v>560</v>
      </c>
      <c r="S656">
        <v>240000</v>
      </c>
      <c r="T656">
        <v>12036</v>
      </c>
      <c r="U656" t="s">
        <v>814</v>
      </c>
      <c r="V656">
        <v>21960</v>
      </c>
      <c r="W656" s="1">
        <v>45548</v>
      </c>
      <c r="X656" s="1" t="s">
        <v>55</v>
      </c>
      <c r="Y656" s="1" t="s">
        <v>51</v>
      </c>
      <c r="Z656" s="1" t="s">
        <v>1546</v>
      </c>
      <c r="AA656" s="1" t="s">
        <v>3728</v>
      </c>
      <c r="AB656" s="1" t="s">
        <v>1547</v>
      </c>
      <c r="AC656" s="1"/>
      <c r="AD656" s="1">
        <v>45229</v>
      </c>
      <c r="AE656" s="1">
        <v>45307</v>
      </c>
      <c r="AF656" s="1"/>
      <c r="AG656" s="1" t="s">
        <v>3730</v>
      </c>
      <c r="AH656" s="1" t="s">
        <v>1545</v>
      </c>
      <c r="AI656" s="1"/>
      <c r="AJ656" s="31">
        <v>45229</v>
      </c>
      <c r="AK656"/>
      <c r="AL656"/>
      <c r="AM656"/>
      <c r="AN656"/>
      <c r="AO656"/>
      <c r="AP656"/>
      <c r="AQ656" s="81"/>
      <c r="AR656" s="81"/>
      <c r="AS656" s="81"/>
      <c r="AT656" s="81"/>
      <c r="AU656" s="81"/>
      <c r="AV656" s="81"/>
      <c r="AW656" s="81"/>
      <c r="AX656" s="81"/>
      <c r="AY656" s="81"/>
    </row>
    <row r="657" spans="1:51" hidden="1">
      <c r="A657" s="1" t="s">
        <v>2542</v>
      </c>
      <c r="B657" s="1">
        <v>231012</v>
      </c>
      <c r="D657" s="1" t="s">
        <v>643</v>
      </c>
      <c r="E657" s="1" t="s">
        <v>845</v>
      </c>
      <c r="F657" t="s">
        <v>741</v>
      </c>
      <c r="G657" t="s">
        <v>1183</v>
      </c>
      <c r="H657" s="1" t="s">
        <v>144</v>
      </c>
      <c r="I657" s="1" t="s">
        <v>1549</v>
      </c>
      <c r="J657" s="1" t="s">
        <v>18</v>
      </c>
      <c r="K657" s="1" t="s">
        <v>50</v>
      </c>
      <c r="L657" s="1">
        <v>34320</v>
      </c>
      <c r="M657" s="1">
        <v>31</v>
      </c>
      <c r="N657" s="1">
        <v>1300</v>
      </c>
      <c r="P657" s="1">
        <v>1900</v>
      </c>
      <c r="Q657" s="1"/>
      <c r="R657" s="1">
        <v>600</v>
      </c>
      <c r="S657">
        <v>240000</v>
      </c>
      <c r="T657">
        <v>12036</v>
      </c>
      <c r="U657" t="s">
        <v>814</v>
      </c>
      <c r="V657">
        <v>21960</v>
      </c>
      <c r="W657" s="1">
        <v>45597</v>
      </c>
      <c r="X657" s="1" t="s">
        <v>55</v>
      </c>
      <c r="Y657" s="1" t="s">
        <v>51</v>
      </c>
      <c r="Z657" s="1" t="s">
        <v>1550</v>
      </c>
      <c r="AA657" s="1" t="s">
        <v>1551</v>
      </c>
      <c r="AB657" s="1" t="s">
        <v>1552</v>
      </c>
      <c r="AC657" s="1" t="s">
        <v>53</v>
      </c>
      <c r="AD657" s="1">
        <v>45230</v>
      </c>
      <c r="AE657" s="1">
        <v>45499</v>
      </c>
      <c r="AF657" s="1"/>
      <c r="AG657" s="1" t="s">
        <v>1553</v>
      </c>
      <c r="AH657" s="1" t="s">
        <v>1548</v>
      </c>
      <c r="AI657" s="1"/>
      <c r="AJ657" s="31">
        <v>45230</v>
      </c>
      <c r="AK657"/>
      <c r="AL657"/>
      <c r="AM657"/>
      <c r="AN657"/>
      <c r="AO657"/>
      <c r="AP657"/>
      <c r="AQ657" s="81"/>
      <c r="AR657" s="81"/>
      <c r="AS657" s="81"/>
      <c r="AT657" s="81"/>
      <c r="AU657" s="81"/>
      <c r="AV657" s="81"/>
      <c r="AW657" s="81"/>
      <c r="AX657" s="81"/>
      <c r="AY657" s="81"/>
    </row>
    <row r="658" spans="1:51" hidden="1">
      <c r="A658" s="1" t="s">
        <v>2542</v>
      </c>
      <c r="B658" s="1">
        <v>231101</v>
      </c>
      <c r="D658" s="1" t="s">
        <v>61</v>
      </c>
      <c r="E658" s="1" t="s">
        <v>1065</v>
      </c>
      <c r="F658" t="s">
        <v>1884</v>
      </c>
      <c r="G658" t="s">
        <v>1871</v>
      </c>
      <c r="H658" s="1" t="s">
        <v>1554</v>
      </c>
      <c r="I658" s="1" t="s">
        <v>1555</v>
      </c>
      <c r="J658" s="1" t="s">
        <v>18</v>
      </c>
      <c r="K658" s="1" t="s">
        <v>50</v>
      </c>
      <c r="L658" s="1">
        <v>33417</v>
      </c>
      <c r="M658" s="1">
        <v>34</v>
      </c>
      <c r="N658" s="1">
        <v>1350</v>
      </c>
      <c r="P658" s="1">
        <v>1750</v>
      </c>
      <c r="Q658" s="1"/>
      <c r="R658" s="1">
        <v>400</v>
      </c>
      <c r="S658">
        <v>280000</v>
      </c>
      <c r="T658">
        <v>14042</v>
      </c>
      <c r="U658" t="s">
        <v>814</v>
      </c>
      <c r="V658">
        <v>25620</v>
      </c>
      <c r="W658" s="1">
        <v>45805</v>
      </c>
      <c r="X658" s="1" t="s">
        <v>55</v>
      </c>
      <c r="Y658" s="1" t="s">
        <v>51</v>
      </c>
      <c r="Z658" s="1" t="s">
        <v>102</v>
      </c>
      <c r="AA658" s="1" t="s">
        <v>103</v>
      </c>
      <c r="AB658" s="1" t="s">
        <v>104</v>
      </c>
      <c r="AC658" s="1"/>
      <c r="AD658" s="1">
        <v>45231</v>
      </c>
      <c r="AE658" s="1">
        <v>45548</v>
      </c>
      <c r="AF658" s="1"/>
      <c r="AG658" s="1" t="s">
        <v>1589</v>
      </c>
      <c r="AH658" s="1" t="s">
        <v>1590</v>
      </c>
      <c r="AI658" s="1"/>
      <c r="AJ658" s="31">
        <v>45231</v>
      </c>
      <c r="AK658"/>
      <c r="AL658"/>
      <c r="AM658"/>
      <c r="AN658"/>
      <c r="AO658"/>
      <c r="AP658"/>
      <c r="AQ658" s="81"/>
      <c r="AR658" s="81"/>
      <c r="AS658" s="81"/>
      <c r="AT658" s="81"/>
      <c r="AU658" s="81"/>
      <c r="AV658" s="81"/>
      <c r="AW658" s="81"/>
      <c r="AX658" s="81"/>
      <c r="AY658" s="81"/>
    </row>
    <row r="659" spans="1:51" hidden="1">
      <c r="A659" s="1" t="s">
        <v>2542</v>
      </c>
      <c r="B659" s="1">
        <v>231104</v>
      </c>
      <c r="C659" s="1">
        <v>232125</v>
      </c>
      <c r="D659" s="1" t="s">
        <v>83</v>
      </c>
      <c r="E659" s="1" t="s">
        <v>307</v>
      </c>
      <c r="F659" t="s">
        <v>2251</v>
      </c>
      <c r="G659" t="s">
        <v>2252</v>
      </c>
      <c r="H659" s="1" t="s">
        <v>1560</v>
      </c>
      <c r="I659" s="1" t="s">
        <v>1561</v>
      </c>
      <c r="J659" s="1" t="s">
        <v>18</v>
      </c>
      <c r="K659" s="1" t="s">
        <v>50</v>
      </c>
      <c r="L659" s="1">
        <v>36479</v>
      </c>
      <c r="M659" s="1">
        <v>26</v>
      </c>
      <c r="N659" s="1">
        <v>1300</v>
      </c>
      <c r="P659" s="1">
        <v>1680</v>
      </c>
      <c r="Q659" s="1"/>
      <c r="R659" s="1">
        <v>380</v>
      </c>
      <c r="S659">
        <v>240000</v>
      </c>
      <c r="T659">
        <v>12036</v>
      </c>
      <c r="U659" t="s">
        <v>814</v>
      </c>
      <c r="V659">
        <v>21960</v>
      </c>
      <c r="W659" s="1">
        <v>45957</v>
      </c>
      <c r="X659" s="1" t="s">
        <v>55</v>
      </c>
      <c r="Y659" s="1" t="s">
        <v>51</v>
      </c>
      <c r="Z659" s="1" t="s">
        <v>110</v>
      </c>
      <c r="AA659" s="1" t="s">
        <v>276</v>
      </c>
      <c r="AB659" s="1" t="s">
        <v>2002</v>
      </c>
      <c r="AC659" s="1">
        <v>45226</v>
      </c>
      <c r="AD659" s="1">
        <v>45231</v>
      </c>
      <c r="AE659" s="1">
        <v>45695</v>
      </c>
      <c r="AF659" s="1"/>
      <c r="AG659" s="1" t="s">
        <v>1589</v>
      </c>
      <c r="AH659" s="1" t="s">
        <v>1590</v>
      </c>
      <c r="AI659" s="1"/>
      <c r="AJ659" s="31">
        <v>45231</v>
      </c>
      <c r="AK659"/>
      <c r="AL659"/>
      <c r="AM659"/>
      <c r="AN659"/>
      <c r="AO659"/>
      <c r="AP659"/>
      <c r="AQ659" s="81"/>
      <c r="AR659" s="81"/>
      <c r="AS659" s="81"/>
      <c r="AT659" s="81"/>
      <c r="AU659" s="81"/>
      <c r="AV659" s="81"/>
      <c r="AW659" s="81"/>
      <c r="AX659" s="81"/>
      <c r="AY659" s="81"/>
    </row>
    <row r="660" spans="1:51" hidden="1">
      <c r="A660" s="1" t="s">
        <v>2542</v>
      </c>
      <c r="B660" s="1">
        <v>231105</v>
      </c>
      <c r="C660" s="1">
        <v>232126</v>
      </c>
      <c r="D660" s="1" t="s">
        <v>83</v>
      </c>
      <c r="E660" s="1" t="s">
        <v>307</v>
      </c>
      <c r="F660" t="s">
        <v>2655</v>
      </c>
      <c r="G660" t="s">
        <v>2656</v>
      </c>
      <c r="H660" s="1" t="s">
        <v>3731</v>
      </c>
      <c r="I660" s="1" t="s">
        <v>3732</v>
      </c>
      <c r="J660" s="1" t="s">
        <v>18</v>
      </c>
      <c r="K660" s="1" t="s">
        <v>50</v>
      </c>
      <c r="L660" s="1">
        <v>36198</v>
      </c>
      <c r="M660" s="1">
        <v>26</v>
      </c>
      <c r="N660" s="1">
        <v>1200</v>
      </c>
      <c r="P660" s="1">
        <v>1650</v>
      </c>
      <c r="Q660" s="1"/>
      <c r="R660" s="1">
        <v>450</v>
      </c>
      <c r="S660">
        <v>200000</v>
      </c>
      <c r="T660">
        <v>10030</v>
      </c>
      <c r="U660" t="s">
        <v>814</v>
      </c>
      <c r="V660">
        <v>18300</v>
      </c>
      <c r="W660" s="1">
        <v>45592</v>
      </c>
      <c r="X660" s="1" t="s">
        <v>55</v>
      </c>
      <c r="Y660" s="1" t="s">
        <v>51</v>
      </c>
      <c r="Z660" s="1" t="s">
        <v>110</v>
      </c>
      <c r="AA660" s="1" t="s">
        <v>276</v>
      </c>
      <c r="AB660" s="1" t="s">
        <v>2002</v>
      </c>
      <c r="AC660" s="1">
        <v>45226</v>
      </c>
      <c r="AD660" s="1">
        <v>45231</v>
      </c>
      <c r="AE660" s="1">
        <v>45277</v>
      </c>
      <c r="AF660" s="1"/>
      <c r="AG660" s="1" t="s">
        <v>1589</v>
      </c>
      <c r="AH660" s="1" t="s">
        <v>1590</v>
      </c>
      <c r="AI660" s="1" t="s">
        <v>3733</v>
      </c>
      <c r="AJ660" s="31">
        <v>45231</v>
      </c>
      <c r="AK660"/>
      <c r="AL660"/>
      <c r="AM660"/>
      <c r="AN660"/>
      <c r="AO660"/>
      <c r="AP660"/>
      <c r="AQ660" s="81"/>
      <c r="AR660" s="81"/>
      <c r="AS660" s="81"/>
      <c r="AT660" s="81"/>
      <c r="AU660" s="81"/>
      <c r="AV660" s="81"/>
      <c r="AW660" s="81"/>
      <c r="AX660" s="81"/>
      <c r="AY660" s="81"/>
    </row>
    <row r="661" spans="1:51">
      <c r="A661" s="1" t="s">
        <v>49</v>
      </c>
      <c r="B661" s="1">
        <v>211011</v>
      </c>
      <c r="C661" s="1">
        <v>222031</v>
      </c>
      <c r="D661" s="1" t="s">
        <v>62</v>
      </c>
      <c r="E661" s="1" t="s">
        <v>3935</v>
      </c>
      <c r="F661" t="s">
        <v>2465</v>
      </c>
      <c r="G661" t="s">
        <v>3936</v>
      </c>
      <c r="H661" s="1" t="s">
        <v>165</v>
      </c>
      <c r="I661" s="1" t="s">
        <v>166</v>
      </c>
      <c r="J661" s="1" t="s">
        <v>18</v>
      </c>
      <c r="K661" s="1" t="s">
        <v>50</v>
      </c>
      <c r="L661" s="1">
        <v>35351</v>
      </c>
      <c r="M661" s="1">
        <v>29</v>
      </c>
      <c r="N661" s="1">
        <v>1420</v>
      </c>
      <c r="P661" s="1">
        <v>1820</v>
      </c>
      <c r="Q661" s="1" t="s">
        <v>66</v>
      </c>
      <c r="R661" s="1">
        <v>400</v>
      </c>
      <c r="S661">
        <v>280000</v>
      </c>
      <c r="T661">
        <v>14042</v>
      </c>
      <c r="U661" t="s">
        <v>814</v>
      </c>
      <c r="V661">
        <v>25620</v>
      </c>
      <c r="W661" s="1">
        <v>46528</v>
      </c>
      <c r="X661" s="1" t="s">
        <v>55</v>
      </c>
      <c r="Y661" s="1" t="s">
        <v>51</v>
      </c>
      <c r="Z661" s="1" t="s">
        <v>80</v>
      </c>
      <c r="AA661" s="1" t="s">
        <v>81</v>
      </c>
      <c r="AB661" s="1" t="s">
        <v>82</v>
      </c>
      <c r="AC661" s="1">
        <v>44475</v>
      </c>
      <c r="AD661" s="1">
        <v>45705</v>
      </c>
      <c r="AE661" s="1">
        <v>46052</v>
      </c>
      <c r="AF661" s="1"/>
      <c r="AG661" s="1">
        <v>45705</v>
      </c>
      <c r="AH661" s="1" t="s">
        <v>4195</v>
      </c>
      <c r="AI661" s="1"/>
      <c r="AJ661" s="31">
        <v>45705</v>
      </c>
      <c r="AK661"/>
      <c r="AL661"/>
      <c r="AM661"/>
      <c r="AN661"/>
      <c r="AO661" t="s">
        <v>4164</v>
      </c>
      <c r="AP661"/>
      <c r="AQ661" s="81"/>
      <c r="AR661" s="81"/>
      <c r="AS661" s="81"/>
      <c r="AT661" s="81"/>
      <c r="AU661" s="81"/>
      <c r="AV661" s="81"/>
      <c r="AW661" s="81"/>
      <c r="AX661" s="81"/>
      <c r="AY661" s="81"/>
    </row>
    <row r="662" spans="1:51">
      <c r="A662" s="1" t="s">
        <v>49</v>
      </c>
      <c r="B662" s="1">
        <v>210911</v>
      </c>
      <c r="C662" s="1">
        <v>222028</v>
      </c>
      <c r="D662" s="1" t="s">
        <v>62</v>
      </c>
      <c r="E662" s="1" t="s">
        <v>3935</v>
      </c>
      <c r="F662" t="s">
        <v>2465</v>
      </c>
      <c r="G662" t="s">
        <v>3936</v>
      </c>
      <c r="H662" s="1" t="s">
        <v>156</v>
      </c>
      <c r="I662" s="1" t="s">
        <v>157</v>
      </c>
      <c r="J662" s="1" t="s">
        <v>18</v>
      </c>
      <c r="K662" s="1" t="s">
        <v>50</v>
      </c>
      <c r="L662" s="1">
        <v>33282</v>
      </c>
      <c r="M662" s="1">
        <v>34</v>
      </c>
      <c r="N662" s="1">
        <v>1410</v>
      </c>
      <c r="P662" s="1">
        <v>1830</v>
      </c>
      <c r="Q662" s="1" t="s">
        <v>71</v>
      </c>
      <c r="R662" s="1">
        <v>420</v>
      </c>
      <c r="S662">
        <v>220000</v>
      </c>
      <c r="T662">
        <v>11033</v>
      </c>
      <c r="U662" t="s">
        <v>814</v>
      </c>
      <c r="V662">
        <v>20130</v>
      </c>
      <c r="W662" s="1">
        <v>46573</v>
      </c>
      <c r="X662" s="1" t="s">
        <v>55</v>
      </c>
      <c r="Y662" s="1" t="s">
        <v>51</v>
      </c>
      <c r="Z662" s="1" t="s">
        <v>91</v>
      </c>
      <c r="AA662" s="1" t="s">
        <v>3008</v>
      </c>
      <c r="AB662" s="1" t="s">
        <v>3009</v>
      </c>
      <c r="AC662" s="1"/>
      <c r="AD662" s="1">
        <v>45768</v>
      </c>
      <c r="AE662" s="1"/>
      <c r="AF662" s="1"/>
      <c r="AG662" s="1">
        <v>45768</v>
      </c>
      <c r="AH662" s="1" t="s">
        <v>4283</v>
      </c>
      <c r="AI662" s="1"/>
      <c r="AJ662" s="31">
        <v>45768</v>
      </c>
      <c r="AK662"/>
      <c r="AL662"/>
      <c r="AM662"/>
      <c r="AN662"/>
      <c r="AO662"/>
      <c r="AP662"/>
      <c r="AQ662" s="81"/>
      <c r="AR662" s="81"/>
      <c r="AS662" s="81"/>
      <c r="AT662" s="81"/>
      <c r="AU662" s="81"/>
      <c r="AV662" s="81"/>
      <c r="AW662" s="81"/>
      <c r="AX662" s="81"/>
      <c r="AY662" s="81"/>
    </row>
    <row r="663" spans="1:51" hidden="1">
      <c r="A663" s="1" t="s">
        <v>2542</v>
      </c>
      <c r="B663" s="1">
        <v>231106</v>
      </c>
      <c r="C663" s="1">
        <v>222056</v>
      </c>
      <c r="D663" s="1" t="s">
        <v>62</v>
      </c>
      <c r="E663" s="1" t="s">
        <v>3935</v>
      </c>
      <c r="F663" t="s">
        <v>794</v>
      </c>
      <c r="G663" t="s">
        <v>316</v>
      </c>
      <c r="H663" s="1" t="s">
        <v>1562</v>
      </c>
      <c r="I663" s="1" t="s">
        <v>1563</v>
      </c>
      <c r="J663" s="1" t="s">
        <v>18</v>
      </c>
      <c r="K663" s="1" t="s">
        <v>50</v>
      </c>
      <c r="L663" s="1">
        <v>33137</v>
      </c>
      <c r="M663" s="1">
        <v>35</v>
      </c>
      <c r="N663" s="1">
        <v>1250</v>
      </c>
      <c r="P663" s="1">
        <v>1680</v>
      </c>
      <c r="Q663" s="1"/>
      <c r="R663" s="1">
        <v>430</v>
      </c>
      <c r="S663">
        <v>340000</v>
      </c>
      <c r="T663">
        <v>17051</v>
      </c>
      <c r="U663" t="s">
        <v>814</v>
      </c>
      <c r="V663">
        <v>31110</v>
      </c>
      <c r="W663" s="1">
        <v>45979</v>
      </c>
      <c r="X663" s="1" t="s">
        <v>55</v>
      </c>
      <c r="Y663" s="1" t="s">
        <v>51</v>
      </c>
      <c r="Z663" s="1" t="s">
        <v>67</v>
      </c>
      <c r="AA663" s="1" t="s">
        <v>748</v>
      </c>
      <c r="AB663" s="1" t="s">
        <v>785</v>
      </c>
      <c r="AC663" s="1"/>
      <c r="AD663" s="1">
        <v>45232</v>
      </c>
      <c r="AE663" s="1">
        <v>45758</v>
      </c>
      <c r="AF663" s="1"/>
      <c r="AG663" s="1" t="s">
        <v>1594</v>
      </c>
      <c r="AH663" s="1" t="s">
        <v>1590</v>
      </c>
      <c r="AI663" s="1"/>
      <c r="AJ663" s="31">
        <v>45232</v>
      </c>
      <c r="AK663"/>
      <c r="AL663"/>
      <c r="AM663"/>
      <c r="AN663"/>
      <c r="AO663" t="s">
        <v>4165</v>
      </c>
      <c r="AP663"/>
      <c r="AQ663" s="81"/>
      <c r="AR663" s="81"/>
      <c r="AS663" s="81"/>
      <c r="AT663" s="81"/>
      <c r="AU663" s="81"/>
      <c r="AV663" s="81"/>
      <c r="AW663" s="81"/>
      <c r="AX663" s="81"/>
      <c r="AY663" s="81"/>
    </row>
    <row r="664" spans="1:51" hidden="1">
      <c r="A664" s="1" t="s">
        <v>2542</v>
      </c>
      <c r="B664" s="1">
        <v>231110</v>
      </c>
      <c r="C664" s="1">
        <v>242082</v>
      </c>
      <c r="D664" s="1" t="s">
        <v>69</v>
      </c>
      <c r="E664" s="1" t="s">
        <v>306</v>
      </c>
      <c r="F664" t="s">
        <v>742</v>
      </c>
      <c r="G664" t="s">
        <v>317</v>
      </c>
      <c r="H664" s="1" t="s">
        <v>1570</v>
      </c>
      <c r="I664" s="1" t="s">
        <v>1571</v>
      </c>
      <c r="J664" s="1" t="s">
        <v>18</v>
      </c>
      <c r="K664" s="1" t="s">
        <v>50</v>
      </c>
      <c r="L664" s="1">
        <v>37096</v>
      </c>
      <c r="M664" s="1">
        <v>24</v>
      </c>
      <c r="N664" s="1">
        <v>1250</v>
      </c>
      <c r="P664" s="1">
        <v>1660</v>
      </c>
      <c r="Q664" s="1"/>
      <c r="R664" s="1">
        <v>410</v>
      </c>
      <c r="S664">
        <v>280000</v>
      </c>
      <c r="T664">
        <v>14042</v>
      </c>
      <c r="U664" t="s">
        <v>814</v>
      </c>
      <c r="V664">
        <v>25620</v>
      </c>
      <c r="W664" s="1">
        <v>45962</v>
      </c>
      <c r="X664" s="1" t="s">
        <v>55</v>
      </c>
      <c r="Y664" s="1" t="s">
        <v>51</v>
      </c>
      <c r="Z664" s="1" t="s">
        <v>485</v>
      </c>
      <c r="AA664" s="1" t="s">
        <v>486</v>
      </c>
      <c r="AB664" s="1" t="s">
        <v>1595</v>
      </c>
      <c r="AC664" s="1"/>
      <c r="AD664" s="1">
        <v>45232</v>
      </c>
      <c r="AE664" s="1">
        <v>45685</v>
      </c>
      <c r="AF664" s="1"/>
      <c r="AG664" s="1" t="s">
        <v>1594</v>
      </c>
      <c r="AH664" s="1" t="s">
        <v>1590</v>
      </c>
      <c r="AI664" s="1"/>
      <c r="AJ664" s="31">
        <v>45232</v>
      </c>
      <c r="AK664"/>
      <c r="AL664"/>
      <c r="AM664"/>
      <c r="AN664"/>
      <c r="AO664"/>
      <c r="AP664"/>
      <c r="AQ664" s="81"/>
      <c r="AR664" s="81"/>
      <c r="AS664" s="81"/>
      <c r="AT664" s="81"/>
      <c r="AU664" s="81"/>
      <c r="AV664" s="81"/>
      <c r="AW664" s="81"/>
      <c r="AX664" s="81"/>
      <c r="AY664" s="81"/>
    </row>
    <row r="665" spans="1:51" hidden="1">
      <c r="A665" s="1" t="s">
        <v>49</v>
      </c>
      <c r="B665" s="1">
        <v>231111</v>
      </c>
      <c r="D665" s="1" t="s">
        <v>813</v>
      </c>
      <c r="F665"/>
      <c r="G665"/>
      <c r="H665" s="1" t="s">
        <v>1572</v>
      </c>
      <c r="I665" s="1" t="s">
        <v>1573</v>
      </c>
      <c r="J665" s="1" t="s">
        <v>17</v>
      </c>
      <c r="K665" s="1" t="s">
        <v>50</v>
      </c>
      <c r="L665" s="1">
        <v>36383</v>
      </c>
      <c r="M665" s="1">
        <v>26</v>
      </c>
      <c r="N665" s="1">
        <v>1300</v>
      </c>
      <c r="P665" s="1">
        <v>1800</v>
      </c>
      <c r="Q665" s="1"/>
      <c r="R665" s="1">
        <v>500</v>
      </c>
      <c r="S665">
        <v>220000</v>
      </c>
      <c r="T665">
        <v>11033</v>
      </c>
      <c r="U665" t="s">
        <v>814</v>
      </c>
      <c r="V665">
        <v>20130</v>
      </c>
      <c r="W665" s="1">
        <v>47058</v>
      </c>
      <c r="X665" s="1" t="s">
        <v>55</v>
      </c>
      <c r="Y665" s="1" t="s">
        <v>51</v>
      </c>
      <c r="Z665" s="1" t="s">
        <v>1597</v>
      </c>
      <c r="AA665" s="1" t="s">
        <v>1598</v>
      </c>
      <c r="AB665" s="1" t="s">
        <v>1599</v>
      </c>
      <c r="AC665" s="1"/>
      <c r="AD665" s="1">
        <v>45232</v>
      </c>
      <c r="AE665" s="1"/>
      <c r="AF665" s="1"/>
      <c r="AG665" s="1" t="s">
        <v>1594</v>
      </c>
      <c r="AH665" s="1" t="s">
        <v>1590</v>
      </c>
      <c r="AI665" s="1"/>
      <c r="AJ665" s="31">
        <v>45232</v>
      </c>
      <c r="AK665"/>
      <c r="AL665"/>
      <c r="AM665"/>
      <c r="AN665"/>
      <c r="AO665"/>
      <c r="AP665"/>
      <c r="AQ665" s="81"/>
      <c r="AR665" s="81"/>
      <c r="AS665" s="81"/>
      <c r="AT665" s="81"/>
      <c r="AU665" s="81"/>
      <c r="AV665" s="81"/>
      <c r="AW665" s="81"/>
      <c r="AX665" s="81"/>
      <c r="AY665" s="81"/>
    </row>
    <row r="666" spans="1:51">
      <c r="A666" s="1" t="s">
        <v>49</v>
      </c>
      <c r="B666" s="1">
        <v>210610</v>
      </c>
      <c r="C666" s="1">
        <v>222020</v>
      </c>
      <c r="D666" s="1" t="s">
        <v>62</v>
      </c>
      <c r="E666" s="1" t="s">
        <v>3935</v>
      </c>
      <c r="F666" t="s">
        <v>2465</v>
      </c>
      <c r="G666" t="s">
        <v>3936</v>
      </c>
      <c r="H666" s="1" t="s">
        <v>132</v>
      </c>
      <c r="I666" s="1" t="s">
        <v>133</v>
      </c>
      <c r="J666" s="1" t="s">
        <v>18</v>
      </c>
      <c r="K666" s="1" t="s">
        <v>50</v>
      </c>
      <c r="L666" s="1">
        <v>32979</v>
      </c>
      <c r="M666" s="1">
        <v>35</v>
      </c>
      <c r="N666" s="1">
        <v>1410</v>
      </c>
      <c r="O666" s="1" t="s">
        <v>70</v>
      </c>
      <c r="P666" s="1">
        <v>1830</v>
      </c>
      <c r="Q666" s="1" t="s">
        <v>71</v>
      </c>
      <c r="R666" s="1">
        <v>420</v>
      </c>
      <c r="S666">
        <v>260000</v>
      </c>
      <c r="T666">
        <v>13039</v>
      </c>
      <c r="U666" t="s">
        <v>814</v>
      </c>
      <c r="V666">
        <v>23790</v>
      </c>
      <c r="W666" s="1">
        <v>46721</v>
      </c>
      <c r="X666" s="1" t="s">
        <v>55</v>
      </c>
      <c r="Y666" s="1" t="s">
        <v>51</v>
      </c>
      <c r="Z666" s="1" t="s">
        <v>67</v>
      </c>
      <c r="AA666" s="1" t="s">
        <v>748</v>
      </c>
      <c r="AB666" s="1" t="s">
        <v>785</v>
      </c>
      <c r="AC666" s="1"/>
      <c r="AD666" s="1">
        <v>45845</v>
      </c>
      <c r="AE666" s="1"/>
      <c r="AF666" s="1"/>
      <c r="AG666" s="1">
        <v>45845</v>
      </c>
      <c r="AH666" s="1" t="s">
        <v>4415</v>
      </c>
      <c r="AI666" s="1"/>
      <c r="AJ666" s="31">
        <v>45845</v>
      </c>
      <c r="AK666"/>
      <c r="AL666"/>
      <c r="AM666"/>
      <c r="AN666"/>
      <c r="AO666"/>
      <c r="AP666"/>
      <c r="AQ666" s="81"/>
      <c r="AR666" s="81"/>
      <c r="AS666" s="81"/>
      <c r="AT666" s="81"/>
      <c r="AU666" s="81"/>
      <c r="AV666" s="81"/>
      <c r="AW666" s="81"/>
      <c r="AX666" s="81"/>
      <c r="AY666" s="81"/>
    </row>
    <row r="667" spans="1:51">
      <c r="A667" s="1" t="s">
        <v>49</v>
      </c>
      <c r="B667" s="1">
        <v>210110</v>
      </c>
      <c r="C667" s="1">
        <v>222008</v>
      </c>
      <c r="D667" s="1" t="s">
        <v>62</v>
      </c>
      <c r="E667" s="1" t="s">
        <v>3935</v>
      </c>
      <c r="F667" t="s">
        <v>2465</v>
      </c>
      <c r="G667" t="s">
        <v>3936</v>
      </c>
      <c r="H667" s="1" t="s">
        <v>78</v>
      </c>
      <c r="I667" s="1" t="s">
        <v>79</v>
      </c>
      <c r="J667" s="1" t="s">
        <v>18</v>
      </c>
      <c r="K667" s="1" t="s">
        <v>50</v>
      </c>
      <c r="L667" s="1">
        <v>34363</v>
      </c>
      <c r="M667" s="1">
        <v>31</v>
      </c>
      <c r="N667" s="1">
        <v>1410</v>
      </c>
      <c r="O667" s="1" t="s">
        <v>70</v>
      </c>
      <c r="P667" s="1">
        <v>1820</v>
      </c>
      <c r="Q667" s="1" t="s">
        <v>71</v>
      </c>
      <c r="R667" s="1">
        <v>410</v>
      </c>
      <c r="S667">
        <v>190000</v>
      </c>
      <c r="T667">
        <v>9528</v>
      </c>
      <c r="U667" t="s">
        <v>814</v>
      </c>
      <c r="V667">
        <v>17385</v>
      </c>
      <c r="W667" s="1">
        <v>46696</v>
      </c>
      <c r="X667" s="1" t="s">
        <v>55</v>
      </c>
      <c r="Y667" s="1" t="s">
        <v>51</v>
      </c>
      <c r="Z667" s="1" t="s">
        <v>91</v>
      </c>
      <c r="AA667" s="1" t="s">
        <v>167</v>
      </c>
      <c r="AB667" s="1" t="s">
        <v>160</v>
      </c>
      <c r="AC667" s="1"/>
      <c r="AD667" s="1">
        <v>45887</v>
      </c>
      <c r="AE667" s="1"/>
      <c r="AF667" s="1"/>
      <c r="AG667" s="1">
        <v>45887</v>
      </c>
      <c r="AH667" s="1" t="s">
        <v>4444</v>
      </c>
      <c r="AI667" s="1"/>
      <c r="AJ667" s="31">
        <v>45887</v>
      </c>
      <c r="AK667"/>
      <c r="AL667"/>
      <c r="AM667"/>
      <c r="AN667"/>
      <c r="AO667" t="s">
        <v>4165</v>
      </c>
      <c r="AP667"/>
      <c r="AQ667" s="81"/>
      <c r="AR667" s="81"/>
      <c r="AS667" s="81"/>
      <c r="AT667" s="81"/>
      <c r="AU667" s="81"/>
      <c r="AV667" s="81"/>
      <c r="AW667" s="81"/>
      <c r="AX667" s="81"/>
      <c r="AY667" s="81"/>
    </row>
    <row r="668" spans="1:51">
      <c r="A668" s="1" t="s">
        <v>49</v>
      </c>
      <c r="B668" s="1">
        <v>230318</v>
      </c>
      <c r="C668" s="1">
        <v>242062</v>
      </c>
      <c r="D668" s="1" t="s">
        <v>69</v>
      </c>
      <c r="E668" s="1" t="s">
        <v>310</v>
      </c>
      <c r="F668" t="s">
        <v>1587</v>
      </c>
      <c r="G668" t="s">
        <v>1093</v>
      </c>
      <c r="H668" s="1" t="s">
        <v>991</v>
      </c>
      <c r="I668" s="1" t="s">
        <v>992</v>
      </c>
      <c r="J668" s="1" t="s">
        <v>18</v>
      </c>
      <c r="K668" s="1" t="s">
        <v>50</v>
      </c>
      <c r="L668" s="1">
        <v>36466</v>
      </c>
      <c r="M668" s="1">
        <v>26</v>
      </c>
      <c r="N668" s="1">
        <v>1310</v>
      </c>
      <c r="P668" s="1">
        <v>1720</v>
      </c>
      <c r="Q668" s="1"/>
      <c r="R668" s="1">
        <v>410</v>
      </c>
      <c r="S668">
        <v>260000</v>
      </c>
      <c r="T668">
        <v>13039</v>
      </c>
      <c r="U668" t="s">
        <v>814</v>
      </c>
      <c r="V668">
        <v>23790</v>
      </c>
      <c r="W668" s="1">
        <v>46900</v>
      </c>
      <c r="X668" s="1" t="s">
        <v>55</v>
      </c>
      <c r="Y668" s="1" t="s">
        <v>51</v>
      </c>
      <c r="Z668" s="1" t="s">
        <v>493</v>
      </c>
      <c r="AA668" s="1" t="s">
        <v>993</v>
      </c>
      <c r="AB668" s="1" t="s">
        <v>994</v>
      </c>
      <c r="AC668" s="1">
        <v>45007</v>
      </c>
      <c r="AD668" s="1">
        <v>45012</v>
      </c>
      <c r="AE668" s="1"/>
      <c r="AF668" s="1"/>
      <c r="AG668" s="1" t="s">
        <v>968</v>
      </c>
      <c r="AH668" s="1" t="s">
        <v>1108</v>
      </c>
      <c r="AI668" s="1"/>
      <c r="AJ668" s="31">
        <v>45012</v>
      </c>
      <c r="AK668"/>
      <c r="AL668"/>
      <c r="AM668"/>
      <c r="AN668"/>
      <c r="AO668" t="s">
        <v>4165</v>
      </c>
      <c r="AP668"/>
      <c r="AQ668" s="81"/>
      <c r="AR668" s="81"/>
      <c r="AS668" s="81"/>
      <c r="AT668" s="81"/>
      <c r="AU668" s="81"/>
      <c r="AV668" s="81"/>
      <c r="AW668" s="81"/>
      <c r="AX668" s="81"/>
      <c r="AY668" s="81"/>
    </row>
    <row r="669" spans="1:51" hidden="1">
      <c r="A669" s="1" t="s">
        <v>2542</v>
      </c>
      <c r="B669" s="1">
        <v>220804</v>
      </c>
      <c r="D669" s="1" t="s">
        <v>61</v>
      </c>
      <c r="E669" s="1" t="s">
        <v>1065</v>
      </c>
      <c r="F669" t="s">
        <v>1884</v>
      </c>
      <c r="G669" t="s">
        <v>1871</v>
      </c>
      <c r="H669" s="1" t="s">
        <v>3477</v>
      </c>
      <c r="I669" s="1" t="s">
        <v>3478</v>
      </c>
      <c r="J669" s="1" t="s">
        <v>18</v>
      </c>
      <c r="K669" s="1" t="s">
        <v>50</v>
      </c>
      <c r="L669" s="1">
        <v>34471</v>
      </c>
      <c r="M669" s="1">
        <v>31</v>
      </c>
      <c r="N669" s="1">
        <v>1400</v>
      </c>
      <c r="P669" s="1">
        <v>1800</v>
      </c>
      <c r="Q669" s="1"/>
      <c r="R669" s="1">
        <v>400</v>
      </c>
      <c r="S669">
        <v>240000</v>
      </c>
      <c r="T669">
        <v>12036</v>
      </c>
      <c r="U669" t="s">
        <v>814</v>
      </c>
      <c r="V669">
        <v>21960</v>
      </c>
      <c r="W669" s="1">
        <v>45361</v>
      </c>
      <c r="X669" s="1" t="s">
        <v>55</v>
      </c>
      <c r="Y669" s="1" t="s">
        <v>51</v>
      </c>
      <c r="Z669" s="1" t="s">
        <v>3479</v>
      </c>
      <c r="AA669" s="1" t="s">
        <v>3480</v>
      </c>
      <c r="AB669" s="1" t="s">
        <v>3481</v>
      </c>
      <c r="AC669" s="1"/>
      <c r="AD669" s="1">
        <v>45236</v>
      </c>
      <c r="AE669" s="1">
        <v>45335</v>
      </c>
      <c r="AF669" s="1"/>
      <c r="AG669" s="1" t="s">
        <v>3734</v>
      </c>
      <c r="AH669" s="1" t="s">
        <v>1590</v>
      </c>
      <c r="AI669" s="1"/>
      <c r="AJ669" s="31">
        <v>45236</v>
      </c>
      <c r="AK669"/>
      <c r="AL669"/>
      <c r="AM669"/>
      <c r="AN669"/>
      <c r="AO669"/>
      <c r="AP669"/>
      <c r="AQ669" s="81"/>
      <c r="AR669" s="81"/>
      <c r="AS669" s="81"/>
      <c r="AT669" s="81"/>
      <c r="AU669" s="81"/>
      <c r="AV669" s="81"/>
      <c r="AW669" s="81"/>
      <c r="AX669" s="81"/>
      <c r="AY669" s="81"/>
    </row>
    <row r="670" spans="1:51" hidden="1">
      <c r="A670" s="1" t="s">
        <v>49</v>
      </c>
      <c r="B670" s="1">
        <v>210420</v>
      </c>
      <c r="D670" s="1" t="s">
        <v>471</v>
      </c>
      <c r="E670" s="1" t="s">
        <v>472</v>
      </c>
      <c r="F670"/>
      <c r="G670"/>
      <c r="H670" s="1" t="s">
        <v>473</v>
      </c>
      <c r="I670" s="1" t="s">
        <v>474</v>
      </c>
      <c r="J670" s="1" t="s">
        <v>18</v>
      </c>
      <c r="K670" s="1" t="s">
        <v>50</v>
      </c>
      <c r="L670" s="1">
        <v>33714</v>
      </c>
      <c r="M670" s="1">
        <v>33</v>
      </c>
      <c r="N670" s="1">
        <v>1400</v>
      </c>
      <c r="P670" s="1">
        <v>2000</v>
      </c>
      <c r="Q670" s="1"/>
      <c r="R670" s="1">
        <v>600</v>
      </c>
      <c r="S670">
        <v>280000</v>
      </c>
      <c r="T670">
        <v>14042</v>
      </c>
      <c r="U670" t="s">
        <v>814</v>
      </c>
      <c r="V670">
        <v>25620</v>
      </c>
      <c r="W670" s="1">
        <v>46073</v>
      </c>
      <c r="X670" s="1">
        <v>78</v>
      </c>
      <c r="Y670" s="1" t="s">
        <v>51</v>
      </c>
      <c r="Z670" s="1" t="s">
        <v>2768</v>
      </c>
      <c r="AA670" s="1" t="s">
        <v>2769</v>
      </c>
      <c r="AB670" s="1" t="s">
        <v>3861</v>
      </c>
      <c r="AC670" s="1">
        <v>45231</v>
      </c>
      <c r="AD670" s="1">
        <v>45243</v>
      </c>
      <c r="AE670" s="1"/>
      <c r="AF670" s="1"/>
      <c r="AG670" s="1" t="s">
        <v>1600</v>
      </c>
      <c r="AH670" s="1" t="s">
        <v>1602</v>
      </c>
      <c r="AI670" s="1"/>
      <c r="AJ670" s="31">
        <v>45243</v>
      </c>
      <c r="AK670"/>
      <c r="AL670"/>
      <c r="AM670"/>
      <c r="AN670"/>
      <c r="AO670"/>
      <c r="AP670"/>
      <c r="AQ670" s="81"/>
      <c r="AR670" s="81"/>
      <c r="AS670" s="81"/>
      <c r="AT670" s="81"/>
      <c r="AU670" s="81"/>
      <c r="AV670" s="81"/>
      <c r="AW670" s="81"/>
      <c r="AX670" s="81"/>
      <c r="AY670" s="81"/>
    </row>
    <row r="671" spans="1:51" hidden="1">
      <c r="A671" s="1" t="s">
        <v>2542</v>
      </c>
      <c r="B671" s="1">
        <v>231112</v>
      </c>
      <c r="C671" s="1">
        <v>8210084</v>
      </c>
      <c r="D671" s="1" t="s">
        <v>822</v>
      </c>
      <c r="E671" s="1" t="s">
        <v>2161</v>
      </c>
      <c r="F671" t="s">
        <v>2161</v>
      </c>
      <c r="G671"/>
      <c r="H671" s="1" t="s">
        <v>1574</v>
      </c>
      <c r="I671" s="1" t="s">
        <v>1575</v>
      </c>
      <c r="J671" s="1" t="s">
        <v>18</v>
      </c>
      <c r="K671" s="1" t="s">
        <v>50</v>
      </c>
      <c r="L671" s="1">
        <v>33293</v>
      </c>
      <c r="M671" s="1">
        <v>34</v>
      </c>
      <c r="N671" s="1">
        <v>1400</v>
      </c>
      <c r="P671" s="1">
        <v>1990</v>
      </c>
      <c r="Q671" s="1"/>
      <c r="R671" s="1">
        <v>590</v>
      </c>
      <c r="S671">
        <v>340000</v>
      </c>
      <c r="T671">
        <v>17051</v>
      </c>
      <c r="U671" t="s">
        <v>814</v>
      </c>
      <c r="V671">
        <v>31110</v>
      </c>
      <c r="W671" s="1">
        <v>45828</v>
      </c>
      <c r="X671" s="1" t="s">
        <v>55</v>
      </c>
      <c r="Y671" s="1" t="s">
        <v>51</v>
      </c>
      <c r="Z671" s="1" t="s">
        <v>1455</v>
      </c>
      <c r="AA671" s="1" t="s">
        <v>1456</v>
      </c>
      <c r="AB671" s="1" t="s">
        <v>1457</v>
      </c>
      <c r="AC671" s="1">
        <v>45224</v>
      </c>
      <c r="AD671" s="1">
        <v>45243</v>
      </c>
      <c r="AE671" s="1">
        <v>45698</v>
      </c>
      <c r="AF671" s="1"/>
      <c r="AG671" s="1" t="s">
        <v>1600</v>
      </c>
      <c r="AH671" s="1" t="s">
        <v>1601</v>
      </c>
      <c r="AI671" s="1"/>
      <c r="AJ671" s="31">
        <v>45243</v>
      </c>
      <c r="AK671"/>
      <c r="AL671"/>
      <c r="AM671" t="s">
        <v>2466</v>
      </c>
      <c r="AN671">
        <v>45972</v>
      </c>
      <c r="AO671"/>
      <c r="AP671"/>
      <c r="AQ671" s="81"/>
      <c r="AR671" s="81"/>
      <c r="AS671" s="81"/>
      <c r="AT671" s="81"/>
      <c r="AU671" s="81"/>
      <c r="AV671" s="81"/>
      <c r="AW671" s="81"/>
      <c r="AX671" s="81"/>
      <c r="AY671" s="81"/>
    </row>
    <row r="672" spans="1:51" hidden="1">
      <c r="A672" s="1" t="s">
        <v>49</v>
      </c>
      <c r="B672" s="1">
        <v>231113</v>
      </c>
      <c r="C672" s="1">
        <v>8210085</v>
      </c>
      <c r="D672" s="1" t="s">
        <v>815</v>
      </c>
      <c r="E672" s="1" t="s">
        <v>828</v>
      </c>
      <c r="F672" t="s">
        <v>828</v>
      </c>
      <c r="G672"/>
      <c r="H672" s="1" t="s">
        <v>1576</v>
      </c>
      <c r="I672" s="1" t="s">
        <v>1577</v>
      </c>
      <c r="J672" s="1" t="s">
        <v>18</v>
      </c>
      <c r="K672" s="1" t="s">
        <v>50</v>
      </c>
      <c r="L672" s="1">
        <v>35781</v>
      </c>
      <c r="M672" s="1">
        <v>27</v>
      </c>
      <c r="N672" s="1">
        <v>1500</v>
      </c>
      <c r="P672" s="1">
        <v>2150</v>
      </c>
      <c r="Q672" s="1"/>
      <c r="R672" s="1">
        <v>650</v>
      </c>
      <c r="S672">
        <v>360000</v>
      </c>
      <c r="T672">
        <v>18054</v>
      </c>
      <c r="U672" t="s">
        <v>814</v>
      </c>
      <c r="V672">
        <v>32940</v>
      </c>
      <c r="W672" s="1">
        <v>46597</v>
      </c>
      <c r="X672" s="1" t="s">
        <v>55</v>
      </c>
      <c r="Y672" s="1" t="s">
        <v>51</v>
      </c>
      <c r="Z672" s="1" t="s">
        <v>530</v>
      </c>
      <c r="AA672" s="1" t="s">
        <v>2994</v>
      </c>
      <c r="AB672" s="1" t="s">
        <v>531</v>
      </c>
      <c r="AC672" s="1">
        <v>45243</v>
      </c>
      <c r="AD672" s="1">
        <v>45250</v>
      </c>
      <c r="AE672" s="1"/>
      <c r="AF672" s="1"/>
      <c r="AG672" s="1" t="s">
        <v>1603</v>
      </c>
      <c r="AH672" s="1" t="s">
        <v>1601</v>
      </c>
      <c r="AI672" s="1"/>
      <c r="AJ672" s="31">
        <v>45250</v>
      </c>
      <c r="AK672" t="s">
        <v>2423</v>
      </c>
      <c r="AL672">
        <v>46404</v>
      </c>
      <c r="AM672" t="s">
        <v>2423</v>
      </c>
      <c r="AN672">
        <v>46270</v>
      </c>
      <c r="AO672"/>
      <c r="AP672"/>
      <c r="AQ672" s="81"/>
      <c r="AR672" s="81"/>
      <c r="AS672" s="81"/>
      <c r="AT672" s="81"/>
      <c r="AU672" s="81"/>
      <c r="AV672" s="81"/>
      <c r="AW672" s="81"/>
      <c r="AX672" s="81"/>
      <c r="AY672" s="81"/>
    </row>
    <row r="673" spans="1:51" hidden="1">
      <c r="A673" s="1" t="s">
        <v>2542</v>
      </c>
      <c r="B673" s="1">
        <v>231114</v>
      </c>
      <c r="C673" s="1">
        <v>242083</v>
      </c>
      <c r="D673" s="1" t="s">
        <v>69</v>
      </c>
      <c r="E673" s="1" t="s">
        <v>306</v>
      </c>
      <c r="F673" t="s">
        <v>390</v>
      </c>
      <c r="G673" t="s">
        <v>1085</v>
      </c>
      <c r="H673" s="1" t="s">
        <v>3735</v>
      </c>
      <c r="I673" s="1" t="s">
        <v>3736</v>
      </c>
      <c r="J673" s="1" t="s">
        <v>18</v>
      </c>
      <c r="K673" s="1" t="s">
        <v>50</v>
      </c>
      <c r="L673" s="1">
        <v>34746</v>
      </c>
      <c r="M673" s="1">
        <v>30</v>
      </c>
      <c r="N673" s="1">
        <v>1200</v>
      </c>
      <c r="P673" s="1">
        <v>1650</v>
      </c>
      <c r="Q673" s="1"/>
      <c r="R673" s="1">
        <v>450</v>
      </c>
      <c r="S673">
        <v>190000</v>
      </c>
      <c r="T673">
        <v>9528</v>
      </c>
      <c r="U673" t="s">
        <v>814</v>
      </c>
      <c r="V673">
        <v>17385</v>
      </c>
      <c r="W673" s="1">
        <v>45611</v>
      </c>
      <c r="X673" s="1" t="s">
        <v>55</v>
      </c>
      <c r="Y673" s="1" t="s">
        <v>51</v>
      </c>
      <c r="Z673" s="1" t="s">
        <v>470</v>
      </c>
      <c r="AA673" s="1" t="s">
        <v>1707</v>
      </c>
      <c r="AB673" s="1" t="s">
        <v>1708</v>
      </c>
      <c r="AC673" s="1">
        <v>45245</v>
      </c>
      <c r="AD673" s="1">
        <v>45251</v>
      </c>
      <c r="AE673" s="1">
        <v>45366</v>
      </c>
      <c r="AF673" s="1"/>
      <c r="AG673" s="1" t="s">
        <v>1709</v>
      </c>
      <c r="AH673" s="1" t="s">
        <v>874</v>
      </c>
      <c r="AI673" s="1"/>
      <c r="AJ673" s="31">
        <v>45251</v>
      </c>
      <c r="AK673"/>
      <c r="AL673"/>
      <c r="AM673"/>
      <c r="AN673"/>
      <c r="AO673"/>
      <c r="AP673"/>
      <c r="AQ673" s="81"/>
      <c r="AR673" s="81"/>
      <c r="AS673" s="81"/>
      <c r="AT673" s="81"/>
      <c r="AU673" s="81"/>
      <c r="AV673" s="81"/>
      <c r="AW673" s="81"/>
      <c r="AX673" s="81"/>
      <c r="AY673" s="81"/>
    </row>
    <row r="674" spans="1:51" hidden="1">
      <c r="A674" s="1" t="s">
        <v>2542</v>
      </c>
      <c r="B674" s="1">
        <v>231117</v>
      </c>
      <c r="C674" s="1">
        <v>242086</v>
      </c>
      <c r="D674" s="1" t="s">
        <v>69</v>
      </c>
      <c r="E674" s="1" t="s">
        <v>310</v>
      </c>
      <c r="F674" t="s">
        <v>744</v>
      </c>
      <c r="G674" t="s">
        <v>1093</v>
      </c>
      <c r="H674" s="1" t="s">
        <v>1608</v>
      </c>
      <c r="I674" s="1" t="s">
        <v>1609</v>
      </c>
      <c r="J674" s="1" t="s">
        <v>18</v>
      </c>
      <c r="K674" s="1" t="s">
        <v>50</v>
      </c>
      <c r="L674" s="1">
        <v>36877</v>
      </c>
      <c r="M674" s="1">
        <v>24</v>
      </c>
      <c r="N674" s="1">
        <v>1300</v>
      </c>
      <c r="P674" s="1">
        <v>1690</v>
      </c>
      <c r="Q674" s="1"/>
      <c r="R674" s="1">
        <v>390</v>
      </c>
      <c r="S674">
        <v>240000</v>
      </c>
      <c r="T674">
        <v>12036</v>
      </c>
      <c r="U674" t="s">
        <v>814</v>
      </c>
      <c r="V674">
        <v>21960</v>
      </c>
      <c r="W674" s="1">
        <v>45976</v>
      </c>
      <c r="X674" s="1" t="s">
        <v>55</v>
      </c>
      <c r="Y674" s="1" t="s">
        <v>51</v>
      </c>
      <c r="Z674" s="1" t="s">
        <v>470</v>
      </c>
      <c r="AA674" s="1" t="s">
        <v>1707</v>
      </c>
      <c r="AB674" s="1" t="s">
        <v>1710</v>
      </c>
      <c r="AC674" s="1">
        <v>45245</v>
      </c>
      <c r="AD674" s="1">
        <v>45251</v>
      </c>
      <c r="AE674" s="1">
        <v>45679</v>
      </c>
      <c r="AF674" s="1"/>
      <c r="AG674" s="1" t="s">
        <v>1709</v>
      </c>
      <c r="AH674" s="1" t="s">
        <v>874</v>
      </c>
      <c r="AI674" s="1"/>
      <c r="AJ674" s="31">
        <v>45251</v>
      </c>
      <c r="AK674"/>
      <c r="AL674"/>
      <c r="AM674"/>
      <c r="AN674"/>
      <c r="AO674"/>
      <c r="AP674"/>
      <c r="AQ674" s="81"/>
      <c r="AR674" s="81"/>
      <c r="AS674" s="81"/>
      <c r="AT674" s="81"/>
      <c r="AU674" s="81"/>
      <c r="AV674" s="81"/>
      <c r="AW674" s="81"/>
      <c r="AX674" s="81"/>
      <c r="AY674" s="81"/>
    </row>
    <row r="675" spans="1:51">
      <c r="A675" s="1" t="s">
        <v>49</v>
      </c>
      <c r="B675" s="1">
        <v>230915</v>
      </c>
      <c r="C675" s="1">
        <v>242080</v>
      </c>
      <c r="D675" s="1" t="s">
        <v>69</v>
      </c>
      <c r="E675" s="1" t="s">
        <v>310</v>
      </c>
      <c r="F675" t="s">
        <v>1587</v>
      </c>
      <c r="G675" t="s">
        <v>1093</v>
      </c>
      <c r="H675" s="1" t="s">
        <v>1487</v>
      </c>
      <c r="I675" s="1" t="s">
        <v>1488</v>
      </c>
      <c r="J675" s="1" t="s">
        <v>18</v>
      </c>
      <c r="K675" s="1" t="s">
        <v>50</v>
      </c>
      <c r="L675" s="1">
        <v>36642</v>
      </c>
      <c r="M675" s="1">
        <v>25</v>
      </c>
      <c r="N675" s="1">
        <v>1300</v>
      </c>
      <c r="P675" s="1">
        <v>1680</v>
      </c>
      <c r="Q675" s="1"/>
      <c r="R675" s="1">
        <v>380</v>
      </c>
      <c r="S675">
        <v>260000</v>
      </c>
      <c r="T675">
        <v>13039</v>
      </c>
      <c r="U675" t="s">
        <v>814</v>
      </c>
      <c r="V675">
        <v>23790</v>
      </c>
      <c r="W675" s="1">
        <v>47014</v>
      </c>
      <c r="X675" s="1" t="s">
        <v>55</v>
      </c>
      <c r="Y675" s="1" t="s">
        <v>51</v>
      </c>
      <c r="Z675" s="1" t="s">
        <v>470</v>
      </c>
      <c r="AA675" s="1" t="s">
        <v>1483</v>
      </c>
      <c r="AB675" s="1" t="s">
        <v>1484</v>
      </c>
      <c r="AC675" s="1">
        <v>45187</v>
      </c>
      <c r="AD675" s="1">
        <v>45190</v>
      </c>
      <c r="AE675" s="1"/>
      <c r="AF675" s="1"/>
      <c r="AG675" s="1" t="s">
        <v>1485</v>
      </c>
      <c r="AH675" s="1" t="s">
        <v>1486</v>
      </c>
      <c r="AI675" s="1"/>
      <c r="AJ675" s="31">
        <v>45190</v>
      </c>
      <c r="AK675"/>
      <c r="AL675"/>
      <c r="AM675"/>
      <c r="AN675"/>
      <c r="AO675" t="s">
        <v>4165</v>
      </c>
      <c r="AP675"/>
      <c r="AQ675" s="81"/>
      <c r="AR675" s="81"/>
      <c r="AS675" s="81"/>
      <c r="AT675" s="81"/>
      <c r="AU675" s="81"/>
      <c r="AV675" s="81"/>
      <c r="AW675" s="81"/>
      <c r="AX675" s="81"/>
      <c r="AY675" s="81"/>
    </row>
    <row r="676" spans="1:51">
      <c r="A676" s="1" t="s">
        <v>49</v>
      </c>
      <c r="B676" s="1">
        <v>250309</v>
      </c>
      <c r="C676" s="1">
        <v>242127</v>
      </c>
      <c r="D676" s="1" t="s">
        <v>69</v>
      </c>
      <c r="E676" s="1" t="s">
        <v>310</v>
      </c>
      <c r="F676" t="s">
        <v>1587</v>
      </c>
      <c r="G676" t="s">
        <v>1093</v>
      </c>
      <c r="H676" s="1" t="s">
        <v>4223</v>
      </c>
      <c r="I676" s="1" t="s">
        <v>4224</v>
      </c>
      <c r="J676" s="1" t="s">
        <v>18</v>
      </c>
      <c r="K676" s="1" t="s">
        <v>50</v>
      </c>
      <c r="L676" s="1">
        <v>37136</v>
      </c>
      <c r="M676" s="1">
        <v>24</v>
      </c>
      <c r="N676" s="1">
        <v>1200</v>
      </c>
      <c r="P676" s="1">
        <v>1650</v>
      </c>
      <c r="Q676" s="1"/>
      <c r="R676" s="1">
        <v>450</v>
      </c>
      <c r="S676">
        <v>180000</v>
      </c>
      <c r="T676">
        <v>9027</v>
      </c>
      <c r="U676" t="s">
        <v>814</v>
      </c>
      <c r="V676">
        <v>16470</v>
      </c>
      <c r="W676" s="1">
        <v>46825</v>
      </c>
      <c r="X676" s="1" t="s">
        <v>55</v>
      </c>
      <c r="Y676" s="1" t="s">
        <v>51</v>
      </c>
      <c r="Z676" s="1" t="s">
        <v>1474</v>
      </c>
      <c r="AA676" s="1" t="s">
        <v>1475</v>
      </c>
      <c r="AB676" s="1" t="s">
        <v>1476</v>
      </c>
      <c r="AC676" s="1"/>
      <c r="AD676" s="1">
        <v>45736</v>
      </c>
      <c r="AE676" s="1"/>
      <c r="AF676" s="1"/>
      <c r="AG676" s="1">
        <v>45736</v>
      </c>
      <c r="AH676" s="1" t="s">
        <v>2346</v>
      </c>
      <c r="AI676" s="1"/>
      <c r="AJ676" s="31">
        <v>45736</v>
      </c>
      <c r="AK676"/>
      <c r="AL676"/>
      <c r="AM676"/>
      <c r="AN676"/>
      <c r="AO676"/>
      <c r="AP676"/>
      <c r="AQ676" s="81"/>
      <c r="AR676" s="81"/>
      <c r="AS676" s="81"/>
      <c r="AT676" s="81"/>
      <c r="AU676" s="81"/>
      <c r="AV676" s="81"/>
      <c r="AW676" s="81"/>
      <c r="AX676" s="81"/>
      <c r="AY676" s="81"/>
    </row>
    <row r="677" spans="1:51" hidden="1">
      <c r="A677" s="1" t="s">
        <v>2542</v>
      </c>
      <c r="B677" s="1">
        <v>231118</v>
      </c>
      <c r="D677" s="1" t="s">
        <v>414</v>
      </c>
      <c r="E677" s="1" t="s">
        <v>1065</v>
      </c>
      <c r="F677" t="s">
        <v>1083</v>
      </c>
      <c r="G677" t="s">
        <v>1068</v>
      </c>
      <c r="H677" s="1" t="s">
        <v>3737</v>
      </c>
      <c r="I677" s="1" t="s">
        <v>3738</v>
      </c>
      <c r="J677" s="1" t="s">
        <v>18</v>
      </c>
      <c r="K677" s="1" t="s">
        <v>50</v>
      </c>
      <c r="L677" s="1">
        <v>33449</v>
      </c>
      <c r="M677" s="1">
        <v>34</v>
      </c>
      <c r="N677" s="1">
        <v>1300</v>
      </c>
      <c r="P677" s="1">
        <v>1650</v>
      </c>
      <c r="Q677" s="1"/>
      <c r="R677" s="1">
        <v>350</v>
      </c>
      <c r="S677">
        <v>200000</v>
      </c>
      <c r="T677">
        <v>10030</v>
      </c>
      <c r="U677" t="s">
        <v>814</v>
      </c>
      <c r="V677">
        <v>18300</v>
      </c>
      <c r="W677" s="1">
        <v>45735</v>
      </c>
      <c r="X677" s="1" t="s">
        <v>55</v>
      </c>
      <c r="Y677" s="1" t="s">
        <v>51</v>
      </c>
      <c r="Z677" s="1" t="s">
        <v>551</v>
      </c>
      <c r="AA677" s="1" t="s">
        <v>552</v>
      </c>
      <c r="AB677" s="1" t="s">
        <v>1711</v>
      </c>
      <c r="AC677" s="1">
        <v>45242</v>
      </c>
      <c r="AD677" s="1">
        <v>45254</v>
      </c>
      <c r="AE677" s="1">
        <v>45471</v>
      </c>
      <c r="AF677" s="1"/>
      <c r="AG677" s="1" t="s">
        <v>1712</v>
      </c>
      <c r="AH677" s="1" t="s">
        <v>3739</v>
      </c>
      <c r="AI677" s="1"/>
      <c r="AJ677" s="31">
        <v>45254</v>
      </c>
      <c r="AK677"/>
      <c r="AL677"/>
      <c r="AM677"/>
      <c r="AN677"/>
      <c r="AO677"/>
      <c r="AP677"/>
      <c r="AQ677" s="81"/>
      <c r="AR677" s="81"/>
      <c r="AS677" s="81"/>
      <c r="AT677" s="81"/>
      <c r="AU677" s="81"/>
      <c r="AV677" s="81"/>
      <c r="AW677" s="81"/>
      <c r="AX677" s="81"/>
      <c r="AY677" s="81"/>
    </row>
    <row r="678" spans="1:51" hidden="1">
      <c r="A678" s="1" t="s">
        <v>2542</v>
      </c>
      <c r="B678" s="1">
        <v>231119</v>
      </c>
      <c r="D678" s="1" t="s">
        <v>414</v>
      </c>
      <c r="E678" s="1" t="s">
        <v>1065</v>
      </c>
      <c r="F678" t="s">
        <v>1083</v>
      </c>
      <c r="G678" t="s">
        <v>1068</v>
      </c>
      <c r="H678" s="1" t="s">
        <v>1610</v>
      </c>
      <c r="I678" s="1" t="s">
        <v>1611</v>
      </c>
      <c r="J678" s="1" t="s">
        <v>18</v>
      </c>
      <c r="K678" s="1" t="s">
        <v>50</v>
      </c>
      <c r="L678" s="1">
        <v>36246</v>
      </c>
      <c r="M678" s="1">
        <v>26</v>
      </c>
      <c r="N678" s="1">
        <v>1300</v>
      </c>
      <c r="P678" s="1">
        <v>1650</v>
      </c>
      <c r="Q678" s="1"/>
      <c r="R678" s="1">
        <v>350</v>
      </c>
      <c r="S678">
        <v>320000</v>
      </c>
      <c r="T678">
        <v>16048</v>
      </c>
      <c r="U678" t="s">
        <v>814</v>
      </c>
      <c r="V678">
        <v>29280</v>
      </c>
      <c r="W678" s="1">
        <v>46915</v>
      </c>
      <c r="X678" s="1" t="s">
        <v>55</v>
      </c>
      <c r="Y678" s="1" t="s">
        <v>51</v>
      </c>
      <c r="Z678" s="1" t="s">
        <v>551</v>
      </c>
      <c r="AA678" s="1" t="s">
        <v>552</v>
      </c>
      <c r="AB678" s="1" t="s">
        <v>1711</v>
      </c>
      <c r="AC678" s="1">
        <v>45252</v>
      </c>
      <c r="AD678" s="1">
        <v>45254</v>
      </c>
      <c r="AE678" s="1">
        <v>45930</v>
      </c>
      <c r="AF678" s="1"/>
      <c r="AG678" s="1" t="s">
        <v>1712</v>
      </c>
      <c r="AH678" s="1" t="s">
        <v>874</v>
      </c>
      <c r="AI678" s="1"/>
      <c r="AJ678" s="31">
        <v>45254</v>
      </c>
      <c r="AK678"/>
      <c r="AL678"/>
      <c r="AM678"/>
      <c r="AN678"/>
      <c r="AO678"/>
      <c r="AP678"/>
      <c r="AQ678" s="81"/>
      <c r="AR678" s="81"/>
      <c r="AS678" s="81"/>
      <c r="AT678" s="81"/>
      <c r="AU678" s="81"/>
      <c r="AV678" s="81"/>
      <c r="AW678" s="81"/>
      <c r="AX678" s="81"/>
      <c r="AY678" s="81"/>
    </row>
    <row r="679" spans="1:51" hidden="1">
      <c r="A679" s="1" t="s">
        <v>2542</v>
      </c>
      <c r="B679" s="1">
        <v>231120</v>
      </c>
      <c r="D679" s="1" t="s">
        <v>1612</v>
      </c>
      <c r="F679"/>
      <c r="G679"/>
      <c r="H679" s="1" t="s">
        <v>3740</v>
      </c>
      <c r="I679" s="1" t="s">
        <v>3741</v>
      </c>
      <c r="J679" s="1" t="s">
        <v>18</v>
      </c>
      <c r="K679" s="1" t="s">
        <v>50</v>
      </c>
      <c r="L679" s="1">
        <v>34858</v>
      </c>
      <c r="M679" s="1">
        <v>30</v>
      </c>
      <c r="N679" s="1">
        <v>1300</v>
      </c>
      <c r="P679" s="1">
        <v>1900</v>
      </c>
      <c r="Q679" s="1"/>
      <c r="R679" s="1">
        <v>600</v>
      </c>
      <c r="S679">
        <v>200000</v>
      </c>
      <c r="T679">
        <v>10030</v>
      </c>
      <c r="U679" t="s">
        <v>814</v>
      </c>
      <c r="V679">
        <v>18300</v>
      </c>
      <c r="W679" s="1">
        <v>46420</v>
      </c>
      <c r="X679" s="1" t="s">
        <v>55</v>
      </c>
      <c r="Y679" s="1" t="s">
        <v>51</v>
      </c>
      <c r="Z679" s="1" t="s">
        <v>110</v>
      </c>
      <c r="AA679" s="1" t="s">
        <v>127</v>
      </c>
      <c r="AB679" s="1" t="s">
        <v>3742</v>
      </c>
      <c r="AC679" s="1"/>
      <c r="AD679" s="1">
        <v>45258</v>
      </c>
      <c r="AE679" s="1">
        <v>45401</v>
      </c>
      <c r="AF679" s="1"/>
      <c r="AG679" s="1" t="s">
        <v>3743</v>
      </c>
      <c r="AH679" s="1" t="s">
        <v>874</v>
      </c>
      <c r="AI679" s="1"/>
      <c r="AJ679" s="31">
        <v>45258</v>
      </c>
      <c r="AK679"/>
      <c r="AL679"/>
      <c r="AM679"/>
      <c r="AN679"/>
      <c r="AO679"/>
      <c r="AP679"/>
      <c r="AQ679" s="81"/>
      <c r="AR679" s="81"/>
      <c r="AS679" s="81"/>
      <c r="AT679" s="81"/>
      <c r="AU679" s="81"/>
      <c r="AV679" s="81"/>
      <c r="AW679" s="81"/>
      <c r="AX679" s="81"/>
      <c r="AY679" s="81"/>
    </row>
    <row r="680" spans="1:51" hidden="1">
      <c r="A680" s="1" t="s">
        <v>49</v>
      </c>
      <c r="B680" s="1">
        <v>231201</v>
      </c>
      <c r="C680" s="1">
        <v>232046</v>
      </c>
      <c r="D680" s="1" t="s">
        <v>83</v>
      </c>
      <c r="E680" s="1" t="s">
        <v>307</v>
      </c>
      <c r="F680" t="s">
        <v>2251</v>
      </c>
      <c r="G680" t="s">
        <v>2252</v>
      </c>
      <c r="H680" s="1" t="s">
        <v>1613</v>
      </c>
      <c r="I680" s="1" t="s">
        <v>1614</v>
      </c>
      <c r="J680" s="1" t="s">
        <v>17</v>
      </c>
      <c r="K680" s="1" t="s">
        <v>50</v>
      </c>
      <c r="L680" s="1">
        <v>34068</v>
      </c>
      <c r="M680" s="1">
        <v>32</v>
      </c>
      <c r="N680" s="1">
        <v>1110</v>
      </c>
      <c r="P680" s="1">
        <v>1670</v>
      </c>
      <c r="Q680" s="1"/>
      <c r="R680" s="1">
        <v>560</v>
      </c>
      <c r="S680">
        <v>126000</v>
      </c>
      <c r="T680">
        <v>6319</v>
      </c>
      <c r="U680" t="s">
        <v>814</v>
      </c>
      <c r="V680">
        <v>11529</v>
      </c>
      <c r="W680" s="1">
        <v>47505</v>
      </c>
      <c r="X680" s="1" t="s">
        <v>55</v>
      </c>
      <c r="Y680" s="1" t="s">
        <v>121</v>
      </c>
      <c r="Z680" s="1" t="s">
        <v>211</v>
      </c>
      <c r="AA680" s="1" t="s">
        <v>3074</v>
      </c>
      <c r="AB680" s="1" t="s">
        <v>1713</v>
      </c>
      <c r="AC680" s="1" t="s">
        <v>53</v>
      </c>
      <c r="AD680" s="1">
        <v>45261</v>
      </c>
      <c r="AE680" s="1"/>
      <c r="AF680" s="1"/>
      <c r="AG680" s="1" t="s">
        <v>1714</v>
      </c>
      <c r="AH680" s="1" t="s">
        <v>874</v>
      </c>
      <c r="AI680" s="1"/>
      <c r="AJ680" s="31">
        <v>45261</v>
      </c>
      <c r="AK680"/>
      <c r="AL680"/>
      <c r="AM680"/>
      <c r="AN680"/>
      <c r="AO680"/>
      <c r="AP680"/>
      <c r="AQ680" s="81"/>
      <c r="AR680" s="81"/>
      <c r="AS680" s="81"/>
      <c r="AT680" s="81"/>
      <c r="AU680" s="81"/>
      <c r="AV680" s="81"/>
      <c r="AW680" s="81"/>
      <c r="AX680" s="81"/>
      <c r="AY680" s="81"/>
    </row>
    <row r="681" spans="1:51" hidden="1">
      <c r="A681" s="1" t="s">
        <v>2542</v>
      </c>
      <c r="B681" s="1">
        <v>231202</v>
      </c>
      <c r="D681" s="1" t="s">
        <v>414</v>
      </c>
      <c r="E681" s="1" t="s">
        <v>1065</v>
      </c>
      <c r="F681" t="s">
        <v>1083</v>
      </c>
      <c r="G681" t="s">
        <v>1068</v>
      </c>
      <c r="H681" s="1" t="s">
        <v>1615</v>
      </c>
      <c r="I681" s="1" t="s">
        <v>1616</v>
      </c>
      <c r="J681" s="1" t="s">
        <v>18</v>
      </c>
      <c r="K681" s="1" t="s">
        <v>50</v>
      </c>
      <c r="L681" s="1">
        <v>34804</v>
      </c>
      <c r="M681" s="1">
        <v>30</v>
      </c>
      <c r="N681" s="1">
        <v>1300</v>
      </c>
      <c r="P681" s="1">
        <v>1650</v>
      </c>
      <c r="Q681" s="1"/>
      <c r="R681" s="1">
        <v>350</v>
      </c>
      <c r="S681">
        <v>300000</v>
      </c>
      <c r="T681">
        <v>15045</v>
      </c>
      <c r="U681" t="s">
        <v>814</v>
      </c>
      <c r="V681">
        <v>27450</v>
      </c>
      <c r="W681" s="1">
        <v>45903</v>
      </c>
      <c r="X681" s="1" t="s">
        <v>55</v>
      </c>
      <c r="Y681" s="1" t="s">
        <v>51</v>
      </c>
      <c r="Z681" s="1" t="s">
        <v>1715</v>
      </c>
      <c r="AA681" s="1" t="s">
        <v>1751</v>
      </c>
      <c r="AB681" s="1" t="s">
        <v>1716</v>
      </c>
      <c r="AC681" s="1">
        <v>45258</v>
      </c>
      <c r="AD681" s="1">
        <v>45261</v>
      </c>
      <c r="AE681" s="1">
        <v>45896</v>
      </c>
      <c r="AF681" s="1"/>
      <c r="AG681" s="1" t="s">
        <v>1714</v>
      </c>
      <c r="AH681" s="1" t="s">
        <v>874</v>
      </c>
      <c r="AI681" s="1"/>
      <c r="AJ681" s="31">
        <v>45261</v>
      </c>
      <c r="AK681"/>
      <c r="AL681"/>
      <c r="AM681"/>
      <c r="AN681"/>
      <c r="AO681"/>
      <c r="AP681"/>
      <c r="AQ681" s="81"/>
      <c r="AR681" s="81"/>
      <c r="AS681" s="81"/>
      <c r="AT681" s="81"/>
      <c r="AU681" s="81"/>
      <c r="AV681" s="81"/>
      <c r="AW681" s="81"/>
      <c r="AX681" s="81"/>
      <c r="AY681" s="81"/>
    </row>
    <row r="682" spans="1:51" hidden="1">
      <c r="A682" s="1" t="s">
        <v>2542</v>
      </c>
      <c r="B682" s="1">
        <v>231203</v>
      </c>
      <c r="C682" s="1">
        <v>222060</v>
      </c>
      <c r="D682" s="1" t="s">
        <v>62</v>
      </c>
      <c r="E682" s="1" t="s">
        <v>3935</v>
      </c>
      <c r="F682" t="s">
        <v>794</v>
      </c>
      <c r="G682" t="s">
        <v>316</v>
      </c>
      <c r="H682" s="1" t="s">
        <v>1337</v>
      </c>
      <c r="I682" s="1" t="s">
        <v>1617</v>
      </c>
      <c r="J682" s="1" t="s">
        <v>18</v>
      </c>
      <c r="K682" s="1" t="s">
        <v>50</v>
      </c>
      <c r="L682" s="1">
        <v>36803</v>
      </c>
      <c r="M682" s="1">
        <v>25</v>
      </c>
      <c r="N682" s="1">
        <v>1200</v>
      </c>
      <c r="P682" s="1">
        <v>1680</v>
      </c>
      <c r="Q682" s="1"/>
      <c r="R682" s="1">
        <v>480</v>
      </c>
      <c r="S682">
        <v>190000</v>
      </c>
      <c r="T682">
        <v>9528</v>
      </c>
      <c r="U682" t="s">
        <v>814</v>
      </c>
      <c r="V682">
        <v>17385</v>
      </c>
      <c r="W682" s="1">
        <v>45623</v>
      </c>
      <c r="X682" s="1" t="s">
        <v>55</v>
      </c>
      <c r="Y682" s="1" t="s">
        <v>51</v>
      </c>
      <c r="Z682" s="1" t="s">
        <v>217</v>
      </c>
      <c r="AA682" s="1" t="s">
        <v>218</v>
      </c>
      <c r="AB682" s="1" t="s">
        <v>1717</v>
      </c>
      <c r="AC682" s="1">
        <v>45257</v>
      </c>
      <c r="AD682" s="1">
        <v>45261</v>
      </c>
      <c r="AE682" s="1">
        <v>45480</v>
      </c>
      <c r="AF682" s="1"/>
      <c r="AG682" s="1" t="s">
        <v>1714</v>
      </c>
      <c r="AH682" s="1" t="s">
        <v>874</v>
      </c>
      <c r="AI682" s="1"/>
      <c r="AJ682" s="31">
        <v>45261</v>
      </c>
      <c r="AK682"/>
      <c r="AL682"/>
      <c r="AM682"/>
      <c r="AN682"/>
      <c r="AO682"/>
      <c r="AP682"/>
      <c r="AQ682" s="81"/>
      <c r="AR682" s="81"/>
      <c r="AS682" s="81"/>
      <c r="AT682" s="81"/>
      <c r="AU682" s="81"/>
      <c r="AV682" s="81"/>
      <c r="AW682" s="81"/>
      <c r="AX682" s="81"/>
      <c r="AY682" s="81"/>
    </row>
    <row r="683" spans="1:51" hidden="1">
      <c r="A683" s="1" t="s">
        <v>2542</v>
      </c>
      <c r="B683" s="1">
        <v>231204</v>
      </c>
      <c r="C683" s="1">
        <v>222059</v>
      </c>
      <c r="D683" s="1" t="s">
        <v>62</v>
      </c>
      <c r="E683" s="1" t="s">
        <v>3935</v>
      </c>
      <c r="F683" t="s">
        <v>794</v>
      </c>
      <c r="G683" t="s">
        <v>316</v>
      </c>
      <c r="H683" s="1" t="s">
        <v>1618</v>
      </c>
      <c r="I683" s="1" t="s">
        <v>1619</v>
      </c>
      <c r="J683" s="1" t="s">
        <v>18</v>
      </c>
      <c r="K683" s="1" t="s">
        <v>50</v>
      </c>
      <c r="L683" s="1">
        <v>36471</v>
      </c>
      <c r="M683" s="1">
        <v>26</v>
      </c>
      <c r="N683" s="1">
        <v>1300</v>
      </c>
      <c r="P683" s="1">
        <v>1680</v>
      </c>
      <c r="Q683" s="1"/>
      <c r="R683" s="1">
        <v>380</v>
      </c>
      <c r="S683">
        <v>260000</v>
      </c>
      <c r="T683">
        <v>13039</v>
      </c>
      <c r="U683" t="s">
        <v>814</v>
      </c>
      <c r="V683">
        <v>23790</v>
      </c>
      <c r="W683" s="1">
        <v>45988</v>
      </c>
      <c r="X683" s="1" t="s">
        <v>55</v>
      </c>
      <c r="Y683" s="1" t="s">
        <v>51</v>
      </c>
      <c r="Z683" s="1" t="s">
        <v>817</v>
      </c>
      <c r="AA683" s="1" t="s">
        <v>1422</v>
      </c>
      <c r="AB683" s="1" t="s">
        <v>1426</v>
      </c>
      <c r="AC683" s="1">
        <v>45257</v>
      </c>
      <c r="AD683" s="1">
        <v>45261</v>
      </c>
      <c r="AE683" s="1">
        <v>45693</v>
      </c>
      <c r="AF683" s="1"/>
      <c r="AG683" s="1" t="s">
        <v>1714</v>
      </c>
      <c r="AH683" s="1" t="s">
        <v>874</v>
      </c>
      <c r="AI683" s="1"/>
      <c r="AJ683" s="31">
        <v>45261</v>
      </c>
      <c r="AK683"/>
      <c r="AL683"/>
      <c r="AM683"/>
      <c r="AN683"/>
      <c r="AO683" t="s">
        <v>4165</v>
      </c>
      <c r="AP683"/>
      <c r="AQ683" s="81"/>
      <c r="AR683" s="81"/>
      <c r="AS683" s="81"/>
      <c r="AT683" s="81"/>
      <c r="AU683" s="81"/>
      <c r="AV683" s="81"/>
      <c r="AW683" s="81"/>
      <c r="AX683" s="81"/>
      <c r="AY683" s="81"/>
    </row>
    <row r="684" spans="1:51" hidden="1">
      <c r="A684" s="1" t="s">
        <v>2542</v>
      </c>
      <c r="B684" s="1">
        <v>231205</v>
      </c>
      <c r="C684" s="1">
        <v>222061</v>
      </c>
      <c r="D684" s="1" t="s">
        <v>75</v>
      </c>
      <c r="E684" s="1" t="s">
        <v>3934</v>
      </c>
      <c r="F684" t="s">
        <v>736</v>
      </c>
      <c r="G684" t="s">
        <v>317</v>
      </c>
      <c r="H684" s="1" t="s">
        <v>1620</v>
      </c>
      <c r="I684" s="1" t="s">
        <v>1621</v>
      </c>
      <c r="J684" s="1" t="s">
        <v>18</v>
      </c>
      <c r="K684" s="1" t="s">
        <v>50</v>
      </c>
      <c r="L684" s="1">
        <v>35805</v>
      </c>
      <c r="M684" s="1">
        <v>27</v>
      </c>
      <c r="N684" s="1">
        <v>1300</v>
      </c>
      <c r="P684" s="1">
        <v>1660</v>
      </c>
      <c r="Q684" s="1"/>
      <c r="R684" s="1">
        <v>360</v>
      </c>
      <c r="S684">
        <v>280000</v>
      </c>
      <c r="T684">
        <v>14042</v>
      </c>
      <c r="U684" t="s">
        <v>814</v>
      </c>
      <c r="V684">
        <v>25620</v>
      </c>
      <c r="W684" s="1">
        <v>45988</v>
      </c>
      <c r="X684" s="1" t="s">
        <v>55</v>
      </c>
      <c r="Y684" s="1" t="s">
        <v>51</v>
      </c>
      <c r="Z684" s="1" t="s">
        <v>67</v>
      </c>
      <c r="AA684" s="1" t="s">
        <v>209</v>
      </c>
      <c r="AB684" s="1" t="s">
        <v>286</v>
      </c>
      <c r="AC684" s="1">
        <v>45257</v>
      </c>
      <c r="AD684" s="1">
        <v>45261</v>
      </c>
      <c r="AE684" s="1">
        <v>45721</v>
      </c>
      <c r="AF684" s="1"/>
      <c r="AG684" s="1" t="s">
        <v>1714</v>
      </c>
      <c r="AH684" s="1" t="s">
        <v>874</v>
      </c>
      <c r="AI684" s="1" t="s">
        <v>2167</v>
      </c>
      <c r="AJ684" s="31">
        <v>45261</v>
      </c>
      <c r="AK684"/>
      <c r="AL684"/>
      <c r="AM684"/>
      <c r="AN684"/>
      <c r="AO684"/>
      <c r="AP684"/>
      <c r="AQ684" s="81"/>
      <c r="AR684" s="81"/>
      <c r="AS684" s="81"/>
      <c r="AT684" s="81"/>
      <c r="AU684" s="81"/>
      <c r="AV684" s="81"/>
      <c r="AW684" s="81"/>
      <c r="AX684" s="81"/>
      <c r="AY684" s="81"/>
    </row>
    <row r="685" spans="1:51" hidden="1">
      <c r="A685" s="1" t="s">
        <v>49</v>
      </c>
      <c r="B685" s="1">
        <v>231207</v>
      </c>
      <c r="D685" s="1" t="s">
        <v>447</v>
      </c>
      <c r="E685" s="1" t="s">
        <v>1270</v>
      </c>
      <c r="F685" t="s">
        <v>1271</v>
      </c>
      <c r="G685" t="s">
        <v>1267</v>
      </c>
      <c r="H685" s="1" t="s">
        <v>1624</v>
      </c>
      <c r="I685" s="1" t="s">
        <v>1625</v>
      </c>
      <c r="J685" s="1" t="s">
        <v>18</v>
      </c>
      <c r="K685" s="1" t="s">
        <v>50</v>
      </c>
      <c r="L685" s="1">
        <v>36161</v>
      </c>
      <c r="M685" s="1">
        <v>26</v>
      </c>
      <c r="N685" s="1">
        <v>1300</v>
      </c>
      <c r="P685" s="1">
        <v>1700</v>
      </c>
      <c r="Q685" s="1"/>
      <c r="R685" s="1">
        <v>400</v>
      </c>
      <c r="S685">
        <v>240000</v>
      </c>
      <c r="T685">
        <v>12036</v>
      </c>
      <c r="U685" t="s">
        <v>814</v>
      </c>
      <c r="V685">
        <v>21960</v>
      </c>
      <c r="W685" s="1">
        <v>47084</v>
      </c>
      <c r="X685" s="1" t="s">
        <v>55</v>
      </c>
      <c r="Y685" s="1" t="s">
        <v>51</v>
      </c>
      <c r="Z685" s="1" t="s">
        <v>448</v>
      </c>
      <c r="AA685" s="1" t="s">
        <v>478</v>
      </c>
      <c r="AB685" s="1" t="s">
        <v>4047</v>
      </c>
      <c r="AC685" s="1" t="s">
        <v>53</v>
      </c>
      <c r="AD685" s="1">
        <v>45261</v>
      </c>
      <c r="AE685" s="1"/>
      <c r="AF685" s="1"/>
      <c r="AG685" s="1" t="s">
        <v>1714</v>
      </c>
      <c r="AH685" s="1" t="s">
        <v>874</v>
      </c>
      <c r="AI685" s="1"/>
      <c r="AJ685" s="31">
        <v>45261</v>
      </c>
      <c r="AK685"/>
      <c r="AL685"/>
      <c r="AM685"/>
      <c r="AN685"/>
      <c r="AO685"/>
      <c r="AP685"/>
      <c r="AQ685" s="81"/>
      <c r="AR685" s="81"/>
      <c r="AS685" s="81"/>
      <c r="AT685" s="81"/>
      <c r="AU685" s="81"/>
      <c r="AV685" s="81"/>
      <c r="AW685" s="81"/>
      <c r="AX685" s="81"/>
      <c r="AY685" s="81"/>
    </row>
    <row r="686" spans="1:51" hidden="1">
      <c r="A686" s="1" t="s">
        <v>49</v>
      </c>
      <c r="B686" s="1">
        <v>231208</v>
      </c>
      <c r="D686" s="1" t="s">
        <v>447</v>
      </c>
      <c r="E686" s="1" t="s">
        <v>1270</v>
      </c>
      <c r="F686" t="s">
        <v>1271</v>
      </c>
      <c r="G686" t="s">
        <v>1267</v>
      </c>
      <c r="H686" s="1" t="s">
        <v>1626</v>
      </c>
      <c r="I686" s="1" t="s">
        <v>1627</v>
      </c>
      <c r="J686" s="1" t="s">
        <v>18</v>
      </c>
      <c r="K686" s="1" t="s">
        <v>50</v>
      </c>
      <c r="L686" s="1">
        <v>36021</v>
      </c>
      <c r="M686" s="1">
        <v>27</v>
      </c>
      <c r="N686" s="1">
        <v>1300</v>
      </c>
      <c r="P686" s="1">
        <v>1700</v>
      </c>
      <c r="Q686" s="1"/>
      <c r="R686" s="1">
        <v>400</v>
      </c>
      <c r="S686">
        <v>240000</v>
      </c>
      <c r="T686">
        <v>12036</v>
      </c>
      <c r="U686" t="s">
        <v>814</v>
      </c>
      <c r="V686">
        <v>21960</v>
      </c>
      <c r="W686" s="1">
        <v>47087</v>
      </c>
      <c r="X686" s="1" t="s">
        <v>55</v>
      </c>
      <c r="Y686" s="1" t="s">
        <v>51</v>
      </c>
      <c r="Z686" s="1" t="s">
        <v>448</v>
      </c>
      <c r="AA686" s="1" t="s">
        <v>449</v>
      </c>
      <c r="AB686" s="1" t="s">
        <v>1007</v>
      </c>
      <c r="AC686" s="1">
        <v>45260</v>
      </c>
      <c r="AD686" s="1">
        <v>45261</v>
      </c>
      <c r="AE686" s="1"/>
      <c r="AF686" s="1"/>
      <c r="AG686" s="1" t="s">
        <v>1714</v>
      </c>
      <c r="AH686" s="1" t="s">
        <v>874</v>
      </c>
      <c r="AI686" s="1"/>
      <c r="AJ686" s="31">
        <v>45261</v>
      </c>
      <c r="AK686"/>
      <c r="AL686"/>
      <c r="AM686"/>
      <c r="AN686"/>
      <c r="AO686"/>
      <c r="AP686"/>
      <c r="AQ686" s="81"/>
      <c r="AR686" s="81"/>
      <c r="AS686" s="81"/>
      <c r="AT686" s="81"/>
      <c r="AU686" s="81"/>
      <c r="AV686" s="81"/>
      <c r="AW686" s="81"/>
      <c r="AX686" s="81"/>
      <c r="AY686" s="81"/>
    </row>
    <row r="687" spans="1:51" s="81" customFormat="1">
      <c r="A687" s="1" t="s">
        <v>49</v>
      </c>
      <c r="B687" s="1">
        <v>220609</v>
      </c>
      <c r="C687" s="1">
        <v>222051</v>
      </c>
      <c r="D687" s="1" t="s">
        <v>95</v>
      </c>
      <c r="E687" s="1" t="s">
        <v>3938</v>
      </c>
      <c r="F687" t="s">
        <v>3860</v>
      </c>
      <c r="G687" t="s">
        <v>3944</v>
      </c>
      <c r="H687" s="1" t="s">
        <v>175</v>
      </c>
      <c r="I687" s="1" t="s">
        <v>285</v>
      </c>
      <c r="J687" s="1" t="s">
        <v>18</v>
      </c>
      <c r="K687" s="1" t="s">
        <v>50</v>
      </c>
      <c r="L687" s="1">
        <v>36016</v>
      </c>
      <c r="M687" s="1">
        <v>27</v>
      </c>
      <c r="N687" s="1">
        <v>1310</v>
      </c>
      <c r="O687" s="1"/>
      <c r="P687" s="1">
        <v>1720</v>
      </c>
      <c r="Q687" s="1"/>
      <c r="R687" s="1">
        <v>410</v>
      </c>
      <c r="S687">
        <v>260000</v>
      </c>
      <c r="T687">
        <v>13039</v>
      </c>
      <c r="U687" t="s">
        <v>814</v>
      </c>
      <c r="V687">
        <v>23790</v>
      </c>
      <c r="W687" s="1">
        <v>46601</v>
      </c>
      <c r="X687" s="1" t="s">
        <v>55</v>
      </c>
      <c r="Y687" s="1" t="s">
        <v>51</v>
      </c>
      <c r="Z687" s="1" t="s">
        <v>67</v>
      </c>
      <c r="AA687" s="1" t="s">
        <v>209</v>
      </c>
      <c r="AB687" s="1" t="s">
        <v>286</v>
      </c>
      <c r="AC687" s="1">
        <v>44716</v>
      </c>
      <c r="AD687" s="1">
        <v>44725</v>
      </c>
      <c r="AE687" s="1"/>
      <c r="AF687" s="1"/>
      <c r="AG687" s="1" t="s">
        <v>283</v>
      </c>
      <c r="AH687" s="1" t="s">
        <v>284</v>
      </c>
      <c r="AI687" s="1"/>
      <c r="AJ687" s="31">
        <v>44725</v>
      </c>
      <c r="AK687"/>
      <c r="AL687"/>
      <c r="AM687"/>
      <c r="AN687"/>
      <c r="AO687" t="s">
        <v>4165</v>
      </c>
      <c r="AP687"/>
    </row>
    <row r="688" spans="1:51" s="81" customFormat="1" hidden="1">
      <c r="A688" s="1" t="s">
        <v>49</v>
      </c>
      <c r="B688" s="1">
        <v>231214</v>
      </c>
      <c r="C688" s="1">
        <v>232128</v>
      </c>
      <c r="D688" s="1" t="s">
        <v>83</v>
      </c>
      <c r="E688" s="1" t="s">
        <v>307</v>
      </c>
      <c r="F688" t="s">
        <v>2251</v>
      </c>
      <c r="G688" t="s">
        <v>2252</v>
      </c>
      <c r="H688" s="1" t="s">
        <v>1637</v>
      </c>
      <c r="I688" s="1" t="s">
        <v>1638</v>
      </c>
      <c r="J688" s="1" t="s">
        <v>18</v>
      </c>
      <c r="K688" s="1" t="s">
        <v>50</v>
      </c>
      <c r="L688" s="1">
        <v>37519</v>
      </c>
      <c r="M688" s="1">
        <v>23</v>
      </c>
      <c r="N688" s="1">
        <v>1300</v>
      </c>
      <c r="O688" s="1"/>
      <c r="P688" s="1">
        <v>1710</v>
      </c>
      <c r="Q688" s="1"/>
      <c r="R688" s="1">
        <v>410</v>
      </c>
      <c r="S688">
        <v>260000</v>
      </c>
      <c r="T688">
        <v>13039</v>
      </c>
      <c r="U688" t="s">
        <v>814</v>
      </c>
      <c r="V688">
        <v>23790</v>
      </c>
      <c r="W688" s="1">
        <v>47084</v>
      </c>
      <c r="X688" s="1" t="s">
        <v>55</v>
      </c>
      <c r="Y688" s="1" t="s">
        <v>51</v>
      </c>
      <c r="Z688" s="1" t="s">
        <v>110</v>
      </c>
      <c r="AA688" s="1" t="s">
        <v>113</v>
      </c>
      <c r="AB688" s="1" t="s">
        <v>357</v>
      </c>
      <c r="AC688" s="1">
        <v>45257</v>
      </c>
      <c r="AD688" s="1">
        <v>45264</v>
      </c>
      <c r="AE688" s="1"/>
      <c r="AF688" s="1"/>
      <c r="AG688" s="1" t="s">
        <v>1720</v>
      </c>
      <c r="AH688" s="1" t="s">
        <v>1721</v>
      </c>
      <c r="AI688" s="1"/>
      <c r="AJ688" s="31">
        <v>45264</v>
      </c>
      <c r="AK688"/>
      <c r="AL688"/>
      <c r="AM688"/>
      <c r="AN688"/>
      <c r="AO688"/>
      <c r="AP688"/>
    </row>
    <row r="689" spans="1:42" s="81" customFormat="1" hidden="1">
      <c r="A689" s="1" t="s">
        <v>2542</v>
      </c>
      <c r="B689" s="1">
        <v>231210</v>
      </c>
      <c r="C689" s="1">
        <v>242091</v>
      </c>
      <c r="D689" s="1" t="s">
        <v>69</v>
      </c>
      <c r="E689" s="1" t="s">
        <v>306</v>
      </c>
      <c r="F689" t="s">
        <v>740</v>
      </c>
      <c r="G689" t="s">
        <v>317</v>
      </c>
      <c r="H689" s="1" t="s">
        <v>1629</v>
      </c>
      <c r="I689" s="1" t="s">
        <v>1630</v>
      </c>
      <c r="J689" s="1" t="s">
        <v>18</v>
      </c>
      <c r="K689" s="1" t="s">
        <v>50</v>
      </c>
      <c r="L689" s="1">
        <v>37378</v>
      </c>
      <c r="M689" s="1">
        <v>23</v>
      </c>
      <c r="N689" s="1">
        <v>1300</v>
      </c>
      <c r="O689" s="1"/>
      <c r="P689" s="1">
        <v>1660</v>
      </c>
      <c r="Q689" s="1"/>
      <c r="R689" s="1">
        <v>360</v>
      </c>
      <c r="S689">
        <v>280000</v>
      </c>
      <c r="T689">
        <v>14042</v>
      </c>
      <c r="U689" t="s">
        <v>814</v>
      </c>
      <c r="V689">
        <v>25620</v>
      </c>
      <c r="W689" s="1">
        <v>45988</v>
      </c>
      <c r="X689" s="1" t="s">
        <v>55</v>
      </c>
      <c r="Y689" s="1" t="s">
        <v>51</v>
      </c>
      <c r="Z689" s="1" t="s">
        <v>427</v>
      </c>
      <c r="AA689" s="1" t="s">
        <v>1718</v>
      </c>
      <c r="AB689" s="1" t="s">
        <v>1719</v>
      </c>
      <c r="AC689" s="1">
        <v>45257</v>
      </c>
      <c r="AD689" s="1">
        <v>45264</v>
      </c>
      <c r="AE689" s="1">
        <v>45703</v>
      </c>
      <c r="AF689" s="1"/>
      <c r="AG689" s="1" t="s">
        <v>1720</v>
      </c>
      <c r="AH689" s="1" t="s">
        <v>1721</v>
      </c>
      <c r="AI689" s="1"/>
      <c r="AJ689" s="31">
        <v>45264</v>
      </c>
      <c r="AK689"/>
      <c r="AL689"/>
      <c r="AM689"/>
      <c r="AN689"/>
      <c r="AO689"/>
      <c r="AP689"/>
    </row>
    <row r="690" spans="1:42" s="81" customFormat="1" hidden="1">
      <c r="A690" s="1" t="s">
        <v>2542</v>
      </c>
      <c r="B690" s="1">
        <v>231211</v>
      </c>
      <c r="C690" s="1">
        <v>242089</v>
      </c>
      <c r="D690" s="1" t="s">
        <v>69</v>
      </c>
      <c r="E690" s="1" t="s">
        <v>306</v>
      </c>
      <c r="F690" t="s">
        <v>390</v>
      </c>
      <c r="G690" t="s">
        <v>1085</v>
      </c>
      <c r="H690" s="1" t="s">
        <v>1631</v>
      </c>
      <c r="I690" s="1" t="s">
        <v>1632</v>
      </c>
      <c r="J690" s="1" t="s">
        <v>18</v>
      </c>
      <c r="K690" s="1" t="s">
        <v>50</v>
      </c>
      <c r="L690" s="1">
        <v>36779</v>
      </c>
      <c r="M690" s="1">
        <v>25</v>
      </c>
      <c r="N690" s="1">
        <v>1300</v>
      </c>
      <c r="O690" s="1"/>
      <c r="P690" s="1">
        <v>1660</v>
      </c>
      <c r="Q690" s="1"/>
      <c r="R690" s="1">
        <v>360</v>
      </c>
      <c r="S690">
        <v>320000</v>
      </c>
      <c r="T690">
        <v>16048</v>
      </c>
      <c r="U690" t="s">
        <v>814</v>
      </c>
      <c r="V690">
        <v>29280</v>
      </c>
      <c r="W690" s="1">
        <v>45988</v>
      </c>
      <c r="X690" s="1" t="s">
        <v>55</v>
      </c>
      <c r="Y690" s="1" t="s">
        <v>51</v>
      </c>
      <c r="Z690" s="1" t="s">
        <v>1474</v>
      </c>
      <c r="AA690" s="1" t="s">
        <v>1475</v>
      </c>
      <c r="AB690" s="1" t="s">
        <v>1476</v>
      </c>
      <c r="AC690" s="1">
        <v>45257</v>
      </c>
      <c r="AD690" s="1">
        <v>45264</v>
      </c>
      <c r="AE690" s="1">
        <v>45730</v>
      </c>
      <c r="AF690" s="1"/>
      <c r="AG690" s="1" t="s">
        <v>1720</v>
      </c>
      <c r="AH690" s="1" t="s">
        <v>1721</v>
      </c>
      <c r="AI690" s="1"/>
      <c r="AJ690" s="31">
        <v>45264</v>
      </c>
      <c r="AK690"/>
      <c r="AL690"/>
      <c r="AM690"/>
      <c r="AN690"/>
      <c r="AO690"/>
      <c r="AP690"/>
    </row>
    <row r="691" spans="1:42" s="81" customFormat="1" hidden="1">
      <c r="A691" s="1" t="s">
        <v>2542</v>
      </c>
      <c r="B691" s="1">
        <v>231213</v>
      </c>
      <c r="C691" s="1">
        <v>242088</v>
      </c>
      <c r="D691" s="1" t="s">
        <v>69</v>
      </c>
      <c r="E691" s="1" t="s">
        <v>306</v>
      </c>
      <c r="F691" t="s">
        <v>742</v>
      </c>
      <c r="G691" t="s">
        <v>317</v>
      </c>
      <c r="H691" s="1" t="s">
        <v>1635</v>
      </c>
      <c r="I691" s="1" t="s">
        <v>1636</v>
      </c>
      <c r="J691" s="1" t="s">
        <v>18</v>
      </c>
      <c r="K691" s="1" t="s">
        <v>50</v>
      </c>
      <c r="L691" s="1">
        <v>36438</v>
      </c>
      <c r="M691" s="1">
        <v>26</v>
      </c>
      <c r="N691" s="1">
        <v>1300</v>
      </c>
      <c r="O691" s="1"/>
      <c r="P691" s="1">
        <v>1660</v>
      </c>
      <c r="Q691" s="1"/>
      <c r="R691" s="1">
        <v>360</v>
      </c>
      <c r="S691">
        <v>280000</v>
      </c>
      <c r="T691">
        <v>14042</v>
      </c>
      <c r="U691" t="s">
        <v>814</v>
      </c>
      <c r="V691">
        <v>25620</v>
      </c>
      <c r="W691" s="1">
        <v>45988</v>
      </c>
      <c r="X691" s="1" t="s">
        <v>55</v>
      </c>
      <c r="Y691" s="1" t="s">
        <v>51</v>
      </c>
      <c r="Z691" s="1" t="s">
        <v>427</v>
      </c>
      <c r="AA691" s="1" t="s">
        <v>1718</v>
      </c>
      <c r="AB691" s="1" t="s">
        <v>1719</v>
      </c>
      <c r="AC691" s="1">
        <v>45257</v>
      </c>
      <c r="AD691" s="1">
        <v>45264</v>
      </c>
      <c r="AE691" s="1">
        <v>45730</v>
      </c>
      <c r="AF691" s="1"/>
      <c r="AG691" s="1" t="s">
        <v>1720</v>
      </c>
      <c r="AH691" s="1" t="s">
        <v>1721</v>
      </c>
      <c r="AI691" s="1"/>
      <c r="AJ691" s="31">
        <v>45264</v>
      </c>
      <c r="AK691"/>
      <c r="AL691"/>
      <c r="AM691"/>
      <c r="AN691"/>
      <c r="AO691"/>
      <c r="AP691"/>
    </row>
    <row r="692" spans="1:42" s="81" customFormat="1">
      <c r="A692" s="1" t="s">
        <v>49</v>
      </c>
      <c r="B692" s="1">
        <v>241007</v>
      </c>
      <c r="C692" s="1">
        <v>222075</v>
      </c>
      <c r="D692" s="1" t="s">
        <v>95</v>
      </c>
      <c r="E692" s="1" t="s">
        <v>3938</v>
      </c>
      <c r="F692" t="s">
        <v>3860</v>
      </c>
      <c r="G692" t="s">
        <v>3944</v>
      </c>
      <c r="H692" s="1" t="s">
        <v>3959</v>
      </c>
      <c r="I692" s="1" t="s">
        <v>3960</v>
      </c>
      <c r="J692" s="1" t="s">
        <v>18</v>
      </c>
      <c r="K692" s="1" t="s">
        <v>50</v>
      </c>
      <c r="L692" s="1">
        <v>37147</v>
      </c>
      <c r="M692" s="1">
        <v>24</v>
      </c>
      <c r="N692" s="1">
        <v>1250</v>
      </c>
      <c r="O692" s="1"/>
      <c r="P692" s="1">
        <v>1650</v>
      </c>
      <c r="Q692" s="1"/>
      <c r="R692" s="1">
        <v>400</v>
      </c>
      <c r="S692">
        <v>240000</v>
      </c>
      <c r="T692">
        <v>12036</v>
      </c>
      <c r="U692" t="s">
        <v>814</v>
      </c>
      <c r="V692">
        <v>21960</v>
      </c>
      <c r="W692" s="1">
        <v>46317</v>
      </c>
      <c r="X692" s="1" t="s">
        <v>55</v>
      </c>
      <c r="Y692" s="1" t="s">
        <v>51</v>
      </c>
      <c r="Z692" s="1" t="s">
        <v>217</v>
      </c>
      <c r="AA692" s="1" t="s">
        <v>218</v>
      </c>
      <c r="AB692" s="1" t="s">
        <v>1717</v>
      </c>
      <c r="AC692" s="1"/>
      <c r="AD692" s="1">
        <v>45583</v>
      </c>
      <c r="AE692" s="1"/>
      <c r="AF692" s="1"/>
      <c r="AG692" s="1">
        <v>45583</v>
      </c>
      <c r="AH692" s="1" t="s">
        <v>3719</v>
      </c>
      <c r="AI692" s="1"/>
      <c r="AJ692" s="31">
        <v>45583</v>
      </c>
      <c r="AK692"/>
      <c r="AL692"/>
      <c r="AM692"/>
      <c r="AN692"/>
      <c r="AO692"/>
      <c r="AP692"/>
    </row>
    <row r="693" spans="1:42" s="81" customFormat="1">
      <c r="A693" s="1" t="s">
        <v>49</v>
      </c>
      <c r="B693" s="1">
        <v>241215</v>
      </c>
      <c r="C693" s="1">
        <v>222078</v>
      </c>
      <c r="D693" s="1" t="s">
        <v>95</v>
      </c>
      <c r="E693" s="1" t="s">
        <v>3938</v>
      </c>
      <c r="F693" t="s">
        <v>3860</v>
      </c>
      <c r="G693" t="s">
        <v>3944</v>
      </c>
      <c r="H693" s="1" t="s">
        <v>4024</v>
      </c>
      <c r="I693" s="1" t="s">
        <v>4025</v>
      </c>
      <c r="J693" s="1" t="s">
        <v>18</v>
      </c>
      <c r="K693" s="1" t="s">
        <v>50</v>
      </c>
      <c r="L693" s="1">
        <v>36218</v>
      </c>
      <c r="M693" s="1">
        <v>26</v>
      </c>
      <c r="N693" s="1">
        <v>1250</v>
      </c>
      <c r="O693" s="1"/>
      <c r="P693" s="1">
        <v>1650</v>
      </c>
      <c r="Q693" s="1"/>
      <c r="R693" s="1">
        <v>400</v>
      </c>
      <c r="S693">
        <v>260000</v>
      </c>
      <c r="T693">
        <v>13039</v>
      </c>
      <c r="U693" t="s">
        <v>814</v>
      </c>
      <c r="V693">
        <v>23790</v>
      </c>
      <c r="W693" s="1">
        <v>46325</v>
      </c>
      <c r="X693" s="1" t="s">
        <v>55</v>
      </c>
      <c r="Y693" s="1" t="s">
        <v>51</v>
      </c>
      <c r="Z693" s="1" t="s">
        <v>91</v>
      </c>
      <c r="AA693" s="1" t="s">
        <v>1422</v>
      </c>
      <c r="AB693" s="1" t="s">
        <v>1426</v>
      </c>
      <c r="AC693" s="1"/>
      <c r="AD693" s="1">
        <v>45643</v>
      </c>
      <c r="AE693" s="1"/>
      <c r="AF693" s="1"/>
      <c r="AG693" s="1">
        <v>45643</v>
      </c>
      <c r="AH693" s="1" t="s">
        <v>4026</v>
      </c>
      <c r="AI693" s="1" t="s">
        <v>4027</v>
      </c>
      <c r="AJ693" s="31">
        <v>45643</v>
      </c>
      <c r="AK693"/>
      <c r="AL693"/>
      <c r="AM693"/>
      <c r="AN693"/>
      <c r="AO693"/>
      <c r="AP693"/>
    </row>
    <row r="694" spans="1:42" s="81" customFormat="1">
      <c r="A694" s="1" t="s">
        <v>49</v>
      </c>
      <c r="B694" s="1">
        <v>250205</v>
      </c>
      <c r="C694" s="1">
        <v>222083</v>
      </c>
      <c r="D694" s="1" t="s">
        <v>95</v>
      </c>
      <c r="E694" s="1" t="s">
        <v>3938</v>
      </c>
      <c r="F694" t="s">
        <v>3860</v>
      </c>
      <c r="G694" t="s">
        <v>3944</v>
      </c>
      <c r="H694" s="1" t="s">
        <v>4105</v>
      </c>
      <c r="I694" s="1" t="s">
        <v>4106</v>
      </c>
      <c r="J694" s="1" t="s">
        <v>18</v>
      </c>
      <c r="K694" s="1" t="s">
        <v>50</v>
      </c>
      <c r="L694" s="1">
        <v>36433</v>
      </c>
      <c r="M694" s="1">
        <v>26</v>
      </c>
      <c r="N694" s="1">
        <v>1250</v>
      </c>
      <c r="O694" s="1"/>
      <c r="P694" s="1">
        <v>1650</v>
      </c>
      <c r="Q694" s="1"/>
      <c r="R694" s="1">
        <v>400</v>
      </c>
      <c r="S694">
        <v>220000</v>
      </c>
      <c r="T694">
        <v>11033</v>
      </c>
      <c r="U694" t="s">
        <v>814</v>
      </c>
      <c r="V694">
        <v>20130</v>
      </c>
      <c r="W694" s="1">
        <v>46786</v>
      </c>
      <c r="X694" s="1" t="s">
        <v>55</v>
      </c>
      <c r="Y694" s="1" t="s">
        <v>51</v>
      </c>
      <c r="Z694" s="1" t="s">
        <v>67</v>
      </c>
      <c r="AA694" s="1" t="s">
        <v>4150</v>
      </c>
      <c r="AB694" s="1" t="s">
        <v>4151</v>
      </c>
      <c r="AC694" s="1"/>
      <c r="AD694" s="1">
        <v>45698</v>
      </c>
      <c r="AE694" s="1"/>
      <c r="AF694" s="1"/>
      <c r="AG694" s="1">
        <v>45698</v>
      </c>
      <c r="AH694" s="1" t="s">
        <v>4189</v>
      </c>
      <c r="AI694" s="1"/>
      <c r="AJ694" s="31">
        <v>45698</v>
      </c>
      <c r="AK694"/>
      <c r="AL694"/>
      <c r="AM694"/>
      <c r="AN694"/>
      <c r="AO694"/>
      <c r="AP694"/>
    </row>
    <row r="695" spans="1:42" s="81" customFormat="1">
      <c r="A695" s="1" t="s">
        <v>49</v>
      </c>
      <c r="B695" s="1">
        <v>250206</v>
      </c>
      <c r="C695" s="1">
        <v>222084</v>
      </c>
      <c r="D695" s="1" t="s">
        <v>62</v>
      </c>
      <c r="E695" s="1" t="s">
        <v>3938</v>
      </c>
      <c r="F695" t="s">
        <v>3860</v>
      </c>
      <c r="G695" t="s">
        <v>3944</v>
      </c>
      <c r="H695" s="1" t="s">
        <v>4107</v>
      </c>
      <c r="I695" s="1" t="s">
        <v>4108</v>
      </c>
      <c r="J695" s="1" t="s">
        <v>18</v>
      </c>
      <c r="K695" s="1" t="s">
        <v>50</v>
      </c>
      <c r="L695" s="1">
        <v>35420</v>
      </c>
      <c r="M695" s="1">
        <v>28</v>
      </c>
      <c r="N695" s="1">
        <v>1250</v>
      </c>
      <c r="O695" s="1"/>
      <c r="P695" s="1">
        <v>1650</v>
      </c>
      <c r="Q695" s="1"/>
      <c r="R695" s="1">
        <v>400</v>
      </c>
      <c r="S695">
        <v>240000</v>
      </c>
      <c r="T695">
        <v>12036</v>
      </c>
      <c r="U695" t="s">
        <v>814</v>
      </c>
      <c r="V695">
        <v>21960</v>
      </c>
      <c r="W695" s="1">
        <v>46786</v>
      </c>
      <c r="X695" s="1" t="s">
        <v>55</v>
      </c>
      <c r="Y695" s="1" t="s">
        <v>51</v>
      </c>
      <c r="Z695" s="1" t="s">
        <v>67</v>
      </c>
      <c r="AA695" s="1" t="s">
        <v>4150</v>
      </c>
      <c r="AB695" s="1" t="s">
        <v>4151</v>
      </c>
      <c r="AC695" s="1"/>
      <c r="AD695" s="1">
        <v>45698</v>
      </c>
      <c r="AE695" s="1"/>
      <c r="AF695" s="1"/>
      <c r="AG695" s="1">
        <v>45698</v>
      </c>
      <c r="AH695" s="1" t="s">
        <v>4189</v>
      </c>
      <c r="AI695" s="1" t="s">
        <v>4494</v>
      </c>
      <c r="AJ695" s="31">
        <v>45698</v>
      </c>
      <c r="AK695"/>
      <c r="AL695"/>
      <c r="AM695"/>
      <c r="AN695"/>
      <c r="AO695"/>
      <c r="AP695"/>
    </row>
    <row r="696" spans="1:42" s="81" customFormat="1" hidden="1">
      <c r="A696" s="1" t="s">
        <v>49</v>
      </c>
      <c r="B696" s="1">
        <v>231217</v>
      </c>
      <c r="C696" s="1">
        <v>8210086</v>
      </c>
      <c r="D696" s="1" t="s">
        <v>822</v>
      </c>
      <c r="E696" s="1" t="s">
        <v>831</v>
      </c>
      <c r="F696" t="s">
        <v>831</v>
      </c>
      <c r="G696"/>
      <c r="H696" s="1" t="s">
        <v>1730</v>
      </c>
      <c r="I696" s="1" t="s">
        <v>1731</v>
      </c>
      <c r="J696" s="1" t="s">
        <v>18</v>
      </c>
      <c r="K696" s="1" t="s">
        <v>50</v>
      </c>
      <c r="L696" s="1">
        <v>32010</v>
      </c>
      <c r="M696" s="1">
        <v>38</v>
      </c>
      <c r="N696" s="1">
        <v>1610</v>
      </c>
      <c r="O696" s="1"/>
      <c r="P696" s="1">
        <v>2300</v>
      </c>
      <c r="Q696" s="1"/>
      <c r="R696" s="1">
        <v>690</v>
      </c>
      <c r="S696">
        <v>320000</v>
      </c>
      <c r="T696">
        <v>16048</v>
      </c>
      <c r="U696" t="s">
        <v>814</v>
      </c>
      <c r="V696">
        <v>29280</v>
      </c>
      <c r="W696" s="1">
        <v>46902</v>
      </c>
      <c r="X696" s="1" t="s">
        <v>55</v>
      </c>
      <c r="Y696" s="1" t="s">
        <v>51</v>
      </c>
      <c r="Z696" s="1" t="s">
        <v>1455</v>
      </c>
      <c r="AA696" s="1" t="s">
        <v>1456</v>
      </c>
      <c r="AB696" s="1" t="s">
        <v>1457</v>
      </c>
      <c r="AC696" s="1"/>
      <c r="AD696" s="1">
        <v>45275</v>
      </c>
      <c r="AE696" s="1"/>
      <c r="AF696" s="1"/>
      <c r="AG696" s="1" t="s">
        <v>1732</v>
      </c>
      <c r="AH696" s="1" t="s">
        <v>1729</v>
      </c>
      <c r="AI696" s="1"/>
      <c r="AJ696" s="31">
        <v>45275</v>
      </c>
      <c r="AK696" t="s">
        <v>2423</v>
      </c>
      <c r="AL696">
        <v>45921</v>
      </c>
      <c r="AM696" t="s">
        <v>2423</v>
      </c>
      <c r="AN696">
        <v>46584</v>
      </c>
      <c r="AO696"/>
      <c r="AP696"/>
    </row>
    <row r="697" spans="1:42" s="81" customFormat="1" hidden="1">
      <c r="A697" s="1" t="s">
        <v>2542</v>
      </c>
      <c r="B697" s="1">
        <v>231218</v>
      </c>
      <c r="C697" s="1">
        <v>232129</v>
      </c>
      <c r="D697" s="1" t="s">
        <v>83</v>
      </c>
      <c r="E697" s="1" t="s">
        <v>307</v>
      </c>
      <c r="F697" t="s">
        <v>2251</v>
      </c>
      <c r="G697" t="s">
        <v>2252</v>
      </c>
      <c r="H697" s="1" t="s">
        <v>1733</v>
      </c>
      <c r="I697" s="1" t="s">
        <v>1734</v>
      </c>
      <c r="J697" s="1" t="s">
        <v>18</v>
      </c>
      <c r="K697" s="1" t="s">
        <v>50</v>
      </c>
      <c r="L697" s="1">
        <v>35883</v>
      </c>
      <c r="M697" s="1">
        <v>27</v>
      </c>
      <c r="N697" s="1">
        <v>1300</v>
      </c>
      <c r="O697" s="1"/>
      <c r="P697" s="1">
        <v>1660</v>
      </c>
      <c r="Q697" s="1"/>
      <c r="R697" s="1">
        <v>360</v>
      </c>
      <c r="S697">
        <v>220000</v>
      </c>
      <c r="T697">
        <v>11033</v>
      </c>
      <c r="U697" t="s">
        <v>814</v>
      </c>
      <c r="V697">
        <v>20130</v>
      </c>
      <c r="W697" s="1">
        <v>46001</v>
      </c>
      <c r="X697" s="1" t="s">
        <v>55</v>
      </c>
      <c r="Y697" s="1" t="s">
        <v>51</v>
      </c>
      <c r="Z697" s="1" t="s">
        <v>110</v>
      </c>
      <c r="AA697" s="1" t="s">
        <v>113</v>
      </c>
      <c r="AB697" s="1" t="s">
        <v>2005</v>
      </c>
      <c r="AC697" s="1">
        <v>45268</v>
      </c>
      <c r="AD697" s="1">
        <v>45275</v>
      </c>
      <c r="AE697" s="1">
        <v>45715</v>
      </c>
      <c r="AF697" s="1"/>
      <c r="AG697" s="1" t="s">
        <v>1732</v>
      </c>
      <c r="AH697" s="1" t="s">
        <v>1729</v>
      </c>
      <c r="AI697" s="1"/>
      <c r="AJ697" s="31">
        <v>45275</v>
      </c>
      <c r="AK697"/>
      <c r="AL697"/>
      <c r="AM697"/>
      <c r="AN697"/>
      <c r="AO697"/>
      <c r="AP697"/>
    </row>
    <row r="698" spans="1:42" s="81" customFormat="1" hidden="1">
      <c r="A698" s="1" t="s">
        <v>2542</v>
      </c>
      <c r="B698" s="1">
        <v>231219</v>
      </c>
      <c r="C698" s="1">
        <v>232131</v>
      </c>
      <c r="D698" s="1" t="s">
        <v>83</v>
      </c>
      <c r="E698" s="1" t="s">
        <v>311</v>
      </c>
      <c r="F698" t="s">
        <v>2253</v>
      </c>
      <c r="G698" t="s">
        <v>364</v>
      </c>
      <c r="H698" s="1" t="s">
        <v>1639</v>
      </c>
      <c r="I698" s="1" t="s">
        <v>1640</v>
      </c>
      <c r="J698" s="1" t="s">
        <v>17</v>
      </c>
      <c r="K698" s="1" t="s">
        <v>50</v>
      </c>
      <c r="L698" s="1">
        <v>35212</v>
      </c>
      <c r="M698" s="1">
        <v>29</v>
      </c>
      <c r="N698" s="1">
        <v>1110</v>
      </c>
      <c r="O698" s="1"/>
      <c r="P698" s="1">
        <v>1640</v>
      </c>
      <c r="Q698" s="1"/>
      <c r="R698" s="1">
        <v>530</v>
      </c>
      <c r="S698">
        <v>118000</v>
      </c>
      <c r="T698">
        <v>5918</v>
      </c>
      <c r="U698" t="s">
        <v>814</v>
      </c>
      <c r="V698">
        <v>10797</v>
      </c>
      <c r="W698" s="1">
        <v>46185</v>
      </c>
      <c r="X698" s="1" t="s">
        <v>55</v>
      </c>
      <c r="Y698" s="1" t="s">
        <v>121</v>
      </c>
      <c r="Z698" s="1" t="s">
        <v>110</v>
      </c>
      <c r="AA698" s="1" t="s">
        <v>134</v>
      </c>
      <c r="AB698" s="1" t="s">
        <v>1735</v>
      </c>
      <c r="AC698" s="1" t="s">
        <v>53</v>
      </c>
      <c r="AD698" s="1">
        <v>45278</v>
      </c>
      <c r="AE698" s="1">
        <v>45967</v>
      </c>
      <c r="AF698" s="1"/>
      <c r="AG698" s="1" t="s">
        <v>1736</v>
      </c>
      <c r="AH698" s="1" t="s">
        <v>1729</v>
      </c>
      <c r="AI698" s="1" t="s">
        <v>4492</v>
      </c>
      <c r="AJ698" s="31">
        <v>45278</v>
      </c>
      <c r="AK698"/>
      <c r="AL698"/>
      <c r="AM698"/>
      <c r="AN698"/>
      <c r="AO698"/>
      <c r="AP698"/>
    </row>
    <row r="699" spans="1:42" s="81" customFormat="1" hidden="1">
      <c r="A699" s="1" t="s">
        <v>49</v>
      </c>
      <c r="B699" s="1">
        <v>231221</v>
      </c>
      <c r="C699" s="1">
        <v>232130</v>
      </c>
      <c r="D699" s="1" t="s">
        <v>83</v>
      </c>
      <c r="E699" s="1" t="s">
        <v>307</v>
      </c>
      <c r="F699" t="s">
        <v>2251</v>
      </c>
      <c r="G699" t="s">
        <v>2252</v>
      </c>
      <c r="H699" s="1" t="s">
        <v>2006</v>
      </c>
      <c r="I699" s="1" t="s">
        <v>2007</v>
      </c>
      <c r="J699" s="1" t="s">
        <v>18</v>
      </c>
      <c r="K699" s="1" t="s">
        <v>200</v>
      </c>
      <c r="L699" s="1">
        <v>35121</v>
      </c>
      <c r="M699" s="1">
        <v>29</v>
      </c>
      <c r="N699" s="1">
        <v>1400</v>
      </c>
      <c r="O699" s="1" t="s">
        <v>3862</v>
      </c>
      <c r="P699" s="1">
        <v>1790</v>
      </c>
      <c r="Q699" s="1"/>
      <c r="R699" s="1">
        <v>390</v>
      </c>
      <c r="S699">
        <v>280000</v>
      </c>
      <c r="T699">
        <v>14042</v>
      </c>
      <c r="U699" t="s">
        <v>814</v>
      </c>
      <c r="V699">
        <v>25620</v>
      </c>
      <c r="W699" s="1">
        <v>46374</v>
      </c>
      <c r="X699" s="1" t="s">
        <v>55</v>
      </c>
      <c r="Y699" s="1" t="s">
        <v>51</v>
      </c>
      <c r="Z699" s="1" t="s">
        <v>110</v>
      </c>
      <c r="AA699" s="1" t="s">
        <v>127</v>
      </c>
      <c r="AB699" s="1" t="s">
        <v>244</v>
      </c>
      <c r="AC699" s="1">
        <v>45480</v>
      </c>
      <c r="AD699" s="1">
        <v>45278</v>
      </c>
      <c r="AE699" s="1"/>
      <c r="AF699" s="1"/>
      <c r="AG699" s="1" t="s">
        <v>283</v>
      </c>
      <c r="AH699" s="1" t="s">
        <v>2008</v>
      </c>
      <c r="AI699" s="1" t="s">
        <v>2009</v>
      </c>
      <c r="AJ699" s="31">
        <v>45278</v>
      </c>
      <c r="AK699"/>
      <c r="AL699"/>
      <c r="AM699"/>
      <c r="AN699"/>
      <c r="AO699"/>
      <c r="AP699"/>
    </row>
    <row r="700" spans="1:42" s="81" customFormat="1" hidden="1">
      <c r="A700" s="1" t="s">
        <v>2542</v>
      </c>
      <c r="B700" s="1">
        <v>231220</v>
      </c>
      <c r="C700" s="1"/>
      <c r="D700" s="1" t="s">
        <v>414</v>
      </c>
      <c r="E700" s="1"/>
      <c r="F700"/>
      <c r="G700"/>
      <c r="H700" s="1" t="s">
        <v>3744</v>
      </c>
      <c r="I700" s="1" t="s">
        <v>3745</v>
      </c>
      <c r="J700" s="1" t="s">
        <v>18</v>
      </c>
      <c r="K700" s="1" t="s">
        <v>200</v>
      </c>
      <c r="L700" s="1">
        <v>32146</v>
      </c>
      <c r="M700" s="1">
        <v>37</v>
      </c>
      <c r="N700" s="1">
        <v>1300</v>
      </c>
      <c r="O700" s="1"/>
      <c r="P700" s="1">
        <v>1650</v>
      </c>
      <c r="Q700" s="1"/>
      <c r="R700" s="1">
        <v>350</v>
      </c>
      <c r="S700">
        <v>200000</v>
      </c>
      <c r="T700">
        <v>10030</v>
      </c>
      <c r="U700" t="s">
        <v>814</v>
      </c>
      <c r="V700">
        <v>18300</v>
      </c>
      <c r="W700" s="1">
        <v>45506</v>
      </c>
      <c r="X700" s="1" t="s">
        <v>55</v>
      </c>
      <c r="Y700" s="1" t="s">
        <v>51</v>
      </c>
      <c r="Z700" s="1" t="s">
        <v>3746</v>
      </c>
      <c r="AA700" s="1" t="s">
        <v>3747</v>
      </c>
      <c r="AB700" s="1" t="s">
        <v>3748</v>
      </c>
      <c r="AC700" s="1">
        <v>45279</v>
      </c>
      <c r="AD700" s="1">
        <v>45281</v>
      </c>
      <c r="AE700" s="1">
        <v>45379</v>
      </c>
      <c r="AF700" s="1"/>
      <c r="AG700" s="1" t="s">
        <v>3749</v>
      </c>
      <c r="AH700" s="1" t="s">
        <v>3750</v>
      </c>
      <c r="AI700" s="1"/>
      <c r="AJ700" s="31">
        <v>45281</v>
      </c>
      <c r="AK700"/>
      <c r="AL700"/>
      <c r="AM700"/>
      <c r="AN700"/>
      <c r="AO700"/>
      <c r="AP700"/>
    </row>
    <row r="701" spans="1:42" s="81" customFormat="1" hidden="1">
      <c r="A701" s="1" t="s">
        <v>2542</v>
      </c>
      <c r="B701" s="1">
        <v>240101</v>
      </c>
      <c r="C701" s="1"/>
      <c r="D701" s="1" t="s">
        <v>519</v>
      </c>
      <c r="E701" s="1"/>
      <c r="F701"/>
      <c r="G701"/>
      <c r="H701" s="1" t="s">
        <v>1737</v>
      </c>
      <c r="I701" s="1" t="s">
        <v>1738</v>
      </c>
      <c r="J701" s="1" t="s">
        <v>18</v>
      </c>
      <c r="K701" s="1" t="s">
        <v>50</v>
      </c>
      <c r="L701" s="1">
        <v>31142</v>
      </c>
      <c r="M701" s="1">
        <v>40</v>
      </c>
      <c r="N701" s="1">
        <v>1400</v>
      </c>
      <c r="O701" s="1"/>
      <c r="P701" s="1">
        <v>1900</v>
      </c>
      <c r="Q701" s="1"/>
      <c r="R701" s="1">
        <v>500</v>
      </c>
      <c r="S701">
        <v>260000</v>
      </c>
      <c r="T701">
        <v>13039</v>
      </c>
      <c r="U701">
        <v>2067</v>
      </c>
      <c r="V701">
        <v>23790</v>
      </c>
      <c r="W701" s="1">
        <v>46341</v>
      </c>
      <c r="X701" s="1" t="s">
        <v>55</v>
      </c>
      <c r="Y701" s="1" t="s">
        <v>51</v>
      </c>
      <c r="Z701" s="1" t="s">
        <v>1739</v>
      </c>
      <c r="AA701" s="1" t="s">
        <v>1740</v>
      </c>
      <c r="AB701" s="1" t="s">
        <v>1741</v>
      </c>
      <c r="AC701" s="1">
        <v>45288</v>
      </c>
      <c r="AD701" s="1">
        <v>45301</v>
      </c>
      <c r="AE701" s="1">
        <v>45603</v>
      </c>
      <c r="AF701" s="1"/>
      <c r="AG701" s="1" t="s">
        <v>2010</v>
      </c>
      <c r="AH701" s="1" t="s">
        <v>2011</v>
      </c>
      <c r="AI701" s="1"/>
      <c r="AJ701" s="31">
        <v>45301</v>
      </c>
      <c r="AK701"/>
      <c r="AL701"/>
      <c r="AM701"/>
      <c r="AN701"/>
      <c r="AO701"/>
      <c r="AP701"/>
    </row>
    <row r="702" spans="1:42" s="81" customFormat="1" hidden="1">
      <c r="A702" s="1" t="s">
        <v>2542</v>
      </c>
      <c r="B702" s="1">
        <v>240102</v>
      </c>
      <c r="C702" s="1"/>
      <c r="D702" s="1" t="s">
        <v>519</v>
      </c>
      <c r="E702" s="1"/>
      <c r="F702"/>
      <c r="G702"/>
      <c r="H702" s="1" t="s">
        <v>1742</v>
      </c>
      <c r="I702" s="1" t="s">
        <v>1743</v>
      </c>
      <c r="J702" s="1" t="s">
        <v>18</v>
      </c>
      <c r="K702" s="1" t="s">
        <v>50</v>
      </c>
      <c r="L702" s="1">
        <v>35789</v>
      </c>
      <c r="M702" s="1">
        <v>27</v>
      </c>
      <c r="N702" s="1">
        <v>1430</v>
      </c>
      <c r="O702" s="1"/>
      <c r="P702" s="1">
        <v>1900</v>
      </c>
      <c r="Q702" s="1"/>
      <c r="R702" s="1">
        <v>470</v>
      </c>
      <c r="S702">
        <v>240000</v>
      </c>
      <c r="T702">
        <v>12036</v>
      </c>
      <c r="U702" t="s">
        <v>814</v>
      </c>
      <c r="V702">
        <v>21960</v>
      </c>
      <c r="W702" s="1">
        <v>46527</v>
      </c>
      <c r="X702" s="1" t="s">
        <v>55</v>
      </c>
      <c r="Y702" s="1" t="s">
        <v>51</v>
      </c>
      <c r="Z702" s="1" t="s">
        <v>1739</v>
      </c>
      <c r="AA702" s="1" t="s">
        <v>1740</v>
      </c>
      <c r="AB702" s="1" t="s">
        <v>1741</v>
      </c>
      <c r="AC702" s="1">
        <v>45288</v>
      </c>
      <c r="AD702" s="1">
        <v>45301</v>
      </c>
      <c r="AE702" s="1">
        <v>45834</v>
      </c>
      <c r="AF702" s="1"/>
      <c r="AG702" s="1" t="s">
        <v>2010</v>
      </c>
      <c r="AH702" s="1" t="s">
        <v>2011</v>
      </c>
      <c r="AI702" s="1"/>
      <c r="AJ702" s="31">
        <v>45301</v>
      </c>
      <c r="AK702"/>
      <c r="AL702"/>
      <c r="AM702"/>
      <c r="AN702"/>
      <c r="AO702"/>
      <c r="AP702"/>
    </row>
    <row r="703" spans="1:42" s="81" customFormat="1" hidden="1">
      <c r="A703" s="1" t="s">
        <v>49</v>
      </c>
      <c r="B703" s="1">
        <v>220806</v>
      </c>
      <c r="C703" s="1">
        <v>232076</v>
      </c>
      <c r="D703" s="1" t="s">
        <v>83</v>
      </c>
      <c r="E703" s="1" t="s">
        <v>307</v>
      </c>
      <c r="F703" t="s">
        <v>2251</v>
      </c>
      <c r="G703" t="s">
        <v>2252</v>
      </c>
      <c r="H703" s="1" t="s">
        <v>377</v>
      </c>
      <c r="I703" s="1" t="s">
        <v>356</v>
      </c>
      <c r="J703" s="1" t="s">
        <v>18</v>
      </c>
      <c r="K703" s="1" t="s">
        <v>50</v>
      </c>
      <c r="L703" s="1">
        <v>31723</v>
      </c>
      <c r="M703" s="1">
        <v>39</v>
      </c>
      <c r="N703" s="1">
        <v>1420</v>
      </c>
      <c r="O703" s="1" t="s">
        <v>655</v>
      </c>
      <c r="P703" s="1">
        <v>1850</v>
      </c>
      <c r="Q703" s="1"/>
      <c r="R703" s="1">
        <v>430</v>
      </c>
      <c r="S703">
        <v>280000</v>
      </c>
      <c r="T703">
        <v>14042</v>
      </c>
      <c r="U703" t="s">
        <v>814</v>
      </c>
      <c r="V703">
        <v>25620</v>
      </c>
      <c r="W703" s="1">
        <v>46291</v>
      </c>
      <c r="X703" s="1" t="s">
        <v>55</v>
      </c>
      <c r="Y703" s="1" t="s">
        <v>51</v>
      </c>
      <c r="Z703" s="1" t="s">
        <v>211</v>
      </c>
      <c r="AA703" s="1" t="s">
        <v>3074</v>
      </c>
      <c r="AB703" s="1" t="s">
        <v>1713</v>
      </c>
      <c r="AC703" s="1" t="s">
        <v>53</v>
      </c>
      <c r="AD703" s="1">
        <v>45306</v>
      </c>
      <c r="AE703" s="1"/>
      <c r="AF703" s="1"/>
      <c r="AG703" s="1" t="s">
        <v>1997</v>
      </c>
      <c r="AH703" s="1" t="s">
        <v>1998</v>
      </c>
      <c r="AI703" s="1"/>
      <c r="AJ703" s="31">
        <v>45306</v>
      </c>
      <c r="AK703"/>
      <c r="AL703"/>
      <c r="AM703"/>
      <c r="AN703"/>
      <c r="AO703"/>
      <c r="AP703"/>
    </row>
    <row r="704" spans="1:42" s="81" customFormat="1" hidden="1">
      <c r="A704" s="1" t="s">
        <v>49</v>
      </c>
      <c r="B704" s="1">
        <v>240103</v>
      </c>
      <c r="C704" s="1">
        <v>8210087</v>
      </c>
      <c r="D704" s="1" t="s">
        <v>818</v>
      </c>
      <c r="E704" s="1" t="s">
        <v>4168</v>
      </c>
      <c r="F704" t="s">
        <v>4168</v>
      </c>
      <c r="G704"/>
      <c r="H704" s="1" t="s">
        <v>156</v>
      </c>
      <c r="I704" s="1" t="s">
        <v>1752</v>
      </c>
      <c r="J704" s="1" t="s">
        <v>18</v>
      </c>
      <c r="K704" s="1" t="s">
        <v>50</v>
      </c>
      <c r="L704" s="1">
        <v>29726</v>
      </c>
      <c r="M704" s="1">
        <v>44</v>
      </c>
      <c r="N704" s="1">
        <v>1555</v>
      </c>
      <c r="O704" s="1"/>
      <c r="P704" s="1">
        <v>2225</v>
      </c>
      <c r="Q704" s="1"/>
      <c r="R704" s="1">
        <v>670</v>
      </c>
      <c r="S704">
        <v>380000</v>
      </c>
      <c r="T704">
        <v>19057</v>
      </c>
      <c r="U704">
        <v>3021</v>
      </c>
      <c r="V704">
        <v>34770</v>
      </c>
      <c r="W704" s="1">
        <v>46641</v>
      </c>
      <c r="X704" s="1" t="s">
        <v>55</v>
      </c>
      <c r="Y704" s="1" t="s">
        <v>51</v>
      </c>
      <c r="Z704" s="1" t="s">
        <v>1753</v>
      </c>
      <c r="AA704" s="1" t="s">
        <v>1754</v>
      </c>
      <c r="AB704" s="1" t="s">
        <v>1755</v>
      </c>
      <c r="AC704" s="1" t="s">
        <v>53</v>
      </c>
      <c r="AD704" s="1">
        <v>45306</v>
      </c>
      <c r="AE704" s="1"/>
      <c r="AF704" s="1"/>
      <c r="AG704" s="1" t="s">
        <v>1997</v>
      </c>
      <c r="AH704" s="1" t="s">
        <v>1998</v>
      </c>
      <c r="AI704" s="1"/>
      <c r="AJ704" s="31">
        <v>45306</v>
      </c>
      <c r="AK704" t="s">
        <v>2470</v>
      </c>
      <c r="AL704">
        <v>46193</v>
      </c>
      <c r="AM704" t="s">
        <v>2468</v>
      </c>
      <c r="AN704">
        <v>46415</v>
      </c>
      <c r="AO704"/>
      <c r="AP704"/>
    </row>
    <row r="705" spans="1:42" s="81" customFormat="1">
      <c r="A705" s="1" t="s">
        <v>49</v>
      </c>
      <c r="B705" s="1">
        <v>250223</v>
      </c>
      <c r="C705" s="1">
        <v>212055</v>
      </c>
      <c r="D705" s="1" t="s">
        <v>75</v>
      </c>
      <c r="E705" s="1" t="s">
        <v>3934</v>
      </c>
      <c r="F705" t="s">
        <v>1460</v>
      </c>
      <c r="G705" t="s">
        <v>1461</v>
      </c>
      <c r="H705" s="1" t="s">
        <v>4153</v>
      </c>
      <c r="I705" s="1" t="s">
        <v>4154</v>
      </c>
      <c r="J705" s="1" t="s">
        <v>18</v>
      </c>
      <c r="K705" s="1" t="s">
        <v>50</v>
      </c>
      <c r="L705" s="1">
        <v>37162</v>
      </c>
      <c r="M705" s="1">
        <v>24</v>
      </c>
      <c r="N705" s="1">
        <v>1250</v>
      </c>
      <c r="O705" s="1"/>
      <c r="P705" s="1">
        <v>1650</v>
      </c>
      <c r="Q705" s="1"/>
      <c r="R705" s="1">
        <v>400</v>
      </c>
      <c r="S705">
        <v>200000</v>
      </c>
      <c r="T705">
        <v>10030</v>
      </c>
      <c r="U705" t="s">
        <v>814</v>
      </c>
      <c r="V705">
        <v>18300</v>
      </c>
      <c r="W705" s="1">
        <v>46797</v>
      </c>
      <c r="X705" s="1" t="s">
        <v>55</v>
      </c>
      <c r="Y705" s="1" t="s">
        <v>51</v>
      </c>
      <c r="Z705" s="1" t="s">
        <v>67</v>
      </c>
      <c r="AA705" s="1" t="s">
        <v>4150</v>
      </c>
      <c r="AB705" s="1" t="s">
        <v>4151</v>
      </c>
      <c r="AC705" s="1">
        <v>45702</v>
      </c>
      <c r="AD705" s="1">
        <v>45707</v>
      </c>
      <c r="AE705" s="1"/>
      <c r="AF705" s="1"/>
      <c r="AG705" s="1">
        <v>45707</v>
      </c>
      <c r="AH705" s="1" t="s">
        <v>4195</v>
      </c>
      <c r="AI705" s="1"/>
      <c r="AJ705" s="31">
        <v>45707</v>
      </c>
      <c r="AK705"/>
      <c r="AL705"/>
      <c r="AM705"/>
      <c r="AN705"/>
      <c r="AO705"/>
      <c r="AP705"/>
    </row>
    <row r="706" spans="1:42" s="81" customFormat="1">
      <c r="A706" s="1" t="s">
        <v>49</v>
      </c>
      <c r="B706" s="1">
        <v>250603</v>
      </c>
      <c r="C706" s="1">
        <v>212057</v>
      </c>
      <c r="D706" s="1" t="s">
        <v>75</v>
      </c>
      <c r="E706" s="1" t="s">
        <v>3934</v>
      </c>
      <c r="F706" t="s">
        <v>1460</v>
      </c>
      <c r="G706" t="s">
        <v>1461</v>
      </c>
      <c r="H706" s="1" t="s">
        <v>4297</v>
      </c>
      <c r="I706" s="1" t="s">
        <v>4298</v>
      </c>
      <c r="J706" s="1" t="s">
        <v>18</v>
      </c>
      <c r="K706" s="1" t="s">
        <v>50</v>
      </c>
      <c r="L706" s="1">
        <v>37181</v>
      </c>
      <c r="M706" s="1">
        <v>24</v>
      </c>
      <c r="N706" s="1">
        <v>1200</v>
      </c>
      <c r="O706" s="1"/>
      <c r="P706" s="1">
        <v>1650</v>
      </c>
      <c r="Q706" s="1"/>
      <c r="R706" s="1">
        <v>450</v>
      </c>
      <c r="S706">
        <v>200000</v>
      </c>
      <c r="T706">
        <v>10030</v>
      </c>
      <c r="U706" t="s">
        <v>814</v>
      </c>
      <c r="V706">
        <v>18300</v>
      </c>
      <c r="W706" s="1">
        <v>46170</v>
      </c>
      <c r="X706" s="1" t="s">
        <v>55</v>
      </c>
      <c r="Y706" s="1" t="s">
        <v>51</v>
      </c>
      <c r="Z706" s="1" t="s">
        <v>91</v>
      </c>
      <c r="AA706" s="1" t="s">
        <v>92</v>
      </c>
      <c r="AB706" s="1" t="s">
        <v>4390</v>
      </c>
      <c r="AC706" s="1"/>
      <c r="AD706" s="1">
        <v>45812</v>
      </c>
      <c r="AE706" s="1"/>
      <c r="AF706" s="1"/>
      <c r="AG706" s="1">
        <v>45812</v>
      </c>
      <c r="AH706" s="1" t="s">
        <v>4389</v>
      </c>
      <c r="AI706" s="1"/>
      <c r="AJ706" s="31">
        <v>45812</v>
      </c>
      <c r="AK706"/>
      <c r="AL706"/>
      <c r="AM706"/>
      <c r="AN706"/>
      <c r="AO706"/>
      <c r="AP706"/>
    </row>
    <row r="707" spans="1:42" s="81" customFormat="1">
      <c r="A707" s="1" t="s">
        <v>49</v>
      </c>
      <c r="B707" s="1">
        <v>250108</v>
      </c>
      <c r="C707" s="1">
        <v>222081</v>
      </c>
      <c r="D707" s="1" t="s">
        <v>95</v>
      </c>
      <c r="E707" s="1" t="s">
        <v>3938</v>
      </c>
      <c r="F707" t="s">
        <v>800</v>
      </c>
      <c r="G707" t="s">
        <v>1093</v>
      </c>
      <c r="H707" s="1" t="s">
        <v>4074</v>
      </c>
      <c r="I707" s="1" t="s">
        <v>4075</v>
      </c>
      <c r="J707" s="1" t="s">
        <v>18</v>
      </c>
      <c r="K707" s="1" t="s">
        <v>50</v>
      </c>
      <c r="L707" s="1">
        <v>36775</v>
      </c>
      <c r="M707" s="1">
        <v>25</v>
      </c>
      <c r="N707" s="1">
        <v>1250</v>
      </c>
      <c r="O707" s="1"/>
      <c r="P707" s="1">
        <v>1650</v>
      </c>
      <c r="Q707" s="1"/>
      <c r="R707" s="1">
        <v>400</v>
      </c>
      <c r="S707">
        <v>220000</v>
      </c>
      <c r="T707">
        <v>11033</v>
      </c>
      <c r="U707" t="s">
        <v>814</v>
      </c>
      <c r="V707">
        <v>20130</v>
      </c>
      <c r="W707" s="1">
        <v>46762</v>
      </c>
      <c r="X707" s="1" t="s">
        <v>55</v>
      </c>
      <c r="Y707" s="1" t="s">
        <v>51</v>
      </c>
      <c r="Z707" s="1" t="s">
        <v>817</v>
      </c>
      <c r="AA707" s="1" t="s">
        <v>1422</v>
      </c>
      <c r="AB707" s="1" t="s">
        <v>1354</v>
      </c>
      <c r="AC707" s="1"/>
      <c r="AD707" s="1">
        <v>45673</v>
      </c>
      <c r="AE707" s="1"/>
      <c r="AF707" s="1"/>
      <c r="AG707" s="1">
        <v>45673</v>
      </c>
      <c r="AH707" s="1" t="s">
        <v>4184</v>
      </c>
      <c r="AI707" s="1"/>
      <c r="AJ707" s="31">
        <v>45673</v>
      </c>
      <c r="AK707"/>
      <c r="AL707"/>
      <c r="AM707"/>
      <c r="AN707"/>
      <c r="AO707"/>
      <c r="AP707"/>
    </row>
    <row r="708" spans="1:42" s="81" customFormat="1">
      <c r="A708" s="1" t="s">
        <v>49</v>
      </c>
      <c r="B708" s="1">
        <v>250109</v>
      </c>
      <c r="C708" s="1">
        <v>222080</v>
      </c>
      <c r="D708" s="1" t="s">
        <v>95</v>
      </c>
      <c r="E708" s="1" t="s">
        <v>3938</v>
      </c>
      <c r="F708" t="s">
        <v>800</v>
      </c>
      <c r="G708" t="s">
        <v>1093</v>
      </c>
      <c r="H708" s="1" t="s">
        <v>4076</v>
      </c>
      <c r="I708" s="1" t="s">
        <v>4077</v>
      </c>
      <c r="J708" s="1" t="s">
        <v>18</v>
      </c>
      <c r="K708" s="1" t="s">
        <v>50</v>
      </c>
      <c r="L708" s="1">
        <v>36848</v>
      </c>
      <c r="M708" s="1">
        <v>25</v>
      </c>
      <c r="N708" s="1">
        <v>1250</v>
      </c>
      <c r="O708" s="1"/>
      <c r="P708" s="1">
        <v>1650</v>
      </c>
      <c r="Q708" s="1"/>
      <c r="R708" s="1">
        <v>400</v>
      </c>
      <c r="S708">
        <v>220000</v>
      </c>
      <c r="T708">
        <v>11033</v>
      </c>
      <c r="U708" t="s">
        <v>814</v>
      </c>
      <c r="V708">
        <v>20130</v>
      </c>
      <c r="W708" s="1">
        <v>46762</v>
      </c>
      <c r="X708" s="1" t="s">
        <v>55</v>
      </c>
      <c r="Y708" s="1" t="s">
        <v>51</v>
      </c>
      <c r="Z708" s="1" t="s">
        <v>817</v>
      </c>
      <c r="AA708" s="1" t="s">
        <v>1422</v>
      </c>
      <c r="AB708" s="1" t="s">
        <v>1354</v>
      </c>
      <c r="AC708" s="1"/>
      <c r="AD708" s="1">
        <v>45673</v>
      </c>
      <c r="AE708" s="1"/>
      <c r="AF708" s="1"/>
      <c r="AG708" s="1">
        <v>45673</v>
      </c>
      <c r="AH708" s="1" t="s">
        <v>4184</v>
      </c>
      <c r="AI708" s="1"/>
      <c r="AJ708" s="31">
        <v>45673</v>
      </c>
      <c r="AK708"/>
      <c r="AL708"/>
      <c r="AM708"/>
      <c r="AN708"/>
      <c r="AO708"/>
      <c r="AP708"/>
    </row>
    <row r="709" spans="1:42" s="81" customFormat="1">
      <c r="A709" s="1" t="s">
        <v>49</v>
      </c>
      <c r="B709" s="1">
        <v>250310</v>
      </c>
      <c r="C709" s="1">
        <v>222085</v>
      </c>
      <c r="D709" s="1" t="s">
        <v>95</v>
      </c>
      <c r="E709" s="1" t="s">
        <v>3938</v>
      </c>
      <c r="F709" t="s">
        <v>800</v>
      </c>
      <c r="G709" t="s">
        <v>1093</v>
      </c>
      <c r="H709" s="1" t="s">
        <v>4225</v>
      </c>
      <c r="I709" s="1" t="s">
        <v>4226</v>
      </c>
      <c r="J709" s="1" t="s">
        <v>18</v>
      </c>
      <c r="K709" s="1" t="s">
        <v>50</v>
      </c>
      <c r="L709" s="1">
        <v>36867</v>
      </c>
      <c r="M709" s="1">
        <v>24</v>
      </c>
      <c r="N709" s="1">
        <v>1200</v>
      </c>
      <c r="O709" s="1"/>
      <c r="P709" s="1">
        <v>1650</v>
      </c>
      <c r="Q709" s="1"/>
      <c r="R709" s="1">
        <v>450</v>
      </c>
      <c r="S709">
        <v>200000</v>
      </c>
      <c r="T709">
        <v>10030</v>
      </c>
      <c r="U709" t="s">
        <v>814</v>
      </c>
      <c r="V709">
        <v>18300</v>
      </c>
      <c r="W709" s="1">
        <v>46825</v>
      </c>
      <c r="X709" s="1" t="s">
        <v>55</v>
      </c>
      <c r="Y709" s="1" t="s">
        <v>51</v>
      </c>
      <c r="Z709" s="1" t="s">
        <v>817</v>
      </c>
      <c r="AA709" s="1" t="s">
        <v>1422</v>
      </c>
      <c r="AB709" s="1" t="s">
        <v>1423</v>
      </c>
      <c r="AC709" s="1"/>
      <c r="AD709" s="1">
        <v>45736</v>
      </c>
      <c r="AE709" s="1"/>
      <c r="AF709" s="1"/>
      <c r="AG709" s="1">
        <v>45736</v>
      </c>
      <c r="AH709" s="1" t="s">
        <v>2346</v>
      </c>
      <c r="AI709" s="1"/>
      <c r="AJ709" s="31">
        <v>45736</v>
      </c>
      <c r="AK709"/>
      <c r="AL709"/>
      <c r="AM709"/>
      <c r="AN709"/>
      <c r="AO709"/>
      <c r="AP709"/>
    </row>
    <row r="710" spans="1:42" s="81" customFormat="1" hidden="1">
      <c r="A710" s="1" t="s">
        <v>2542</v>
      </c>
      <c r="B710" s="1">
        <v>240109</v>
      </c>
      <c r="C710" s="1">
        <v>222062</v>
      </c>
      <c r="D710" s="1" t="s">
        <v>95</v>
      </c>
      <c r="E710" s="1" t="s">
        <v>3938</v>
      </c>
      <c r="F710" t="s">
        <v>800</v>
      </c>
      <c r="G710" t="s">
        <v>3944</v>
      </c>
      <c r="H710" s="1" t="s">
        <v>2013</v>
      </c>
      <c r="I710" s="1" t="s">
        <v>2014</v>
      </c>
      <c r="J710" s="1" t="s">
        <v>18</v>
      </c>
      <c r="K710" s="1" t="s">
        <v>50</v>
      </c>
      <c r="L710" s="1">
        <v>36618</v>
      </c>
      <c r="M710" s="1">
        <v>25</v>
      </c>
      <c r="N710" s="1">
        <v>1300</v>
      </c>
      <c r="O710" s="1"/>
      <c r="P710" s="1">
        <v>1650</v>
      </c>
      <c r="Q710" s="1"/>
      <c r="R710" s="1">
        <v>350</v>
      </c>
      <c r="S710">
        <v>220000</v>
      </c>
      <c r="T710">
        <v>11033</v>
      </c>
      <c r="U710" t="s">
        <v>814</v>
      </c>
      <c r="V710">
        <v>20130</v>
      </c>
      <c r="W710" s="1">
        <v>46058</v>
      </c>
      <c r="X710" s="1" t="s">
        <v>55</v>
      </c>
      <c r="Y710" s="1" t="s">
        <v>51</v>
      </c>
      <c r="Z710" s="1" t="s">
        <v>91</v>
      </c>
      <c r="AA710" s="1" t="s">
        <v>158</v>
      </c>
      <c r="AB710" s="1" t="s">
        <v>159</v>
      </c>
      <c r="AC710" s="1">
        <v>45308</v>
      </c>
      <c r="AD710" s="1">
        <v>45313</v>
      </c>
      <c r="AE710" s="1">
        <v>45743</v>
      </c>
      <c r="AF710" s="1"/>
      <c r="AG710" s="1" t="s">
        <v>2168</v>
      </c>
      <c r="AH710" s="1" t="s">
        <v>2169</v>
      </c>
      <c r="AI710" s="1"/>
      <c r="AJ710" s="31">
        <v>45313</v>
      </c>
      <c r="AK710"/>
      <c r="AL710"/>
      <c r="AM710"/>
      <c r="AN710"/>
      <c r="AO710"/>
      <c r="AP710"/>
    </row>
    <row r="711" spans="1:42" s="81" customFormat="1" hidden="1">
      <c r="A711" s="1" t="s">
        <v>2542</v>
      </c>
      <c r="B711" s="1">
        <v>240110</v>
      </c>
      <c r="C711" s="1">
        <v>242102</v>
      </c>
      <c r="D711" s="1" t="s">
        <v>69</v>
      </c>
      <c r="E711" s="1" t="s">
        <v>310</v>
      </c>
      <c r="F711" t="s">
        <v>737</v>
      </c>
      <c r="G711" t="s">
        <v>1093</v>
      </c>
      <c r="H711" s="1" t="s">
        <v>2015</v>
      </c>
      <c r="I711" s="1" t="s">
        <v>2016</v>
      </c>
      <c r="J711" s="1" t="s">
        <v>18</v>
      </c>
      <c r="K711" s="1" t="s">
        <v>50</v>
      </c>
      <c r="L711" s="1">
        <v>36577</v>
      </c>
      <c r="M711" s="1">
        <v>25</v>
      </c>
      <c r="N711" s="1">
        <v>1300</v>
      </c>
      <c r="O711" s="1"/>
      <c r="P711" s="1">
        <v>1700</v>
      </c>
      <c r="Q711" s="1"/>
      <c r="R711" s="1">
        <v>400</v>
      </c>
      <c r="S711">
        <v>280000</v>
      </c>
      <c r="T711">
        <v>14042</v>
      </c>
      <c r="U711" t="s">
        <v>814</v>
      </c>
      <c r="V711">
        <v>25620</v>
      </c>
      <c r="W711" s="1">
        <v>46039</v>
      </c>
      <c r="X711" s="1" t="s">
        <v>55</v>
      </c>
      <c r="Y711" s="1" t="s">
        <v>51</v>
      </c>
      <c r="Z711" s="1" t="s">
        <v>586</v>
      </c>
      <c r="AA711" s="1" t="s">
        <v>2017</v>
      </c>
      <c r="AB711" s="1" t="s">
        <v>2018</v>
      </c>
      <c r="AC711" s="1">
        <v>45308</v>
      </c>
      <c r="AD711" s="1">
        <v>45314</v>
      </c>
      <c r="AE711" s="1">
        <v>45775</v>
      </c>
      <c r="AF711" s="1"/>
      <c r="AG711" s="1" t="s">
        <v>2170</v>
      </c>
      <c r="AH711" s="1" t="s">
        <v>2169</v>
      </c>
      <c r="AI711" s="1"/>
      <c r="AJ711" s="31">
        <v>45314</v>
      </c>
      <c r="AK711"/>
      <c r="AL711"/>
      <c r="AM711"/>
      <c r="AN711"/>
      <c r="AO711"/>
      <c r="AP711"/>
    </row>
    <row r="712" spans="1:42" s="81" customFormat="1" hidden="1">
      <c r="A712" s="1" t="s">
        <v>49</v>
      </c>
      <c r="B712" s="1">
        <v>240114</v>
      </c>
      <c r="C712" s="1"/>
      <c r="D712" s="1" t="s">
        <v>447</v>
      </c>
      <c r="E712" s="1" t="s">
        <v>1270</v>
      </c>
      <c r="F712" t="s">
        <v>1271</v>
      </c>
      <c r="G712" t="s">
        <v>1267</v>
      </c>
      <c r="H712" s="1" t="s">
        <v>2026</v>
      </c>
      <c r="I712" s="1" t="s">
        <v>2027</v>
      </c>
      <c r="J712" s="1" t="s">
        <v>18</v>
      </c>
      <c r="K712" s="1" t="s">
        <v>50</v>
      </c>
      <c r="L712" s="1">
        <v>34160</v>
      </c>
      <c r="M712" s="1">
        <v>32</v>
      </c>
      <c r="N712" s="1">
        <v>1200</v>
      </c>
      <c r="O712" s="1"/>
      <c r="P712" s="1">
        <v>1700</v>
      </c>
      <c r="Q712" s="1"/>
      <c r="R712" s="1">
        <v>500</v>
      </c>
      <c r="S712">
        <v>240000</v>
      </c>
      <c r="T712">
        <v>12036</v>
      </c>
      <c r="U712" t="s">
        <v>814</v>
      </c>
      <c r="V712">
        <v>21960</v>
      </c>
      <c r="W712" s="1">
        <v>46813</v>
      </c>
      <c r="X712" s="1" t="s">
        <v>55</v>
      </c>
      <c r="Y712" s="1" t="s">
        <v>51</v>
      </c>
      <c r="Z712" s="1" t="s">
        <v>448</v>
      </c>
      <c r="AA712" s="1" t="s">
        <v>478</v>
      </c>
      <c r="AB712" s="1" t="s">
        <v>3893</v>
      </c>
      <c r="AC712" s="1" t="s">
        <v>53</v>
      </c>
      <c r="AD712" s="1">
        <v>45314</v>
      </c>
      <c r="AE712" s="1"/>
      <c r="AF712" s="1"/>
      <c r="AG712" s="1" t="s">
        <v>2170</v>
      </c>
      <c r="AH712" s="1" t="s">
        <v>2169</v>
      </c>
      <c r="AI712" s="1"/>
      <c r="AJ712" s="31">
        <v>45314</v>
      </c>
      <c r="AK712"/>
      <c r="AL712"/>
      <c r="AM712"/>
      <c r="AN712"/>
      <c r="AO712"/>
      <c r="AP712"/>
    </row>
    <row r="713" spans="1:42" s="81" customFormat="1" hidden="1">
      <c r="A713" s="1" t="s">
        <v>2542</v>
      </c>
      <c r="B713" s="1">
        <v>240115</v>
      </c>
      <c r="C713" s="1"/>
      <c r="D713" s="1" t="s">
        <v>447</v>
      </c>
      <c r="E713" s="1"/>
      <c r="F713"/>
      <c r="G713"/>
      <c r="H713" s="1" t="s">
        <v>3751</v>
      </c>
      <c r="I713" s="1" t="s">
        <v>3752</v>
      </c>
      <c r="J713" s="1" t="s">
        <v>18</v>
      </c>
      <c r="K713" s="1" t="s">
        <v>50</v>
      </c>
      <c r="L713" s="1">
        <v>35457</v>
      </c>
      <c r="M713" s="1">
        <v>28</v>
      </c>
      <c r="N713" s="1">
        <v>1200</v>
      </c>
      <c r="O713" s="1"/>
      <c r="P713" s="1">
        <v>1700</v>
      </c>
      <c r="Q713" s="1"/>
      <c r="R713" s="1">
        <v>500</v>
      </c>
      <c r="S713">
        <v>190000</v>
      </c>
      <c r="T713">
        <v>9528</v>
      </c>
      <c r="U713" t="s">
        <v>814</v>
      </c>
      <c r="V713">
        <v>17385</v>
      </c>
      <c r="W713" s="1">
        <v>46548</v>
      </c>
      <c r="X713" s="1" t="s">
        <v>55</v>
      </c>
      <c r="Y713" s="1" t="s">
        <v>51</v>
      </c>
      <c r="Z713" s="1" t="s">
        <v>448</v>
      </c>
      <c r="AA713" s="1" t="s">
        <v>449</v>
      </c>
      <c r="AB713" s="1" t="s">
        <v>484</v>
      </c>
      <c r="AC713" s="1">
        <v>45310</v>
      </c>
      <c r="AD713" s="1">
        <v>45314</v>
      </c>
      <c r="AE713" s="1">
        <v>45379</v>
      </c>
      <c r="AF713" s="1"/>
      <c r="AG713" s="1" t="s">
        <v>2170</v>
      </c>
      <c r="AH713" s="1"/>
      <c r="AI713" s="1"/>
      <c r="AJ713" s="31">
        <v>45314</v>
      </c>
      <c r="AK713"/>
      <c r="AL713"/>
      <c r="AM713"/>
      <c r="AN713"/>
      <c r="AO713"/>
      <c r="AP713"/>
    </row>
    <row r="714" spans="1:42" s="81" customFormat="1">
      <c r="A714" s="1" t="s">
        <v>49</v>
      </c>
      <c r="B714" s="1">
        <v>231212</v>
      </c>
      <c r="C714" s="1">
        <v>242087</v>
      </c>
      <c r="D714" s="1" t="s">
        <v>69</v>
      </c>
      <c r="E714" s="1" t="s">
        <v>306</v>
      </c>
      <c r="F714" t="s">
        <v>3941</v>
      </c>
      <c r="G714" t="s">
        <v>1093</v>
      </c>
      <c r="H714" s="1" t="s">
        <v>1633</v>
      </c>
      <c r="I714" s="1" t="s">
        <v>1634</v>
      </c>
      <c r="J714" s="1" t="s">
        <v>18</v>
      </c>
      <c r="K714" s="1" t="s">
        <v>50</v>
      </c>
      <c r="L714" s="1">
        <v>36648</v>
      </c>
      <c r="M714" s="1">
        <v>25</v>
      </c>
      <c r="N714" s="1">
        <v>1300</v>
      </c>
      <c r="O714" s="1"/>
      <c r="P714" s="1">
        <v>1680</v>
      </c>
      <c r="Q714" s="1"/>
      <c r="R714" s="1">
        <v>380</v>
      </c>
      <c r="S714">
        <v>260000</v>
      </c>
      <c r="T714">
        <v>13039</v>
      </c>
      <c r="U714" t="s">
        <v>814</v>
      </c>
      <c r="V714">
        <v>23790</v>
      </c>
      <c r="W714" s="1">
        <v>47084</v>
      </c>
      <c r="X714" s="1" t="s">
        <v>55</v>
      </c>
      <c r="Y714" s="1" t="s">
        <v>51</v>
      </c>
      <c r="Z714" s="1" t="s">
        <v>427</v>
      </c>
      <c r="AA714" s="1" t="s">
        <v>1718</v>
      </c>
      <c r="AB714" s="1" t="s">
        <v>1719</v>
      </c>
      <c r="AC714" s="1">
        <v>45257</v>
      </c>
      <c r="AD714" s="1">
        <v>45264</v>
      </c>
      <c r="AE714" s="1"/>
      <c r="AF714" s="1"/>
      <c r="AG714" s="1" t="s">
        <v>1720</v>
      </c>
      <c r="AH714" s="1" t="s">
        <v>1721</v>
      </c>
      <c r="AI714" s="1"/>
      <c r="AJ714" s="31">
        <v>45264</v>
      </c>
      <c r="AK714"/>
      <c r="AL714"/>
      <c r="AM714"/>
      <c r="AN714"/>
      <c r="AO714" t="s">
        <v>4165</v>
      </c>
      <c r="AP714"/>
    </row>
    <row r="715" spans="1:42" s="81" customFormat="1">
      <c r="A715" s="1" t="s">
        <v>49</v>
      </c>
      <c r="B715" s="1">
        <v>241213</v>
      </c>
      <c r="C715" s="1">
        <v>242115</v>
      </c>
      <c r="D715" s="1" t="s">
        <v>69</v>
      </c>
      <c r="E715" s="1" t="s">
        <v>306</v>
      </c>
      <c r="F715" t="s">
        <v>3941</v>
      </c>
      <c r="G715" t="s">
        <v>1093</v>
      </c>
      <c r="H715" s="1" t="s">
        <v>4032</v>
      </c>
      <c r="I715" s="1" t="s">
        <v>4033</v>
      </c>
      <c r="J715" s="1" t="s">
        <v>18</v>
      </c>
      <c r="K715" s="1" t="s">
        <v>50</v>
      </c>
      <c r="L715" s="1">
        <v>37570</v>
      </c>
      <c r="M715" s="1">
        <v>23</v>
      </c>
      <c r="N715" s="1">
        <v>1250</v>
      </c>
      <c r="O715" s="1"/>
      <c r="P715" s="1">
        <v>1660</v>
      </c>
      <c r="Q715" s="1"/>
      <c r="R715" s="1">
        <v>410</v>
      </c>
      <c r="S715">
        <v>240000</v>
      </c>
      <c r="T715">
        <v>12036</v>
      </c>
      <c r="U715" t="s">
        <v>814</v>
      </c>
      <c r="V715">
        <v>21960</v>
      </c>
      <c r="W715" s="1">
        <v>46002</v>
      </c>
      <c r="X715" s="1">
        <v>7</v>
      </c>
      <c r="Y715" s="1" t="s">
        <v>51</v>
      </c>
      <c r="Z715" s="1" t="s">
        <v>493</v>
      </c>
      <c r="AA715" s="1" t="s">
        <v>1874</v>
      </c>
      <c r="AB715" s="1" t="s">
        <v>1415</v>
      </c>
      <c r="AC715" s="1"/>
      <c r="AD715" s="1">
        <v>45643</v>
      </c>
      <c r="AE715" s="1"/>
      <c r="AF715" s="1"/>
      <c r="AG715" s="1">
        <v>45643</v>
      </c>
      <c r="AH715" s="1" t="s">
        <v>4008</v>
      </c>
      <c r="AI715" s="1"/>
      <c r="AJ715" s="31">
        <v>45643</v>
      </c>
      <c r="AK715"/>
      <c r="AL715"/>
      <c r="AM715"/>
      <c r="AN715"/>
      <c r="AO715"/>
      <c r="AP715"/>
    </row>
    <row r="716" spans="1:42" s="81" customFormat="1">
      <c r="A716" s="1" t="s">
        <v>49</v>
      </c>
      <c r="B716" s="1">
        <v>250607</v>
      </c>
      <c r="C716" s="1">
        <v>242132</v>
      </c>
      <c r="D716" s="1" t="s">
        <v>69</v>
      </c>
      <c r="E716" s="1" t="s">
        <v>306</v>
      </c>
      <c r="F716" t="s">
        <v>3941</v>
      </c>
      <c r="G716" t="s">
        <v>1093</v>
      </c>
      <c r="H716" s="1" t="s">
        <v>4400</v>
      </c>
      <c r="I716" s="1" t="s">
        <v>4401</v>
      </c>
      <c r="J716" s="1" t="s">
        <v>18</v>
      </c>
      <c r="K716" s="1" t="s">
        <v>50</v>
      </c>
      <c r="L716" s="1">
        <v>37360</v>
      </c>
      <c r="M716" s="1">
        <v>23</v>
      </c>
      <c r="N716" s="1">
        <v>1200</v>
      </c>
      <c r="O716" s="1"/>
      <c r="P716" s="1">
        <v>1650</v>
      </c>
      <c r="Q716" s="1"/>
      <c r="R716" s="1">
        <v>450</v>
      </c>
      <c r="S716">
        <v>200000</v>
      </c>
      <c r="T716">
        <v>10030</v>
      </c>
      <c r="U716" t="s">
        <v>814</v>
      </c>
      <c r="V716">
        <v>18300</v>
      </c>
      <c r="W716" s="1">
        <v>46186</v>
      </c>
      <c r="X716" s="1" t="s">
        <v>55</v>
      </c>
      <c r="Y716" s="1" t="s">
        <v>51</v>
      </c>
      <c r="Z716" s="1" t="s">
        <v>427</v>
      </c>
      <c r="AA716" s="1" t="s">
        <v>600</v>
      </c>
      <c r="AB716" s="1" t="s">
        <v>601</v>
      </c>
      <c r="AC716" s="1">
        <v>45821</v>
      </c>
      <c r="AD716" s="1">
        <v>45828</v>
      </c>
      <c r="AE716" s="1"/>
      <c r="AF716" s="1"/>
      <c r="AG716" s="1">
        <v>45828</v>
      </c>
      <c r="AH716" s="1" t="s">
        <v>623</v>
      </c>
      <c r="AI716" s="1"/>
      <c r="AJ716" s="31">
        <v>45828</v>
      </c>
      <c r="AK716"/>
      <c r="AL716"/>
      <c r="AM716"/>
      <c r="AN716"/>
      <c r="AO716"/>
      <c r="AP716"/>
    </row>
    <row r="717" spans="1:42" s="81" customFormat="1" hidden="1">
      <c r="A717" s="1" t="s">
        <v>2542</v>
      </c>
      <c r="B717" s="1">
        <v>240116</v>
      </c>
      <c r="C717" s="1"/>
      <c r="D717" s="1" t="s">
        <v>69</v>
      </c>
      <c r="E717" s="1" t="s">
        <v>306</v>
      </c>
      <c r="F717"/>
      <c r="G717"/>
      <c r="H717" s="1" t="s">
        <v>3753</v>
      </c>
      <c r="I717" s="1" t="s">
        <v>3754</v>
      </c>
      <c r="J717" s="1" t="s">
        <v>18</v>
      </c>
      <c r="K717" s="1" t="s">
        <v>50</v>
      </c>
      <c r="L717" s="1">
        <v>32245</v>
      </c>
      <c r="M717" s="1">
        <v>37</v>
      </c>
      <c r="N717" s="1">
        <v>1200</v>
      </c>
      <c r="O717" s="1"/>
      <c r="P717" s="1">
        <v>1650</v>
      </c>
      <c r="Q717" s="1"/>
      <c r="R717" s="1">
        <v>450</v>
      </c>
      <c r="S717">
        <v>180000</v>
      </c>
      <c r="T717">
        <v>9027</v>
      </c>
      <c r="U717" t="s">
        <v>814</v>
      </c>
      <c r="V717">
        <v>16470</v>
      </c>
      <c r="W717" s="1">
        <v>45679</v>
      </c>
      <c r="X717" s="1" t="s">
        <v>55</v>
      </c>
      <c r="Y717" s="1" t="s">
        <v>51</v>
      </c>
      <c r="Z717" s="1" t="s">
        <v>470</v>
      </c>
      <c r="AA717" s="1" t="s">
        <v>1483</v>
      </c>
      <c r="AB717" s="1" t="s">
        <v>1484</v>
      </c>
      <c r="AC717" s="1">
        <v>45314</v>
      </c>
      <c r="AD717" s="1">
        <v>45316</v>
      </c>
      <c r="AE717" s="1">
        <v>45324</v>
      </c>
      <c r="AF717" s="1"/>
      <c r="AG717" s="1"/>
      <c r="AH717" s="1"/>
      <c r="AI717" s="1"/>
      <c r="AJ717" s="31">
        <v>45316</v>
      </c>
      <c r="AK717"/>
      <c r="AL717"/>
      <c r="AM717"/>
      <c r="AN717"/>
      <c r="AO717"/>
      <c r="AP717"/>
    </row>
    <row r="718" spans="1:42" s="81" customFormat="1">
      <c r="A718" s="1" t="s">
        <v>49</v>
      </c>
      <c r="B718" s="1">
        <v>250803</v>
      </c>
      <c r="C718" s="1">
        <v>242134</v>
      </c>
      <c r="D718" s="1" t="s">
        <v>69</v>
      </c>
      <c r="E718" s="1" t="s">
        <v>306</v>
      </c>
      <c r="F718" t="s">
        <v>3941</v>
      </c>
      <c r="G718" t="s">
        <v>1093</v>
      </c>
      <c r="H718" s="1" t="s">
        <v>4450</v>
      </c>
      <c r="I718" s="1" t="s">
        <v>4451</v>
      </c>
      <c r="J718" s="1" t="s">
        <v>18</v>
      </c>
      <c r="K718" s="1" t="s">
        <v>50</v>
      </c>
      <c r="L718" s="1">
        <v>37470</v>
      </c>
      <c r="M718" s="1">
        <v>23</v>
      </c>
      <c r="N718" s="1">
        <v>1200</v>
      </c>
      <c r="O718" s="1"/>
      <c r="P718" s="1">
        <v>1650</v>
      </c>
      <c r="Q718" s="1"/>
      <c r="R718" s="1">
        <v>450</v>
      </c>
      <c r="S718">
        <v>160000</v>
      </c>
      <c r="T718">
        <v>8024</v>
      </c>
      <c r="U718" t="s">
        <v>814</v>
      </c>
      <c r="V718">
        <v>14640</v>
      </c>
      <c r="W718" s="1">
        <v>47694</v>
      </c>
      <c r="X718" s="1" t="s">
        <v>55</v>
      </c>
      <c r="Y718" s="1" t="s">
        <v>51</v>
      </c>
      <c r="Z718" s="1" t="s">
        <v>427</v>
      </c>
      <c r="AA718" s="1" t="s">
        <v>445</v>
      </c>
      <c r="AB718" s="1" t="s">
        <v>446</v>
      </c>
      <c r="AC718" s="1"/>
      <c r="AD718" s="1">
        <v>45873</v>
      </c>
      <c r="AE718" s="1"/>
      <c r="AF718" s="1"/>
      <c r="AG718" s="1">
        <v>45873</v>
      </c>
      <c r="AH718" s="1" t="s">
        <v>4444</v>
      </c>
      <c r="AI718" s="1"/>
      <c r="AJ718" s="31">
        <v>45873</v>
      </c>
      <c r="AK718"/>
      <c r="AL718"/>
      <c r="AM718"/>
      <c r="AN718"/>
      <c r="AO718"/>
      <c r="AP718"/>
    </row>
    <row r="719" spans="1:42" s="81" customFormat="1" hidden="1">
      <c r="A719" s="1" t="s">
        <v>2542</v>
      </c>
      <c r="B719" s="1">
        <v>220214</v>
      </c>
      <c r="C719" s="1"/>
      <c r="D719" s="1" t="s">
        <v>464</v>
      </c>
      <c r="E719" s="1"/>
      <c r="F719"/>
      <c r="G719"/>
      <c r="H719" s="1" t="s">
        <v>557</v>
      </c>
      <c r="I719" s="1" t="s">
        <v>558</v>
      </c>
      <c r="J719" s="1" t="s">
        <v>18</v>
      </c>
      <c r="K719" s="1" t="s">
        <v>50</v>
      </c>
      <c r="L719" s="1">
        <v>36030</v>
      </c>
      <c r="M719" s="1">
        <v>27</v>
      </c>
      <c r="N719" s="1">
        <v>1450</v>
      </c>
      <c r="O719" s="1"/>
      <c r="P719" s="1">
        <v>2100</v>
      </c>
      <c r="Q719" s="1"/>
      <c r="R719" s="1">
        <v>650</v>
      </c>
      <c r="S719">
        <v>300000</v>
      </c>
      <c r="T719">
        <v>15045</v>
      </c>
      <c r="U719" t="s">
        <v>814</v>
      </c>
      <c r="V719">
        <v>27450</v>
      </c>
      <c r="W719" s="1">
        <v>46079</v>
      </c>
      <c r="X719" s="1" t="s">
        <v>55</v>
      </c>
      <c r="Y719" s="1" t="s">
        <v>51</v>
      </c>
      <c r="Z719" s="1" t="s">
        <v>489</v>
      </c>
      <c r="AA719" s="1" t="s">
        <v>490</v>
      </c>
      <c r="AB719" s="1" t="s">
        <v>491</v>
      </c>
      <c r="AC719" s="1"/>
      <c r="AD719" s="1">
        <v>45321</v>
      </c>
      <c r="AE719" s="1">
        <v>45819</v>
      </c>
      <c r="AF719" s="1"/>
      <c r="AG719" s="1" t="s">
        <v>2172</v>
      </c>
      <c r="AH719" s="1" t="s">
        <v>2173</v>
      </c>
      <c r="AI719" s="1"/>
      <c r="AJ719" s="31">
        <v>45321</v>
      </c>
      <c r="AK719"/>
      <c r="AL719"/>
      <c r="AM719"/>
      <c r="AN719"/>
      <c r="AO719"/>
      <c r="AP719"/>
    </row>
    <row r="720" spans="1:42" s="81" customFormat="1" hidden="1">
      <c r="A720" s="1" t="s">
        <v>2542</v>
      </c>
      <c r="B720" s="1">
        <v>240201</v>
      </c>
      <c r="C720" s="1"/>
      <c r="D720" s="1" t="s">
        <v>548</v>
      </c>
      <c r="E720" s="1"/>
      <c r="F720"/>
      <c r="G720"/>
      <c r="H720" s="1" t="s">
        <v>3761</v>
      </c>
      <c r="I720" s="1" t="s">
        <v>3762</v>
      </c>
      <c r="J720" s="1" t="s">
        <v>18</v>
      </c>
      <c r="K720" s="1" t="s">
        <v>50</v>
      </c>
      <c r="L720" s="1">
        <v>32830</v>
      </c>
      <c r="M720" s="1">
        <v>36</v>
      </c>
      <c r="N720" s="1">
        <v>1400</v>
      </c>
      <c r="O720" s="1"/>
      <c r="P720" s="1">
        <v>1900</v>
      </c>
      <c r="Q720" s="1"/>
      <c r="R720" s="1">
        <v>500</v>
      </c>
      <c r="S720">
        <v>220000</v>
      </c>
      <c r="T720">
        <v>11033</v>
      </c>
      <c r="U720" t="s">
        <v>814</v>
      </c>
      <c r="V720">
        <v>20130</v>
      </c>
      <c r="W720" s="1">
        <v>45499</v>
      </c>
      <c r="X720" s="1" t="s">
        <v>55</v>
      </c>
      <c r="Y720" s="1" t="s">
        <v>51</v>
      </c>
      <c r="Z720" s="1" t="s">
        <v>3763</v>
      </c>
      <c r="AA720" s="1" t="s">
        <v>3764</v>
      </c>
      <c r="AB720" s="1" t="s">
        <v>3765</v>
      </c>
      <c r="AC720" s="1" t="s">
        <v>53</v>
      </c>
      <c r="AD720" s="1">
        <v>45323</v>
      </c>
      <c r="AE720" s="1">
        <v>45408</v>
      </c>
      <c r="AF720" s="1"/>
      <c r="AG720" s="1"/>
      <c r="AH720" s="1" t="s">
        <v>2169</v>
      </c>
      <c r="AI720" s="1"/>
      <c r="AJ720" s="31">
        <v>45323</v>
      </c>
      <c r="AK720"/>
      <c r="AL720"/>
      <c r="AM720"/>
      <c r="AN720"/>
      <c r="AO720"/>
      <c r="AP720"/>
    </row>
    <row r="721" spans="1:42" s="81" customFormat="1" hidden="1">
      <c r="A721" s="1" t="s">
        <v>2542</v>
      </c>
      <c r="B721" s="1">
        <v>240202</v>
      </c>
      <c r="C721" s="1"/>
      <c r="D721" s="1" t="s">
        <v>414</v>
      </c>
      <c r="E721" s="1" t="s">
        <v>1065</v>
      </c>
      <c r="F721" t="s">
        <v>1083</v>
      </c>
      <c r="G721" t="s">
        <v>1068</v>
      </c>
      <c r="H721" s="1" t="s">
        <v>3755</v>
      </c>
      <c r="I721" s="1" t="s">
        <v>3756</v>
      </c>
      <c r="J721" s="1" t="s">
        <v>18</v>
      </c>
      <c r="K721" s="1" t="s">
        <v>50</v>
      </c>
      <c r="L721" s="1">
        <v>33244</v>
      </c>
      <c r="M721" s="1">
        <v>34</v>
      </c>
      <c r="N721" s="1">
        <v>1300</v>
      </c>
      <c r="O721" s="1"/>
      <c r="P721" s="1">
        <v>1650</v>
      </c>
      <c r="Q721" s="1"/>
      <c r="R721" s="1">
        <v>350</v>
      </c>
      <c r="S721">
        <v>200000</v>
      </c>
      <c r="T721">
        <v>10030</v>
      </c>
      <c r="U721" t="s">
        <v>814</v>
      </c>
      <c r="V721">
        <v>18300</v>
      </c>
      <c r="W721" s="1">
        <v>45772</v>
      </c>
      <c r="X721" s="1" t="s">
        <v>55</v>
      </c>
      <c r="Y721" s="1" t="s">
        <v>51</v>
      </c>
      <c r="Z721" s="1" t="s">
        <v>3757</v>
      </c>
      <c r="AA721" s="1" t="s">
        <v>3758</v>
      </c>
      <c r="AB721" s="1" t="s">
        <v>3759</v>
      </c>
      <c r="AC721" s="1" t="s">
        <v>53</v>
      </c>
      <c r="AD721" s="1">
        <v>45323</v>
      </c>
      <c r="AE721" s="1">
        <v>45457</v>
      </c>
      <c r="AF721" s="1"/>
      <c r="AG721" s="1" t="s">
        <v>3760</v>
      </c>
      <c r="AH721" s="1" t="s">
        <v>2173</v>
      </c>
      <c r="AI721" s="1"/>
      <c r="AJ721" s="31">
        <v>45323</v>
      </c>
      <c r="AK721"/>
      <c r="AL721"/>
      <c r="AM721"/>
      <c r="AN721"/>
      <c r="AO721"/>
      <c r="AP721"/>
    </row>
    <row r="722" spans="1:42" s="81" customFormat="1" hidden="1">
      <c r="A722" s="1" t="s">
        <v>49</v>
      </c>
      <c r="B722" s="1">
        <v>201001</v>
      </c>
      <c r="C722" s="1">
        <v>225003</v>
      </c>
      <c r="D722" s="1" t="s">
        <v>1990</v>
      </c>
      <c r="E722" s="1" t="s">
        <v>3864</v>
      </c>
      <c r="F722" t="s">
        <v>799</v>
      </c>
      <c r="G722" t="s">
        <v>3867</v>
      </c>
      <c r="H722" s="1" t="s">
        <v>1991</v>
      </c>
      <c r="I722" s="1" t="s">
        <v>1992</v>
      </c>
      <c r="J722" s="1" t="s">
        <v>18</v>
      </c>
      <c r="K722" s="1" t="s">
        <v>50</v>
      </c>
      <c r="L722" s="1">
        <v>33380</v>
      </c>
      <c r="M722" s="1">
        <v>34</v>
      </c>
      <c r="N722" s="1">
        <v>1400</v>
      </c>
      <c r="O722" s="1"/>
      <c r="P722" s="1">
        <v>1800</v>
      </c>
      <c r="Q722" s="1"/>
      <c r="R722" s="1">
        <v>400</v>
      </c>
      <c r="S722">
        <v>300000</v>
      </c>
      <c r="T722">
        <v>15045</v>
      </c>
      <c r="U722" t="s">
        <v>814</v>
      </c>
      <c r="V722">
        <v>27450</v>
      </c>
      <c r="W722" s="1">
        <v>46663</v>
      </c>
      <c r="X722" s="1" t="s">
        <v>55</v>
      </c>
      <c r="Y722" s="1" t="s">
        <v>51</v>
      </c>
      <c r="Z722" s="1" t="s">
        <v>91</v>
      </c>
      <c r="AA722" s="1" t="s">
        <v>167</v>
      </c>
      <c r="AB722" s="1" t="s">
        <v>2174</v>
      </c>
      <c r="AC722" s="1"/>
      <c r="AD722" s="1">
        <v>45327</v>
      </c>
      <c r="AE722" s="1"/>
      <c r="AF722" s="1"/>
      <c r="AG722" s="1" t="s">
        <v>2175</v>
      </c>
      <c r="AH722" s="1" t="s">
        <v>2173</v>
      </c>
      <c r="AI722" s="1"/>
      <c r="AJ722" s="31">
        <v>45327</v>
      </c>
      <c r="AK722"/>
      <c r="AL722"/>
      <c r="AM722"/>
      <c r="AN722"/>
      <c r="AO722"/>
      <c r="AP722"/>
    </row>
    <row r="723" spans="1:42" s="81" customFormat="1" hidden="1">
      <c r="A723" s="1" t="s">
        <v>2542</v>
      </c>
      <c r="B723" s="1">
        <v>240203</v>
      </c>
      <c r="C723" s="1"/>
      <c r="D723" s="1" t="s">
        <v>2030</v>
      </c>
      <c r="E723" s="1"/>
      <c r="F723"/>
      <c r="G723"/>
      <c r="H723" s="1" t="s">
        <v>1395</v>
      </c>
      <c r="I723" s="1" t="s">
        <v>1396</v>
      </c>
      <c r="J723" s="1" t="s">
        <v>18</v>
      </c>
      <c r="K723" s="1" t="s">
        <v>50</v>
      </c>
      <c r="L723" s="1">
        <v>35886</v>
      </c>
      <c r="M723" s="1">
        <v>27</v>
      </c>
      <c r="N723" s="1">
        <v>1600</v>
      </c>
      <c r="O723" s="1"/>
      <c r="P723" s="1">
        <v>2200</v>
      </c>
      <c r="Q723" s="1"/>
      <c r="R723" s="1">
        <v>600</v>
      </c>
      <c r="S723">
        <v>240000</v>
      </c>
      <c r="T723">
        <v>12036</v>
      </c>
      <c r="U723" t="s">
        <v>814</v>
      </c>
      <c r="V723">
        <v>21960</v>
      </c>
      <c r="W723" s="1">
        <v>45755</v>
      </c>
      <c r="X723" s="1" t="s">
        <v>55</v>
      </c>
      <c r="Y723" s="1" t="s">
        <v>51</v>
      </c>
      <c r="Z723" s="1" t="s">
        <v>110</v>
      </c>
      <c r="AA723" s="1" t="s">
        <v>113</v>
      </c>
      <c r="AB723" s="1" t="s">
        <v>3766</v>
      </c>
      <c r="AC723" s="1"/>
      <c r="AD723" s="1">
        <v>45341</v>
      </c>
      <c r="AE723" s="1">
        <v>45471</v>
      </c>
      <c r="AF723" s="1"/>
      <c r="AG723" s="1" t="s">
        <v>2176</v>
      </c>
      <c r="AH723" s="1" t="s">
        <v>967</v>
      </c>
      <c r="AI723" s="1"/>
      <c r="AJ723" s="31">
        <v>45341</v>
      </c>
      <c r="AK723"/>
      <c r="AL723"/>
      <c r="AM723"/>
      <c r="AN723"/>
      <c r="AO723"/>
      <c r="AP723"/>
    </row>
    <row r="724" spans="1:42" s="81" customFormat="1" hidden="1">
      <c r="A724" s="1" t="s">
        <v>2542</v>
      </c>
      <c r="B724" s="1">
        <v>240204</v>
      </c>
      <c r="C724" s="1"/>
      <c r="D724" s="1" t="s">
        <v>414</v>
      </c>
      <c r="E724" s="1" t="s">
        <v>1065</v>
      </c>
      <c r="F724" t="s">
        <v>1083</v>
      </c>
      <c r="G724" t="s">
        <v>1068</v>
      </c>
      <c r="H724" s="1" t="s">
        <v>2177</v>
      </c>
      <c r="I724" s="1" t="s">
        <v>2178</v>
      </c>
      <c r="J724" s="1" t="s">
        <v>18</v>
      </c>
      <c r="K724" s="1" t="s">
        <v>50</v>
      </c>
      <c r="L724" s="1">
        <v>34702</v>
      </c>
      <c r="M724" s="1">
        <v>30</v>
      </c>
      <c r="N724" s="1">
        <v>1300</v>
      </c>
      <c r="O724" s="1"/>
      <c r="P724" s="1">
        <v>1650</v>
      </c>
      <c r="Q724" s="1"/>
      <c r="R724" s="1">
        <v>350</v>
      </c>
      <c r="S724">
        <v>260000</v>
      </c>
      <c r="T724">
        <v>13039</v>
      </c>
      <c r="U724" t="s">
        <v>814</v>
      </c>
      <c r="V724">
        <v>23790</v>
      </c>
      <c r="W724" s="1">
        <v>46179</v>
      </c>
      <c r="X724" s="1" t="s">
        <v>55</v>
      </c>
      <c r="Y724" s="1" t="s">
        <v>51</v>
      </c>
      <c r="Z724" s="1" t="s">
        <v>1715</v>
      </c>
      <c r="AA724" s="1" t="s">
        <v>1751</v>
      </c>
      <c r="AB724" s="1" t="s">
        <v>1716</v>
      </c>
      <c r="AC724" s="1"/>
      <c r="AD724" s="1">
        <v>45341</v>
      </c>
      <c r="AE724" s="1">
        <v>45964</v>
      </c>
      <c r="AF724" s="1"/>
      <c r="AG724" s="1" t="s">
        <v>2176</v>
      </c>
      <c r="AH724" s="1" t="s">
        <v>2173</v>
      </c>
      <c r="AI724" s="1"/>
      <c r="AJ724" s="31">
        <v>45341</v>
      </c>
      <c r="AK724"/>
      <c r="AL724"/>
      <c r="AM724"/>
      <c r="AN724"/>
      <c r="AO724"/>
      <c r="AP724"/>
    </row>
    <row r="725" spans="1:42" s="81" customFormat="1" hidden="1">
      <c r="A725" s="1" t="s">
        <v>2542</v>
      </c>
      <c r="B725" s="1">
        <v>240205</v>
      </c>
      <c r="C725" s="1"/>
      <c r="D725" s="1" t="s">
        <v>813</v>
      </c>
      <c r="E725" s="1"/>
      <c r="F725"/>
      <c r="G725"/>
      <c r="H725" s="1" t="s">
        <v>2031</v>
      </c>
      <c r="I725" s="1" t="s">
        <v>2032</v>
      </c>
      <c r="J725" s="1" t="s">
        <v>17</v>
      </c>
      <c r="K725" s="1" t="s">
        <v>50</v>
      </c>
      <c r="L725" s="1">
        <v>33873</v>
      </c>
      <c r="M725" s="1">
        <v>33</v>
      </c>
      <c r="N725" s="1">
        <v>1300</v>
      </c>
      <c r="O725" s="1"/>
      <c r="P725" s="1">
        <v>1800</v>
      </c>
      <c r="Q725" s="1"/>
      <c r="R725" s="1">
        <v>500</v>
      </c>
      <c r="S725">
        <v>240000</v>
      </c>
      <c r="T725">
        <v>12036</v>
      </c>
      <c r="U725" t="s">
        <v>814</v>
      </c>
      <c r="V725">
        <v>21960</v>
      </c>
      <c r="W725" s="1">
        <v>45987</v>
      </c>
      <c r="X725" s="1" t="s">
        <v>55</v>
      </c>
      <c r="Y725" s="1" t="s">
        <v>51</v>
      </c>
      <c r="Z725" s="1" t="s">
        <v>2179</v>
      </c>
      <c r="AA725" s="1" t="s">
        <v>2180</v>
      </c>
      <c r="AB725" s="1" t="s">
        <v>2181</v>
      </c>
      <c r="AC725" s="1" t="s">
        <v>53</v>
      </c>
      <c r="AD725" s="1">
        <v>45341</v>
      </c>
      <c r="AE725" s="1">
        <v>45624</v>
      </c>
      <c r="AF725" s="1"/>
      <c r="AG725" s="1" t="s">
        <v>2176</v>
      </c>
      <c r="AH725" s="1" t="s">
        <v>2173</v>
      </c>
      <c r="AI725" s="1"/>
      <c r="AJ725" s="31">
        <v>45341</v>
      </c>
      <c r="AK725"/>
      <c r="AL725"/>
      <c r="AM725"/>
      <c r="AN725"/>
      <c r="AO725"/>
      <c r="AP725"/>
    </row>
    <row r="726" spans="1:42" s="81" customFormat="1" hidden="1">
      <c r="A726" s="1" t="s">
        <v>2542</v>
      </c>
      <c r="B726" s="1">
        <v>240206</v>
      </c>
      <c r="C726" s="1"/>
      <c r="D726" s="1" t="s">
        <v>414</v>
      </c>
      <c r="E726" s="1" t="s">
        <v>1065</v>
      </c>
      <c r="F726" t="s">
        <v>1083</v>
      </c>
      <c r="G726" t="s">
        <v>1068</v>
      </c>
      <c r="H726" s="1" t="s">
        <v>3767</v>
      </c>
      <c r="I726" s="1" t="s">
        <v>2182</v>
      </c>
      <c r="J726" s="1" t="s">
        <v>18</v>
      </c>
      <c r="K726" s="1" t="s">
        <v>404</v>
      </c>
      <c r="L726" s="1">
        <v>18235</v>
      </c>
      <c r="M726" s="1">
        <v>76</v>
      </c>
      <c r="N726" s="1">
        <v>1250</v>
      </c>
      <c r="O726" s="1" t="s">
        <v>2290</v>
      </c>
      <c r="P726" s="1">
        <v>1650</v>
      </c>
      <c r="Q726" s="1"/>
      <c r="R726" s="1">
        <v>400</v>
      </c>
      <c r="S726">
        <v>220000</v>
      </c>
      <c r="T726">
        <v>11033</v>
      </c>
      <c r="U726" t="s">
        <v>814</v>
      </c>
      <c r="V726" t="s">
        <v>814</v>
      </c>
      <c r="W726" s="1">
        <v>46588</v>
      </c>
      <c r="X726" s="1" t="s">
        <v>55</v>
      </c>
      <c r="Y726" s="1" t="s">
        <v>60</v>
      </c>
      <c r="Z726" s="1" t="s">
        <v>2291</v>
      </c>
      <c r="AA726" s="1" t="s">
        <v>2292</v>
      </c>
      <c r="AB726" s="1" t="s">
        <v>2183</v>
      </c>
      <c r="AC726" s="1" t="s">
        <v>53</v>
      </c>
      <c r="AD726" s="1">
        <v>45348</v>
      </c>
      <c r="AE726" s="1">
        <v>45630</v>
      </c>
      <c r="AF726" s="1"/>
      <c r="AG726" s="1" t="s">
        <v>2293</v>
      </c>
      <c r="AH726" s="1" t="s">
        <v>2294</v>
      </c>
      <c r="AI726" s="1"/>
      <c r="AJ726" s="31">
        <v>45348</v>
      </c>
      <c r="AK726"/>
      <c r="AL726"/>
      <c r="AM726"/>
      <c r="AN726"/>
      <c r="AO726"/>
      <c r="AP726"/>
    </row>
    <row r="727" spans="1:42" s="81" customFormat="1" hidden="1">
      <c r="A727" s="1" t="s">
        <v>2542</v>
      </c>
      <c r="B727" s="1">
        <v>240207</v>
      </c>
      <c r="C727" s="1"/>
      <c r="D727" s="1" t="s">
        <v>95</v>
      </c>
      <c r="E727" s="1" t="s">
        <v>308</v>
      </c>
      <c r="F727" t="s">
        <v>800</v>
      </c>
      <c r="G727" t="s">
        <v>1091</v>
      </c>
      <c r="H727" s="1" t="s">
        <v>3768</v>
      </c>
      <c r="I727" s="1" t="s">
        <v>3769</v>
      </c>
      <c r="J727" s="1" t="s">
        <v>18</v>
      </c>
      <c r="K727" s="1" t="s">
        <v>404</v>
      </c>
      <c r="L727" s="1">
        <v>37765</v>
      </c>
      <c r="M727" s="1">
        <v>22</v>
      </c>
      <c r="N727" s="1">
        <v>1300</v>
      </c>
      <c r="O727" s="1"/>
      <c r="P727" s="1">
        <v>1780</v>
      </c>
      <c r="Q727" s="1"/>
      <c r="R727" s="1">
        <v>480</v>
      </c>
      <c r="S727">
        <v>220000</v>
      </c>
      <c r="T727">
        <v>11033</v>
      </c>
      <c r="U727" t="s">
        <v>814</v>
      </c>
      <c r="V727">
        <v>20130</v>
      </c>
      <c r="W727" s="1">
        <v>46026</v>
      </c>
      <c r="X727" s="1" t="s">
        <v>55</v>
      </c>
      <c r="Y727" s="1" t="s">
        <v>60</v>
      </c>
      <c r="Z727" s="1" t="s">
        <v>3770</v>
      </c>
      <c r="AA727" s="1" t="s">
        <v>3771</v>
      </c>
      <c r="AB727" s="1"/>
      <c r="AC727" s="1" t="s">
        <v>53</v>
      </c>
      <c r="AD727" s="1">
        <v>45351</v>
      </c>
      <c r="AE727" s="1">
        <v>45432</v>
      </c>
      <c r="AF727" s="1"/>
      <c r="AG727" s="1" t="s">
        <v>3772</v>
      </c>
      <c r="AH727" s="1" t="s">
        <v>2294</v>
      </c>
      <c r="AI727" s="1"/>
      <c r="AJ727" s="31">
        <v>45351</v>
      </c>
      <c r="AK727"/>
      <c r="AL727"/>
      <c r="AM727"/>
      <c r="AN727"/>
      <c r="AO727"/>
      <c r="AP727"/>
    </row>
    <row r="728" spans="1:42" s="81" customFormat="1" hidden="1">
      <c r="A728" s="1" t="s">
        <v>2542</v>
      </c>
      <c r="B728" s="1">
        <v>240301</v>
      </c>
      <c r="C728" s="1"/>
      <c r="D728" s="1" t="s">
        <v>447</v>
      </c>
      <c r="E728" s="1"/>
      <c r="F728"/>
      <c r="G728"/>
      <c r="H728" s="1" t="s">
        <v>2184</v>
      </c>
      <c r="I728" s="1" t="s">
        <v>2185</v>
      </c>
      <c r="J728" s="1" t="s">
        <v>18</v>
      </c>
      <c r="K728" s="1" t="s">
        <v>50</v>
      </c>
      <c r="L728" s="1">
        <v>33363</v>
      </c>
      <c r="M728" s="1">
        <v>34</v>
      </c>
      <c r="N728" s="1">
        <v>1300</v>
      </c>
      <c r="O728" s="1"/>
      <c r="P728" s="1">
        <v>1700</v>
      </c>
      <c r="Q728" s="1"/>
      <c r="R728" s="1">
        <v>400</v>
      </c>
      <c r="S728">
        <v>280000</v>
      </c>
      <c r="T728">
        <v>14042</v>
      </c>
      <c r="U728" t="s">
        <v>814</v>
      </c>
      <c r="V728">
        <v>25620</v>
      </c>
      <c r="W728" s="1">
        <v>46962</v>
      </c>
      <c r="X728" s="1" t="s">
        <v>55</v>
      </c>
      <c r="Y728" s="1" t="s">
        <v>51</v>
      </c>
      <c r="Z728" s="1" t="s">
        <v>448</v>
      </c>
      <c r="AA728" s="1" t="s">
        <v>478</v>
      </c>
      <c r="AB728" s="1" t="s">
        <v>3893</v>
      </c>
      <c r="AC728" s="1" t="s">
        <v>53</v>
      </c>
      <c r="AD728" s="1">
        <v>45355</v>
      </c>
      <c r="AE728" s="1">
        <v>45741</v>
      </c>
      <c r="AF728" s="1"/>
      <c r="AG728" s="1" t="s">
        <v>2295</v>
      </c>
      <c r="AH728" s="1" t="s">
        <v>2294</v>
      </c>
      <c r="AI728" s="1"/>
      <c r="AJ728" s="31">
        <v>45355</v>
      </c>
      <c r="AK728"/>
      <c r="AL728"/>
      <c r="AM728"/>
      <c r="AN728"/>
      <c r="AO728"/>
      <c r="AP728"/>
    </row>
    <row r="729" spans="1:42" s="81" customFormat="1" hidden="1">
      <c r="A729" s="1" t="s">
        <v>49</v>
      </c>
      <c r="B729" s="1">
        <v>240302</v>
      </c>
      <c r="C729" s="1"/>
      <c r="D729" s="1" t="s">
        <v>414</v>
      </c>
      <c r="E729" s="1" t="s">
        <v>1065</v>
      </c>
      <c r="F729" t="s">
        <v>1083</v>
      </c>
      <c r="G729" t="s">
        <v>1068</v>
      </c>
      <c r="H729" s="1" t="s">
        <v>2186</v>
      </c>
      <c r="I729" s="1" t="s">
        <v>2187</v>
      </c>
      <c r="J729" s="1" t="s">
        <v>18</v>
      </c>
      <c r="K729" s="1" t="s">
        <v>50</v>
      </c>
      <c r="L729" s="1">
        <v>34486</v>
      </c>
      <c r="M729" s="1">
        <v>31</v>
      </c>
      <c r="N729" s="1">
        <v>1300</v>
      </c>
      <c r="O729" s="1"/>
      <c r="P729" s="1">
        <v>1650</v>
      </c>
      <c r="Q729" s="1"/>
      <c r="R729" s="1">
        <v>350</v>
      </c>
      <c r="S729">
        <v>300000</v>
      </c>
      <c r="T729">
        <v>15045</v>
      </c>
      <c r="U729" t="s">
        <v>814</v>
      </c>
      <c r="V729">
        <v>27450</v>
      </c>
      <c r="W729" s="1">
        <v>46073</v>
      </c>
      <c r="X729" s="1">
        <v>78</v>
      </c>
      <c r="Y729" s="1" t="s">
        <v>51</v>
      </c>
      <c r="Z729" s="1" t="s">
        <v>2188</v>
      </c>
      <c r="AA729" s="1" t="s">
        <v>2189</v>
      </c>
      <c r="AB729" s="1" t="s">
        <v>2190</v>
      </c>
      <c r="AC729" s="1">
        <v>45355</v>
      </c>
      <c r="AD729" s="1">
        <v>45356</v>
      </c>
      <c r="AE729" s="1"/>
      <c r="AF729" s="1"/>
      <c r="AG729" s="1" t="s">
        <v>2296</v>
      </c>
      <c r="AH729" s="1" t="s">
        <v>2297</v>
      </c>
      <c r="AI729" s="1"/>
      <c r="AJ729" s="31">
        <v>45356</v>
      </c>
      <c r="AK729"/>
      <c r="AL729"/>
      <c r="AM729"/>
      <c r="AN729"/>
      <c r="AO729"/>
      <c r="AP729"/>
    </row>
    <row r="730" spans="1:42" s="81" customFormat="1" hidden="1">
      <c r="A730" s="1" t="s">
        <v>2542</v>
      </c>
      <c r="B730" s="1">
        <v>240303</v>
      </c>
      <c r="C730" s="1"/>
      <c r="D730" s="1" t="s">
        <v>414</v>
      </c>
      <c r="E730" s="1" t="s">
        <v>1065</v>
      </c>
      <c r="F730" t="s">
        <v>1083</v>
      </c>
      <c r="G730" t="s">
        <v>1068</v>
      </c>
      <c r="H730" s="1" t="s">
        <v>2191</v>
      </c>
      <c r="I730" s="1" t="s">
        <v>2192</v>
      </c>
      <c r="J730" s="1" t="s">
        <v>18</v>
      </c>
      <c r="K730" s="1" t="s">
        <v>50</v>
      </c>
      <c r="L730" s="1">
        <v>35921</v>
      </c>
      <c r="M730" s="1">
        <v>27</v>
      </c>
      <c r="N730" s="1">
        <v>1300</v>
      </c>
      <c r="O730" s="1"/>
      <c r="P730" s="1">
        <v>1650</v>
      </c>
      <c r="Q730" s="1"/>
      <c r="R730" s="1">
        <v>350</v>
      </c>
      <c r="S730">
        <v>280000</v>
      </c>
      <c r="T730">
        <v>14042</v>
      </c>
      <c r="U730" t="s">
        <v>814</v>
      </c>
      <c r="V730">
        <v>25620</v>
      </c>
      <c r="W730" s="1">
        <v>46517</v>
      </c>
      <c r="X730" s="1" t="s">
        <v>55</v>
      </c>
      <c r="Y730" s="1" t="s">
        <v>51</v>
      </c>
      <c r="Z730" s="1" t="s">
        <v>2188</v>
      </c>
      <c r="AA730" s="1" t="s">
        <v>2189</v>
      </c>
      <c r="AB730" s="1" t="s">
        <v>2190</v>
      </c>
      <c r="AC730" s="1">
        <v>45355</v>
      </c>
      <c r="AD730" s="1">
        <v>45357</v>
      </c>
      <c r="AE730" s="1">
        <v>45652</v>
      </c>
      <c r="AF730" s="1"/>
      <c r="AG730" s="1" t="s">
        <v>2298</v>
      </c>
      <c r="AH730" s="1" t="s">
        <v>2297</v>
      </c>
      <c r="AI730" s="1"/>
      <c r="AJ730" s="31">
        <v>45357</v>
      </c>
      <c r="AK730"/>
      <c r="AL730"/>
      <c r="AM730"/>
      <c r="AN730"/>
      <c r="AO730"/>
      <c r="AP730"/>
    </row>
    <row r="731" spans="1:42" s="81" customFormat="1" hidden="1">
      <c r="A731" s="1" t="s">
        <v>49</v>
      </c>
      <c r="B731" s="1">
        <v>240304</v>
      </c>
      <c r="C731" s="1"/>
      <c r="D731" s="1" t="s">
        <v>1612</v>
      </c>
      <c r="E731" s="1"/>
      <c r="F731"/>
      <c r="G731"/>
      <c r="H731" s="1" t="s">
        <v>2193</v>
      </c>
      <c r="I731" s="1" t="s">
        <v>2194</v>
      </c>
      <c r="J731" s="1" t="s">
        <v>18</v>
      </c>
      <c r="K731" s="1" t="s">
        <v>50</v>
      </c>
      <c r="L731" s="1">
        <v>36735</v>
      </c>
      <c r="M731" s="1">
        <v>25</v>
      </c>
      <c r="N731" s="1">
        <v>1300</v>
      </c>
      <c r="O731" s="1"/>
      <c r="P731" s="1">
        <v>1900</v>
      </c>
      <c r="Q731" s="1"/>
      <c r="R731" s="1">
        <v>600</v>
      </c>
      <c r="S731">
        <v>300000</v>
      </c>
      <c r="T731">
        <v>15045</v>
      </c>
      <c r="U731" t="s">
        <v>814</v>
      </c>
      <c r="V731">
        <v>27450</v>
      </c>
      <c r="W731" s="1">
        <v>47013</v>
      </c>
      <c r="X731" s="1" t="s">
        <v>55</v>
      </c>
      <c r="Y731" s="1" t="s">
        <v>51</v>
      </c>
      <c r="Z731" s="1" t="s">
        <v>110</v>
      </c>
      <c r="AA731" s="1" t="s">
        <v>2299</v>
      </c>
      <c r="AB731" s="1" t="s">
        <v>2300</v>
      </c>
      <c r="AC731" s="1">
        <v>45353</v>
      </c>
      <c r="AD731" s="1">
        <v>45357</v>
      </c>
      <c r="AE731" s="1"/>
      <c r="AF731" s="1"/>
      <c r="AG731" s="1" t="s">
        <v>2298</v>
      </c>
      <c r="AH731" s="1" t="s">
        <v>2294</v>
      </c>
      <c r="AI731" s="1"/>
      <c r="AJ731" s="31">
        <v>45357</v>
      </c>
      <c r="AK731"/>
      <c r="AL731"/>
      <c r="AM731"/>
      <c r="AN731"/>
      <c r="AO731"/>
      <c r="AP731"/>
    </row>
    <row r="732" spans="1:42" s="81" customFormat="1">
      <c r="A732" s="1" t="s">
        <v>49</v>
      </c>
      <c r="B732" s="1">
        <v>251106</v>
      </c>
      <c r="C732" s="1">
        <v>242140</v>
      </c>
      <c r="D732" s="1" t="s">
        <v>69</v>
      </c>
      <c r="E732" s="1" t="s">
        <v>306</v>
      </c>
      <c r="F732" t="s">
        <v>3941</v>
      </c>
      <c r="G732" t="s">
        <v>1093</v>
      </c>
      <c r="H732" s="1" t="s">
        <v>4562</v>
      </c>
      <c r="I732" s="1" t="s">
        <v>4563</v>
      </c>
      <c r="J732" s="1" t="s">
        <v>18</v>
      </c>
      <c r="K732" s="1" t="s">
        <v>50</v>
      </c>
      <c r="L732" s="1">
        <v>37052</v>
      </c>
      <c r="M732" s="1">
        <v>24</v>
      </c>
      <c r="N732" s="1">
        <v>1200</v>
      </c>
      <c r="O732" s="1"/>
      <c r="P732" s="1">
        <v>1650</v>
      </c>
      <c r="Q732" s="1"/>
      <c r="R732" s="1">
        <v>450</v>
      </c>
      <c r="S732">
        <v>190000</v>
      </c>
      <c r="T732">
        <v>9528</v>
      </c>
      <c r="U732" t="s">
        <v>814</v>
      </c>
      <c r="V732">
        <v>17385</v>
      </c>
      <c r="W732" s="1">
        <v>47052</v>
      </c>
      <c r="X732" s="1" t="s">
        <v>55</v>
      </c>
      <c r="Y732" s="1" t="s">
        <v>51</v>
      </c>
      <c r="Z732" s="1" t="s">
        <v>470</v>
      </c>
      <c r="AA732" s="1" t="s">
        <v>576</v>
      </c>
      <c r="AB732" s="1" t="s">
        <v>4561</v>
      </c>
      <c r="AC732" s="1"/>
      <c r="AD732" s="1">
        <v>45973</v>
      </c>
      <c r="AE732" s="1"/>
      <c r="AF732" s="1"/>
      <c r="AG732" s="1">
        <v>45973</v>
      </c>
      <c r="AH732" s="1" t="s">
        <v>1590</v>
      </c>
      <c r="AI732" s="1"/>
      <c r="AJ732" s="31">
        <v>45973</v>
      </c>
      <c r="AK732"/>
      <c r="AL732"/>
      <c r="AM732"/>
      <c r="AN732"/>
      <c r="AO732"/>
      <c r="AP732"/>
    </row>
    <row r="733" spans="1:42" s="81" customFormat="1">
      <c r="A733" s="1" t="s">
        <v>49</v>
      </c>
      <c r="B733" s="1">
        <v>221211</v>
      </c>
      <c r="C733" s="1">
        <v>242059</v>
      </c>
      <c r="D733" s="1" t="s">
        <v>69</v>
      </c>
      <c r="E733" s="1" t="s">
        <v>310</v>
      </c>
      <c r="F733" t="s">
        <v>749</v>
      </c>
      <c r="G733" t="s">
        <v>1093</v>
      </c>
      <c r="H733" s="1" t="s">
        <v>872</v>
      </c>
      <c r="I733" s="1" t="s">
        <v>873</v>
      </c>
      <c r="J733" s="1" t="s">
        <v>18</v>
      </c>
      <c r="K733" s="1" t="s">
        <v>50</v>
      </c>
      <c r="L733" s="1">
        <v>35716</v>
      </c>
      <c r="M733" s="1">
        <v>28</v>
      </c>
      <c r="N733" s="1">
        <v>1310</v>
      </c>
      <c r="O733" s="1"/>
      <c r="P733" s="1">
        <v>1720</v>
      </c>
      <c r="Q733" s="1"/>
      <c r="R733" s="1">
        <v>410</v>
      </c>
      <c r="S733">
        <v>240000</v>
      </c>
      <c r="T733">
        <v>12036</v>
      </c>
      <c r="U733" t="s">
        <v>814</v>
      </c>
      <c r="V733">
        <v>21960</v>
      </c>
      <c r="W733" s="1">
        <v>45998</v>
      </c>
      <c r="X733" s="1">
        <v>3</v>
      </c>
      <c r="Y733" s="1" t="s">
        <v>51</v>
      </c>
      <c r="Z733" s="1" t="s">
        <v>493</v>
      </c>
      <c r="AA733" s="1" t="s">
        <v>494</v>
      </c>
      <c r="AB733" s="1" t="s">
        <v>495</v>
      </c>
      <c r="AC733" s="1"/>
      <c r="AD733" s="1">
        <v>44907</v>
      </c>
      <c r="AE733" s="1"/>
      <c r="AF733" s="1"/>
      <c r="AG733" s="1" t="s">
        <v>855</v>
      </c>
      <c r="AH733" s="1" t="s">
        <v>874</v>
      </c>
      <c r="AI733" s="1"/>
      <c r="AJ733" s="31">
        <v>44907</v>
      </c>
      <c r="AK733"/>
      <c r="AL733"/>
      <c r="AM733"/>
      <c r="AN733"/>
      <c r="AO733" t="s">
        <v>4165</v>
      </c>
      <c r="AP733"/>
    </row>
    <row r="734" spans="1:42" s="81" customFormat="1" hidden="1">
      <c r="A734" s="1" t="s">
        <v>2542</v>
      </c>
      <c r="B734" s="1">
        <v>240307</v>
      </c>
      <c r="C734" s="1">
        <v>222065</v>
      </c>
      <c r="D734" s="1" t="s">
        <v>62</v>
      </c>
      <c r="E734" s="1" t="s">
        <v>3935</v>
      </c>
      <c r="F734" t="s">
        <v>794</v>
      </c>
      <c r="G734" t="s">
        <v>316</v>
      </c>
      <c r="H734" s="1" t="s">
        <v>2198</v>
      </c>
      <c r="I734" s="1" t="s">
        <v>2199</v>
      </c>
      <c r="J734" s="1" t="s">
        <v>18</v>
      </c>
      <c r="K734" s="1" t="s">
        <v>50</v>
      </c>
      <c r="L734" s="1">
        <v>36859</v>
      </c>
      <c r="M734" s="1">
        <v>25</v>
      </c>
      <c r="N734" s="1">
        <v>1250</v>
      </c>
      <c r="O734" s="1"/>
      <c r="P734" s="1">
        <v>1650</v>
      </c>
      <c r="Q734" s="1"/>
      <c r="R734" s="1">
        <v>400</v>
      </c>
      <c r="S734">
        <v>240000</v>
      </c>
      <c r="T734">
        <v>12036</v>
      </c>
      <c r="U734" t="s">
        <v>814</v>
      </c>
      <c r="V734">
        <v>21960</v>
      </c>
      <c r="W734" s="1">
        <v>45722</v>
      </c>
      <c r="X734" s="1" t="s">
        <v>55</v>
      </c>
      <c r="Y734" s="1" t="s">
        <v>51</v>
      </c>
      <c r="Z734" s="1" t="s">
        <v>203</v>
      </c>
      <c r="AA734" s="1" t="s">
        <v>2302</v>
      </c>
      <c r="AB734" s="1" t="s">
        <v>2303</v>
      </c>
      <c r="AC734" s="1"/>
      <c r="AD734" s="1">
        <v>45359</v>
      </c>
      <c r="AE734" s="1">
        <v>45679</v>
      </c>
      <c r="AF734" s="1"/>
      <c r="AG734" s="1" t="s">
        <v>2304</v>
      </c>
      <c r="AH734" s="1" t="s">
        <v>2294</v>
      </c>
      <c r="AI734" s="1"/>
      <c r="AJ734" s="31">
        <v>45359</v>
      </c>
      <c r="AK734"/>
      <c r="AL734"/>
      <c r="AM734"/>
      <c r="AN734"/>
      <c r="AO734"/>
      <c r="AP734"/>
    </row>
    <row r="735" spans="1:42" s="81" customFormat="1" hidden="1">
      <c r="A735" s="1" t="s">
        <v>2542</v>
      </c>
      <c r="B735" s="1">
        <v>240308</v>
      </c>
      <c r="C735" s="1">
        <v>8210088</v>
      </c>
      <c r="D735" s="1" t="s">
        <v>818</v>
      </c>
      <c r="E735" s="1" t="s">
        <v>834</v>
      </c>
      <c r="F735" t="s">
        <v>834</v>
      </c>
      <c r="G735"/>
      <c r="H735" s="1" t="s">
        <v>2200</v>
      </c>
      <c r="I735" s="1" t="s">
        <v>2201</v>
      </c>
      <c r="J735" s="1" t="s">
        <v>18</v>
      </c>
      <c r="K735" s="1" t="s">
        <v>50</v>
      </c>
      <c r="L735" s="1">
        <v>32911</v>
      </c>
      <c r="M735" s="1">
        <v>35</v>
      </c>
      <c r="N735" s="1">
        <v>1500</v>
      </c>
      <c r="O735" s="1"/>
      <c r="P735" s="1">
        <v>2150</v>
      </c>
      <c r="Q735" s="1"/>
      <c r="R735" s="1">
        <v>650</v>
      </c>
      <c r="S735">
        <v>360000</v>
      </c>
      <c r="T735">
        <v>18054</v>
      </c>
      <c r="U735" t="s">
        <v>814</v>
      </c>
      <c r="V735">
        <v>32940</v>
      </c>
      <c r="W735" s="1">
        <v>46622</v>
      </c>
      <c r="X735" s="1" t="s">
        <v>55</v>
      </c>
      <c r="Y735" s="1" t="s">
        <v>51</v>
      </c>
      <c r="Z735" s="1" t="s">
        <v>2305</v>
      </c>
      <c r="AA735" s="1" t="s">
        <v>2306</v>
      </c>
      <c r="AB735" s="1" t="s">
        <v>2307</v>
      </c>
      <c r="AC735" s="1" t="s">
        <v>53</v>
      </c>
      <c r="AD735" s="1">
        <v>45362</v>
      </c>
      <c r="AE735" s="1">
        <v>45908</v>
      </c>
      <c r="AF735" s="1"/>
      <c r="AG735" s="1" t="s">
        <v>2308</v>
      </c>
      <c r="AH735" s="1" t="s">
        <v>2294</v>
      </c>
      <c r="AI735" s="1"/>
      <c r="AJ735" s="31">
        <v>45362</v>
      </c>
      <c r="AK735" t="s">
        <v>2423</v>
      </c>
      <c r="AL735">
        <v>46453</v>
      </c>
      <c r="AM735" t="s">
        <v>2423</v>
      </c>
      <c r="AN735">
        <v>46316</v>
      </c>
      <c r="AO735"/>
      <c r="AP735"/>
    </row>
    <row r="736" spans="1:42" s="81" customFormat="1" hidden="1">
      <c r="A736" s="1" t="s">
        <v>49</v>
      </c>
      <c r="B736" s="1">
        <v>240309</v>
      </c>
      <c r="C736" s="1"/>
      <c r="D736" s="1" t="s">
        <v>414</v>
      </c>
      <c r="E736" s="1" t="s">
        <v>1065</v>
      </c>
      <c r="F736" t="s">
        <v>1083</v>
      </c>
      <c r="G736" t="s">
        <v>1068</v>
      </c>
      <c r="H736" s="1" t="s">
        <v>2202</v>
      </c>
      <c r="I736" s="1" t="s">
        <v>2203</v>
      </c>
      <c r="J736" s="1" t="s">
        <v>18</v>
      </c>
      <c r="K736" s="1" t="s">
        <v>50</v>
      </c>
      <c r="L736" s="1">
        <v>32702</v>
      </c>
      <c r="M736" s="1">
        <v>36</v>
      </c>
      <c r="N736" s="1">
        <v>1300</v>
      </c>
      <c r="O736" s="1"/>
      <c r="P736" s="1">
        <v>1650</v>
      </c>
      <c r="Q736" s="1"/>
      <c r="R736" s="1">
        <v>350</v>
      </c>
      <c r="S736">
        <v>300000</v>
      </c>
      <c r="T736">
        <v>15045</v>
      </c>
      <c r="U736" t="s">
        <v>814</v>
      </c>
      <c r="V736">
        <v>27450</v>
      </c>
      <c r="W736" s="1">
        <v>46629</v>
      </c>
      <c r="X736" s="1" t="s">
        <v>55</v>
      </c>
      <c r="Y736" s="1" t="s">
        <v>51</v>
      </c>
      <c r="Z736" s="1" t="s">
        <v>2309</v>
      </c>
      <c r="AA736" s="1" t="s">
        <v>2427</v>
      </c>
      <c r="AB736" s="1" t="s">
        <v>2310</v>
      </c>
      <c r="AC736" s="1"/>
      <c r="AD736" s="1">
        <v>45362</v>
      </c>
      <c r="AE736" s="1"/>
      <c r="AF736" s="1"/>
      <c r="AG736" s="1" t="s">
        <v>2308</v>
      </c>
      <c r="AH736" s="1" t="s">
        <v>2294</v>
      </c>
      <c r="AI736" s="1"/>
      <c r="AJ736" s="31">
        <v>45362</v>
      </c>
      <c r="AK736"/>
      <c r="AL736"/>
      <c r="AM736"/>
      <c r="AN736"/>
      <c r="AO736"/>
      <c r="AP736"/>
    </row>
    <row r="737" spans="1:42" s="81" customFormat="1" hidden="1">
      <c r="A737" s="1" t="s">
        <v>2542</v>
      </c>
      <c r="B737" s="1">
        <v>220315</v>
      </c>
      <c r="C737" s="1">
        <v>8210089</v>
      </c>
      <c r="D737" s="1" t="s">
        <v>818</v>
      </c>
      <c r="E737" s="1" t="s">
        <v>834</v>
      </c>
      <c r="F737" t="s">
        <v>834</v>
      </c>
      <c r="G737"/>
      <c r="H737" s="1" t="s">
        <v>2204</v>
      </c>
      <c r="I737" s="1" t="s">
        <v>2205</v>
      </c>
      <c r="J737" s="1" t="s">
        <v>18</v>
      </c>
      <c r="K737" s="1" t="s">
        <v>50</v>
      </c>
      <c r="L737" s="1">
        <v>34262</v>
      </c>
      <c r="M737" s="1">
        <v>32</v>
      </c>
      <c r="N737" s="1">
        <v>1400</v>
      </c>
      <c r="O737" s="1"/>
      <c r="P737" s="1">
        <v>1990</v>
      </c>
      <c r="Q737" s="1"/>
      <c r="R737" s="1">
        <v>590</v>
      </c>
      <c r="S737">
        <v>360000</v>
      </c>
      <c r="T737">
        <v>18054</v>
      </c>
      <c r="U737" t="s">
        <v>814</v>
      </c>
      <c r="V737">
        <v>32940</v>
      </c>
      <c r="W737" s="1">
        <v>46622</v>
      </c>
      <c r="X737" s="1" t="s">
        <v>55</v>
      </c>
      <c r="Y737" s="1" t="s">
        <v>51</v>
      </c>
      <c r="Z737" s="1" t="s">
        <v>1546</v>
      </c>
      <c r="AA737" s="1" t="s">
        <v>2314</v>
      </c>
      <c r="AB737" s="1" t="s">
        <v>1547</v>
      </c>
      <c r="AC737" s="1"/>
      <c r="AD737" s="1">
        <v>45363</v>
      </c>
      <c r="AE737" s="1">
        <v>45609</v>
      </c>
      <c r="AF737" s="1"/>
      <c r="AG737" s="1" t="s">
        <v>2313</v>
      </c>
      <c r="AH737" s="1" t="s">
        <v>2294</v>
      </c>
      <c r="AI737" s="1"/>
      <c r="AJ737" s="31">
        <v>45363</v>
      </c>
      <c r="AK737"/>
      <c r="AL737"/>
      <c r="AM737" t="s">
        <v>2466</v>
      </c>
      <c r="AN737">
        <v>45903</v>
      </c>
      <c r="AO737"/>
      <c r="AP737"/>
    </row>
    <row r="738" spans="1:42" s="81" customFormat="1" hidden="1">
      <c r="A738" s="1" t="s">
        <v>2542</v>
      </c>
      <c r="B738" s="1">
        <v>240310</v>
      </c>
      <c r="C738" s="1">
        <v>242105</v>
      </c>
      <c r="D738" s="1" t="s">
        <v>69</v>
      </c>
      <c r="E738" s="1" t="s">
        <v>306</v>
      </c>
      <c r="F738" t="s">
        <v>3941</v>
      </c>
      <c r="G738" t="s">
        <v>1093</v>
      </c>
      <c r="H738" s="1" t="s">
        <v>2206</v>
      </c>
      <c r="I738" s="1" t="s">
        <v>2207</v>
      </c>
      <c r="J738" s="1" t="s">
        <v>18</v>
      </c>
      <c r="K738" s="1" t="s">
        <v>50</v>
      </c>
      <c r="L738" s="1">
        <v>35522</v>
      </c>
      <c r="M738" s="1">
        <v>28</v>
      </c>
      <c r="N738" s="1">
        <v>1300</v>
      </c>
      <c r="O738" s="1"/>
      <c r="P738" s="1">
        <v>1660</v>
      </c>
      <c r="Q738" s="1"/>
      <c r="R738" s="1">
        <v>360</v>
      </c>
      <c r="S738">
        <v>320000</v>
      </c>
      <c r="T738">
        <v>16048</v>
      </c>
      <c r="U738" t="s">
        <v>814</v>
      </c>
      <c r="V738">
        <v>29280</v>
      </c>
      <c r="W738" s="1">
        <v>46106</v>
      </c>
      <c r="X738" s="1" t="s">
        <v>55</v>
      </c>
      <c r="Y738" s="1" t="s">
        <v>51</v>
      </c>
      <c r="Z738" s="1" t="s">
        <v>72</v>
      </c>
      <c r="AA738" s="1" t="s">
        <v>2311</v>
      </c>
      <c r="AB738" s="1" t="s">
        <v>2312</v>
      </c>
      <c r="AC738" s="1"/>
      <c r="AD738" s="1">
        <v>45363</v>
      </c>
      <c r="AE738" s="1">
        <v>45813</v>
      </c>
      <c r="AF738" s="1"/>
      <c r="AG738" s="1" t="s">
        <v>2313</v>
      </c>
      <c r="AH738" s="1" t="s">
        <v>2294</v>
      </c>
      <c r="AI738" s="1"/>
      <c r="AJ738" s="31">
        <v>45363</v>
      </c>
      <c r="AK738"/>
      <c r="AL738"/>
      <c r="AM738"/>
      <c r="AN738"/>
      <c r="AO738" t="s">
        <v>4165</v>
      </c>
      <c r="AP738"/>
    </row>
    <row r="739" spans="1:42" s="81" customFormat="1">
      <c r="A739" s="1" t="s">
        <v>49</v>
      </c>
      <c r="B739" s="1">
        <v>230901</v>
      </c>
      <c r="C739" s="1">
        <v>242073</v>
      </c>
      <c r="D739" s="1" t="s">
        <v>69</v>
      </c>
      <c r="E739" s="1" t="s">
        <v>310</v>
      </c>
      <c r="F739" t="s">
        <v>749</v>
      </c>
      <c r="G739" t="s">
        <v>1093</v>
      </c>
      <c r="H739" s="1" t="s">
        <v>141</v>
      </c>
      <c r="I739" s="1" t="s">
        <v>142</v>
      </c>
      <c r="J739" s="1" t="s">
        <v>18</v>
      </c>
      <c r="K739" s="1" t="s">
        <v>50</v>
      </c>
      <c r="L739" s="1">
        <v>33801</v>
      </c>
      <c r="M739" s="1">
        <v>33</v>
      </c>
      <c r="N739" s="1">
        <v>1320</v>
      </c>
      <c r="O739" s="1"/>
      <c r="P739" s="1">
        <v>1680</v>
      </c>
      <c r="Q739" s="1"/>
      <c r="R739" s="1">
        <v>360</v>
      </c>
      <c r="S739">
        <v>260000</v>
      </c>
      <c r="T739">
        <v>13039</v>
      </c>
      <c r="U739" t="s">
        <v>814</v>
      </c>
      <c r="V739">
        <v>23790</v>
      </c>
      <c r="W739" s="1">
        <v>46999</v>
      </c>
      <c r="X739" s="1" t="s">
        <v>55</v>
      </c>
      <c r="Y739" s="1" t="s">
        <v>51</v>
      </c>
      <c r="Z739" s="1" t="s">
        <v>427</v>
      </c>
      <c r="AA739" s="1" t="s">
        <v>1724</v>
      </c>
      <c r="AB739" s="1" t="s">
        <v>462</v>
      </c>
      <c r="AC739" s="1">
        <v>45166</v>
      </c>
      <c r="AD739" s="1">
        <v>45170</v>
      </c>
      <c r="AE739" s="1"/>
      <c r="AF739" s="1"/>
      <c r="AG739" s="1" t="s">
        <v>1447</v>
      </c>
      <c r="AH739" s="1" t="s">
        <v>1448</v>
      </c>
      <c r="AI739" s="1"/>
      <c r="AJ739" s="31">
        <v>45170</v>
      </c>
      <c r="AK739"/>
      <c r="AL739"/>
      <c r="AM739"/>
      <c r="AN739"/>
      <c r="AO739" t="s">
        <v>4165</v>
      </c>
      <c r="AP739"/>
    </row>
    <row r="740" spans="1:42" s="81" customFormat="1">
      <c r="A740" s="1" t="s">
        <v>49</v>
      </c>
      <c r="B740" s="1">
        <v>230914</v>
      </c>
      <c r="C740" s="1">
        <v>242079</v>
      </c>
      <c r="D740" s="1" t="s">
        <v>69</v>
      </c>
      <c r="E740" s="1" t="s">
        <v>310</v>
      </c>
      <c r="F740" t="s">
        <v>749</v>
      </c>
      <c r="G740" t="s">
        <v>1093</v>
      </c>
      <c r="H740" s="1" t="s">
        <v>1481</v>
      </c>
      <c r="I740" s="1" t="s">
        <v>1482</v>
      </c>
      <c r="J740" s="1" t="s">
        <v>18</v>
      </c>
      <c r="K740" s="1" t="s">
        <v>50</v>
      </c>
      <c r="L740" s="1">
        <v>35440</v>
      </c>
      <c r="M740" s="1">
        <v>28</v>
      </c>
      <c r="N740" s="1">
        <v>1300</v>
      </c>
      <c r="O740" s="1"/>
      <c r="P740" s="1">
        <v>1690</v>
      </c>
      <c r="Q740" s="1"/>
      <c r="R740" s="1">
        <v>390</v>
      </c>
      <c r="S740">
        <v>260000</v>
      </c>
      <c r="T740">
        <v>13039</v>
      </c>
      <c r="U740" t="s">
        <v>814</v>
      </c>
      <c r="V740">
        <v>23790</v>
      </c>
      <c r="W740" s="1">
        <v>47014</v>
      </c>
      <c r="X740" s="1" t="s">
        <v>55</v>
      </c>
      <c r="Y740" s="1" t="s">
        <v>51</v>
      </c>
      <c r="Z740" s="1" t="s">
        <v>470</v>
      </c>
      <c r="AA740" s="1" t="s">
        <v>1483</v>
      </c>
      <c r="AB740" s="1" t="s">
        <v>1484</v>
      </c>
      <c r="AC740" s="1">
        <v>45187</v>
      </c>
      <c r="AD740" s="1">
        <v>45190</v>
      </c>
      <c r="AE740" s="1"/>
      <c r="AF740" s="1"/>
      <c r="AG740" s="1" t="s">
        <v>1485</v>
      </c>
      <c r="AH740" s="1" t="s">
        <v>1486</v>
      </c>
      <c r="AI740" s="1"/>
      <c r="AJ740" s="31">
        <v>45190</v>
      </c>
      <c r="AK740"/>
      <c r="AL740"/>
      <c r="AM740"/>
      <c r="AN740"/>
      <c r="AO740" t="s">
        <v>4164</v>
      </c>
      <c r="AP740"/>
    </row>
    <row r="741" spans="1:42" s="81" customFormat="1" hidden="1">
      <c r="A741" s="1" t="s">
        <v>2542</v>
      </c>
      <c r="B741" s="1">
        <v>240313</v>
      </c>
      <c r="C741" s="1"/>
      <c r="D741" s="1" t="s">
        <v>1612</v>
      </c>
      <c r="E741" s="1"/>
      <c r="F741"/>
      <c r="G741"/>
      <c r="H741" s="1" t="s">
        <v>2212</v>
      </c>
      <c r="I741" s="1" t="s">
        <v>2213</v>
      </c>
      <c r="J741" s="1" t="s">
        <v>18</v>
      </c>
      <c r="K741" s="1" t="s">
        <v>50</v>
      </c>
      <c r="L741" s="1">
        <v>36997</v>
      </c>
      <c r="M741" s="1">
        <v>24</v>
      </c>
      <c r="N741" s="1">
        <v>1300</v>
      </c>
      <c r="O741" s="1"/>
      <c r="P741" s="1">
        <v>1900</v>
      </c>
      <c r="Q741" s="1"/>
      <c r="R741" s="1">
        <v>600</v>
      </c>
      <c r="S741">
        <v>280000</v>
      </c>
      <c r="T741">
        <v>14042</v>
      </c>
      <c r="U741" t="s">
        <v>814</v>
      </c>
      <c r="V741">
        <v>25620</v>
      </c>
      <c r="W741" s="1">
        <v>45982</v>
      </c>
      <c r="X741" s="1" t="s">
        <v>55</v>
      </c>
      <c r="Y741" s="1" t="s">
        <v>51</v>
      </c>
      <c r="Z741" s="1" t="s">
        <v>110</v>
      </c>
      <c r="AA741" s="1" t="s">
        <v>131</v>
      </c>
      <c r="AB741" s="1" t="s">
        <v>2315</v>
      </c>
      <c r="AC741" s="1"/>
      <c r="AD741" s="1">
        <v>45364</v>
      </c>
      <c r="AE741" s="1">
        <v>45687</v>
      </c>
      <c r="AF741" s="1"/>
      <c r="AG741" s="1" t="s">
        <v>2316</v>
      </c>
      <c r="AH741" s="1" t="s">
        <v>2294</v>
      </c>
      <c r="AI741" s="1"/>
      <c r="AJ741" s="31">
        <v>45364</v>
      </c>
      <c r="AK741"/>
      <c r="AL741"/>
      <c r="AM741"/>
      <c r="AN741"/>
      <c r="AO741"/>
      <c r="AP741"/>
    </row>
    <row r="742" spans="1:42" s="81" customFormat="1">
      <c r="A742" s="1" t="s">
        <v>49</v>
      </c>
      <c r="B742" s="1">
        <v>250308</v>
      </c>
      <c r="C742" s="1">
        <v>242128</v>
      </c>
      <c r="D742" s="1" t="s">
        <v>69</v>
      </c>
      <c r="E742" s="1" t="s">
        <v>310</v>
      </c>
      <c r="F742" t="s">
        <v>749</v>
      </c>
      <c r="G742" t="s">
        <v>1093</v>
      </c>
      <c r="H742" s="1" t="s">
        <v>4221</v>
      </c>
      <c r="I742" s="1" t="s">
        <v>4222</v>
      </c>
      <c r="J742" s="1" t="s">
        <v>18</v>
      </c>
      <c r="K742" s="1" t="s">
        <v>50</v>
      </c>
      <c r="L742" s="1">
        <v>37525</v>
      </c>
      <c r="M742" s="1">
        <v>23</v>
      </c>
      <c r="N742" s="1">
        <v>1200</v>
      </c>
      <c r="O742" s="1"/>
      <c r="P742" s="1">
        <v>1650</v>
      </c>
      <c r="Q742" s="1"/>
      <c r="R742" s="1">
        <v>450</v>
      </c>
      <c r="S742">
        <v>220000</v>
      </c>
      <c r="T742">
        <v>11033</v>
      </c>
      <c r="U742" t="s">
        <v>814</v>
      </c>
      <c r="V742">
        <v>20130</v>
      </c>
      <c r="W742" s="1">
        <v>46825</v>
      </c>
      <c r="X742" s="1" t="s">
        <v>55</v>
      </c>
      <c r="Y742" s="1" t="s">
        <v>51</v>
      </c>
      <c r="Z742" s="1" t="s">
        <v>1474</v>
      </c>
      <c r="AA742" s="1" t="s">
        <v>1475</v>
      </c>
      <c r="AB742" s="1" t="s">
        <v>1476</v>
      </c>
      <c r="AC742" s="1"/>
      <c r="AD742" s="1">
        <v>45736</v>
      </c>
      <c r="AE742" s="1"/>
      <c r="AF742" s="1"/>
      <c r="AG742" s="1">
        <v>45736</v>
      </c>
      <c r="AH742" s="1" t="s">
        <v>2346</v>
      </c>
      <c r="AI742" s="1"/>
      <c r="AJ742" s="31">
        <v>45736</v>
      </c>
      <c r="AK742"/>
      <c r="AL742"/>
      <c r="AM742"/>
      <c r="AN742"/>
      <c r="AO742" t="s">
        <v>4165</v>
      </c>
      <c r="AP742"/>
    </row>
    <row r="743" spans="1:42" s="81" customFormat="1">
      <c r="A743" s="1" t="s">
        <v>49</v>
      </c>
      <c r="B743" s="1">
        <v>250406</v>
      </c>
      <c r="C743" s="1">
        <v>242130</v>
      </c>
      <c r="D743" s="1" t="s">
        <v>69</v>
      </c>
      <c r="E743" s="1" t="s">
        <v>310</v>
      </c>
      <c r="F743" t="s">
        <v>749</v>
      </c>
      <c r="G743" t="s">
        <v>1093</v>
      </c>
      <c r="H743" s="1" t="s">
        <v>4241</v>
      </c>
      <c r="I743" s="1" t="s">
        <v>4242</v>
      </c>
      <c r="J743" s="1" t="s">
        <v>18</v>
      </c>
      <c r="K743" s="1" t="s">
        <v>50</v>
      </c>
      <c r="L743" s="1">
        <v>35553</v>
      </c>
      <c r="M743" s="1">
        <v>28</v>
      </c>
      <c r="N743" s="1">
        <v>1200</v>
      </c>
      <c r="O743" s="1"/>
      <c r="P743" s="1">
        <v>1650</v>
      </c>
      <c r="Q743" s="1"/>
      <c r="R743" s="1">
        <v>450</v>
      </c>
      <c r="S743">
        <v>220000</v>
      </c>
      <c r="T743">
        <v>11033</v>
      </c>
      <c r="U743" t="s">
        <v>814</v>
      </c>
      <c r="V743">
        <v>20130</v>
      </c>
      <c r="W743" s="1">
        <v>46837</v>
      </c>
      <c r="X743" s="1" t="s">
        <v>55</v>
      </c>
      <c r="Y743" s="1" t="s">
        <v>51</v>
      </c>
      <c r="Z743" s="1" t="s">
        <v>620</v>
      </c>
      <c r="AA743" s="1" t="s">
        <v>621</v>
      </c>
      <c r="AB743" s="1" t="s">
        <v>622</v>
      </c>
      <c r="AC743" s="1"/>
      <c r="AD743" s="1">
        <v>45749</v>
      </c>
      <c r="AE743" s="1"/>
      <c r="AF743" s="1"/>
      <c r="AG743" s="1">
        <v>45749</v>
      </c>
      <c r="AH743" s="1" t="s">
        <v>2346</v>
      </c>
      <c r="AI743" s="1"/>
      <c r="AJ743" s="31">
        <v>45749</v>
      </c>
      <c r="AK743"/>
      <c r="AL743"/>
      <c r="AM743"/>
      <c r="AN743"/>
      <c r="AO743"/>
      <c r="AP743"/>
    </row>
    <row r="744" spans="1:42" s="81" customFormat="1" hidden="1">
      <c r="A744" s="1" t="s">
        <v>49</v>
      </c>
      <c r="B744" s="1">
        <v>240319</v>
      </c>
      <c r="C744" s="1">
        <v>212049</v>
      </c>
      <c r="D744" s="1" t="s">
        <v>813</v>
      </c>
      <c r="E744" s="1" t="s">
        <v>3934</v>
      </c>
      <c r="F744" t="s">
        <v>738</v>
      </c>
      <c r="G744" t="s">
        <v>317</v>
      </c>
      <c r="H744" s="1" t="s">
        <v>2222</v>
      </c>
      <c r="I744" s="1" t="s">
        <v>2223</v>
      </c>
      <c r="J744" s="1" t="s">
        <v>18</v>
      </c>
      <c r="K744" s="1" t="s">
        <v>50</v>
      </c>
      <c r="L744" s="1">
        <v>34929</v>
      </c>
      <c r="M744" s="1">
        <v>30</v>
      </c>
      <c r="N744" s="1">
        <v>1300</v>
      </c>
      <c r="O744" s="1"/>
      <c r="P744" s="1">
        <v>1800</v>
      </c>
      <c r="Q744" s="1"/>
      <c r="R744" s="1">
        <v>500</v>
      </c>
      <c r="S744">
        <v>240000</v>
      </c>
      <c r="T744">
        <v>12036</v>
      </c>
      <c r="U744" t="s">
        <v>814</v>
      </c>
      <c r="V744">
        <v>21960</v>
      </c>
      <c r="W744" s="1">
        <v>46112</v>
      </c>
      <c r="X744" s="1" t="s">
        <v>55</v>
      </c>
      <c r="Y744" s="1" t="s">
        <v>51</v>
      </c>
      <c r="Z744" s="1" t="s">
        <v>52</v>
      </c>
      <c r="AA744" s="1" t="s">
        <v>2546</v>
      </c>
      <c r="AB744" s="1" t="s">
        <v>124</v>
      </c>
      <c r="AC744" s="1"/>
      <c r="AD744" s="1">
        <v>45366</v>
      </c>
      <c r="AE744" s="1"/>
      <c r="AF744" s="1"/>
      <c r="AG744" s="1" t="s">
        <v>2320</v>
      </c>
      <c r="AH744" s="1" t="s">
        <v>2294</v>
      </c>
      <c r="AI744" s="1" t="s">
        <v>4179</v>
      </c>
      <c r="AJ744" s="31">
        <v>45366</v>
      </c>
      <c r="AK744"/>
      <c r="AL744"/>
      <c r="AM744"/>
      <c r="AN744"/>
      <c r="AO744"/>
      <c r="AP744"/>
    </row>
    <row r="745" spans="1:42" s="81" customFormat="1" hidden="1">
      <c r="A745" s="1" t="s">
        <v>2542</v>
      </c>
      <c r="B745" s="1">
        <v>240316</v>
      </c>
      <c r="C745" s="1">
        <v>242108</v>
      </c>
      <c r="D745" s="1" t="s">
        <v>69</v>
      </c>
      <c r="E745" s="1" t="s">
        <v>306</v>
      </c>
      <c r="F745" t="s">
        <v>390</v>
      </c>
      <c r="G745" t="s">
        <v>1085</v>
      </c>
      <c r="H745" s="1" t="s">
        <v>2218</v>
      </c>
      <c r="I745" s="1" t="s">
        <v>2219</v>
      </c>
      <c r="J745" s="1" t="s">
        <v>18</v>
      </c>
      <c r="K745" s="1" t="s">
        <v>50</v>
      </c>
      <c r="L745" s="1">
        <v>37221</v>
      </c>
      <c r="M745" s="1">
        <v>24</v>
      </c>
      <c r="N745" s="1">
        <v>1300</v>
      </c>
      <c r="O745" s="1"/>
      <c r="P745" s="1">
        <v>1660</v>
      </c>
      <c r="Q745" s="1"/>
      <c r="R745" s="1">
        <v>360</v>
      </c>
      <c r="S745">
        <v>300000</v>
      </c>
      <c r="T745">
        <v>15045</v>
      </c>
      <c r="U745" t="s">
        <v>814</v>
      </c>
      <c r="V745">
        <v>27450</v>
      </c>
      <c r="W745" s="1">
        <v>46106</v>
      </c>
      <c r="X745" s="1" t="s">
        <v>55</v>
      </c>
      <c r="Y745" s="1" t="s">
        <v>51</v>
      </c>
      <c r="Z745" s="1" t="s">
        <v>470</v>
      </c>
      <c r="AA745" s="1" t="s">
        <v>1483</v>
      </c>
      <c r="AB745" s="1" t="s">
        <v>1484</v>
      </c>
      <c r="AC745" s="1"/>
      <c r="AD745" s="1">
        <v>45366</v>
      </c>
      <c r="AE745" s="1">
        <v>45835</v>
      </c>
      <c r="AF745" s="1"/>
      <c r="AG745" s="1" t="s">
        <v>2320</v>
      </c>
      <c r="AH745" s="1" t="s">
        <v>2294</v>
      </c>
      <c r="AI745" s="1"/>
      <c r="AJ745" s="31">
        <v>45366</v>
      </c>
      <c r="AK745"/>
      <c r="AL745"/>
      <c r="AM745"/>
      <c r="AN745"/>
      <c r="AO745" t="s">
        <v>4165</v>
      </c>
      <c r="AP745"/>
    </row>
    <row r="746" spans="1:42" s="81" customFormat="1">
      <c r="A746" s="1" t="s">
        <v>49</v>
      </c>
      <c r="B746" s="1">
        <v>250605</v>
      </c>
      <c r="C746" s="1">
        <v>242131</v>
      </c>
      <c r="D746" s="1" t="s">
        <v>69</v>
      </c>
      <c r="E746" s="1" t="s">
        <v>310</v>
      </c>
      <c r="F746" t="s">
        <v>749</v>
      </c>
      <c r="G746" t="s">
        <v>1093</v>
      </c>
      <c r="H746" s="1" t="s">
        <v>4300</v>
      </c>
      <c r="I746" s="1" t="s">
        <v>4301</v>
      </c>
      <c r="J746" s="1" t="s">
        <v>18</v>
      </c>
      <c r="K746" s="1" t="s">
        <v>50</v>
      </c>
      <c r="L746" s="1">
        <v>37497</v>
      </c>
      <c r="M746" s="1">
        <v>23</v>
      </c>
      <c r="N746" s="1">
        <v>1200</v>
      </c>
      <c r="O746" s="1"/>
      <c r="P746" s="1">
        <v>1650</v>
      </c>
      <c r="Q746" s="1"/>
      <c r="R746" s="1">
        <v>450</v>
      </c>
      <c r="S746">
        <v>200000</v>
      </c>
      <c r="T746">
        <v>10030</v>
      </c>
      <c r="U746" t="s">
        <v>814</v>
      </c>
      <c r="V746">
        <v>18300</v>
      </c>
      <c r="W746" s="1">
        <v>46170</v>
      </c>
      <c r="X746" s="1" t="s">
        <v>55</v>
      </c>
      <c r="Y746" s="1" t="s">
        <v>51</v>
      </c>
      <c r="Z746" s="1" t="s">
        <v>427</v>
      </c>
      <c r="AA746" s="1" t="s">
        <v>1718</v>
      </c>
      <c r="AB746" s="1" t="s">
        <v>1719</v>
      </c>
      <c r="AC746" s="1"/>
      <c r="AD746" s="1">
        <v>45817</v>
      </c>
      <c r="AE746" s="1"/>
      <c r="AF746" s="1"/>
      <c r="AG746" s="1">
        <v>45817</v>
      </c>
      <c r="AH746" s="1" t="s">
        <v>4394</v>
      </c>
      <c r="AI746" s="1"/>
      <c r="AJ746" s="31">
        <v>45817</v>
      </c>
      <c r="AK746"/>
      <c r="AL746"/>
      <c r="AM746"/>
      <c r="AN746"/>
      <c r="AO746"/>
      <c r="AP746"/>
    </row>
    <row r="747" spans="1:42" s="81" customFormat="1" hidden="1">
      <c r="A747" s="1" t="s">
        <v>2542</v>
      </c>
      <c r="B747" s="1">
        <v>240318</v>
      </c>
      <c r="C747" s="1">
        <v>212048</v>
      </c>
      <c r="D747" s="1" t="s">
        <v>75</v>
      </c>
      <c r="E747" s="1" t="s">
        <v>3934</v>
      </c>
      <c r="F747" t="s">
        <v>739</v>
      </c>
      <c r="G747" t="s">
        <v>1092</v>
      </c>
      <c r="H747" s="1" t="s">
        <v>108</v>
      </c>
      <c r="I747" s="1" t="s">
        <v>380</v>
      </c>
      <c r="J747" s="1" t="s">
        <v>18</v>
      </c>
      <c r="K747" s="1" t="s">
        <v>50</v>
      </c>
      <c r="L747" s="1">
        <v>36066</v>
      </c>
      <c r="M747" s="1">
        <v>27</v>
      </c>
      <c r="N747" s="1">
        <v>1300</v>
      </c>
      <c r="O747" s="1"/>
      <c r="P747" s="1">
        <v>1670</v>
      </c>
      <c r="Q747" s="1"/>
      <c r="R747" s="1">
        <v>370</v>
      </c>
      <c r="S747">
        <v>300000</v>
      </c>
      <c r="T747">
        <v>15045</v>
      </c>
      <c r="U747" t="s">
        <v>814</v>
      </c>
      <c r="V747">
        <v>27450</v>
      </c>
      <c r="W747" s="1">
        <v>46106</v>
      </c>
      <c r="X747" s="1" t="s">
        <v>55</v>
      </c>
      <c r="Y747" s="1" t="s">
        <v>51</v>
      </c>
      <c r="Z747" s="1" t="s">
        <v>67</v>
      </c>
      <c r="AA747" s="1" t="s">
        <v>2321</v>
      </c>
      <c r="AB747" s="1" t="s">
        <v>2322</v>
      </c>
      <c r="AC747" s="1"/>
      <c r="AD747" s="1">
        <v>45366</v>
      </c>
      <c r="AE747" s="1">
        <v>45898</v>
      </c>
      <c r="AF747" s="1"/>
      <c r="AG747" s="1" t="s">
        <v>2320</v>
      </c>
      <c r="AH747" s="1" t="s">
        <v>2294</v>
      </c>
      <c r="AI747" s="1"/>
      <c r="AJ747" s="31">
        <v>45366</v>
      </c>
      <c r="AK747"/>
      <c r="AL747"/>
      <c r="AM747"/>
      <c r="AN747"/>
      <c r="AO747"/>
      <c r="AP747"/>
    </row>
    <row r="748" spans="1:42" s="81" customFormat="1" hidden="1">
      <c r="A748" s="1" t="s">
        <v>49</v>
      </c>
      <c r="B748" s="1">
        <v>210801</v>
      </c>
      <c r="C748" s="1"/>
      <c r="D748" s="1" t="s">
        <v>107</v>
      </c>
      <c r="E748" s="1"/>
      <c r="F748"/>
      <c r="G748"/>
      <c r="H748" s="1" t="s">
        <v>141</v>
      </c>
      <c r="I748" s="1" t="s">
        <v>142</v>
      </c>
      <c r="J748" s="1" t="s">
        <v>18</v>
      </c>
      <c r="K748" s="1" t="s">
        <v>50</v>
      </c>
      <c r="L748" s="1">
        <v>34643</v>
      </c>
      <c r="M748" s="1">
        <v>31</v>
      </c>
      <c r="N748" s="1">
        <v>1600</v>
      </c>
      <c r="O748" s="1"/>
      <c r="P748" s="1">
        <v>2400</v>
      </c>
      <c r="Q748" s="1"/>
      <c r="R748" s="1">
        <v>800</v>
      </c>
      <c r="S748">
        <v>280000</v>
      </c>
      <c r="T748">
        <v>14042</v>
      </c>
      <c r="U748" t="s">
        <v>814</v>
      </c>
      <c r="V748">
        <v>25620</v>
      </c>
      <c r="W748" s="1">
        <v>45937</v>
      </c>
      <c r="X748" s="1" t="s">
        <v>4582</v>
      </c>
      <c r="Y748" s="1" t="s">
        <v>51</v>
      </c>
      <c r="Z748" s="1" t="s">
        <v>115</v>
      </c>
      <c r="AA748" s="1" t="s">
        <v>2323</v>
      </c>
      <c r="AB748" s="1" t="s">
        <v>2324</v>
      </c>
      <c r="AC748" s="1"/>
      <c r="AD748" s="1">
        <v>45369</v>
      </c>
      <c r="AE748" s="1"/>
      <c r="AF748" s="1"/>
      <c r="AG748" s="1" t="s">
        <v>2325</v>
      </c>
      <c r="AH748" s="1" t="s">
        <v>2294</v>
      </c>
      <c r="AI748" s="1"/>
      <c r="AJ748" s="31">
        <v>45369</v>
      </c>
      <c r="AK748"/>
      <c r="AL748"/>
      <c r="AM748"/>
      <c r="AN748"/>
      <c r="AO748"/>
      <c r="AP748"/>
    </row>
    <row r="749" spans="1:42" s="81" customFormat="1" hidden="1">
      <c r="A749" s="1" t="s">
        <v>49</v>
      </c>
      <c r="B749" s="1">
        <v>240321</v>
      </c>
      <c r="C749" s="1">
        <v>9330008</v>
      </c>
      <c r="D749" s="1" t="s">
        <v>402</v>
      </c>
      <c r="E749" s="1" t="s">
        <v>3996</v>
      </c>
      <c r="F749" t="s">
        <v>2527</v>
      </c>
      <c r="G749" t="s">
        <v>1351</v>
      </c>
      <c r="H749" s="1" t="s">
        <v>2326</v>
      </c>
      <c r="I749" s="1" t="s">
        <v>2327</v>
      </c>
      <c r="J749" s="1" t="s">
        <v>18</v>
      </c>
      <c r="K749" s="1" t="s">
        <v>900</v>
      </c>
      <c r="L749" s="1">
        <v>33698</v>
      </c>
      <c r="M749" s="1">
        <v>33</v>
      </c>
      <c r="N749" s="1">
        <v>1400</v>
      </c>
      <c r="O749" s="1"/>
      <c r="P749" s="1">
        <v>1872</v>
      </c>
      <c r="Q749" s="1"/>
      <c r="R749" s="1">
        <v>472</v>
      </c>
      <c r="S749">
        <v>300000</v>
      </c>
      <c r="T749">
        <v>15045</v>
      </c>
      <c r="U749" t="s">
        <v>814</v>
      </c>
      <c r="V749">
        <v>27450</v>
      </c>
      <c r="W749" s="1">
        <v>45836</v>
      </c>
      <c r="X749" s="1" t="s">
        <v>4583</v>
      </c>
      <c r="Y749" s="1" t="s">
        <v>540</v>
      </c>
      <c r="Z749" s="1" t="s">
        <v>2328</v>
      </c>
      <c r="AA749" s="1" t="s">
        <v>2329</v>
      </c>
      <c r="AB749" s="1" t="s">
        <v>2330</v>
      </c>
      <c r="AC749" s="1" t="s">
        <v>53</v>
      </c>
      <c r="AD749" s="1">
        <v>45369</v>
      </c>
      <c r="AE749" s="1"/>
      <c r="AF749" s="1"/>
      <c r="AG749" s="1" t="s">
        <v>2325</v>
      </c>
      <c r="AH749" s="1" t="s">
        <v>2294</v>
      </c>
      <c r="AI749" s="1"/>
      <c r="AJ749" s="31">
        <v>45369</v>
      </c>
      <c r="AK749"/>
      <c r="AL749"/>
      <c r="AM749"/>
      <c r="AN749"/>
      <c r="AO749"/>
      <c r="AP749"/>
    </row>
    <row r="750" spans="1:42" s="81" customFormat="1" hidden="1">
      <c r="A750" s="1" t="s">
        <v>2542</v>
      </c>
      <c r="B750" s="1">
        <v>211031</v>
      </c>
      <c r="C750" s="1"/>
      <c r="D750" s="1" t="s">
        <v>436</v>
      </c>
      <c r="E750" s="1" t="s">
        <v>2659</v>
      </c>
      <c r="F750"/>
      <c r="G750"/>
      <c r="H750" s="1" t="s">
        <v>2847</v>
      </c>
      <c r="I750" s="1" t="s">
        <v>3076</v>
      </c>
      <c r="J750" s="1" t="s">
        <v>18</v>
      </c>
      <c r="K750" s="1" t="s">
        <v>50</v>
      </c>
      <c r="L750" s="1">
        <v>31475</v>
      </c>
      <c r="M750" s="1">
        <v>39</v>
      </c>
      <c r="N750" s="1">
        <v>1500</v>
      </c>
      <c r="O750" s="1" t="s">
        <v>3077</v>
      </c>
      <c r="P750" s="1">
        <v>2000</v>
      </c>
      <c r="Q750" s="1"/>
      <c r="R750" s="1">
        <v>500</v>
      </c>
      <c r="S750">
        <v>0</v>
      </c>
      <c r="T750" t="s">
        <v>55</v>
      </c>
      <c r="U750" t="s">
        <v>814</v>
      </c>
      <c r="V750">
        <v>0</v>
      </c>
      <c r="W750" s="1">
        <v>46109</v>
      </c>
      <c r="X750" s="1" t="s">
        <v>55</v>
      </c>
      <c r="Y750" s="1" t="s">
        <v>51</v>
      </c>
      <c r="Z750" s="1" t="s">
        <v>504</v>
      </c>
      <c r="AA750" s="1" t="s">
        <v>505</v>
      </c>
      <c r="AB750" s="1" t="s">
        <v>518</v>
      </c>
      <c r="AC750" s="1"/>
      <c r="AD750" s="1">
        <v>45372</v>
      </c>
      <c r="AE750" s="1">
        <v>45393</v>
      </c>
      <c r="AF750" s="1"/>
      <c r="AG750" s="1" t="s">
        <v>3557</v>
      </c>
      <c r="AH750" s="1" t="s">
        <v>1119</v>
      </c>
      <c r="AI750" s="1"/>
      <c r="AJ750" s="31">
        <v>45372</v>
      </c>
      <c r="AK750"/>
      <c r="AL750"/>
      <c r="AM750"/>
      <c r="AN750"/>
      <c r="AO750"/>
      <c r="AP750"/>
    </row>
    <row r="751" spans="1:42" s="81" customFormat="1" hidden="1">
      <c r="A751" s="1" t="s">
        <v>49</v>
      </c>
      <c r="B751" s="1">
        <v>240322</v>
      </c>
      <c r="C751" s="1"/>
      <c r="D751" s="1" t="s">
        <v>447</v>
      </c>
      <c r="E751" s="1" t="s">
        <v>1270</v>
      </c>
      <c r="F751" t="s">
        <v>1271</v>
      </c>
      <c r="G751" t="s">
        <v>1267</v>
      </c>
      <c r="H751" s="1" t="s">
        <v>2224</v>
      </c>
      <c r="I751" s="1" t="s">
        <v>2225</v>
      </c>
      <c r="J751" s="1" t="s">
        <v>18</v>
      </c>
      <c r="K751" s="1" t="s">
        <v>50</v>
      </c>
      <c r="L751" s="1">
        <v>32363</v>
      </c>
      <c r="M751" s="1">
        <v>37</v>
      </c>
      <c r="N751" s="1">
        <v>1300</v>
      </c>
      <c r="O751" s="1"/>
      <c r="P751" s="1">
        <v>1700</v>
      </c>
      <c r="Q751" s="1"/>
      <c r="R751" s="1">
        <v>400</v>
      </c>
      <c r="S751">
        <v>260000</v>
      </c>
      <c r="T751">
        <v>13039</v>
      </c>
      <c r="U751" t="s">
        <v>814</v>
      </c>
      <c r="V751">
        <v>23790</v>
      </c>
      <c r="W751" s="1">
        <v>46885</v>
      </c>
      <c r="X751" s="1" t="s">
        <v>55</v>
      </c>
      <c r="Y751" s="1" t="s">
        <v>51</v>
      </c>
      <c r="Z751" s="1" t="s">
        <v>448</v>
      </c>
      <c r="AA751" s="1" t="s">
        <v>478</v>
      </c>
      <c r="AB751" s="1" t="s">
        <v>2331</v>
      </c>
      <c r="AC751" s="1" t="s">
        <v>53</v>
      </c>
      <c r="AD751" s="1">
        <v>45372</v>
      </c>
      <c r="AE751" s="1"/>
      <c r="AF751" s="1"/>
      <c r="AG751" s="1" t="s">
        <v>2273</v>
      </c>
      <c r="AH751" s="1" t="s">
        <v>2332</v>
      </c>
      <c r="AI751" s="1"/>
      <c r="AJ751" s="31">
        <v>45372</v>
      </c>
      <c r="AK751"/>
      <c r="AL751"/>
      <c r="AM751"/>
      <c r="AN751"/>
      <c r="AO751"/>
      <c r="AP751"/>
    </row>
    <row r="752" spans="1:42" s="81" customFormat="1" hidden="1">
      <c r="A752" s="1" t="s">
        <v>2542</v>
      </c>
      <c r="B752" s="1">
        <v>240323</v>
      </c>
      <c r="C752" s="1">
        <v>232132</v>
      </c>
      <c r="D752" s="1" t="s">
        <v>83</v>
      </c>
      <c r="E752" s="1" t="s">
        <v>1386</v>
      </c>
      <c r="F752" t="s">
        <v>2259</v>
      </c>
      <c r="G752" t="s">
        <v>388</v>
      </c>
      <c r="H752" s="1" t="s">
        <v>2271</v>
      </c>
      <c r="I752" s="1" t="s">
        <v>2272</v>
      </c>
      <c r="J752" s="1" t="s">
        <v>17</v>
      </c>
      <c r="K752" s="1" t="s">
        <v>50</v>
      </c>
      <c r="L752" s="1">
        <v>34244</v>
      </c>
      <c r="M752" s="1">
        <v>32</v>
      </c>
      <c r="N752" s="1">
        <v>1100</v>
      </c>
      <c r="O752" s="1"/>
      <c r="P752" s="1">
        <v>1600</v>
      </c>
      <c r="Q752" s="1"/>
      <c r="R752" s="1">
        <v>500</v>
      </c>
      <c r="S752">
        <v>98000</v>
      </c>
      <c r="T752">
        <v>4915</v>
      </c>
      <c r="U752" t="s">
        <v>814</v>
      </c>
      <c r="V752">
        <v>8967</v>
      </c>
      <c r="W752" s="1">
        <v>46481</v>
      </c>
      <c r="X752" s="1" t="s">
        <v>55</v>
      </c>
      <c r="Y752" s="1" t="s">
        <v>121</v>
      </c>
      <c r="Z752" s="1" t="s">
        <v>211</v>
      </c>
      <c r="AA752" s="1" t="s">
        <v>1366</v>
      </c>
      <c r="AB752" s="1" t="s">
        <v>1367</v>
      </c>
      <c r="AC752" s="1" t="s">
        <v>53</v>
      </c>
      <c r="AD752" s="1">
        <v>45372</v>
      </c>
      <c r="AE752" s="1">
        <v>45750</v>
      </c>
      <c r="AF752" s="1"/>
      <c r="AG752" s="1" t="s">
        <v>2273</v>
      </c>
      <c r="AH752" s="1" t="s">
        <v>2274</v>
      </c>
      <c r="AI752" s="1"/>
      <c r="AJ752" s="31">
        <v>45372</v>
      </c>
      <c r="AK752"/>
      <c r="AL752"/>
      <c r="AM752"/>
      <c r="AN752"/>
      <c r="AO752"/>
      <c r="AP752"/>
    </row>
    <row r="753" spans="1:42" s="81" customFormat="1" hidden="1">
      <c r="A753" s="1" t="s">
        <v>49</v>
      </c>
      <c r="B753" s="1">
        <v>240324</v>
      </c>
      <c r="C753" s="1"/>
      <c r="D753" s="1" t="s">
        <v>548</v>
      </c>
      <c r="E753" s="1"/>
      <c r="F753"/>
      <c r="G753"/>
      <c r="H753" s="1" t="s">
        <v>2333</v>
      </c>
      <c r="I753" s="1" t="s">
        <v>2334</v>
      </c>
      <c r="J753" s="1" t="s">
        <v>18</v>
      </c>
      <c r="K753" s="1" t="s">
        <v>50</v>
      </c>
      <c r="L753" s="1">
        <v>31596</v>
      </c>
      <c r="M753" s="1">
        <v>39</v>
      </c>
      <c r="N753" s="1">
        <v>1400</v>
      </c>
      <c r="O753" s="1"/>
      <c r="P753" s="1">
        <v>1900</v>
      </c>
      <c r="Q753" s="1"/>
      <c r="R753" s="1">
        <v>500</v>
      </c>
      <c r="S753">
        <v>240000</v>
      </c>
      <c r="T753">
        <v>12036</v>
      </c>
      <c r="U753" t="s">
        <v>814</v>
      </c>
      <c r="V753">
        <v>21960</v>
      </c>
      <c r="W753" s="1">
        <v>46973</v>
      </c>
      <c r="X753" s="1" t="s">
        <v>55</v>
      </c>
      <c r="Y753" s="1" t="s">
        <v>51</v>
      </c>
      <c r="Z753" s="1" t="s">
        <v>2335</v>
      </c>
      <c r="AA753" s="1" t="s">
        <v>2336</v>
      </c>
      <c r="AB753" s="1" t="s">
        <v>2337</v>
      </c>
      <c r="AC753" s="1" t="s">
        <v>53</v>
      </c>
      <c r="AD753" s="1">
        <v>45376</v>
      </c>
      <c r="AE753" s="1"/>
      <c r="AF753" s="1"/>
      <c r="AG753" s="1" t="s">
        <v>2338</v>
      </c>
      <c r="AH753" s="1" t="s">
        <v>2332</v>
      </c>
      <c r="AI753" s="1"/>
      <c r="AJ753" s="31">
        <v>45376</v>
      </c>
      <c r="AK753"/>
      <c r="AL753"/>
      <c r="AM753"/>
      <c r="AN753"/>
      <c r="AO753"/>
      <c r="AP753"/>
    </row>
    <row r="754" spans="1:42" s="81" customFormat="1">
      <c r="A754" s="1" t="s">
        <v>49</v>
      </c>
      <c r="B754" s="1">
        <v>250906</v>
      </c>
      <c r="C754" s="1">
        <v>242138</v>
      </c>
      <c r="D754" s="1" t="s">
        <v>69</v>
      </c>
      <c r="E754" s="1" t="s">
        <v>310</v>
      </c>
      <c r="F754" t="s">
        <v>749</v>
      </c>
      <c r="G754" t="s">
        <v>1093</v>
      </c>
      <c r="H754" s="1" t="s">
        <v>4485</v>
      </c>
      <c r="I754" s="1" t="s">
        <v>4486</v>
      </c>
      <c r="J754" s="1" t="s">
        <v>18</v>
      </c>
      <c r="K754" s="1" t="s">
        <v>50</v>
      </c>
      <c r="L754" s="1">
        <v>37470</v>
      </c>
      <c r="M754" s="1">
        <v>23</v>
      </c>
      <c r="N754" s="1">
        <v>1200</v>
      </c>
      <c r="O754" s="1"/>
      <c r="P754" s="1">
        <v>1650</v>
      </c>
      <c r="Q754" s="1"/>
      <c r="R754" s="1">
        <v>450</v>
      </c>
      <c r="S754">
        <v>200000</v>
      </c>
      <c r="T754">
        <v>10030</v>
      </c>
      <c r="U754" t="s">
        <v>814</v>
      </c>
      <c r="V754">
        <v>18300</v>
      </c>
      <c r="W754" s="1">
        <v>47742</v>
      </c>
      <c r="X754" s="1" t="s">
        <v>55</v>
      </c>
      <c r="Y754" s="1" t="s">
        <v>51</v>
      </c>
      <c r="Z754" s="1" t="s">
        <v>72</v>
      </c>
      <c r="AA754" s="1" t="s">
        <v>526</v>
      </c>
      <c r="AB754" s="1" t="s">
        <v>527</v>
      </c>
      <c r="AC754" s="1">
        <v>45918</v>
      </c>
      <c r="AD754" s="1">
        <v>45923</v>
      </c>
      <c r="AE754" s="1"/>
      <c r="AF754" s="1"/>
      <c r="AG754" s="1">
        <v>45923</v>
      </c>
      <c r="AH754" s="1" t="s">
        <v>765</v>
      </c>
      <c r="AI754" s="1"/>
      <c r="AJ754" s="31">
        <v>45923</v>
      </c>
      <c r="AK754"/>
      <c r="AL754"/>
      <c r="AM754"/>
      <c r="AN754"/>
      <c r="AO754"/>
      <c r="AP754"/>
    </row>
    <row r="755" spans="1:42" s="81" customFormat="1" hidden="1">
      <c r="A755" s="1" t="s">
        <v>2542</v>
      </c>
      <c r="B755" s="1">
        <v>240402</v>
      </c>
      <c r="C755" s="1">
        <v>222069</v>
      </c>
      <c r="D755" s="1" t="s">
        <v>62</v>
      </c>
      <c r="E755" s="1" t="s">
        <v>3935</v>
      </c>
      <c r="F755" t="s">
        <v>794</v>
      </c>
      <c r="G755" t="s">
        <v>316</v>
      </c>
      <c r="H755" s="1" t="s">
        <v>1395</v>
      </c>
      <c r="I755" s="1" t="s">
        <v>1396</v>
      </c>
      <c r="J755" s="1" t="s">
        <v>18</v>
      </c>
      <c r="K755" s="1" t="s">
        <v>50</v>
      </c>
      <c r="L755" s="1">
        <v>36903</v>
      </c>
      <c r="M755" s="1">
        <v>24</v>
      </c>
      <c r="N755" s="1">
        <v>1200</v>
      </c>
      <c r="O755" s="1"/>
      <c r="P755" s="1">
        <v>1650</v>
      </c>
      <c r="Q755" s="1"/>
      <c r="R755" s="1">
        <v>450</v>
      </c>
      <c r="S755">
        <v>200000</v>
      </c>
      <c r="T755">
        <v>10030</v>
      </c>
      <c r="U755" t="s">
        <v>814</v>
      </c>
      <c r="V755">
        <v>18300</v>
      </c>
      <c r="W755" s="1">
        <v>45745</v>
      </c>
      <c r="X755" s="1" t="s">
        <v>55</v>
      </c>
      <c r="Y755" s="1" t="s">
        <v>51</v>
      </c>
      <c r="Z755" s="1" t="s">
        <v>182</v>
      </c>
      <c r="AA755" s="1" t="s">
        <v>2317</v>
      </c>
      <c r="AB755" s="1"/>
      <c r="AC755" s="1"/>
      <c r="AD755" s="1">
        <v>45384</v>
      </c>
      <c r="AE755" s="1">
        <v>45480</v>
      </c>
      <c r="AF755" s="1"/>
      <c r="AG755" s="1" t="s">
        <v>2341</v>
      </c>
      <c r="AH755" s="1" t="s">
        <v>2332</v>
      </c>
      <c r="AI755" s="1"/>
      <c r="AJ755" s="31">
        <v>45384</v>
      </c>
      <c r="AK755"/>
      <c r="AL755"/>
      <c r="AM755"/>
      <c r="AN755"/>
      <c r="AO755"/>
      <c r="AP755"/>
    </row>
    <row r="756" spans="1:42" s="81" customFormat="1" hidden="1">
      <c r="A756" s="1" t="s">
        <v>49</v>
      </c>
      <c r="B756" s="1">
        <v>211211</v>
      </c>
      <c r="C756" s="1">
        <v>8210090</v>
      </c>
      <c r="D756" s="1" t="s">
        <v>818</v>
      </c>
      <c r="E756" s="1" t="s">
        <v>834</v>
      </c>
      <c r="F756" t="s">
        <v>834</v>
      </c>
      <c r="G756"/>
      <c r="H756" s="1" t="s">
        <v>2342</v>
      </c>
      <c r="I756" s="1" t="s">
        <v>2343</v>
      </c>
      <c r="J756" s="1" t="s">
        <v>18</v>
      </c>
      <c r="K756" s="1" t="s">
        <v>50</v>
      </c>
      <c r="L756" s="1">
        <v>33865</v>
      </c>
      <c r="M756" s="1">
        <v>33</v>
      </c>
      <c r="N756" s="1">
        <v>1500</v>
      </c>
      <c r="O756" s="1"/>
      <c r="P756" s="1">
        <v>2150</v>
      </c>
      <c r="Q756" s="1"/>
      <c r="R756" s="1">
        <v>650</v>
      </c>
      <c r="S756">
        <v>360000</v>
      </c>
      <c r="T756">
        <v>18054</v>
      </c>
      <c r="U756" t="s">
        <v>814</v>
      </c>
      <c r="V756">
        <v>32940</v>
      </c>
      <c r="W756" s="1">
        <v>46006</v>
      </c>
      <c r="X756" s="1">
        <v>11</v>
      </c>
      <c r="Y756" s="1" t="s">
        <v>51</v>
      </c>
      <c r="Z756" s="1" t="s">
        <v>2751</v>
      </c>
      <c r="AA756" s="1" t="s">
        <v>3628</v>
      </c>
      <c r="AB756" s="1" t="s">
        <v>3947</v>
      </c>
      <c r="AC756" s="1" t="s">
        <v>53</v>
      </c>
      <c r="AD756" s="1">
        <v>45386</v>
      </c>
      <c r="AE756" s="1"/>
      <c r="AF756" s="1"/>
      <c r="AG756" s="1" t="s">
        <v>2345</v>
      </c>
      <c r="AH756" s="1" t="s">
        <v>2346</v>
      </c>
      <c r="AI756" s="1"/>
      <c r="AJ756" s="31">
        <v>45386</v>
      </c>
      <c r="AK756" t="s">
        <v>2470</v>
      </c>
      <c r="AL756">
        <v>46313</v>
      </c>
      <c r="AM756" t="s">
        <v>2423</v>
      </c>
      <c r="AN756">
        <v>45562</v>
      </c>
      <c r="AO756"/>
      <c r="AP756"/>
    </row>
    <row r="757" spans="1:42" s="81" customFormat="1" hidden="1">
      <c r="A757" s="1" t="s">
        <v>49</v>
      </c>
      <c r="B757" s="1">
        <v>240403</v>
      </c>
      <c r="C757" s="1"/>
      <c r="D757" s="1" t="s">
        <v>548</v>
      </c>
      <c r="E757" s="1"/>
      <c r="F757"/>
      <c r="G757"/>
      <c r="H757" s="1" t="s">
        <v>479</v>
      </c>
      <c r="I757" s="1" t="s">
        <v>641</v>
      </c>
      <c r="J757" s="1" t="s">
        <v>18</v>
      </c>
      <c r="K757" s="1" t="s">
        <v>50</v>
      </c>
      <c r="L757" s="1">
        <v>35024</v>
      </c>
      <c r="M757" s="1">
        <v>30</v>
      </c>
      <c r="N757" s="1">
        <v>1400</v>
      </c>
      <c r="O757" s="1"/>
      <c r="P757" s="1">
        <v>1990</v>
      </c>
      <c r="Q757" s="1"/>
      <c r="R757" s="1">
        <v>590</v>
      </c>
      <c r="S757">
        <v>260000</v>
      </c>
      <c r="T757">
        <v>13039</v>
      </c>
      <c r="U757" t="s">
        <v>814</v>
      </c>
      <c r="V757">
        <v>23790</v>
      </c>
      <c r="W757" s="1">
        <v>45982</v>
      </c>
      <c r="X757" s="1" t="s">
        <v>4584</v>
      </c>
      <c r="Y757" s="1" t="s">
        <v>51</v>
      </c>
      <c r="Z757" s="1" t="s">
        <v>585</v>
      </c>
      <c r="AA757" s="1" t="s">
        <v>840</v>
      </c>
      <c r="AB757" s="1" t="s">
        <v>3385</v>
      </c>
      <c r="AC757" s="1"/>
      <c r="AD757" s="1">
        <v>45393</v>
      </c>
      <c r="AE757" s="1"/>
      <c r="AF757" s="1"/>
      <c r="AG757" s="1" t="s">
        <v>2347</v>
      </c>
      <c r="AH757" s="1" t="s">
        <v>2348</v>
      </c>
      <c r="AI757" s="1"/>
      <c r="AJ757" s="31">
        <v>45393</v>
      </c>
      <c r="AK757"/>
      <c r="AL757"/>
      <c r="AM757"/>
      <c r="AN757"/>
      <c r="AO757"/>
      <c r="AP757"/>
    </row>
    <row r="758" spans="1:42" s="81" customFormat="1" hidden="1">
      <c r="A758" s="1" t="s">
        <v>49</v>
      </c>
      <c r="B758" s="1">
        <v>240404</v>
      </c>
      <c r="C758" s="1"/>
      <c r="D758" s="1" t="s">
        <v>548</v>
      </c>
      <c r="E758" s="1"/>
      <c r="F758"/>
      <c r="G758"/>
      <c r="H758" s="1" t="s">
        <v>2349</v>
      </c>
      <c r="I758" s="1" t="s">
        <v>2350</v>
      </c>
      <c r="J758" s="1" t="s">
        <v>18</v>
      </c>
      <c r="K758" s="1" t="s">
        <v>50</v>
      </c>
      <c r="L758" s="1">
        <v>34076</v>
      </c>
      <c r="M758" s="1">
        <v>32</v>
      </c>
      <c r="N758" s="1">
        <v>1400</v>
      </c>
      <c r="O758" s="1"/>
      <c r="P758" s="1">
        <v>1990</v>
      </c>
      <c r="Q758" s="1"/>
      <c r="R758" s="1">
        <v>590</v>
      </c>
      <c r="S758">
        <v>240000</v>
      </c>
      <c r="T758">
        <v>12036</v>
      </c>
      <c r="U758" t="s">
        <v>814</v>
      </c>
      <c r="V758">
        <v>21960</v>
      </c>
      <c r="W758" s="1">
        <v>47036</v>
      </c>
      <c r="X758" s="1" t="s">
        <v>55</v>
      </c>
      <c r="Y758" s="1" t="s">
        <v>51</v>
      </c>
      <c r="Z758" s="1" t="s">
        <v>585</v>
      </c>
      <c r="AA758" s="1" t="s">
        <v>840</v>
      </c>
      <c r="AB758" s="1" t="s">
        <v>3385</v>
      </c>
      <c r="AC758" s="1"/>
      <c r="AD758" s="1">
        <v>45393</v>
      </c>
      <c r="AE758" s="1"/>
      <c r="AF758" s="1"/>
      <c r="AG758" s="1" t="s">
        <v>2347</v>
      </c>
      <c r="AH758" s="1" t="s">
        <v>2281</v>
      </c>
      <c r="AI758" s="1"/>
      <c r="AJ758" s="31">
        <v>45393</v>
      </c>
      <c r="AK758"/>
      <c r="AL758"/>
      <c r="AM758"/>
      <c r="AN758"/>
      <c r="AO758"/>
      <c r="AP758"/>
    </row>
    <row r="759" spans="1:42" s="81" customFormat="1">
      <c r="A759" s="1" t="s">
        <v>49</v>
      </c>
      <c r="B759" s="1">
        <v>210112</v>
      </c>
      <c r="C759" s="1">
        <v>242006</v>
      </c>
      <c r="D759" s="1" t="s">
        <v>69</v>
      </c>
      <c r="E759" s="1" t="s">
        <v>310</v>
      </c>
      <c r="F759" t="s">
        <v>737</v>
      </c>
      <c r="G759" t="s">
        <v>1093</v>
      </c>
      <c r="H759" s="1" t="s">
        <v>425</v>
      </c>
      <c r="I759" s="1" t="s">
        <v>426</v>
      </c>
      <c r="J759" s="1" t="s">
        <v>18</v>
      </c>
      <c r="K759" s="1" t="s">
        <v>50</v>
      </c>
      <c r="L759" s="1">
        <v>34179</v>
      </c>
      <c r="M759" s="1">
        <v>32</v>
      </c>
      <c r="N759" s="1">
        <v>1440</v>
      </c>
      <c r="O759" s="1" t="s">
        <v>70</v>
      </c>
      <c r="P759" s="1">
        <v>1870</v>
      </c>
      <c r="Q759" s="1" t="s">
        <v>66</v>
      </c>
      <c r="R759" s="1">
        <v>430</v>
      </c>
      <c r="S759">
        <v>300000</v>
      </c>
      <c r="T759">
        <v>15045</v>
      </c>
      <c r="U759" t="s">
        <v>814</v>
      </c>
      <c r="V759">
        <v>27450</v>
      </c>
      <c r="W759" s="1">
        <v>46857</v>
      </c>
      <c r="X759" s="1" t="s">
        <v>55</v>
      </c>
      <c r="Y759" s="1" t="s">
        <v>51</v>
      </c>
      <c r="Z759" s="1" t="s">
        <v>427</v>
      </c>
      <c r="AA759" s="1" t="s">
        <v>428</v>
      </c>
      <c r="AB759" s="1" t="s">
        <v>429</v>
      </c>
      <c r="AC759" s="1" t="s">
        <v>53</v>
      </c>
      <c r="AD759" s="1">
        <v>44207</v>
      </c>
      <c r="AE759" s="1"/>
      <c r="AF759" s="1">
        <v>44439</v>
      </c>
      <c r="AG759" s="1">
        <v>44256</v>
      </c>
      <c r="AH759" s="1" t="s">
        <v>54</v>
      </c>
      <c r="AI759" s="1"/>
      <c r="AJ759" s="31">
        <v>44207</v>
      </c>
      <c r="AK759"/>
      <c r="AL759"/>
      <c r="AM759"/>
      <c r="AN759"/>
      <c r="AO759" t="s">
        <v>4164</v>
      </c>
      <c r="AP759"/>
    </row>
    <row r="760" spans="1:42" s="81" customFormat="1" hidden="1">
      <c r="A760" s="1" t="s">
        <v>2542</v>
      </c>
      <c r="B760" s="1">
        <v>240405</v>
      </c>
      <c r="C760" s="1">
        <v>232135</v>
      </c>
      <c r="D760" s="1" t="s">
        <v>83</v>
      </c>
      <c r="E760" s="1" t="s">
        <v>307</v>
      </c>
      <c r="F760" t="s">
        <v>2251</v>
      </c>
      <c r="G760" t="s">
        <v>2252</v>
      </c>
      <c r="H760" s="1" t="s">
        <v>2376</v>
      </c>
      <c r="I760" s="1" t="s">
        <v>2377</v>
      </c>
      <c r="J760" s="1" t="s">
        <v>18</v>
      </c>
      <c r="K760" s="1" t="s">
        <v>50</v>
      </c>
      <c r="L760" s="1">
        <v>37183</v>
      </c>
      <c r="M760" s="1">
        <v>24</v>
      </c>
      <c r="N760" s="1">
        <v>1300</v>
      </c>
      <c r="O760" s="1"/>
      <c r="P760" s="1">
        <v>1670</v>
      </c>
      <c r="Q760" s="1"/>
      <c r="R760" s="1">
        <v>370</v>
      </c>
      <c r="S760">
        <v>260000</v>
      </c>
      <c r="T760">
        <v>13039</v>
      </c>
      <c r="U760" t="s">
        <v>814</v>
      </c>
      <c r="V760">
        <v>23790</v>
      </c>
      <c r="W760" s="1">
        <v>46858</v>
      </c>
      <c r="X760" s="1" t="s">
        <v>55</v>
      </c>
      <c r="Y760" s="1" t="s">
        <v>51</v>
      </c>
      <c r="Z760" s="1" t="s">
        <v>110</v>
      </c>
      <c r="AA760" s="1" t="s">
        <v>131</v>
      </c>
      <c r="AB760" s="1" t="s">
        <v>2279</v>
      </c>
      <c r="AC760" s="1"/>
      <c r="AD760" s="1">
        <v>45398</v>
      </c>
      <c r="AE760" s="1">
        <v>45863</v>
      </c>
      <c r="AF760" s="1"/>
      <c r="AG760" s="1" t="s">
        <v>2280</v>
      </c>
      <c r="AH760" s="1" t="s">
        <v>2281</v>
      </c>
      <c r="AI760" s="1"/>
      <c r="AJ760" s="31">
        <v>45398</v>
      </c>
      <c r="AK760"/>
      <c r="AL760"/>
      <c r="AM760"/>
      <c r="AN760"/>
      <c r="AO760"/>
      <c r="AP760"/>
    </row>
    <row r="761" spans="1:42" s="81" customFormat="1" hidden="1">
      <c r="A761" s="1" t="s">
        <v>49</v>
      </c>
      <c r="B761" s="1">
        <v>240406</v>
      </c>
      <c r="C761" s="1">
        <v>232134</v>
      </c>
      <c r="D761" s="1" t="s">
        <v>83</v>
      </c>
      <c r="E761" s="1" t="s">
        <v>307</v>
      </c>
      <c r="F761" t="s">
        <v>2251</v>
      </c>
      <c r="G761" t="s">
        <v>2252</v>
      </c>
      <c r="H761" s="1" t="s">
        <v>1564</v>
      </c>
      <c r="I761" s="1" t="s">
        <v>1565</v>
      </c>
      <c r="J761" s="1" t="s">
        <v>18</v>
      </c>
      <c r="K761" s="1" t="s">
        <v>50</v>
      </c>
      <c r="L761" s="1">
        <v>36906</v>
      </c>
      <c r="M761" s="1">
        <v>24</v>
      </c>
      <c r="N761" s="1">
        <v>1300</v>
      </c>
      <c r="O761" s="1"/>
      <c r="P761" s="1">
        <v>1670</v>
      </c>
      <c r="Q761" s="1"/>
      <c r="R761" s="1">
        <v>370</v>
      </c>
      <c r="S761">
        <v>240000</v>
      </c>
      <c r="T761">
        <v>12036</v>
      </c>
      <c r="U761" t="s">
        <v>814</v>
      </c>
      <c r="V761">
        <v>21960</v>
      </c>
      <c r="W761" s="1">
        <v>46858</v>
      </c>
      <c r="X761" s="1" t="s">
        <v>55</v>
      </c>
      <c r="Y761" s="1" t="s">
        <v>51</v>
      </c>
      <c r="Z761" s="1" t="s">
        <v>110</v>
      </c>
      <c r="AA761" s="1" t="s">
        <v>131</v>
      </c>
      <c r="AB761" s="1" t="s">
        <v>2279</v>
      </c>
      <c r="AC761" s="1"/>
      <c r="AD761" s="1">
        <v>45398</v>
      </c>
      <c r="AE761" s="1"/>
      <c r="AF761" s="1"/>
      <c r="AG761" s="1" t="s">
        <v>2280</v>
      </c>
      <c r="AH761" s="1" t="s">
        <v>2281</v>
      </c>
      <c r="AI761" s="1"/>
      <c r="AJ761" s="31">
        <v>45398</v>
      </c>
      <c r="AK761"/>
      <c r="AL761"/>
      <c r="AM761"/>
      <c r="AN761"/>
      <c r="AO761"/>
      <c r="AP761"/>
    </row>
    <row r="762" spans="1:42" s="81" customFormat="1" hidden="1">
      <c r="A762" s="1" t="s">
        <v>2542</v>
      </c>
      <c r="B762" s="1">
        <v>240407</v>
      </c>
      <c r="C762" s="1">
        <v>232133</v>
      </c>
      <c r="D762" s="1" t="s">
        <v>83</v>
      </c>
      <c r="E762" s="1" t="s">
        <v>307</v>
      </c>
      <c r="F762" t="s">
        <v>2251</v>
      </c>
      <c r="G762" t="s">
        <v>2252</v>
      </c>
      <c r="H762" s="1" t="s">
        <v>2277</v>
      </c>
      <c r="I762" s="1" t="s">
        <v>2278</v>
      </c>
      <c r="J762" s="1" t="s">
        <v>18</v>
      </c>
      <c r="K762" s="1" t="s">
        <v>50</v>
      </c>
      <c r="L762" s="1">
        <v>37237</v>
      </c>
      <c r="M762" s="1">
        <v>23</v>
      </c>
      <c r="N762" s="1">
        <v>1300</v>
      </c>
      <c r="O762" s="1"/>
      <c r="P762" s="1">
        <v>1670</v>
      </c>
      <c r="Q762" s="1"/>
      <c r="R762" s="1">
        <v>370</v>
      </c>
      <c r="S762">
        <v>240000</v>
      </c>
      <c r="T762">
        <v>12036</v>
      </c>
      <c r="U762" t="s">
        <v>814</v>
      </c>
      <c r="V762">
        <v>21960</v>
      </c>
      <c r="W762" s="1">
        <v>46858</v>
      </c>
      <c r="X762" s="1" t="s">
        <v>55</v>
      </c>
      <c r="Y762" s="1" t="s">
        <v>51</v>
      </c>
      <c r="Z762" s="1" t="s">
        <v>110</v>
      </c>
      <c r="AA762" s="1" t="s">
        <v>131</v>
      </c>
      <c r="AB762" s="1" t="s">
        <v>2279</v>
      </c>
      <c r="AC762" s="1"/>
      <c r="AD762" s="1">
        <v>45398</v>
      </c>
      <c r="AE762" s="1">
        <v>45954</v>
      </c>
      <c r="AF762" s="1"/>
      <c r="AG762" s="1" t="s">
        <v>2280</v>
      </c>
      <c r="AH762" s="1" t="s">
        <v>2281</v>
      </c>
      <c r="AI762" s="1"/>
      <c r="AJ762" s="31">
        <v>45398</v>
      </c>
      <c r="AK762"/>
      <c r="AL762"/>
      <c r="AM762"/>
      <c r="AN762"/>
      <c r="AO762"/>
      <c r="AP762"/>
    </row>
    <row r="763" spans="1:42" s="81" customFormat="1" hidden="1">
      <c r="A763" s="1" t="s">
        <v>2542</v>
      </c>
      <c r="B763" s="1">
        <v>240408</v>
      </c>
      <c r="C763" s="1">
        <v>8210092</v>
      </c>
      <c r="D763" s="1" t="s">
        <v>822</v>
      </c>
      <c r="E763" s="1" t="s">
        <v>2352</v>
      </c>
      <c r="F763" t="s">
        <v>2352</v>
      </c>
      <c r="G763"/>
      <c r="H763" s="1" t="s">
        <v>2353</v>
      </c>
      <c r="I763" s="1" t="s">
        <v>2354</v>
      </c>
      <c r="J763" s="1" t="s">
        <v>18</v>
      </c>
      <c r="K763" s="1" t="s">
        <v>50</v>
      </c>
      <c r="L763" s="1">
        <v>32288</v>
      </c>
      <c r="M763" s="1">
        <v>37</v>
      </c>
      <c r="N763" s="1">
        <v>1400</v>
      </c>
      <c r="O763" s="1"/>
      <c r="P763" s="1">
        <v>1990</v>
      </c>
      <c r="Q763" s="1"/>
      <c r="R763" s="1">
        <v>590</v>
      </c>
      <c r="S763">
        <v>220000</v>
      </c>
      <c r="T763">
        <v>11033</v>
      </c>
      <c r="U763" t="s">
        <v>814</v>
      </c>
      <c r="V763">
        <v>20130</v>
      </c>
      <c r="W763" s="1">
        <v>45611</v>
      </c>
      <c r="X763" s="1" t="s">
        <v>55</v>
      </c>
      <c r="Y763" s="1" t="s">
        <v>51</v>
      </c>
      <c r="Z763" s="1" t="s">
        <v>1321</v>
      </c>
      <c r="AA763" s="1" t="s">
        <v>1322</v>
      </c>
      <c r="AB763" s="1" t="s">
        <v>1323</v>
      </c>
      <c r="AC763" s="1"/>
      <c r="AD763" s="1">
        <v>45399</v>
      </c>
      <c r="AE763" s="1">
        <v>45498</v>
      </c>
      <c r="AF763" s="1"/>
      <c r="AG763" s="1" t="s">
        <v>2355</v>
      </c>
      <c r="AH763" s="1" t="s">
        <v>2351</v>
      </c>
      <c r="AI763" s="1"/>
      <c r="AJ763" s="31">
        <v>45399</v>
      </c>
      <c r="AK763"/>
      <c r="AL763"/>
      <c r="AM763" t="s">
        <v>2466</v>
      </c>
      <c r="AN763">
        <v>45770</v>
      </c>
      <c r="AO763"/>
      <c r="AP763"/>
    </row>
    <row r="764" spans="1:42" s="81" customFormat="1" hidden="1">
      <c r="A764" s="1" t="s">
        <v>2542</v>
      </c>
      <c r="B764" s="1">
        <v>240409</v>
      </c>
      <c r="C764" s="1">
        <v>8210093</v>
      </c>
      <c r="D764" s="1" t="s">
        <v>822</v>
      </c>
      <c r="E764" s="1" t="s">
        <v>2429</v>
      </c>
      <c r="F764" t="s">
        <v>2429</v>
      </c>
      <c r="G764"/>
      <c r="H764" s="1" t="s">
        <v>2356</v>
      </c>
      <c r="I764" s="1" t="s">
        <v>2357</v>
      </c>
      <c r="J764" s="1" t="s">
        <v>18</v>
      </c>
      <c r="K764" s="1" t="s">
        <v>50</v>
      </c>
      <c r="L764" s="1">
        <v>34548</v>
      </c>
      <c r="M764" s="1">
        <v>31</v>
      </c>
      <c r="N764" s="1">
        <v>1500</v>
      </c>
      <c r="O764" s="1"/>
      <c r="P764" s="1">
        <v>2150</v>
      </c>
      <c r="Q764" s="1"/>
      <c r="R764" s="1">
        <v>650</v>
      </c>
      <c r="S764">
        <v>220000</v>
      </c>
      <c r="T764">
        <v>11033</v>
      </c>
      <c r="U764" t="s">
        <v>814</v>
      </c>
      <c r="V764">
        <v>20130</v>
      </c>
      <c r="W764" s="1">
        <v>46517</v>
      </c>
      <c r="X764" s="1" t="s">
        <v>55</v>
      </c>
      <c r="Y764" s="1" t="s">
        <v>51</v>
      </c>
      <c r="Z764" s="1" t="s">
        <v>2358</v>
      </c>
      <c r="AA764" s="1" t="s">
        <v>1456</v>
      </c>
      <c r="AB764" s="1" t="s">
        <v>1457</v>
      </c>
      <c r="AC764" s="1"/>
      <c r="AD764" s="1">
        <v>45399</v>
      </c>
      <c r="AE764" s="1">
        <v>45726</v>
      </c>
      <c r="AF764" s="1"/>
      <c r="AG764" s="1" t="s">
        <v>2355</v>
      </c>
      <c r="AH764" s="1" t="s">
        <v>2351</v>
      </c>
      <c r="AI764" s="1"/>
      <c r="AJ764" s="31">
        <v>45399</v>
      </c>
      <c r="AK764"/>
      <c r="AL764"/>
      <c r="AM764" t="s">
        <v>2466</v>
      </c>
      <c r="AN764">
        <v>45770</v>
      </c>
      <c r="AO764"/>
      <c r="AP764"/>
    </row>
    <row r="765" spans="1:42" s="81" customFormat="1" hidden="1">
      <c r="A765" s="1" t="s">
        <v>49</v>
      </c>
      <c r="B765" s="1">
        <v>240410</v>
      </c>
      <c r="C765" s="1">
        <v>8210091</v>
      </c>
      <c r="D765" s="1" t="s">
        <v>822</v>
      </c>
      <c r="E765" s="1" t="s">
        <v>2429</v>
      </c>
      <c r="F765" t="s">
        <v>2429</v>
      </c>
      <c r="G765"/>
      <c r="H765" s="1" t="s">
        <v>2359</v>
      </c>
      <c r="I765" s="1" t="s">
        <v>2360</v>
      </c>
      <c r="J765" s="1" t="s">
        <v>18</v>
      </c>
      <c r="K765" s="1" t="s">
        <v>50</v>
      </c>
      <c r="L765" s="1">
        <v>35345</v>
      </c>
      <c r="M765" s="1">
        <v>29</v>
      </c>
      <c r="N765" s="1">
        <v>1500</v>
      </c>
      <c r="O765" s="1"/>
      <c r="P765" s="1">
        <v>2150</v>
      </c>
      <c r="Q765" s="1"/>
      <c r="R765" s="1">
        <v>650</v>
      </c>
      <c r="S765">
        <v>300000</v>
      </c>
      <c r="T765">
        <v>15045</v>
      </c>
      <c r="U765" t="s">
        <v>814</v>
      </c>
      <c r="V765">
        <v>27450</v>
      </c>
      <c r="W765" s="1">
        <v>47075</v>
      </c>
      <c r="X765" s="1" t="s">
        <v>55</v>
      </c>
      <c r="Y765" s="1" t="s">
        <v>51</v>
      </c>
      <c r="Z765" s="1" t="s">
        <v>2361</v>
      </c>
      <c r="AA765" s="1" t="s">
        <v>2362</v>
      </c>
      <c r="AB765" s="1" t="s">
        <v>2363</v>
      </c>
      <c r="AC765" s="1" t="s">
        <v>53</v>
      </c>
      <c r="AD765" s="1">
        <v>45399</v>
      </c>
      <c r="AE765" s="1"/>
      <c r="AF765" s="1"/>
      <c r="AG765" s="1" t="s">
        <v>2355</v>
      </c>
      <c r="AH765" s="1" t="s">
        <v>2351</v>
      </c>
      <c r="AI765" s="1"/>
      <c r="AJ765" s="31">
        <v>45399</v>
      </c>
      <c r="AK765" t="s">
        <v>2470</v>
      </c>
      <c r="AL765">
        <v>46333</v>
      </c>
      <c r="AM765" t="s">
        <v>2423</v>
      </c>
      <c r="AN765">
        <v>46419</v>
      </c>
      <c r="AO765"/>
      <c r="AP765"/>
    </row>
    <row r="766" spans="1:42" s="81" customFormat="1" hidden="1">
      <c r="A766" s="1" t="s">
        <v>49</v>
      </c>
      <c r="B766" s="1">
        <v>240412</v>
      </c>
      <c r="C766" s="1">
        <v>8210094</v>
      </c>
      <c r="D766" s="1" t="s">
        <v>822</v>
      </c>
      <c r="E766" s="1" t="s">
        <v>831</v>
      </c>
      <c r="F766" t="s">
        <v>831</v>
      </c>
      <c r="G766"/>
      <c r="H766" s="1" t="s">
        <v>2200</v>
      </c>
      <c r="I766" s="1" t="s">
        <v>2369</v>
      </c>
      <c r="J766" s="1" t="s">
        <v>18</v>
      </c>
      <c r="K766" s="1" t="s">
        <v>50</v>
      </c>
      <c r="L766" s="1">
        <v>34506</v>
      </c>
      <c r="M766" s="1">
        <v>31</v>
      </c>
      <c r="N766" s="1">
        <v>1500</v>
      </c>
      <c r="O766" s="1"/>
      <c r="P766" s="1">
        <v>2150</v>
      </c>
      <c r="Q766" s="1"/>
      <c r="R766" s="1">
        <v>650</v>
      </c>
      <c r="S766">
        <v>320000</v>
      </c>
      <c r="T766">
        <v>16048</v>
      </c>
      <c r="U766" t="s">
        <v>814</v>
      </c>
      <c r="V766">
        <v>29280</v>
      </c>
      <c r="W766" s="1">
        <v>46075</v>
      </c>
      <c r="X766" s="1">
        <v>80</v>
      </c>
      <c r="Y766" s="1" t="s">
        <v>51</v>
      </c>
      <c r="Z766" s="1" t="s">
        <v>2370</v>
      </c>
      <c r="AA766" s="1" t="s">
        <v>4266</v>
      </c>
      <c r="AB766" s="1" t="s">
        <v>4375</v>
      </c>
      <c r="AC766" s="1" t="s">
        <v>53</v>
      </c>
      <c r="AD766" s="1">
        <v>45399</v>
      </c>
      <c r="AE766" s="1"/>
      <c r="AF766" s="1"/>
      <c r="AG766" s="1" t="s">
        <v>2355</v>
      </c>
      <c r="AH766" s="1" t="s">
        <v>2351</v>
      </c>
      <c r="AI766" s="1"/>
      <c r="AJ766" s="31">
        <v>45399</v>
      </c>
      <c r="AK766" t="s">
        <v>2470</v>
      </c>
      <c r="AL766">
        <v>46224</v>
      </c>
      <c r="AM766" t="s">
        <v>2468</v>
      </c>
      <c r="AN766">
        <v>46458</v>
      </c>
      <c r="AO766"/>
      <c r="AP766"/>
    </row>
    <row r="767" spans="1:42" s="81" customFormat="1" hidden="1">
      <c r="A767" s="1" t="s">
        <v>49</v>
      </c>
      <c r="B767" s="1">
        <v>240411</v>
      </c>
      <c r="C767" s="1">
        <v>8210095</v>
      </c>
      <c r="D767" s="1" t="s">
        <v>815</v>
      </c>
      <c r="E767" s="1" t="s">
        <v>825</v>
      </c>
      <c r="F767" t="s">
        <v>825</v>
      </c>
      <c r="G767"/>
      <c r="H767" s="1" t="s">
        <v>2364</v>
      </c>
      <c r="I767" s="1" t="s">
        <v>2365</v>
      </c>
      <c r="J767" s="1" t="s">
        <v>18</v>
      </c>
      <c r="K767" s="1" t="s">
        <v>50</v>
      </c>
      <c r="L767" s="1">
        <v>34393</v>
      </c>
      <c r="M767" s="1">
        <v>31</v>
      </c>
      <c r="N767" s="1">
        <v>1500</v>
      </c>
      <c r="O767" s="1"/>
      <c r="P767" s="1">
        <v>2150</v>
      </c>
      <c r="Q767" s="1"/>
      <c r="R767" s="1">
        <v>650</v>
      </c>
      <c r="S767">
        <v>340000</v>
      </c>
      <c r="T767">
        <v>17051</v>
      </c>
      <c r="U767" t="s">
        <v>814</v>
      </c>
      <c r="V767">
        <v>31110</v>
      </c>
      <c r="W767" s="1">
        <v>46302</v>
      </c>
      <c r="X767" s="1" t="s">
        <v>55</v>
      </c>
      <c r="Y767" s="1" t="s">
        <v>51</v>
      </c>
      <c r="Z767" s="1" t="s">
        <v>2366</v>
      </c>
      <c r="AA767" s="1" t="s">
        <v>2367</v>
      </c>
      <c r="AB767" s="1" t="s">
        <v>2368</v>
      </c>
      <c r="AC767" s="1" t="s">
        <v>53</v>
      </c>
      <c r="AD767" s="1">
        <v>45399</v>
      </c>
      <c r="AE767" s="1"/>
      <c r="AF767" s="1"/>
      <c r="AG767" s="1" t="s">
        <v>2355</v>
      </c>
      <c r="AH767" s="1" t="s">
        <v>2351</v>
      </c>
      <c r="AI767" s="1"/>
      <c r="AJ767" s="31">
        <v>45399</v>
      </c>
      <c r="AK767" t="s">
        <v>2470</v>
      </c>
      <c r="AL767">
        <v>46109</v>
      </c>
      <c r="AM767" t="s">
        <v>2468</v>
      </c>
      <c r="AN767">
        <v>46495</v>
      </c>
      <c r="AO767"/>
      <c r="AP767"/>
    </row>
    <row r="768" spans="1:42" s="81" customFormat="1" hidden="1">
      <c r="A768" s="1" t="s">
        <v>49</v>
      </c>
      <c r="B768" s="1">
        <v>240413</v>
      </c>
      <c r="C768" s="1">
        <v>8210096</v>
      </c>
      <c r="D768" s="1" t="s">
        <v>822</v>
      </c>
      <c r="E768" s="1" t="s">
        <v>831</v>
      </c>
      <c r="F768" t="s">
        <v>831</v>
      </c>
      <c r="G768"/>
      <c r="H768" s="1" t="s">
        <v>2371</v>
      </c>
      <c r="I768" s="1" t="s">
        <v>2372</v>
      </c>
      <c r="J768" s="1" t="s">
        <v>18</v>
      </c>
      <c r="K768" s="1" t="s">
        <v>50</v>
      </c>
      <c r="L768" s="1">
        <v>32600</v>
      </c>
      <c r="M768" s="1">
        <v>36</v>
      </c>
      <c r="N768" s="1">
        <v>1500</v>
      </c>
      <c r="O768" s="1"/>
      <c r="P768" s="1">
        <v>2150</v>
      </c>
      <c r="Q768" s="1"/>
      <c r="R768" s="1">
        <v>650</v>
      </c>
      <c r="S768">
        <v>340000</v>
      </c>
      <c r="T768">
        <v>17051</v>
      </c>
      <c r="U768" t="s">
        <v>814</v>
      </c>
      <c r="V768">
        <v>31110</v>
      </c>
      <c r="W768" s="1">
        <v>46999</v>
      </c>
      <c r="X768" s="1" t="s">
        <v>55</v>
      </c>
      <c r="Y768" s="1" t="s">
        <v>51</v>
      </c>
      <c r="Z768" s="1" t="s">
        <v>2163</v>
      </c>
      <c r="AA768" s="1" t="s">
        <v>2373</v>
      </c>
      <c r="AB768" s="1" t="s">
        <v>2374</v>
      </c>
      <c r="AC768" s="1" t="s">
        <v>53</v>
      </c>
      <c r="AD768" s="1">
        <v>45404</v>
      </c>
      <c r="AE768" s="1"/>
      <c r="AF768" s="1"/>
      <c r="AG768" s="1" t="s">
        <v>2375</v>
      </c>
      <c r="AH768" s="1" t="s">
        <v>1120</v>
      </c>
      <c r="AI768" s="1"/>
      <c r="AJ768" s="31">
        <v>45404</v>
      </c>
      <c r="AK768" t="s">
        <v>2423</v>
      </c>
      <c r="AL768">
        <v>46509</v>
      </c>
      <c r="AM768" t="s">
        <v>2423</v>
      </c>
      <c r="AN768">
        <v>45603</v>
      </c>
      <c r="AO768"/>
      <c r="AP768"/>
    </row>
    <row r="769" spans="1:42" s="81" customFormat="1" hidden="1">
      <c r="A769" s="1" t="s">
        <v>2542</v>
      </c>
      <c r="B769" s="1">
        <v>240501</v>
      </c>
      <c r="C769" s="1">
        <v>232136</v>
      </c>
      <c r="D769" s="1" t="s">
        <v>83</v>
      </c>
      <c r="E769" s="1" t="s">
        <v>311</v>
      </c>
      <c r="F769" t="s">
        <v>2253</v>
      </c>
      <c r="G769" t="s">
        <v>364</v>
      </c>
      <c r="H769" s="1" t="s">
        <v>2226</v>
      </c>
      <c r="I769" s="1" t="s">
        <v>2227</v>
      </c>
      <c r="J769" s="1" t="s">
        <v>17</v>
      </c>
      <c r="K769" s="1" t="s">
        <v>50</v>
      </c>
      <c r="L769" s="1">
        <v>35986</v>
      </c>
      <c r="M769" s="1">
        <v>27</v>
      </c>
      <c r="N769" s="1">
        <v>1300</v>
      </c>
      <c r="O769" s="1"/>
      <c r="P769" s="1">
        <v>1780</v>
      </c>
      <c r="Q769" s="1"/>
      <c r="R769" s="1">
        <v>480</v>
      </c>
      <c r="S769">
        <v>200000</v>
      </c>
      <c r="T769">
        <v>10030</v>
      </c>
      <c r="U769" t="s">
        <v>814</v>
      </c>
      <c r="V769">
        <v>18300</v>
      </c>
      <c r="W769" s="1">
        <v>46945</v>
      </c>
      <c r="X769" s="1" t="s">
        <v>55</v>
      </c>
      <c r="Y769" s="1" t="s">
        <v>51</v>
      </c>
      <c r="Z769" s="1" t="s">
        <v>4376</v>
      </c>
      <c r="AA769" s="1" t="s">
        <v>4377</v>
      </c>
      <c r="AB769" s="1" t="s">
        <v>4378</v>
      </c>
      <c r="AC769" s="1" t="s">
        <v>53</v>
      </c>
      <c r="AD769" s="1">
        <v>45418</v>
      </c>
      <c r="AE769" s="1">
        <v>45915</v>
      </c>
      <c r="AF769" s="1"/>
      <c r="AG769" s="1" t="s">
        <v>2282</v>
      </c>
      <c r="AH769" s="1" t="s">
        <v>2283</v>
      </c>
      <c r="AI769" s="1"/>
      <c r="AJ769" s="31">
        <v>45418</v>
      </c>
      <c r="AK769"/>
      <c r="AL769"/>
      <c r="AM769"/>
      <c r="AN769"/>
      <c r="AO769"/>
      <c r="AP769"/>
    </row>
    <row r="770" spans="1:42" s="81" customFormat="1" hidden="1">
      <c r="A770" s="1" t="s">
        <v>49</v>
      </c>
      <c r="B770" s="1">
        <v>240502</v>
      </c>
      <c r="C770" s="1">
        <v>8210097</v>
      </c>
      <c r="D770" s="1" t="s">
        <v>815</v>
      </c>
      <c r="E770" s="1" t="s">
        <v>828</v>
      </c>
      <c r="F770" t="s">
        <v>828</v>
      </c>
      <c r="G770"/>
      <c r="H770" s="1" t="s">
        <v>2378</v>
      </c>
      <c r="I770" s="1" t="s">
        <v>2379</v>
      </c>
      <c r="J770" s="1" t="s">
        <v>18</v>
      </c>
      <c r="K770" s="1" t="s">
        <v>50</v>
      </c>
      <c r="L770" s="1">
        <v>34930</v>
      </c>
      <c r="M770" s="1">
        <v>30</v>
      </c>
      <c r="N770" s="1">
        <v>1500</v>
      </c>
      <c r="O770" s="1"/>
      <c r="P770" s="1">
        <v>2150</v>
      </c>
      <c r="Q770" s="1"/>
      <c r="R770" s="1">
        <v>650</v>
      </c>
      <c r="S770">
        <v>380000</v>
      </c>
      <c r="T770">
        <v>19057</v>
      </c>
      <c r="U770" t="s">
        <v>814</v>
      </c>
      <c r="V770">
        <v>34770</v>
      </c>
      <c r="W770" s="1">
        <v>46120</v>
      </c>
      <c r="X770" s="1" t="s">
        <v>55</v>
      </c>
      <c r="Y770" s="1" t="s">
        <v>51</v>
      </c>
      <c r="Z770" s="1" t="s">
        <v>982</v>
      </c>
      <c r="AA770" s="1" t="s">
        <v>983</v>
      </c>
      <c r="AB770" s="1" t="s">
        <v>1201</v>
      </c>
      <c r="AC770" s="1"/>
      <c r="AD770" s="1">
        <v>45418</v>
      </c>
      <c r="AE770" s="1"/>
      <c r="AF770" s="1"/>
      <c r="AG770" s="1" t="s">
        <v>2282</v>
      </c>
      <c r="AH770" s="1" t="s">
        <v>2283</v>
      </c>
      <c r="AI770" s="1"/>
      <c r="AJ770" s="31">
        <v>45418</v>
      </c>
      <c r="AK770"/>
      <c r="AL770"/>
      <c r="AM770" t="s">
        <v>2466</v>
      </c>
      <c r="AN770">
        <v>45796</v>
      </c>
      <c r="AO770"/>
      <c r="AP770"/>
    </row>
    <row r="771" spans="1:42" s="81" customFormat="1" hidden="1">
      <c r="A771" s="1" t="s">
        <v>49</v>
      </c>
      <c r="B771" s="1">
        <v>240503</v>
      </c>
      <c r="C771" s="1">
        <v>8210098</v>
      </c>
      <c r="D771" s="1" t="s">
        <v>815</v>
      </c>
      <c r="E771" s="1" t="s">
        <v>833</v>
      </c>
      <c r="F771" t="s">
        <v>833</v>
      </c>
      <c r="G771"/>
      <c r="H771" s="1" t="s">
        <v>2380</v>
      </c>
      <c r="I771" s="1" t="s">
        <v>2381</v>
      </c>
      <c r="J771" s="1" t="s">
        <v>18</v>
      </c>
      <c r="K771" s="1" t="s">
        <v>50</v>
      </c>
      <c r="L771" s="1">
        <v>34592</v>
      </c>
      <c r="M771" s="1">
        <v>31</v>
      </c>
      <c r="N771" s="1">
        <v>1500</v>
      </c>
      <c r="O771" s="1"/>
      <c r="P771" s="1">
        <v>2150</v>
      </c>
      <c r="Q771" s="1"/>
      <c r="R771" s="1">
        <v>650</v>
      </c>
      <c r="S771">
        <v>360000</v>
      </c>
      <c r="T771">
        <v>18054</v>
      </c>
      <c r="U771" t="s">
        <v>814</v>
      </c>
      <c r="V771">
        <v>32940</v>
      </c>
      <c r="W771" s="1">
        <v>46783</v>
      </c>
      <c r="X771" s="1" t="s">
        <v>55</v>
      </c>
      <c r="Y771" s="1" t="s">
        <v>51</v>
      </c>
      <c r="Z771" s="1" t="s">
        <v>3997</v>
      </c>
      <c r="AA771" s="1" t="s">
        <v>3998</v>
      </c>
      <c r="AB771" s="1" t="s">
        <v>3999</v>
      </c>
      <c r="AC771" s="1" t="s">
        <v>53</v>
      </c>
      <c r="AD771" s="1">
        <v>45418</v>
      </c>
      <c r="AE771" s="1"/>
      <c r="AF771" s="1"/>
      <c r="AG771" s="1" t="s">
        <v>2282</v>
      </c>
      <c r="AH771" s="1" t="s">
        <v>2384</v>
      </c>
      <c r="AI771" s="1"/>
      <c r="AJ771" s="31">
        <v>45418</v>
      </c>
      <c r="AK771" t="s">
        <v>2470</v>
      </c>
      <c r="AL771">
        <v>46310</v>
      </c>
      <c r="AM771" t="s">
        <v>2468</v>
      </c>
      <c r="AN771">
        <v>46539</v>
      </c>
      <c r="AO771"/>
      <c r="AP771"/>
    </row>
    <row r="772" spans="1:42" s="81" customFormat="1">
      <c r="A772" s="1" t="s">
        <v>49</v>
      </c>
      <c r="B772" s="1">
        <v>220412</v>
      </c>
      <c r="C772" s="1">
        <v>242040</v>
      </c>
      <c r="D772" s="1" t="s">
        <v>69</v>
      </c>
      <c r="E772" s="1" t="s">
        <v>310</v>
      </c>
      <c r="F772" t="s">
        <v>737</v>
      </c>
      <c r="G772" t="s">
        <v>1093</v>
      </c>
      <c r="H772" s="1" t="s">
        <v>589</v>
      </c>
      <c r="I772" s="1" t="s">
        <v>590</v>
      </c>
      <c r="J772" s="1" t="s">
        <v>18</v>
      </c>
      <c r="K772" s="1" t="s">
        <v>50</v>
      </c>
      <c r="L772" s="1">
        <v>30919</v>
      </c>
      <c r="M772" s="1">
        <v>41</v>
      </c>
      <c r="N772" s="1">
        <v>1420</v>
      </c>
      <c r="O772" s="1"/>
      <c r="P772" s="1">
        <v>1850</v>
      </c>
      <c r="Q772" s="1"/>
      <c r="R772" s="1">
        <v>430</v>
      </c>
      <c r="S772">
        <v>300000</v>
      </c>
      <c r="T772">
        <v>15045</v>
      </c>
      <c r="U772">
        <v>2385</v>
      </c>
      <c r="V772">
        <v>27450</v>
      </c>
      <c r="W772" s="1">
        <v>46636</v>
      </c>
      <c r="X772" s="1" t="s">
        <v>55</v>
      </c>
      <c r="Y772" s="1" t="s">
        <v>51</v>
      </c>
      <c r="Z772" s="1" t="s">
        <v>470</v>
      </c>
      <c r="AA772" s="1" t="s">
        <v>3943</v>
      </c>
      <c r="AB772" s="1"/>
      <c r="AC772" s="1" t="s">
        <v>53</v>
      </c>
      <c r="AD772" s="1">
        <v>44669</v>
      </c>
      <c r="AE772" s="1"/>
      <c r="AF772" s="1"/>
      <c r="AG772" s="1" t="s">
        <v>241</v>
      </c>
      <c r="AH772" s="1">
        <v>44669</v>
      </c>
      <c r="AI772" s="1"/>
      <c r="AJ772" s="31">
        <v>44669</v>
      </c>
      <c r="AK772"/>
      <c r="AL772"/>
      <c r="AM772"/>
      <c r="AN772"/>
      <c r="AO772" t="s">
        <v>4164</v>
      </c>
      <c r="AP772"/>
    </row>
    <row r="773" spans="1:42" s="81" customFormat="1" hidden="1">
      <c r="A773" s="1" t="s">
        <v>49</v>
      </c>
      <c r="B773" s="1">
        <v>240506</v>
      </c>
      <c r="C773" s="1">
        <v>232137</v>
      </c>
      <c r="D773" s="1" t="s">
        <v>83</v>
      </c>
      <c r="E773" s="1" t="s">
        <v>307</v>
      </c>
      <c r="F773" t="s">
        <v>2251</v>
      </c>
      <c r="G773" t="s">
        <v>2252</v>
      </c>
      <c r="H773" s="1" t="s">
        <v>2284</v>
      </c>
      <c r="I773" s="1" t="s">
        <v>2285</v>
      </c>
      <c r="J773" s="1" t="s">
        <v>18</v>
      </c>
      <c r="K773" s="1" t="s">
        <v>50</v>
      </c>
      <c r="L773" s="1">
        <v>36618</v>
      </c>
      <c r="M773" s="1">
        <v>25</v>
      </c>
      <c r="N773" s="1">
        <v>1300</v>
      </c>
      <c r="O773" s="1"/>
      <c r="P773" s="1">
        <v>1660</v>
      </c>
      <c r="Q773" s="1"/>
      <c r="R773" s="1">
        <v>360</v>
      </c>
      <c r="S773">
        <v>260000</v>
      </c>
      <c r="T773">
        <v>13039</v>
      </c>
      <c r="U773" t="s">
        <v>814</v>
      </c>
      <c r="V773">
        <v>23790</v>
      </c>
      <c r="W773" s="1">
        <v>46892</v>
      </c>
      <c r="X773" s="1" t="s">
        <v>55</v>
      </c>
      <c r="Y773" s="1" t="s">
        <v>51</v>
      </c>
      <c r="Z773" s="1" t="s">
        <v>86</v>
      </c>
      <c r="AA773" s="1" t="s">
        <v>87</v>
      </c>
      <c r="AB773" s="1" t="s">
        <v>839</v>
      </c>
      <c r="AC773" s="1"/>
      <c r="AD773" s="1">
        <v>45425</v>
      </c>
      <c r="AE773" s="1"/>
      <c r="AF773" s="1"/>
      <c r="AG773" s="1" t="s">
        <v>2286</v>
      </c>
      <c r="AH773" s="1" t="s">
        <v>2287</v>
      </c>
      <c r="AI773" s="1"/>
      <c r="AJ773" s="31">
        <v>45425</v>
      </c>
      <c r="AK773"/>
      <c r="AL773"/>
      <c r="AM773"/>
      <c r="AN773"/>
      <c r="AO773"/>
      <c r="AP773"/>
    </row>
    <row r="774" spans="1:42" s="81" customFormat="1" hidden="1">
      <c r="A774" s="1" t="s">
        <v>49</v>
      </c>
      <c r="B774" s="1">
        <v>240505</v>
      </c>
      <c r="C774" s="1">
        <v>8210099</v>
      </c>
      <c r="D774" s="1" t="s">
        <v>818</v>
      </c>
      <c r="E774" s="1" t="s">
        <v>834</v>
      </c>
      <c r="F774" t="s">
        <v>834</v>
      </c>
      <c r="G774"/>
      <c r="H774" s="1" t="s">
        <v>2389</v>
      </c>
      <c r="I774" s="1" t="s">
        <v>2390</v>
      </c>
      <c r="J774" s="1" t="s">
        <v>18</v>
      </c>
      <c r="K774" s="1" t="s">
        <v>50</v>
      </c>
      <c r="L774" s="1">
        <v>31915</v>
      </c>
      <c r="M774" s="1">
        <v>38</v>
      </c>
      <c r="N774" s="1">
        <v>1500</v>
      </c>
      <c r="O774" s="1"/>
      <c r="P774" s="1">
        <v>2150</v>
      </c>
      <c r="Q774" s="1"/>
      <c r="R774" s="1">
        <v>650</v>
      </c>
      <c r="S774">
        <v>340000</v>
      </c>
      <c r="T774">
        <v>17051</v>
      </c>
      <c r="U774" t="s">
        <v>814</v>
      </c>
      <c r="V774">
        <v>31110</v>
      </c>
      <c r="W774" s="1">
        <v>47059</v>
      </c>
      <c r="X774" s="1" t="s">
        <v>55</v>
      </c>
      <c r="Y774" s="1" t="s">
        <v>51</v>
      </c>
      <c r="Z774" s="1" t="s">
        <v>543</v>
      </c>
      <c r="AA774" s="1" t="s">
        <v>2382</v>
      </c>
      <c r="AB774" s="1" t="s">
        <v>2383</v>
      </c>
      <c r="AC774" s="1"/>
      <c r="AD774" s="1">
        <v>45425</v>
      </c>
      <c r="AE774" s="1"/>
      <c r="AF774" s="1"/>
      <c r="AG774" s="1" t="s">
        <v>2286</v>
      </c>
      <c r="AH774" s="1" t="s">
        <v>2287</v>
      </c>
      <c r="AI774" s="1"/>
      <c r="AJ774" s="31">
        <v>45425</v>
      </c>
      <c r="AK774"/>
      <c r="AL774"/>
      <c r="AM774" t="s">
        <v>2466</v>
      </c>
      <c r="AN774">
        <v>45783</v>
      </c>
      <c r="AO774"/>
      <c r="AP774"/>
    </row>
    <row r="775" spans="1:42" s="81" customFormat="1" hidden="1">
      <c r="A775" s="1" t="s">
        <v>2542</v>
      </c>
      <c r="B775" s="1">
        <v>210424</v>
      </c>
      <c r="C775" s="1"/>
      <c r="D775" s="1" t="s">
        <v>464</v>
      </c>
      <c r="E775" s="1" t="s">
        <v>465</v>
      </c>
      <c r="F775"/>
      <c r="G775"/>
      <c r="H775" s="1" t="s">
        <v>479</v>
      </c>
      <c r="I775" s="1" t="s">
        <v>480</v>
      </c>
      <c r="J775" s="1" t="s">
        <v>18</v>
      </c>
      <c r="K775" s="1" t="s">
        <v>50</v>
      </c>
      <c r="L775" s="1">
        <v>32730</v>
      </c>
      <c r="M775" s="1">
        <v>36</v>
      </c>
      <c r="N775" s="1">
        <v>1450</v>
      </c>
      <c r="O775" s="1"/>
      <c r="P775" s="1">
        <v>2100</v>
      </c>
      <c r="Q775" s="1"/>
      <c r="R775" s="1">
        <v>650</v>
      </c>
      <c r="S775">
        <v>0</v>
      </c>
      <c r="T775" t="s">
        <v>55</v>
      </c>
      <c r="U775" t="s">
        <v>814</v>
      </c>
      <c r="V775">
        <v>0</v>
      </c>
      <c r="W775" s="1">
        <v>46439</v>
      </c>
      <c r="X775" s="1" t="s">
        <v>55</v>
      </c>
      <c r="Y775" s="1" t="s">
        <v>51</v>
      </c>
      <c r="Z775" s="1" t="s">
        <v>466</v>
      </c>
      <c r="AA775" s="1" t="s">
        <v>467</v>
      </c>
      <c r="AB775" s="1" t="s">
        <v>2472</v>
      </c>
      <c r="AC775" s="1">
        <v>45435</v>
      </c>
      <c r="AD775" s="1">
        <v>45439</v>
      </c>
      <c r="AE775" s="1">
        <v>45524</v>
      </c>
      <c r="AF775" s="1"/>
      <c r="AG775" s="1" t="s">
        <v>2425</v>
      </c>
      <c r="AH775" s="1" t="s">
        <v>2426</v>
      </c>
      <c r="AI775" s="1"/>
      <c r="AJ775" s="31">
        <v>45439</v>
      </c>
      <c r="AK775"/>
      <c r="AL775"/>
      <c r="AM775"/>
      <c r="AN775"/>
      <c r="AO775"/>
      <c r="AP775"/>
    </row>
    <row r="776" spans="1:42" s="81" customFormat="1" hidden="1">
      <c r="A776" s="1" t="s">
        <v>2542</v>
      </c>
      <c r="B776" s="1">
        <v>240507</v>
      </c>
      <c r="C776" s="1">
        <v>222071</v>
      </c>
      <c r="D776" s="1" t="s">
        <v>95</v>
      </c>
      <c r="E776" s="1" t="s">
        <v>3938</v>
      </c>
      <c r="F776" t="s">
        <v>3860</v>
      </c>
      <c r="G776" t="s">
        <v>3944</v>
      </c>
      <c r="H776" s="1" t="s">
        <v>2391</v>
      </c>
      <c r="I776" s="1" t="s">
        <v>2392</v>
      </c>
      <c r="J776" s="1" t="s">
        <v>18</v>
      </c>
      <c r="K776" s="1" t="s">
        <v>50</v>
      </c>
      <c r="L776" s="1">
        <v>36826</v>
      </c>
      <c r="M776" s="1">
        <v>25</v>
      </c>
      <c r="N776" s="1">
        <v>1250</v>
      </c>
      <c r="O776" s="1"/>
      <c r="P776" s="1">
        <v>1650</v>
      </c>
      <c r="Q776" s="1"/>
      <c r="R776" s="1">
        <v>400</v>
      </c>
      <c r="S776">
        <v>190000</v>
      </c>
      <c r="T776">
        <v>9528</v>
      </c>
      <c r="U776" t="s">
        <v>814</v>
      </c>
      <c r="V776">
        <v>17385</v>
      </c>
      <c r="W776" s="1">
        <v>45797</v>
      </c>
      <c r="X776" s="1" t="s">
        <v>55</v>
      </c>
      <c r="Y776" s="1" t="s">
        <v>51</v>
      </c>
      <c r="Z776" s="1" t="s">
        <v>91</v>
      </c>
      <c r="AA776" s="1" t="s">
        <v>2393</v>
      </c>
      <c r="AB776" s="1" t="s">
        <v>2388</v>
      </c>
      <c r="AC776" s="1">
        <v>45432</v>
      </c>
      <c r="AD776" s="1">
        <v>45439</v>
      </c>
      <c r="AE776" s="1">
        <v>45765</v>
      </c>
      <c r="AF776" s="1"/>
      <c r="AG776" s="1" t="s">
        <v>2425</v>
      </c>
      <c r="AH776" s="1" t="s">
        <v>2426</v>
      </c>
      <c r="AI776" s="1"/>
      <c r="AJ776" s="31">
        <v>45439</v>
      </c>
      <c r="AK776"/>
      <c r="AL776"/>
      <c r="AM776"/>
      <c r="AN776"/>
      <c r="AO776" t="s">
        <v>4165</v>
      </c>
      <c r="AP776"/>
    </row>
    <row r="777" spans="1:42" s="81" customFormat="1" hidden="1">
      <c r="A777" s="1" t="s">
        <v>2542</v>
      </c>
      <c r="B777" s="1">
        <v>201204</v>
      </c>
      <c r="C777" s="1" t="s">
        <v>414</v>
      </c>
      <c r="D777" s="1" t="s">
        <v>414</v>
      </c>
      <c r="E777" s="1" t="s">
        <v>415</v>
      </c>
      <c r="F777" t="s">
        <v>416</v>
      </c>
      <c r="G777" t="s">
        <v>18</v>
      </c>
      <c r="H777" s="1" t="s">
        <v>415</v>
      </c>
      <c r="I777" s="1" t="s">
        <v>416</v>
      </c>
      <c r="J777" s="1" t="s">
        <v>18</v>
      </c>
      <c r="K777" s="1" t="s">
        <v>50</v>
      </c>
      <c r="L777" s="1">
        <v>33003</v>
      </c>
      <c r="M777" s="1">
        <v>35</v>
      </c>
      <c r="N777" s="1">
        <v>1300</v>
      </c>
      <c r="O777" s="1">
        <v>1650</v>
      </c>
      <c r="P777" s="1">
        <v>1650</v>
      </c>
      <c r="Q777" s="1">
        <v>300000</v>
      </c>
      <c r="R777" s="1">
        <v>350</v>
      </c>
      <c r="S777">
        <v>200000</v>
      </c>
      <c r="T777">
        <v>10030</v>
      </c>
      <c r="U777" t="s">
        <v>814</v>
      </c>
      <c r="V777">
        <v>18300</v>
      </c>
      <c r="W777" s="1">
        <v>47139</v>
      </c>
      <c r="X777" s="1" t="s">
        <v>55</v>
      </c>
      <c r="Y777" s="1" t="s">
        <v>51</v>
      </c>
      <c r="Z777" s="1" t="s">
        <v>502</v>
      </c>
      <c r="AA777" s="1" t="s">
        <v>820</v>
      </c>
      <c r="AB777" s="1" t="s">
        <v>821</v>
      </c>
      <c r="AC777" s="1" t="s">
        <v>53</v>
      </c>
      <c r="AD777" s="1">
        <v>45446</v>
      </c>
      <c r="AE777" s="1">
        <v>45583</v>
      </c>
      <c r="AF777" s="1"/>
      <c r="AG777" s="1" t="s">
        <v>2428</v>
      </c>
      <c r="AH777" s="1" t="s">
        <v>2426</v>
      </c>
      <c r="AI777" s="1"/>
      <c r="AJ777" s="31"/>
      <c r="AK777"/>
      <c r="AL777"/>
      <c r="AM777"/>
      <c r="AN777"/>
      <c r="AO777"/>
      <c r="AP777"/>
    </row>
    <row r="778" spans="1:42" s="81" customFormat="1" hidden="1">
      <c r="A778" s="1" t="s">
        <v>49</v>
      </c>
      <c r="B778" s="1">
        <v>231011</v>
      </c>
      <c r="C778" s="1">
        <v>8210107</v>
      </c>
      <c r="D778" s="1" t="s">
        <v>815</v>
      </c>
      <c r="E778" s="1" t="s">
        <v>4180</v>
      </c>
      <c r="F778" t="s">
        <v>4180</v>
      </c>
      <c r="G778"/>
      <c r="H778" s="1" t="s">
        <v>2394</v>
      </c>
      <c r="I778" s="1" t="s">
        <v>2395</v>
      </c>
      <c r="J778" s="1" t="s">
        <v>18</v>
      </c>
      <c r="K778" s="1" t="s">
        <v>50</v>
      </c>
      <c r="L778" s="1">
        <v>31659</v>
      </c>
      <c r="M778" s="1">
        <v>39</v>
      </c>
      <c r="N778" s="1">
        <v>1500</v>
      </c>
      <c r="O778" s="1"/>
      <c r="P778" s="1">
        <v>2150</v>
      </c>
      <c r="Q778" s="1"/>
      <c r="R778" s="1">
        <v>650</v>
      </c>
      <c r="S778">
        <v>340000</v>
      </c>
      <c r="T778">
        <v>17051</v>
      </c>
      <c r="U778" t="s">
        <v>814</v>
      </c>
      <c r="V778">
        <v>31110</v>
      </c>
      <c r="W778" s="1">
        <v>46668</v>
      </c>
      <c r="X778" s="1" t="s">
        <v>55</v>
      </c>
      <c r="Y778" s="1" t="s">
        <v>51</v>
      </c>
      <c r="Z778" s="1" t="s">
        <v>52</v>
      </c>
      <c r="AA778" s="1" t="s">
        <v>1384</v>
      </c>
      <c r="AB778" s="1" t="s">
        <v>1385</v>
      </c>
      <c r="AC778" s="1">
        <v>45441</v>
      </c>
      <c r="AD778" s="1">
        <v>45446</v>
      </c>
      <c r="AE778" s="1"/>
      <c r="AF778" s="1"/>
      <c r="AG778" s="1" t="s">
        <v>2428</v>
      </c>
      <c r="AH778" s="1" t="s">
        <v>2426</v>
      </c>
      <c r="AI778" s="1" t="s">
        <v>4000</v>
      </c>
      <c r="AJ778" s="31">
        <v>45446</v>
      </c>
      <c r="AK778"/>
      <c r="AL778"/>
      <c r="AM778"/>
      <c r="AN778"/>
      <c r="AO778"/>
      <c r="AP778"/>
    </row>
    <row r="779" spans="1:42" s="81" customFormat="1" hidden="1">
      <c r="A779" s="1" t="s">
        <v>49</v>
      </c>
      <c r="B779" s="1">
        <v>230906</v>
      </c>
      <c r="C779" s="1">
        <v>8210100</v>
      </c>
      <c r="D779" s="1" t="s">
        <v>822</v>
      </c>
      <c r="E779" s="1" t="s">
        <v>2429</v>
      </c>
      <c r="F779" t="s">
        <v>2429</v>
      </c>
      <c r="G779"/>
      <c r="H779" s="1" t="s">
        <v>1458</v>
      </c>
      <c r="I779" s="1" t="s">
        <v>1459</v>
      </c>
      <c r="J779" s="1" t="s">
        <v>18</v>
      </c>
      <c r="K779" s="1" t="s">
        <v>50</v>
      </c>
      <c r="L779" s="1">
        <v>34237</v>
      </c>
      <c r="M779" s="1">
        <v>32</v>
      </c>
      <c r="N779" s="1">
        <v>1500</v>
      </c>
      <c r="O779" s="1"/>
      <c r="P779" s="1">
        <v>2150</v>
      </c>
      <c r="Q779" s="1"/>
      <c r="R779" s="1">
        <v>650</v>
      </c>
      <c r="S779">
        <v>340000</v>
      </c>
      <c r="T779">
        <v>17051</v>
      </c>
      <c r="U779" t="s">
        <v>814</v>
      </c>
      <c r="V779">
        <v>31110</v>
      </c>
      <c r="W779" s="1">
        <v>46915</v>
      </c>
      <c r="X779" s="1" t="s">
        <v>55</v>
      </c>
      <c r="Y779" s="1" t="s">
        <v>51</v>
      </c>
      <c r="Z779" s="1" t="s">
        <v>2358</v>
      </c>
      <c r="AA779" s="1" t="s">
        <v>1456</v>
      </c>
      <c r="AB779" s="1" t="s">
        <v>1457</v>
      </c>
      <c r="AC779" s="1"/>
      <c r="AD779" s="1">
        <v>45453</v>
      </c>
      <c r="AE779" s="1"/>
      <c r="AF779" s="1"/>
      <c r="AG779" s="1" t="s">
        <v>2430</v>
      </c>
      <c r="AH779" s="1" t="s">
        <v>2426</v>
      </c>
      <c r="AI779" s="1"/>
      <c r="AJ779" s="31">
        <v>45453</v>
      </c>
      <c r="AK779" t="s">
        <v>2470</v>
      </c>
      <c r="AL779">
        <v>45590</v>
      </c>
      <c r="AM779" t="s">
        <v>2468</v>
      </c>
      <c r="AN779">
        <v>45551</v>
      </c>
      <c r="AO779"/>
      <c r="AP779"/>
    </row>
    <row r="780" spans="1:42" s="81" customFormat="1" hidden="1">
      <c r="A780" s="1" t="s">
        <v>2542</v>
      </c>
      <c r="B780" s="1">
        <v>240601</v>
      </c>
      <c r="C780" s="1"/>
      <c r="D780" s="1" t="s">
        <v>2030</v>
      </c>
      <c r="E780" s="1"/>
      <c r="F780"/>
      <c r="G780"/>
      <c r="H780" s="1" t="s">
        <v>2396</v>
      </c>
      <c r="I780" s="1" t="s">
        <v>2397</v>
      </c>
      <c r="J780" s="1" t="s">
        <v>18</v>
      </c>
      <c r="K780" s="1" t="s">
        <v>50</v>
      </c>
      <c r="L780" s="1">
        <v>31309</v>
      </c>
      <c r="M780" s="1">
        <v>40</v>
      </c>
      <c r="N780" s="1">
        <v>1400</v>
      </c>
      <c r="O780" s="1"/>
      <c r="P780" s="1">
        <v>2000</v>
      </c>
      <c r="Q780" s="1"/>
      <c r="R780" s="1">
        <v>600</v>
      </c>
      <c r="S780">
        <v>220000</v>
      </c>
      <c r="T780">
        <v>11033</v>
      </c>
      <c r="U780">
        <v>1749</v>
      </c>
      <c r="V780">
        <v>20130</v>
      </c>
      <c r="W780" s="1">
        <v>46009</v>
      </c>
      <c r="X780" s="1" t="s">
        <v>55</v>
      </c>
      <c r="Y780" s="1" t="s">
        <v>51</v>
      </c>
      <c r="Z780" s="1" t="s">
        <v>2431</v>
      </c>
      <c r="AA780" s="1" t="s">
        <v>2432</v>
      </c>
      <c r="AB780" s="1" t="s">
        <v>2433</v>
      </c>
      <c r="AC780" s="1"/>
      <c r="AD780" s="1">
        <v>45460</v>
      </c>
      <c r="AE780" s="1">
        <v>45735</v>
      </c>
      <c r="AF780" s="1"/>
      <c r="AG780" s="1" t="s">
        <v>2434</v>
      </c>
      <c r="AH780" s="1" t="s">
        <v>2435</v>
      </c>
      <c r="AI780" s="1"/>
      <c r="AJ780" s="31">
        <v>45460</v>
      </c>
      <c r="AK780"/>
      <c r="AL780"/>
      <c r="AM780"/>
      <c r="AN780"/>
      <c r="AO780"/>
      <c r="AP780"/>
    </row>
    <row r="781" spans="1:42" s="81" customFormat="1" hidden="1">
      <c r="A781" s="1" t="s">
        <v>49</v>
      </c>
      <c r="B781" s="1">
        <v>240602</v>
      </c>
      <c r="C781" s="1"/>
      <c r="D781" s="1" t="s">
        <v>414</v>
      </c>
      <c r="E781" s="1"/>
      <c r="F781"/>
      <c r="G781"/>
      <c r="H781" s="1" t="s">
        <v>2398</v>
      </c>
      <c r="I781" s="1" t="s">
        <v>2399</v>
      </c>
      <c r="J781" s="1" t="s">
        <v>18</v>
      </c>
      <c r="K781" s="1" t="s">
        <v>50</v>
      </c>
      <c r="L781" s="1">
        <v>33467</v>
      </c>
      <c r="M781" s="1">
        <v>34</v>
      </c>
      <c r="N781" s="1">
        <v>1300</v>
      </c>
      <c r="O781" s="1"/>
      <c r="P781" s="1">
        <v>1650</v>
      </c>
      <c r="Q781" s="1"/>
      <c r="R781" s="1">
        <v>350</v>
      </c>
      <c r="S781">
        <v>300000</v>
      </c>
      <c r="T781">
        <v>15045</v>
      </c>
      <c r="U781" t="s">
        <v>814</v>
      </c>
      <c r="V781">
        <v>27450</v>
      </c>
      <c r="W781" s="1">
        <v>46058</v>
      </c>
      <c r="X781" s="1">
        <v>63</v>
      </c>
      <c r="Y781" s="1" t="s">
        <v>51</v>
      </c>
      <c r="Z781" s="1" t="s">
        <v>2188</v>
      </c>
      <c r="AA781" s="1" t="s">
        <v>2189</v>
      </c>
      <c r="AB781" s="1" t="s">
        <v>2190</v>
      </c>
      <c r="AC781" s="1"/>
      <c r="AD781" s="1">
        <v>45461</v>
      </c>
      <c r="AE781" s="1"/>
      <c r="AF781" s="1"/>
      <c r="AG781" s="1" t="s">
        <v>2436</v>
      </c>
      <c r="AH781" s="1" t="s">
        <v>2426</v>
      </c>
      <c r="AI781" s="1"/>
      <c r="AJ781" s="31">
        <v>45461</v>
      </c>
      <c r="AK781"/>
      <c r="AL781"/>
      <c r="AM781"/>
      <c r="AN781"/>
      <c r="AO781"/>
      <c r="AP781"/>
    </row>
    <row r="782" spans="1:42" s="81" customFormat="1" hidden="1">
      <c r="A782" s="1" t="s">
        <v>2542</v>
      </c>
      <c r="B782" s="1">
        <v>240603</v>
      </c>
      <c r="C782" s="1"/>
      <c r="D782" s="1" t="s">
        <v>436</v>
      </c>
      <c r="E782" s="1"/>
      <c r="F782"/>
      <c r="G782"/>
      <c r="H782" s="1" t="s">
        <v>2437</v>
      </c>
      <c r="I782" s="1" t="s">
        <v>2438</v>
      </c>
      <c r="J782" s="1" t="s">
        <v>18</v>
      </c>
      <c r="K782" s="1" t="s">
        <v>50</v>
      </c>
      <c r="L782" s="1">
        <v>36698</v>
      </c>
      <c r="M782" s="1">
        <v>25</v>
      </c>
      <c r="N782" s="1">
        <v>1400</v>
      </c>
      <c r="O782" s="1"/>
      <c r="P782" s="1">
        <v>2000</v>
      </c>
      <c r="Q782" s="1" t="s">
        <v>3474</v>
      </c>
      <c r="R782" s="1">
        <v>600</v>
      </c>
      <c r="S782">
        <v>300000</v>
      </c>
      <c r="T782">
        <v>15045</v>
      </c>
      <c r="U782" t="s">
        <v>814</v>
      </c>
      <c r="V782">
        <v>27450</v>
      </c>
      <c r="W782" s="1">
        <v>46923</v>
      </c>
      <c r="X782" s="1" t="s">
        <v>55</v>
      </c>
      <c r="Y782" s="1" t="s">
        <v>51</v>
      </c>
      <c r="Z782" s="1" t="s">
        <v>504</v>
      </c>
      <c r="AA782" s="1" t="s">
        <v>505</v>
      </c>
      <c r="AB782" s="1" t="s">
        <v>936</v>
      </c>
      <c r="AC782" s="1"/>
      <c r="AD782" s="1">
        <v>45464</v>
      </c>
      <c r="AE782" s="1">
        <v>45806</v>
      </c>
      <c r="AF782" s="1"/>
      <c r="AG782" s="1" t="s">
        <v>2495</v>
      </c>
      <c r="AH782" s="1" t="s">
        <v>2496</v>
      </c>
      <c r="AI782" s="1"/>
      <c r="AJ782" s="31">
        <v>45464</v>
      </c>
      <c r="AK782"/>
      <c r="AL782"/>
      <c r="AM782"/>
      <c r="AN782"/>
      <c r="AO782"/>
      <c r="AP782"/>
    </row>
    <row r="783" spans="1:42" s="81" customFormat="1" hidden="1">
      <c r="A783" s="1" t="s">
        <v>2542</v>
      </c>
      <c r="B783" s="1">
        <v>240604</v>
      </c>
      <c r="C783" s="1">
        <v>8210101</v>
      </c>
      <c r="D783" s="1" t="s">
        <v>822</v>
      </c>
      <c r="E783" s="1" t="s">
        <v>1312</v>
      </c>
      <c r="F783" t="s">
        <v>1312</v>
      </c>
      <c r="G783"/>
      <c r="H783" s="1" t="s">
        <v>2439</v>
      </c>
      <c r="I783" s="1" t="s">
        <v>2440</v>
      </c>
      <c r="J783" s="1" t="s">
        <v>18</v>
      </c>
      <c r="K783" s="1" t="s">
        <v>50</v>
      </c>
      <c r="L783" s="1">
        <v>31688</v>
      </c>
      <c r="M783" s="1">
        <v>39</v>
      </c>
      <c r="N783" s="1">
        <v>1460</v>
      </c>
      <c r="O783" s="1"/>
      <c r="P783" s="1">
        <v>2050</v>
      </c>
      <c r="Q783" s="1"/>
      <c r="R783" s="1">
        <v>590</v>
      </c>
      <c r="S783">
        <v>240000</v>
      </c>
      <c r="T783">
        <v>12036</v>
      </c>
      <c r="U783" t="s">
        <v>814</v>
      </c>
      <c r="V783">
        <v>21960</v>
      </c>
      <c r="W783" s="1">
        <v>46936</v>
      </c>
      <c r="X783" s="1" t="s">
        <v>55</v>
      </c>
      <c r="Y783" s="1" t="s">
        <v>51</v>
      </c>
      <c r="Z783" s="1" t="s">
        <v>529</v>
      </c>
      <c r="AA783" s="1" t="s">
        <v>2441</v>
      </c>
      <c r="AB783" s="1" t="s">
        <v>2442</v>
      </c>
      <c r="AC783" s="1" t="s">
        <v>53</v>
      </c>
      <c r="AD783" s="1">
        <v>45467</v>
      </c>
      <c r="AE783" s="1">
        <v>45625</v>
      </c>
      <c r="AF783" s="1"/>
      <c r="AG783" s="1" t="s">
        <v>2497</v>
      </c>
      <c r="AH783" s="1" t="s">
        <v>2496</v>
      </c>
      <c r="AI783" s="1"/>
      <c r="AJ783" s="31">
        <v>45467</v>
      </c>
      <c r="AK783" t="s">
        <v>2470</v>
      </c>
      <c r="AL783">
        <v>45964</v>
      </c>
      <c r="AM783" t="s">
        <v>2468</v>
      </c>
      <c r="AN783">
        <v>46287</v>
      </c>
      <c r="AO783"/>
      <c r="AP783"/>
    </row>
    <row r="784" spans="1:42" s="81" customFormat="1" hidden="1">
      <c r="A784" s="1" t="s">
        <v>49</v>
      </c>
      <c r="B784" s="1">
        <v>240605</v>
      </c>
      <c r="C784" s="1"/>
      <c r="D784" s="1" t="s">
        <v>813</v>
      </c>
      <c r="E784" s="1"/>
      <c r="F784"/>
      <c r="G784"/>
      <c r="H784" s="1" t="s">
        <v>2402</v>
      </c>
      <c r="I784" s="1" t="s">
        <v>2403</v>
      </c>
      <c r="J784" s="1" t="s">
        <v>17</v>
      </c>
      <c r="K784" s="1" t="s">
        <v>50</v>
      </c>
      <c r="L784" s="1">
        <v>36066</v>
      </c>
      <c r="M784" s="1">
        <v>27</v>
      </c>
      <c r="N784" s="1">
        <v>1300</v>
      </c>
      <c r="O784" s="1"/>
      <c r="P784" s="1">
        <v>1800</v>
      </c>
      <c r="Q784" s="1"/>
      <c r="R784" s="1">
        <v>500</v>
      </c>
      <c r="S784">
        <v>240000</v>
      </c>
      <c r="T784">
        <v>12036</v>
      </c>
      <c r="U784" t="s">
        <v>814</v>
      </c>
      <c r="V784">
        <v>21960</v>
      </c>
      <c r="W784" s="1">
        <v>46565</v>
      </c>
      <c r="X784" s="1" t="s">
        <v>55</v>
      </c>
      <c r="Y784" s="1" t="s">
        <v>51</v>
      </c>
      <c r="Z784" s="1" t="s">
        <v>1597</v>
      </c>
      <c r="AA784" s="1" t="s">
        <v>1598</v>
      </c>
      <c r="AB784" s="1" t="s">
        <v>1599</v>
      </c>
      <c r="AC784" s="1"/>
      <c r="AD784" s="1">
        <v>45467</v>
      </c>
      <c r="AE784" s="1"/>
      <c r="AF784" s="1"/>
      <c r="AG784" s="1" t="s">
        <v>2497</v>
      </c>
      <c r="AH784" s="1" t="s">
        <v>2496</v>
      </c>
      <c r="AI784" s="1"/>
      <c r="AJ784" s="31">
        <v>45467</v>
      </c>
      <c r="AK784"/>
      <c r="AL784"/>
      <c r="AM784"/>
      <c r="AN784"/>
      <c r="AO784"/>
      <c r="AP784"/>
    </row>
    <row r="785" spans="1:42" s="81" customFormat="1" hidden="1">
      <c r="A785" s="1" t="s">
        <v>49</v>
      </c>
      <c r="B785" s="1">
        <v>240606</v>
      </c>
      <c r="C785" s="1">
        <v>232138</v>
      </c>
      <c r="D785" s="1" t="s">
        <v>83</v>
      </c>
      <c r="E785" s="1" t="s">
        <v>1386</v>
      </c>
      <c r="F785" t="s">
        <v>2259</v>
      </c>
      <c r="G785" t="s">
        <v>388</v>
      </c>
      <c r="H785" s="1" t="s">
        <v>2443</v>
      </c>
      <c r="I785" s="1" t="s">
        <v>2444</v>
      </c>
      <c r="J785" s="1" t="s">
        <v>18</v>
      </c>
      <c r="K785" s="1" t="s">
        <v>50</v>
      </c>
      <c r="L785" s="1">
        <v>36418</v>
      </c>
      <c r="M785" s="1">
        <v>26</v>
      </c>
      <c r="N785" s="1">
        <v>1300</v>
      </c>
      <c r="O785" s="1"/>
      <c r="P785" s="1">
        <v>1670</v>
      </c>
      <c r="Q785" s="1"/>
      <c r="R785" s="1">
        <v>370</v>
      </c>
      <c r="S785">
        <v>220000</v>
      </c>
      <c r="T785">
        <v>11033</v>
      </c>
      <c r="U785" t="s">
        <v>814</v>
      </c>
      <c r="V785">
        <v>20130</v>
      </c>
      <c r="W785" s="1">
        <v>46923</v>
      </c>
      <c r="X785" s="1" t="s">
        <v>55</v>
      </c>
      <c r="Y785" s="1" t="s">
        <v>51</v>
      </c>
      <c r="Z785" s="1" t="s">
        <v>110</v>
      </c>
      <c r="AA785" s="1" t="s">
        <v>1109</v>
      </c>
      <c r="AB785" s="1" t="s">
        <v>2162</v>
      </c>
      <c r="AC785" s="1"/>
      <c r="AD785" s="1">
        <v>45468</v>
      </c>
      <c r="AE785" s="1"/>
      <c r="AF785" s="1"/>
      <c r="AG785" s="1" t="s">
        <v>2498</v>
      </c>
      <c r="AH785" s="1" t="s">
        <v>2496</v>
      </c>
      <c r="AI785" s="1"/>
      <c r="AJ785" s="31">
        <v>45468</v>
      </c>
      <c r="AK785"/>
      <c r="AL785"/>
      <c r="AM785"/>
      <c r="AN785"/>
      <c r="AO785"/>
      <c r="AP785"/>
    </row>
    <row r="786" spans="1:42" s="81" customFormat="1" hidden="1">
      <c r="A786" s="1" t="s">
        <v>2542</v>
      </c>
      <c r="B786" s="1">
        <v>240607</v>
      </c>
      <c r="C786" s="1">
        <v>502406</v>
      </c>
      <c r="D786" s="1" t="s">
        <v>2030</v>
      </c>
      <c r="E786" s="1" t="s">
        <v>4379</v>
      </c>
      <c r="F786" t="s">
        <v>4380</v>
      </c>
      <c r="G786" t="s">
        <v>4381</v>
      </c>
      <c r="H786" s="1" t="s">
        <v>2400</v>
      </c>
      <c r="I786" s="1" t="s">
        <v>2401</v>
      </c>
      <c r="J786" s="1" t="s">
        <v>18</v>
      </c>
      <c r="K786" s="1" t="s">
        <v>50</v>
      </c>
      <c r="L786" s="1">
        <v>33767</v>
      </c>
      <c r="M786" s="1">
        <v>33</v>
      </c>
      <c r="N786" s="1">
        <v>1400</v>
      </c>
      <c r="O786" s="1"/>
      <c r="P786" s="1">
        <v>2000</v>
      </c>
      <c r="Q786" s="1"/>
      <c r="R786" s="1">
        <v>600</v>
      </c>
      <c r="S786">
        <v>220000</v>
      </c>
      <c r="T786">
        <v>11033</v>
      </c>
      <c r="U786" t="s">
        <v>814</v>
      </c>
      <c r="V786">
        <v>20130</v>
      </c>
      <c r="W786" s="1">
        <v>46929</v>
      </c>
      <c r="X786" s="1" t="s">
        <v>55</v>
      </c>
      <c r="Y786" s="1" t="s">
        <v>51</v>
      </c>
      <c r="Z786" s="1" t="s">
        <v>4382</v>
      </c>
      <c r="AA786" s="1" t="s">
        <v>4383</v>
      </c>
      <c r="AB786" s="1" t="s">
        <v>4384</v>
      </c>
      <c r="AC786" s="1" t="s">
        <v>53</v>
      </c>
      <c r="AD786" s="1">
        <v>45470</v>
      </c>
      <c r="AE786" s="1">
        <v>45926</v>
      </c>
      <c r="AF786" s="1"/>
      <c r="AG786" s="1" t="s">
        <v>2499</v>
      </c>
      <c r="AH786" s="1" t="s">
        <v>2496</v>
      </c>
      <c r="AI786" s="1"/>
      <c r="AJ786" s="31">
        <v>45470</v>
      </c>
      <c r="AK786"/>
      <c r="AL786"/>
      <c r="AM786"/>
      <c r="AN786"/>
      <c r="AO786"/>
      <c r="AP786"/>
    </row>
    <row r="787" spans="1:42" s="81" customFormat="1" hidden="1">
      <c r="A787" s="1" t="s">
        <v>49</v>
      </c>
      <c r="B787" s="1">
        <v>210908</v>
      </c>
      <c r="C787" s="1"/>
      <c r="D787" s="1" t="s">
        <v>436</v>
      </c>
      <c r="E787" s="1" t="s">
        <v>503</v>
      </c>
      <c r="F787" t="s">
        <v>4372</v>
      </c>
      <c r="G787" t="s">
        <v>4373</v>
      </c>
      <c r="H787" s="1" t="s">
        <v>2500</v>
      </c>
      <c r="I787" s="1" t="s">
        <v>2501</v>
      </c>
      <c r="J787" s="1" t="s">
        <v>18</v>
      </c>
      <c r="K787" s="1" t="s">
        <v>50</v>
      </c>
      <c r="L787" s="1">
        <v>34397</v>
      </c>
      <c r="M787" s="1">
        <v>31</v>
      </c>
      <c r="N787" s="1">
        <v>1600</v>
      </c>
      <c r="O787" s="1" t="s">
        <v>2502</v>
      </c>
      <c r="P787" s="1">
        <v>2100</v>
      </c>
      <c r="Q787" s="1" t="s">
        <v>3474</v>
      </c>
      <c r="R787" s="1">
        <v>500</v>
      </c>
      <c r="S787">
        <v>380000</v>
      </c>
      <c r="T787">
        <v>19057</v>
      </c>
      <c r="U787" t="s">
        <v>814</v>
      </c>
      <c r="V787">
        <v>34770</v>
      </c>
      <c r="W787" s="1">
        <v>46288</v>
      </c>
      <c r="X787" s="1" t="s">
        <v>55</v>
      </c>
      <c r="Y787" s="1" t="s">
        <v>51</v>
      </c>
      <c r="Z787" s="1" t="s">
        <v>504</v>
      </c>
      <c r="AA787" s="1" t="s">
        <v>505</v>
      </c>
      <c r="AB787" s="1" t="s">
        <v>2503</v>
      </c>
      <c r="AC787" s="1"/>
      <c r="AD787" s="1">
        <v>45474</v>
      </c>
      <c r="AE787" s="1"/>
      <c r="AF787" s="1"/>
      <c r="AG787" s="1" t="s">
        <v>2504</v>
      </c>
      <c r="AH787" s="1" t="s">
        <v>1378</v>
      </c>
      <c r="AI787" s="1"/>
      <c r="AJ787" s="31">
        <v>45474</v>
      </c>
      <c r="AK787"/>
      <c r="AL787"/>
      <c r="AM787"/>
      <c r="AN787"/>
      <c r="AO787"/>
      <c r="AP787"/>
    </row>
    <row r="788" spans="1:42" s="81" customFormat="1" hidden="1">
      <c r="A788" s="1" t="s">
        <v>49</v>
      </c>
      <c r="B788" s="1">
        <v>240701</v>
      </c>
      <c r="C788" s="1">
        <v>5628</v>
      </c>
      <c r="D788" s="1" t="s">
        <v>813</v>
      </c>
      <c r="E788" s="1" t="s">
        <v>1232</v>
      </c>
      <c r="F788" t="s">
        <v>3489</v>
      </c>
      <c r="G788" t="s">
        <v>4385</v>
      </c>
      <c r="H788" s="1" t="s">
        <v>2445</v>
      </c>
      <c r="I788" s="1" t="s">
        <v>2446</v>
      </c>
      <c r="J788" s="1" t="s">
        <v>18</v>
      </c>
      <c r="K788" s="1" t="s">
        <v>50</v>
      </c>
      <c r="L788" s="1">
        <v>32618</v>
      </c>
      <c r="M788" s="1">
        <v>36</v>
      </c>
      <c r="N788" s="1">
        <v>1300</v>
      </c>
      <c r="O788" s="1"/>
      <c r="P788" s="1">
        <v>1800</v>
      </c>
      <c r="Q788" s="1"/>
      <c r="R788" s="1">
        <v>500</v>
      </c>
      <c r="S788">
        <v>240000</v>
      </c>
      <c r="T788">
        <v>12036</v>
      </c>
      <c r="U788" t="s">
        <v>814</v>
      </c>
      <c r="V788">
        <v>21960</v>
      </c>
      <c r="W788" s="1">
        <v>47048</v>
      </c>
      <c r="X788" s="1"/>
      <c r="Y788" s="1" t="s">
        <v>51</v>
      </c>
      <c r="Z788" s="1" t="s">
        <v>52</v>
      </c>
      <c r="AA788" s="1" t="s">
        <v>1384</v>
      </c>
      <c r="AB788" s="1" t="s">
        <v>1385</v>
      </c>
      <c r="AC788" s="1"/>
      <c r="AD788" s="1">
        <v>45474</v>
      </c>
      <c r="AE788" s="1"/>
      <c r="AF788" s="1"/>
      <c r="AG788" s="1" t="s">
        <v>2504</v>
      </c>
      <c r="AH788" s="1" t="s">
        <v>3773</v>
      </c>
      <c r="AI788" s="1" t="s">
        <v>4142</v>
      </c>
      <c r="AJ788" s="31">
        <v>45474</v>
      </c>
      <c r="AK788"/>
      <c r="AL788"/>
      <c r="AM788"/>
      <c r="AN788"/>
      <c r="AO788"/>
      <c r="AP788"/>
    </row>
    <row r="789" spans="1:42" s="81" customFormat="1" hidden="1">
      <c r="A789" s="1" t="s">
        <v>49</v>
      </c>
      <c r="B789" s="1">
        <v>240702</v>
      </c>
      <c r="C789" s="1"/>
      <c r="D789" s="1" t="s">
        <v>447</v>
      </c>
      <c r="E789" s="1" t="s">
        <v>1270</v>
      </c>
      <c r="F789" t="s">
        <v>1271</v>
      </c>
      <c r="G789" t="s">
        <v>1267</v>
      </c>
      <c r="H789" s="1" t="s">
        <v>2447</v>
      </c>
      <c r="I789" s="1" t="s">
        <v>2448</v>
      </c>
      <c r="J789" s="1" t="s">
        <v>18</v>
      </c>
      <c r="K789" s="1" t="s">
        <v>50</v>
      </c>
      <c r="L789" s="1">
        <v>31418</v>
      </c>
      <c r="M789" s="1">
        <v>39</v>
      </c>
      <c r="N789" s="1">
        <v>1300</v>
      </c>
      <c r="O789" s="1"/>
      <c r="P789" s="1">
        <v>1700</v>
      </c>
      <c r="Q789" s="1"/>
      <c r="R789" s="1">
        <v>400</v>
      </c>
      <c r="S789">
        <v>260000</v>
      </c>
      <c r="T789">
        <v>13039</v>
      </c>
      <c r="U789" t="s">
        <v>814</v>
      </c>
      <c r="V789">
        <v>23790</v>
      </c>
      <c r="W789" s="1">
        <v>47144</v>
      </c>
      <c r="X789" s="1" t="s">
        <v>55</v>
      </c>
      <c r="Y789" s="1" t="s">
        <v>51</v>
      </c>
      <c r="Z789" s="1" t="s">
        <v>2505</v>
      </c>
      <c r="AA789" s="1" t="s">
        <v>2494</v>
      </c>
      <c r="AB789" s="1"/>
      <c r="AC789" s="1"/>
      <c r="AD789" s="1">
        <v>45474</v>
      </c>
      <c r="AE789" s="1"/>
      <c r="AF789" s="1"/>
      <c r="AG789" s="1" t="s">
        <v>2504</v>
      </c>
      <c r="AH789" s="1" t="s">
        <v>2496</v>
      </c>
      <c r="AI789" s="1"/>
      <c r="AJ789" s="31">
        <v>45474</v>
      </c>
      <c r="AK789"/>
      <c r="AL789"/>
      <c r="AM789"/>
      <c r="AN789"/>
      <c r="AO789"/>
      <c r="AP789"/>
    </row>
    <row r="790" spans="1:42" s="81" customFormat="1" hidden="1">
      <c r="A790" s="1" t="s">
        <v>2542</v>
      </c>
      <c r="B790" s="1">
        <v>210611</v>
      </c>
      <c r="C790" s="1">
        <v>8210102</v>
      </c>
      <c r="D790" s="1" t="s">
        <v>822</v>
      </c>
      <c r="E790" s="1" t="s">
        <v>834</v>
      </c>
      <c r="F790" t="s">
        <v>834</v>
      </c>
      <c r="G790"/>
      <c r="H790" s="1" t="s">
        <v>2404</v>
      </c>
      <c r="I790" s="1" t="s">
        <v>2405</v>
      </c>
      <c r="J790" s="1" t="s">
        <v>18</v>
      </c>
      <c r="K790" s="1" t="s">
        <v>50</v>
      </c>
      <c r="L790" s="1">
        <v>33440</v>
      </c>
      <c r="M790" s="1">
        <v>34</v>
      </c>
      <c r="N790" s="1">
        <v>1400</v>
      </c>
      <c r="O790" s="1"/>
      <c r="P790" s="1">
        <v>1990</v>
      </c>
      <c r="Q790" s="1"/>
      <c r="R790" s="1">
        <v>590</v>
      </c>
      <c r="S790">
        <v>260000</v>
      </c>
      <c r="T790">
        <v>13039</v>
      </c>
      <c r="U790" t="s">
        <v>814</v>
      </c>
      <c r="V790">
        <v>23790</v>
      </c>
      <c r="W790" s="1">
        <v>45989</v>
      </c>
      <c r="X790" s="1" t="s">
        <v>55</v>
      </c>
      <c r="Y790" s="1" t="s">
        <v>51</v>
      </c>
      <c r="Z790" s="1" t="s">
        <v>1399</v>
      </c>
      <c r="AA790" s="1" t="s">
        <v>2491</v>
      </c>
      <c r="AB790" s="1" t="s">
        <v>2506</v>
      </c>
      <c r="AC790" s="1"/>
      <c r="AD790" s="1">
        <v>45481</v>
      </c>
      <c r="AE790" s="1">
        <v>45674</v>
      </c>
      <c r="AF790" s="1"/>
      <c r="AG790" s="1" t="s">
        <v>2507</v>
      </c>
      <c r="AH790" s="1" t="s">
        <v>1378</v>
      </c>
      <c r="AI790" s="1"/>
      <c r="AJ790" s="31">
        <v>45481</v>
      </c>
      <c r="AK790" t="s">
        <v>2470</v>
      </c>
      <c r="AL790">
        <v>46620</v>
      </c>
      <c r="AM790" t="s">
        <v>2468</v>
      </c>
      <c r="AN790">
        <v>45994</v>
      </c>
      <c r="AO790"/>
      <c r="AP790"/>
    </row>
    <row r="791" spans="1:42" s="81" customFormat="1" hidden="1">
      <c r="A791" s="1" t="s">
        <v>2542</v>
      </c>
      <c r="B791" s="1">
        <v>240703</v>
      </c>
      <c r="C791" s="1"/>
      <c r="D791" s="1" t="s">
        <v>83</v>
      </c>
      <c r="E791" s="1" t="s">
        <v>311</v>
      </c>
      <c r="F791" t="s">
        <v>2253</v>
      </c>
      <c r="G791" t="s">
        <v>364</v>
      </c>
      <c r="H791" s="1" t="s">
        <v>2449</v>
      </c>
      <c r="I791" s="1" t="s">
        <v>2525</v>
      </c>
      <c r="J791" s="1" t="s">
        <v>17</v>
      </c>
      <c r="K791" s="1" t="s">
        <v>50</v>
      </c>
      <c r="L791" s="1">
        <v>35141</v>
      </c>
      <c r="M791" s="1">
        <v>29</v>
      </c>
      <c r="N791" s="1">
        <v>1100</v>
      </c>
      <c r="O791" s="1"/>
      <c r="P791" s="1">
        <v>1600</v>
      </c>
      <c r="Q791" s="1"/>
      <c r="R791" s="1">
        <v>500</v>
      </c>
      <c r="S791">
        <v>126000</v>
      </c>
      <c r="T791">
        <v>6319</v>
      </c>
      <c r="U791" t="s">
        <v>814</v>
      </c>
      <c r="V791">
        <v>11529</v>
      </c>
      <c r="W791" s="1">
        <v>45537</v>
      </c>
      <c r="X791" s="1" t="s">
        <v>55</v>
      </c>
      <c r="Y791" s="1" t="s">
        <v>121</v>
      </c>
      <c r="Z791" s="1" t="s">
        <v>110</v>
      </c>
      <c r="AA791" s="1" t="s">
        <v>122</v>
      </c>
      <c r="AB791" s="1" t="s">
        <v>136</v>
      </c>
      <c r="AC791" s="1"/>
      <c r="AD791" s="1">
        <v>45481</v>
      </c>
      <c r="AE791" s="1">
        <v>45525</v>
      </c>
      <c r="AF791" s="1"/>
      <c r="AG791" s="1" t="s">
        <v>2507</v>
      </c>
      <c r="AH791" s="1" t="s">
        <v>3774</v>
      </c>
      <c r="AI791" s="1"/>
      <c r="AJ791" s="31">
        <v>45481</v>
      </c>
      <c r="AK791"/>
      <c r="AL791"/>
      <c r="AM791"/>
      <c r="AN791"/>
      <c r="AO791"/>
      <c r="AP791"/>
    </row>
    <row r="792" spans="1:42" s="81" customFormat="1" hidden="1">
      <c r="A792" s="1" t="s">
        <v>2542</v>
      </c>
      <c r="B792" s="1">
        <v>240704</v>
      </c>
      <c r="C792" s="1"/>
      <c r="D792" s="1" t="s">
        <v>813</v>
      </c>
      <c r="E792" s="1"/>
      <c r="F792"/>
      <c r="G792"/>
      <c r="H792" s="1" t="s">
        <v>2473</v>
      </c>
      <c r="I792" s="1" t="s">
        <v>2474</v>
      </c>
      <c r="J792" s="1" t="s">
        <v>18</v>
      </c>
      <c r="K792" s="1" t="s">
        <v>50</v>
      </c>
      <c r="L792" s="1">
        <v>34416</v>
      </c>
      <c r="M792" s="1">
        <v>31</v>
      </c>
      <c r="N792" s="1">
        <v>1300</v>
      </c>
      <c r="O792" s="1"/>
      <c r="P792" s="1">
        <v>1800</v>
      </c>
      <c r="Q792" s="1"/>
      <c r="R792" s="1">
        <v>500</v>
      </c>
      <c r="S792">
        <v>240000</v>
      </c>
      <c r="T792">
        <v>12036</v>
      </c>
      <c r="U792" t="s">
        <v>814</v>
      </c>
      <c r="V792">
        <v>21960</v>
      </c>
      <c r="W792" s="1">
        <v>45682</v>
      </c>
      <c r="X792" s="1" t="s">
        <v>55</v>
      </c>
      <c r="Y792" s="1" t="s">
        <v>51</v>
      </c>
      <c r="Z792" s="1" t="s">
        <v>52</v>
      </c>
      <c r="AA792" s="1" t="s">
        <v>816</v>
      </c>
      <c r="AB792" s="1" t="s">
        <v>59</v>
      </c>
      <c r="AC792" s="1"/>
      <c r="AD792" s="1">
        <v>45481</v>
      </c>
      <c r="AE792" s="1">
        <v>45576</v>
      </c>
      <c r="AF792" s="1"/>
      <c r="AG792" s="1" t="s">
        <v>2507</v>
      </c>
      <c r="AH792" s="1" t="s">
        <v>3775</v>
      </c>
      <c r="AI792" s="1"/>
      <c r="AJ792" s="31">
        <v>45481</v>
      </c>
      <c r="AK792"/>
      <c r="AL792"/>
      <c r="AM792"/>
      <c r="AN792"/>
      <c r="AO792"/>
      <c r="AP792"/>
    </row>
    <row r="793" spans="1:42" s="81" customFormat="1" hidden="1">
      <c r="A793" s="1" t="s">
        <v>49</v>
      </c>
      <c r="B793" s="1">
        <v>240705</v>
      </c>
      <c r="C793" s="1">
        <v>8210103</v>
      </c>
      <c r="D793" s="1" t="s">
        <v>818</v>
      </c>
      <c r="E793" s="1" t="s">
        <v>4168</v>
      </c>
      <c r="F793" t="s">
        <v>4168</v>
      </c>
      <c r="G793"/>
      <c r="H793" s="1" t="s">
        <v>2475</v>
      </c>
      <c r="I793" s="1" t="s">
        <v>2476</v>
      </c>
      <c r="J793" s="1" t="s">
        <v>18</v>
      </c>
      <c r="K793" s="1" t="s">
        <v>50</v>
      </c>
      <c r="L793" s="1">
        <v>33469</v>
      </c>
      <c r="M793" s="1">
        <v>34</v>
      </c>
      <c r="N793" s="1">
        <v>1555</v>
      </c>
      <c r="O793" s="1"/>
      <c r="P793" s="1">
        <v>2225</v>
      </c>
      <c r="Q793" s="1"/>
      <c r="R793" s="1">
        <v>670</v>
      </c>
      <c r="S793">
        <v>360000</v>
      </c>
      <c r="T793">
        <v>18054</v>
      </c>
      <c r="U793" t="s">
        <v>814</v>
      </c>
      <c r="V793">
        <v>32940</v>
      </c>
      <c r="W793" s="1">
        <v>46774</v>
      </c>
      <c r="X793" s="1" t="s">
        <v>55</v>
      </c>
      <c r="Y793" s="1" t="s">
        <v>51</v>
      </c>
      <c r="Z793" s="1" t="s">
        <v>529</v>
      </c>
      <c r="AA793" s="1" t="s">
        <v>3948</v>
      </c>
      <c r="AB793" s="1" t="s">
        <v>3949</v>
      </c>
      <c r="AC793" s="1" t="s">
        <v>53</v>
      </c>
      <c r="AD793" s="1">
        <v>45482</v>
      </c>
      <c r="AE793" s="1"/>
      <c r="AF793" s="1"/>
      <c r="AG793" s="1" t="s">
        <v>2508</v>
      </c>
      <c r="AH793" s="1" t="s">
        <v>2496</v>
      </c>
      <c r="AI793" s="1"/>
      <c r="AJ793" s="31">
        <v>45482</v>
      </c>
      <c r="AK793" t="s">
        <v>2470</v>
      </c>
      <c r="AL793">
        <v>46284</v>
      </c>
      <c r="AM793" t="s">
        <v>2468</v>
      </c>
      <c r="AN793">
        <v>46211</v>
      </c>
      <c r="AO793"/>
      <c r="AP793"/>
    </row>
    <row r="794" spans="1:42" s="81" customFormat="1" hidden="1">
      <c r="A794" s="1" t="s">
        <v>49</v>
      </c>
      <c r="B794" s="1">
        <v>240706</v>
      </c>
      <c r="C794" s="1">
        <v>232140</v>
      </c>
      <c r="D794" s="1" t="s">
        <v>83</v>
      </c>
      <c r="E794" s="1" t="s">
        <v>307</v>
      </c>
      <c r="F794" t="s">
        <v>2251</v>
      </c>
      <c r="G794" t="s">
        <v>2252</v>
      </c>
      <c r="H794" s="1" t="s">
        <v>2477</v>
      </c>
      <c r="I794" s="1" t="s">
        <v>2478</v>
      </c>
      <c r="J794" s="1" t="s">
        <v>18</v>
      </c>
      <c r="K794" s="1" t="s">
        <v>50</v>
      </c>
      <c r="L794" s="1">
        <v>37184</v>
      </c>
      <c r="M794" s="1">
        <v>24</v>
      </c>
      <c r="N794" s="1">
        <v>1300</v>
      </c>
      <c r="O794" s="1"/>
      <c r="P794" s="1">
        <v>1670</v>
      </c>
      <c r="Q794" s="1"/>
      <c r="R794" s="1">
        <v>370</v>
      </c>
      <c r="S794">
        <v>260000</v>
      </c>
      <c r="T794">
        <v>13039</v>
      </c>
      <c r="U794" t="s">
        <v>814</v>
      </c>
      <c r="V794">
        <v>23790</v>
      </c>
      <c r="W794" s="1">
        <v>46212</v>
      </c>
      <c r="X794" s="1"/>
      <c r="Y794" s="1" t="s">
        <v>51</v>
      </c>
      <c r="Z794" s="1" t="s">
        <v>110</v>
      </c>
      <c r="AA794" s="1" t="s">
        <v>2509</v>
      </c>
      <c r="AB794" s="1" t="s">
        <v>751</v>
      </c>
      <c r="AC794" s="1">
        <v>45476</v>
      </c>
      <c r="AD794" s="1">
        <v>45483</v>
      </c>
      <c r="AE794" s="1"/>
      <c r="AF794" s="1"/>
      <c r="AG794" s="1" t="s">
        <v>2510</v>
      </c>
      <c r="AH794" s="1" t="s">
        <v>313</v>
      </c>
      <c r="AI794" s="1"/>
      <c r="AJ794" s="31">
        <v>45483</v>
      </c>
      <c r="AK794"/>
      <c r="AL794"/>
      <c r="AM794"/>
      <c r="AN794"/>
      <c r="AO794"/>
      <c r="AP794"/>
    </row>
    <row r="795" spans="1:42" s="81" customFormat="1" hidden="1">
      <c r="A795" s="1" t="s">
        <v>2542</v>
      </c>
      <c r="B795" s="1">
        <v>240707</v>
      </c>
      <c r="C795" s="1">
        <v>232141</v>
      </c>
      <c r="D795" s="1" t="s">
        <v>83</v>
      </c>
      <c r="E795" s="1" t="s">
        <v>307</v>
      </c>
      <c r="F795" t="s">
        <v>2251</v>
      </c>
      <c r="G795" t="s">
        <v>2252</v>
      </c>
      <c r="H795" s="1" t="s">
        <v>2479</v>
      </c>
      <c r="I795" s="1" t="s">
        <v>2480</v>
      </c>
      <c r="J795" s="1" t="s">
        <v>18</v>
      </c>
      <c r="K795" s="1" t="s">
        <v>50</v>
      </c>
      <c r="L795" s="1">
        <v>36438</v>
      </c>
      <c r="M795" s="1">
        <v>26</v>
      </c>
      <c r="N795" s="1">
        <v>1300</v>
      </c>
      <c r="O795" s="1"/>
      <c r="P795" s="1">
        <v>1680</v>
      </c>
      <c r="Q795" s="1"/>
      <c r="R795" s="1">
        <v>380</v>
      </c>
      <c r="S795">
        <v>220000</v>
      </c>
      <c r="T795">
        <v>11033</v>
      </c>
      <c r="U795" t="s">
        <v>814</v>
      </c>
      <c r="V795">
        <v>20130</v>
      </c>
      <c r="W795" s="1">
        <v>46212</v>
      </c>
      <c r="X795" s="1" t="s">
        <v>55</v>
      </c>
      <c r="Y795" s="1" t="s">
        <v>51</v>
      </c>
      <c r="Z795" s="1" t="s">
        <v>110</v>
      </c>
      <c r="AA795" s="1" t="s">
        <v>2509</v>
      </c>
      <c r="AB795" s="1" t="s">
        <v>751</v>
      </c>
      <c r="AC795" s="1">
        <v>45476</v>
      </c>
      <c r="AD795" s="1">
        <v>45483</v>
      </c>
      <c r="AE795" s="1">
        <v>45940</v>
      </c>
      <c r="AF795" s="1"/>
      <c r="AG795" s="1" t="s">
        <v>2510</v>
      </c>
      <c r="AH795" s="1" t="s">
        <v>313</v>
      </c>
      <c r="AI795" s="1"/>
      <c r="AJ795" s="31">
        <v>45483</v>
      </c>
      <c r="AK795"/>
      <c r="AL795"/>
      <c r="AM795"/>
      <c r="AN795"/>
      <c r="AO795"/>
      <c r="AP795"/>
    </row>
    <row r="796" spans="1:42" s="81" customFormat="1" hidden="1">
      <c r="A796" s="1" t="s">
        <v>49</v>
      </c>
      <c r="B796" s="1">
        <v>240708</v>
      </c>
      <c r="C796" s="1"/>
      <c r="D796" s="1" t="s">
        <v>436</v>
      </c>
      <c r="E796" s="1" t="s">
        <v>4367</v>
      </c>
      <c r="F796" t="s">
        <v>4368</v>
      </c>
      <c r="G796" t="s">
        <v>4369</v>
      </c>
      <c r="H796" s="1" t="s">
        <v>2511</v>
      </c>
      <c r="I796" s="1" t="s">
        <v>2512</v>
      </c>
      <c r="J796" s="1" t="s">
        <v>18</v>
      </c>
      <c r="K796" s="1" t="s">
        <v>50</v>
      </c>
      <c r="L796" s="1">
        <v>36109</v>
      </c>
      <c r="M796" s="1">
        <v>27</v>
      </c>
      <c r="N796" s="1">
        <v>1500</v>
      </c>
      <c r="O796" s="1"/>
      <c r="P796" s="1">
        <v>2000</v>
      </c>
      <c r="Q796" s="1" t="s">
        <v>3474</v>
      </c>
      <c r="R796" s="1">
        <v>500</v>
      </c>
      <c r="S796">
        <v>320000</v>
      </c>
      <c r="T796">
        <v>16048</v>
      </c>
      <c r="U796" t="s">
        <v>814</v>
      </c>
      <c r="V796">
        <v>29280</v>
      </c>
      <c r="W796" s="1">
        <v>46923</v>
      </c>
      <c r="X796" s="1" t="s">
        <v>55</v>
      </c>
      <c r="Y796" s="1" t="s">
        <v>51</v>
      </c>
      <c r="Z796" s="1" t="s">
        <v>504</v>
      </c>
      <c r="AA796" s="1" t="s">
        <v>505</v>
      </c>
      <c r="AB796" s="1" t="s">
        <v>2513</v>
      </c>
      <c r="AC796" s="1"/>
      <c r="AD796" s="1">
        <v>45485</v>
      </c>
      <c r="AE796" s="1"/>
      <c r="AF796" s="1"/>
      <c r="AG796" s="1" t="s">
        <v>2514</v>
      </c>
      <c r="AH796" s="1" t="s">
        <v>1378</v>
      </c>
      <c r="AI796" s="1" t="s">
        <v>2515</v>
      </c>
      <c r="AJ796" s="31">
        <v>45485</v>
      </c>
      <c r="AK796"/>
      <c r="AL796"/>
      <c r="AM796"/>
      <c r="AN796"/>
      <c r="AO796"/>
      <c r="AP796"/>
    </row>
    <row r="797" spans="1:42" s="81" customFormat="1" hidden="1">
      <c r="A797" s="1" t="s">
        <v>2542</v>
      </c>
      <c r="B797" s="1">
        <v>240709</v>
      </c>
      <c r="C797" s="1"/>
      <c r="D797" s="1" t="s">
        <v>436</v>
      </c>
      <c r="E797" s="1"/>
      <c r="F797"/>
      <c r="G797"/>
      <c r="H797" s="1" t="s">
        <v>2516</v>
      </c>
      <c r="I797" s="1" t="s">
        <v>2517</v>
      </c>
      <c r="J797" s="1" t="s">
        <v>18</v>
      </c>
      <c r="K797" s="1" t="s">
        <v>50</v>
      </c>
      <c r="L797" s="1">
        <v>37040</v>
      </c>
      <c r="M797" s="1">
        <v>24</v>
      </c>
      <c r="N797" s="1">
        <v>1400</v>
      </c>
      <c r="O797" s="1"/>
      <c r="P797" s="1">
        <v>2000</v>
      </c>
      <c r="Q797" s="1" t="s">
        <v>3474</v>
      </c>
      <c r="R797" s="1">
        <v>600</v>
      </c>
      <c r="S797">
        <v>190000</v>
      </c>
      <c r="T797">
        <v>9528</v>
      </c>
      <c r="U797" t="s">
        <v>814</v>
      </c>
      <c r="V797">
        <v>17385</v>
      </c>
      <c r="W797" s="1">
        <v>45827</v>
      </c>
      <c r="X797" s="1" t="s">
        <v>55</v>
      </c>
      <c r="Y797" s="1" t="s">
        <v>51</v>
      </c>
      <c r="Z797" s="1" t="s">
        <v>504</v>
      </c>
      <c r="AA797" s="1" t="s">
        <v>505</v>
      </c>
      <c r="AB797" s="1" t="s">
        <v>2513</v>
      </c>
      <c r="AC797" s="1"/>
      <c r="AD797" s="1">
        <v>45485</v>
      </c>
      <c r="AE797" s="1">
        <v>45814</v>
      </c>
      <c r="AF797" s="1"/>
      <c r="AG797" s="1" t="s">
        <v>2514</v>
      </c>
      <c r="AH797" s="1" t="s">
        <v>1378</v>
      </c>
      <c r="AI797" s="1" t="s">
        <v>2515</v>
      </c>
      <c r="AJ797" s="31">
        <v>45485</v>
      </c>
      <c r="AK797"/>
      <c r="AL797"/>
      <c r="AM797"/>
      <c r="AN797"/>
      <c r="AO797"/>
      <c r="AP797"/>
    </row>
    <row r="798" spans="1:42" s="81" customFormat="1" hidden="1">
      <c r="A798" s="1" t="s">
        <v>49</v>
      </c>
      <c r="B798" s="1">
        <v>240710</v>
      </c>
      <c r="C798" s="1"/>
      <c r="D798" s="1" t="s">
        <v>414</v>
      </c>
      <c r="E798" s="1"/>
      <c r="F798"/>
      <c r="G798"/>
      <c r="H798" s="1" t="s">
        <v>2518</v>
      </c>
      <c r="I798" s="1" t="s">
        <v>2519</v>
      </c>
      <c r="J798" s="1" t="s">
        <v>18</v>
      </c>
      <c r="K798" s="1" t="s">
        <v>50</v>
      </c>
      <c r="L798" s="1">
        <v>33539</v>
      </c>
      <c r="M798" s="1">
        <v>34</v>
      </c>
      <c r="N798" s="1">
        <v>1300</v>
      </c>
      <c r="O798" s="1"/>
      <c r="P798" s="1">
        <v>1650</v>
      </c>
      <c r="Q798" s="1"/>
      <c r="R798" s="1">
        <v>350</v>
      </c>
      <c r="S798">
        <v>300000</v>
      </c>
      <c r="T798">
        <v>15045</v>
      </c>
      <c r="U798" t="s">
        <v>814</v>
      </c>
      <c r="V798">
        <v>27450</v>
      </c>
      <c r="W798" s="1">
        <v>47058</v>
      </c>
      <c r="X798" s="1" t="s">
        <v>55</v>
      </c>
      <c r="Y798" s="1" t="s">
        <v>51</v>
      </c>
      <c r="Z798" s="1" t="s">
        <v>2188</v>
      </c>
      <c r="AA798" s="1" t="s">
        <v>2189</v>
      </c>
      <c r="AB798" s="1" t="s">
        <v>2190</v>
      </c>
      <c r="AC798" s="1"/>
      <c r="AD798" s="1">
        <v>45488</v>
      </c>
      <c r="AE798" s="1"/>
      <c r="AF798" s="1"/>
      <c r="AG798" s="1" t="s">
        <v>2520</v>
      </c>
      <c r="AH798" s="1" t="s">
        <v>3773</v>
      </c>
      <c r="AI798" s="1"/>
      <c r="AJ798" s="31">
        <v>45488</v>
      </c>
      <c r="AK798"/>
      <c r="AL798"/>
      <c r="AM798"/>
      <c r="AN798"/>
      <c r="AO798"/>
      <c r="AP798"/>
    </row>
    <row r="799" spans="1:42" s="81" customFormat="1">
      <c r="A799" s="1" t="s">
        <v>49</v>
      </c>
      <c r="B799" s="1">
        <v>220508</v>
      </c>
      <c r="C799" s="1">
        <v>242045</v>
      </c>
      <c r="D799" s="1" t="s">
        <v>69</v>
      </c>
      <c r="E799" s="1" t="s">
        <v>310</v>
      </c>
      <c r="F799" t="s">
        <v>737</v>
      </c>
      <c r="G799" t="s">
        <v>1093</v>
      </c>
      <c r="H799" s="1" t="s">
        <v>605</v>
      </c>
      <c r="I799" s="1" t="s">
        <v>606</v>
      </c>
      <c r="J799" s="1" t="s">
        <v>18</v>
      </c>
      <c r="K799" s="1" t="s">
        <v>50</v>
      </c>
      <c r="L799" s="1">
        <v>35623</v>
      </c>
      <c r="M799" s="1">
        <v>28</v>
      </c>
      <c r="N799" s="1">
        <v>1310</v>
      </c>
      <c r="O799" s="1"/>
      <c r="P799" s="1">
        <v>1730</v>
      </c>
      <c r="Q799" s="1"/>
      <c r="R799" s="1">
        <v>420</v>
      </c>
      <c r="S799">
        <v>260000</v>
      </c>
      <c r="T799">
        <v>13039</v>
      </c>
      <c r="U799" t="s">
        <v>814</v>
      </c>
      <c r="V799">
        <v>23790</v>
      </c>
      <c r="W799" s="1">
        <v>46549</v>
      </c>
      <c r="X799" s="1" t="s">
        <v>55</v>
      </c>
      <c r="Y799" s="1" t="s">
        <v>51</v>
      </c>
      <c r="Z799" s="1" t="s">
        <v>427</v>
      </c>
      <c r="AA799" s="1" t="s">
        <v>600</v>
      </c>
      <c r="AB799" s="1" t="s">
        <v>601</v>
      </c>
      <c r="AC799" s="1">
        <v>44680</v>
      </c>
      <c r="AD799" s="1">
        <v>44691</v>
      </c>
      <c r="AE799" s="1"/>
      <c r="AF799" s="1"/>
      <c r="AG799" s="1" t="s">
        <v>248</v>
      </c>
      <c r="AH799" s="1" t="s">
        <v>249</v>
      </c>
      <c r="AI799" s="1"/>
      <c r="AJ799" s="31">
        <v>44691</v>
      </c>
      <c r="AK799"/>
      <c r="AL799"/>
      <c r="AM799"/>
      <c r="AN799"/>
      <c r="AO799"/>
      <c r="AP799"/>
    </row>
    <row r="800" spans="1:42" s="81" customFormat="1">
      <c r="A800" s="1" t="s">
        <v>49</v>
      </c>
      <c r="B800" s="1">
        <v>220522</v>
      </c>
      <c r="C800" s="1">
        <v>242047</v>
      </c>
      <c r="D800" s="1" t="s">
        <v>69</v>
      </c>
      <c r="E800" s="1" t="s">
        <v>306</v>
      </c>
      <c r="F800" t="s">
        <v>737</v>
      </c>
      <c r="G800" t="s">
        <v>1093</v>
      </c>
      <c r="H800" s="1" t="s">
        <v>235</v>
      </c>
      <c r="I800" s="1" t="s">
        <v>612</v>
      </c>
      <c r="J800" s="1" t="s">
        <v>18</v>
      </c>
      <c r="K800" s="1" t="s">
        <v>50</v>
      </c>
      <c r="L800" s="1">
        <v>36538</v>
      </c>
      <c r="M800" s="1">
        <v>25</v>
      </c>
      <c r="N800" s="1">
        <v>1310</v>
      </c>
      <c r="O800" s="1"/>
      <c r="P800" s="1">
        <v>1720</v>
      </c>
      <c r="Q800" s="1"/>
      <c r="R800" s="1">
        <v>410</v>
      </c>
      <c r="S800">
        <v>260000</v>
      </c>
      <c r="T800">
        <v>13039</v>
      </c>
      <c r="U800" t="s">
        <v>814</v>
      </c>
      <c r="V800">
        <v>23790</v>
      </c>
      <c r="W800" s="1">
        <v>46552</v>
      </c>
      <c r="X800" s="1" t="s">
        <v>55</v>
      </c>
      <c r="Y800" s="1" t="s">
        <v>51</v>
      </c>
      <c r="Z800" s="1" t="s">
        <v>586</v>
      </c>
      <c r="AA800" s="1" t="s">
        <v>587</v>
      </c>
      <c r="AB800" s="1" t="s">
        <v>588</v>
      </c>
      <c r="AC800" s="1">
        <v>44699</v>
      </c>
      <c r="AD800" s="1">
        <v>44707</v>
      </c>
      <c r="AE800" s="1"/>
      <c r="AF800" s="1"/>
      <c r="AG800" s="1" t="s">
        <v>248</v>
      </c>
      <c r="AH800" s="1" t="s">
        <v>267</v>
      </c>
      <c r="AI800" s="1"/>
      <c r="AJ800" s="31">
        <v>44707</v>
      </c>
      <c r="AK800"/>
      <c r="AL800"/>
      <c r="AM800"/>
      <c r="AN800"/>
      <c r="AO800"/>
      <c r="AP800"/>
    </row>
    <row r="801" spans="1:42" s="81" customFormat="1">
      <c r="A801" s="1" t="s">
        <v>49</v>
      </c>
      <c r="B801" s="1">
        <v>220808</v>
      </c>
      <c r="C801" s="1">
        <v>242053</v>
      </c>
      <c r="D801" s="1" t="s">
        <v>69</v>
      </c>
      <c r="E801" s="1" t="s">
        <v>310</v>
      </c>
      <c r="F801" t="s">
        <v>737</v>
      </c>
      <c r="G801" t="s">
        <v>1093</v>
      </c>
      <c r="H801" s="1" t="s">
        <v>656</v>
      </c>
      <c r="I801" s="1" t="s">
        <v>657</v>
      </c>
      <c r="J801" s="1" t="s">
        <v>18</v>
      </c>
      <c r="K801" s="1" t="s">
        <v>50</v>
      </c>
      <c r="L801" s="1">
        <v>33643</v>
      </c>
      <c r="M801" s="1">
        <v>33</v>
      </c>
      <c r="N801" s="1">
        <v>1420</v>
      </c>
      <c r="O801" s="1"/>
      <c r="P801" s="1">
        <v>1830</v>
      </c>
      <c r="Q801" s="1"/>
      <c r="R801" s="1">
        <v>410</v>
      </c>
      <c r="S801">
        <v>280000</v>
      </c>
      <c r="T801">
        <v>14042</v>
      </c>
      <c r="U801" t="s">
        <v>814</v>
      </c>
      <c r="V801">
        <v>25620</v>
      </c>
      <c r="W801" s="1">
        <v>46668</v>
      </c>
      <c r="X801" s="1" t="s">
        <v>55</v>
      </c>
      <c r="Y801" s="1" t="s">
        <v>51</v>
      </c>
      <c r="Z801" s="1" t="s">
        <v>427</v>
      </c>
      <c r="AA801" s="1" t="s">
        <v>658</v>
      </c>
      <c r="AB801" s="1" t="s">
        <v>848</v>
      </c>
      <c r="AC801" s="1" t="s">
        <v>53</v>
      </c>
      <c r="AD801" s="1">
        <v>44798</v>
      </c>
      <c r="AE801" s="1"/>
      <c r="AF801" s="1"/>
      <c r="AG801" s="1" t="s">
        <v>352</v>
      </c>
      <c r="AH801" s="1" t="s">
        <v>650</v>
      </c>
      <c r="AI801" s="1"/>
      <c r="AJ801" s="31">
        <v>44798</v>
      </c>
      <c r="AK801"/>
      <c r="AL801"/>
      <c r="AM801"/>
      <c r="AN801"/>
      <c r="AO801" t="s">
        <v>4164</v>
      </c>
      <c r="AP801"/>
    </row>
    <row r="802" spans="1:42" s="81" customFormat="1" hidden="1">
      <c r="A802" s="1" t="s">
        <v>2542</v>
      </c>
      <c r="B802" s="1">
        <v>210315</v>
      </c>
      <c r="C802" s="1"/>
      <c r="D802" s="1" t="s">
        <v>464</v>
      </c>
      <c r="E802" s="1" t="s">
        <v>465</v>
      </c>
      <c r="F802"/>
      <c r="G802"/>
      <c r="H802" s="1" t="s">
        <v>2732</v>
      </c>
      <c r="I802" s="1" t="s">
        <v>2733</v>
      </c>
      <c r="J802" s="1" t="s">
        <v>18</v>
      </c>
      <c r="K802" s="1" t="s">
        <v>50</v>
      </c>
      <c r="L802" s="1">
        <v>33176</v>
      </c>
      <c r="M802" s="1">
        <v>35</v>
      </c>
      <c r="N802" s="1">
        <v>1450</v>
      </c>
      <c r="O802" s="1"/>
      <c r="P802" s="1">
        <v>2100</v>
      </c>
      <c r="Q802" s="1"/>
      <c r="R802" s="1">
        <v>650</v>
      </c>
      <c r="S802">
        <v>240000</v>
      </c>
      <c r="T802">
        <v>12036</v>
      </c>
      <c r="U802" t="s">
        <v>814</v>
      </c>
      <c r="V802">
        <v>21960</v>
      </c>
      <c r="W802" s="1">
        <v>46165</v>
      </c>
      <c r="X802" s="1" t="s">
        <v>55</v>
      </c>
      <c r="Y802" s="1" t="s">
        <v>51</v>
      </c>
      <c r="Z802" s="1" t="s">
        <v>489</v>
      </c>
      <c r="AA802" s="1" t="s">
        <v>3779</v>
      </c>
      <c r="AB802" s="1" t="s">
        <v>2902</v>
      </c>
      <c r="AC802" s="1"/>
      <c r="AD802" s="1">
        <v>45505</v>
      </c>
      <c r="AE802" s="1">
        <v>45650</v>
      </c>
      <c r="AF802" s="1"/>
      <c r="AG802" s="1">
        <v>45505</v>
      </c>
      <c r="AH802" s="1" t="s">
        <v>3782</v>
      </c>
      <c r="AI802" s="1"/>
      <c r="AJ802" s="31">
        <v>45505</v>
      </c>
      <c r="AK802"/>
      <c r="AL802"/>
      <c r="AM802"/>
      <c r="AN802"/>
      <c r="AO802"/>
      <c r="AP802"/>
    </row>
    <row r="803" spans="1:42" s="81" customFormat="1" hidden="1">
      <c r="A803" s="1" t="s">
        <v>2542</v>
      </c>
      <c r="B803" s="1">
        <v>240801</v>
      </c>
      <c r="C803" s="1">
        <v>5630</v>
      </c>
      <c r="D803" s="1" t="s">
        <v>846</v>
      </c>
      <c r="E803" s="1" t="s">
        <v>3895</v>
      </c>
      <c r="F803" t="s">
        <v>3896</v>
      </c>
      <c r="G803" t="s">
        <v>1514</v>
      </c>
      <c r="H803" s="1" t="s">
        <v>3780</v>
      </c>
      <c r="I803" s="1" t="s">
        <v>3781</v>
      </c>
      <c r="J803" s="1" t="s">
        <v>18</v>
      </c>
      <c r="K803" s="1" t="s">
        <v>50</v>
      </c>
      <c r="L803" s="1">
        <v>35005</v>
      </c>
      <c r="M803" s="1">
        <v>30</v>
      </c>
      <c r="N803" s="1">
        <v>1300</v>
      </c>
      <c r="O803" s="1"/>
      <c r="P803" s="1">
        <v>1700</v>
      </c>
      <c r="Q803" s="1"/>
      <c r="R803" s="1">
        <v>400</v>
      </c>
      <c r="S803">
        <v>180000</v>
      </c>
      <c r="T803">
        <v>9027</v>
      </c>
      <c r="U803" t="s">
        <v>814</v>
      </c>
      <c r="V803">
        <v>16470</v>
      </c>
      <c r="W803" s="1">
        <v>46457</v>
      </c>
      <c r="X803" s="1" t="s">
        <v>55</v>
      </c>
      <c r="Y803" s="1" t="s">
        <v>51</v>
      </c>
      <c r="Z803" s="1" t="s">
        <v>3796</v>
      </c>
      <c r="AA803" s="1" t="s">
        <v>3797</v>
      </c>
      <c r="AB803" s="1" t="s">
        <v>3798</v>
      </c>
      <c r="AC803" s="1">
        <v>45640</v>
      </c>
      <c r="AD803" s="1">
        <v>45505</v>
      </c>
      <c r="AE803" s="1">
        <v>45877</v>
      </c>
      <c r="AF803" s="1"/>
      <c r="AG803" s="1">
        <v>45505</v>
      </c>
      <c r="AH803" s="1" t="s">
        <v>3782</v>
      </c>
      <c r="AI803" s="1"/>
      <c r="AJ803" s="31">
        <v>45505</v>
      </c>
      <c r="AK803"/>
      <c r="AL803"/>
      <c r="AM803"/>
      <c r="AN803"/>
      <c r="AO803"/>
      <c r="AP803"/>
    </row>
    <row r="804" spans="1:42" s="81" customFormat="1" hidden="1">
      <c r="A804" s="1" t="s">
        <v>2542</v>
      </c>
      <c r="B804" s="1">
        <v>240802</v>
      </c>
      <c r="C804" s="1">
        <v>242109</v>
      </c>
      <c r="D804" s="1" t="s">
        <v>69</v>
      </c>
      <c r="E804" s="1" t="s">
        <v>306</v>
      </c>
      <c r="F804" t="s">
        <v>742</v>
      </c>
      <c r="G804" t="s">
        <v>317</v>
      </c>
      <c r="H804" s="1" t="s">
        <v>2475</v>
      </c>
      <c r="I804" s="1" t="s">
        <v>3783</v>
      </c>
      <c r="J804" s="1" t="s">
        <v>18</v>
      </c>
      <c r="K804" s="1" t="s">
        <v>50</v>
      </c>
      <c r="L804" s="1">
        <v>36172</v>
      </c>
      <c r="M804" s="1">
        <v>26</v>
      </c>
      <c r="N804" s="1">
        <v>1200</v>
      </c>
      <c r="O804" s="1"/>
      <c r="P804" s="1">
        <v>1650</v>
      </c>
      <c r="Q804" s="1"/>
      <c r="R804" s="1">
        <v>450</v>
      </c>
      <c r="S804">
        <v>170000</v>
      </c>
      <c r="T804">
        <v>8525</v>
      </c>
      <c r="U804" t="s">
        <v>814</v>
      </c>
      <c r="V804">
        <v>15555</v>
      </c>
      <c r="W804" s="1">
        <v>45863</v>
      </c>
      <c r="X804" s="1" t="s">
        <v>55</v>
      </c>
      <c r="Y804" s="1" t="s">
        <v>51</v>
      </c>
      <c r="Z804" s="1" t="s">
        <v>586</v>
      </c>
      <c r="AA804" s="1" t="s">
        <v>1596</v>
      </c>
      <c r="AB804" s="1" t="s">
        <v>588</v>
      </c>
      <c r="AC804" s="1"/>
      <c r="AD804" s="1">
        <v>45505</v>
      </c>
      <c r="AE804" s="1">
        <v>45630</v>
      </c>
      <c r="AF804" s="1"/>
      <c r="AG804" s="1">
        <v>45505</v>
      </c>
      <c r="AH804" s="1" t="s">
        <v>355</v>
      </c>
      <c r="AI804" s="1"/>
      <c r="AJ804" s="31">
        <v>45505</v>
      </c>
      <c r="AK804"/>
      <c r="AL804"/>
      <c r="AM804"/>
      <c r="AN804"/>
      <c r="AO804"/>
      <c r="AP804"/>
    </row>
    <row r="805" spans="1:42" s="81" customFormat="1">
      <c r="A805" s="1" t="s">
        <v>49</v>
      </c>
      <c r="B805" s="1">
        <v>230503</v>
      </c>
      <c r="C805" s="1">
        <v>242065</v>
      </c>
      <c r="D805" s="1" t="s">
        <v>69</v>
      </c>
      <c r="E805" s="1" t="s">
        <v>310</v>
      </c>
      <c r="F805" t="s">
        <v>737</v>
      </c>
      <c r="G805" t="s">
        <v>1093</v>
      </c>
      <c r="H805" s="1" t="s">
        <v>1135</v>
      </c>
      <c r="I805" s="1" t="s">
        <v>1136</v>
      </c>
      <c r="J805" s="1" t="s">
        <v>18</v>
      </c>
      <c r="K805" s="1" t="s">
        <v>50</v>
      </c>
      <c r="L805" s="1">
        <v>36708</v>
      </c>
      <c r="M805" s="1">
        <v>25</v>
      </c>
      <c r="N805" s="1">
        <v>1310</v>
      </c>
      <c r="O805" s="1"/>
      <c r="P805" s="1">
        <v>1680</v>
      </c>
      <c r="Q805" s="1"/>
      <c r="R805" s="1">
        <v>370</v>
      </c>
      <c r="S805">
        <v>260000</v>
      </c>
      <c r="T805">
        <v>13039</v>
      </c>
      <c r="U805" t="s">
        <v>814</v>
      </c>
      <c r="V805">
        <v>23790</v>
      </c>
      <c r="W805" s="1">
        <v>46184</v>
      </c>
      <c r="X805" s="1" t="s">
        <v>55</v>
      </c>
      <c r="Y805" s="1" t="s">
        <v>51</v>
      </c>
      <c r="Z805" s="1" t="s">
        <v>485</v>
      </c>
      <c r="AA805" s="1" t="s">
        <v>1133</v>
      </c>
      <c r="AB805" s="1" t="s">
        <v>1134</v>
      </c>
      <c r="AC805" s="1">
        <v>45056</v>
      </c>
      <c r="AD805" s="1">
        <v>45061</v>
      </c>
      <c r="AE805" s="1"/>
      <c r="AF805" s="1"/>
      <c r="AG805" s="1" t="s">
        <v>1126</v>
      </c>
      <c r="AH805" s="1" t="s">
        <v>1130</v>
      </c>
      <c r="AI805" s="1"/>
      <c r="AJ805" s="31">
        <v>45061</v>
      </c>
      <c r="AK805"/>
      <c r="AL805"/>
      <c r="AM805"/>
      <c r="AN805"/>
      <c r="AO805"/>
      <c r="AP805"/>
    </row>
    <row r="806" spans="1:42" s="81" customFormat="1">
      <c r="A806" s="1" t="s">
        <v>49</v>
      </c>
      <c r="B806" s="1">
        <v>231116</v>
      </c>
      <c r="C806" s="1">
        <v>242084</v>
      </c>
      <c r="D806" s="1" t="s">
        <v>69</v>
      </c>
      <c r="E806" s="1" t="s">
        <v>310</v>
      </c>
      <c r="F806" t="s">
        <v>737</v>
      </c>
      <c r="G806" t="s">
        <v>1093</v>
      </c>
      <c r="H806" s="1" t="s">
        <v>1606</v>
      </c>
      <c r="I806" s="1" t="s">
        <v>1607</v>
      </c>
      <c r="J806" s="1" t="s">
        <v>18</v>
      </c>
      <c r="K806" s="1" t="s">
        <v>50</v>
      </c>
      <c r="L806" s="1">
        <v>35182</v>
      </c>
      <c r="M806" s="1">
        <v>29</v>
      </c>
      <c r="N806" s="1">
        <v>1310</v>
      </c>
      <c r="O806" s="1"/>
      <c r="P806" s="1">
        <v>1710</v>
      </c>
      <c r="Q806" s="1"/>
      <c r="R806" s="1">
        <v>400</v>
      </c>
      <c r="S806">
        <v>260000</v>
      </c>
      <c r="T806">
        <v>13039</v>
      </c>
      <c r="U806" t="s">
        <v>814</v>
      </c>
      <c r="V806">
        <v>23790</v>
      </c>
      <c r="W806" s="1">
        <v>47072</v>
      </c>
      <c r="X806" s="1" t="s">
        <v>55</v>
      </c>
      <c r="Y806" s="1" t="s">
        <v>51</v>
      </c>
      <c r="Z806" s="1" t="s">
        <v>470</v>
      </c>
      <c r="AA806" s="1" t="s">
        <v>1707</v>
      </c>
      <c r="AB806" s="1" t="s">
        <v>1710</v>
      </c>
      <c r="AC806" s="1">
        <v>45245</v>
      </c>
      <c r="AD806" s="1">
        <v>45251</v>
      </c>
      <c r="AE806" s="1"/>
      <c r="AF806" s="1"/>
      <c r="AG806" s="1" t="s">
        <v>1709</v>
      </c>
      <c r="AH806" s="1" t="s">
        <v>874</v>
      </c>
      <c r="AI806" s="1"/>
      <c r="AJ806" s="31">
        <v>45251</v>
      </c>
      <c r="AK806"/>
      <c r="AL806"/>
      <c r="AM806"/>
      <c r="AN806"/>
      <c r="AO806" t="s">
        <v>4164</v>
      </c>
      <c r="AP806"/>
    </row>
    <row r="807" spans="1:42" s="81" customFormat="1" hidden="1">
      <c r="A807" s="1" t="s">
        <v>49</v>
      </c>
      <c r="B807" s="1">
        <v>240805</v>
      </c>
      <c r="C807" s="1">
        <v>5629</v>
      </c>
      <c r="D807" s="1" t="s">
        <v>846</v>
      </c>
      <c r="E807" s="1" t="s">
        <v>1232</v>
      </c>
      <c r="F807" t="s">
        <v>3489</v>
      </c>
      <c r="G807" t="s">
        <v>1514</v>
      </c>
      <c r="H807" s="1" t="s">
        <v>3786</v>
      </c>
      <c r="I807" s="1" t="s">
        <v>3787</v>
      </c>
      <c r="J807" s="1" t="s">
        <v>18</v>
      </c>
      <c r="K807" s="1" t="s">
        <v>50</v>
      </c>
      <c r="L807" s="1">
        <v>33197</v>
      </c>
      <c r="M807" s="1">
        <v>35</v>
      </c>
      <c r="N807" s="1">
        <v>1300</v>
      </c>
      <c r="O807" s="1"/>
      <c r="P807" s="1">
        <v>1700</v>
      </c>
      <c r="Q807" s="1"/>
      <c r="R807" s="1">
        <v>400</v>
      </c>
      <c r="S807">
        <v>280000</v>
      </c>
      <c r="T807">
        <v>14042</v>
      </c>
      <c r="U807" t="s">
        <v>814</v>
      </c>
      <c r="V807">
        <v>25620</v>
      </c>
      <c r="W807" s="1">
        <v>46990</v>
      </c>
      <c r="X807" s="1" t="s">
        <v>55</v>
      </c>
      <c r="Y807" s="1" t="s">
        <v>51</v>
      </c>
      <c r="Z807" s="1" t="s">
        <v>893</v>
      </c>
      <c r="AA807" s="1" t="s">
        <v>3788</v>
      </c>
      <c r="AB807" s="1" t="s">
        <v>3789</v>
      </c>
      <c r="AC807" s="1" t="s">
        <v>53</v>
      </c>
      <c r="AD807" s="1">
        <v>45509</v>
      </c>
      <c r="AE807" s="1"/>
      <c r="AF807" s="1"/>
      <c r="AG807" s="1">
        <v>45509</v>
      </c>
      <c r="AH807" s="1" t="s">
        <v>3790</v>
      </c>
      <c r="AI807" s="1"/>
      <c r="AJ807" s="31">
        <v>45509</v>
      </c>
      <c r="AK807"/>
      <c r="AL807"/>
      <c r="AM807"/>
      <c r="AN807"/>
      <c r="AO807"/>
      <c r="AP807"/>
    </row>
    <row r="808" spans="1:42" s="81" customFormat="1" hidden="1">
      <c r="A808" s="1" t="s">
        <v>2542</v>
      </c>
      <c r="B808" s="1">
        <v>210906</v>
      </c>
      <c r="C808" s="1">
        <v>5632</v>
      </c>
      <c r="D808" s="1" t="s">
        <v>846</v>
      </c>
      <c r="E808" s="1" t="s">
        <v>1234</v>
      </c>
      <c r="F808" t="s">
        <v>1584</v>
      </c>
      <c r="G808" t="s">
        <v>1068</v>
      </c>
      <c r="H808" s="1" t="s">
        <v>2995</v>
      </c>
      <c r="I808" s="1" t="s">
        <v>2996</v>
      </c>
      <c r="J808" s="1" t="s">
        <v>18</v>
      </c>
      <c r="K808" s="1" t="s">
        <v>50</v>
      </c>
      <c r="L808" s="1">
        <v>32441</v>
      </c>
      <c r="M808" s="1">
        <v>37</v>
      </c>
      <c r="N808" s="1">
        <v>1300</v>
      </c>
      <c r="O808" s="1"/>
      <c r="P808" s="1">
        <v>1700</v>
      </c>
      <c r="Q808" s="1"/>
      <c r="R808" s="1">
        <v>400</v>
      </c>
      <c r="S808">
        <v>180000</v>
      </c>
      <c r="T808">
        <v>9027</v>
      </c>
      <c r="U808" t="s">
        <v>814</v>
      </c>
      <c r="V808">
        <v>16470</v>
      </c>
      <c r="W808" s="1">
        <v>45838</v>
      </c>
      <c r="X808" s="1" t="s">
        <v>55</v>
      </c>
      <c r="Y808" s="1" t="s">
        <v>51</v>
      </c>
      <c r="Z808" s="1" t="s">
        <v>3791</v>
      </c>
      <c r="AA808" s="1" t="s">
        <v>3792</v>
      </c>
      <c r="AB808" s="1" t="s">
        <v>3793</v>
      </c>
      <c r="AC808" s="1"/>
      <c r="AD808" s="1">
        <v>45510</v>
      </c>
      <c r="AE808" s="1">
        <v>45562</v>
      </c>
      <c r="AF808" s="1"/>
      <c r="AG808" s="1">
        <v>45510</v>
      </c>
      <c r="AH808" s="1" t="s">
        <v>3790</v>
      </c>
      <c r="AI808" s="1"/>
      <c r="AJ808" s="31">
        <v>45510</v>
      </c>
      <c r="AK808"/>
      <c r="AL808"/>
      <c r="AM808"/>
      <c r="AN808"/>
      <c r="AO808"/>
      <c r="AP808"/>
    </row>
    <row r="809" spans="1:42" s="81" customFormat="1" hidden="1">
      <c r="A809" s="1" t="s">
        <v>2542</v>
      </c>
      <c r="B809" s="1">
        <v>240806</v>
      </c>
      <c r="C809" s="1">
        <v>5634</v>
      </c>
      <c r="D809" s="1" t="s">
        <v>846</v>
      </c>
      <c r="E809" s="1" t="s">
        <v>1232</v>
      </c>
      <c r="F809" t="s">
        <v>1237</v>
      </c>
      <c r="G809"/>
      <c r="H809" s="1" t="s">
        <v>3794</v>
      </c>
      <c r="I809" s="1" t="s">
        <v>3795</v>
      </c>
      <c r="J809" s="1" t="s">
        <v>18</v>
      </c>
      <c r="K809" s="1" t="s">
        <v>50</v>
      </c>
      <c r="L809" s="1">
        <v>34573</v>
      </c>
      <c r="M809" s="1">
        <v>31</v>
      </c>
      <c r="N809" s="1">
        <v>1300</v>
      </c>
      <c r="O809" s="1"/>
      <c r="P809" s="1">
        <v>1700</v>
      </c>
      <c r="Q809" s="1"/>
      <c r="R809" s="1">
        <v>400</v>
      </c>
      <c r="S809">
        <v>0</v>
      </c>
      <c r="T809" t="s">
        <v>55</v>
      </c>
      <c r="U809" t="s">
        <v>814</v>
      </c>
      <c r="V809">
        <v>0</v>
      </c>
      <c r="W809" s="1">
        <v>46381</v>
      </c>
      <c r="X809" s="1" t="s">
        <v>55</v>
      </c>
      <c r="Y809" s="1" t="s">
        <v>51</v>
      </c>
      <c r="Z809" s="1" t="s">
        <v>3796</v>
      </c>
      <c r="AA809" s="1" t="s">
        <v>3797</v>
      </c>
      <c r="AB809" s="1" t="s">
        <v>3798</v>
      </c>
      <c r="AC809" s="1"/>
      <c r="AD809" s="1">
        <v>45510</v>
      </c>
      <c r="AE809" s="1">
        <v>45555</v>
      </c>
      <c r="AF809" s="1"/>
      <c r="AG809" s="1"/>
      <c r="AH809" s="1" t="s">
        <v>3790</v>
      </c>
      <c r="AI809" s="1"/>
      <c r="AJ809" s="31">
        <v>45510</v>
      </c>
      <c r="AK809"/>
      <c r="AL809"/>
      <c r="AM809"/>
      <c r="AN809"/>
      <c r="AO809"/>
      <c r="AP809"/>
    </row>
    <row r="810" spans="1:42" s="81" customFormat="1" hidden="1">
      <c r="A810" s="1" t="s">
        <v>49</v>
      </c>
      <c r="B810" s="1">
        <v>240807</v>
      </c>
      <c r="C810" s="1"/>
      <c r="D810" s="1" t="s">
        <v>436</v>
      </c>
      <c r="E810" s="1" t="s">
        <v>4362</v>
      </c>
      <c r="F810" t="s">
        <v>4363</v>
      </c>
      <c r="G810" t="s">
        <v>4364</v>
      </c>
      <c r="H810" s="1" t="s">
        <v>3799</v>
      </c>
      <c r="I810" s="1" t="s">
        <v>3800</v>
      </c>
      <c r="J810" s="1" t="s">
        <v>18</v>
      </c>
      <c r="K810" s="1" t="s">
        <v>50</v>
      </c>
      <c r="L810" s="1">
        <v>36969</v>
      </c>
      <c r="M810" s="1">
        <v>24</v>
      </c>
      <c r="N810" s="1">
        <v>1400</v>
      </c>
      <c r="O810" s="1"/>
      <c r="P810" s="1">
        <v>2000</v>
      </c>
      <c r="Q810" s="1" t="s">
        <v>3474</v>
      </c>
      <c r="R810" s="1">
        <v>600</v>
      </c>
      <c r="S810">
        <v>320000</v>
      </c>
      <c r="T810">
        <v>16048</v>
      </c>
      <c r="U810" t="s">
        <v>814</v>
      </c>
      <c r="V810">
        <v>29280</v>
      </c>
      <c r="W810" s="1">
        <v>46964</v>
      </c>
      <c r="X810" s="1" t="s">
        <v>55</v>
      </c>
      <c r="Y810" s="1" t="s">
        <v>51</v>
      </c>
      <c r="Z810" s="1" t="s">
        <v>504</v>
      </c>
      <c r="AA810" s="1" t="s">
        <v>505</v>
      </c>
      <c r="AB810" s="1" t="s">
        <v>516</v>
      </c>
      <c r="AC810" s="1"/>
      <c r="AD810" s="1">
        <v>45510</v>
      </c>
      <c r="AE810" s="1"/>
      <c r="AF810" s="1"/>
      <c r="AG810" s="1">
        <v>45510</v>
      </c>
      <c r="AH810" s="1" t="s">
        <v>3790</v>
      </c>
      <c r="AI810" s="1"/>
      <c r="AJ810" s="31">
        <v>45510</v>
      </c>
      <c r="AK810"/>
      <c r="AL810"/>
      <c r="AM810"/>
      <c r="AN810"/>
      <c r="AO810"/>
      <c r="AP810"/>
    </row>
    <row r="811" spans="1:42" s="81" customFormat="1" hidden="1">
      <c r="A811" s="1" t="s">
        <v>2542</v>
      </c>
      <c r="B811" s="1">
        <v>240808</v>
      </c>
      <c r="C811" s="1"/>
      <c r="D811" s="1" t="s">
        <v>436</v>
      </c>
      <c r="E811" s="1"/>
      <c r="F811"/>
      <c r="G811"/>
      <c r="H811" s="1" t="s">
        <v>3801</v>
      </c>
      <c r="I811" s="1" t="s">
        <v>3802</v>
      </c>
      <c r="J811" s="1" t="s">
        <v>18</v>
      </c>
      <c r="K811" s="1" t="s">
        <v>50</v>
      </c>
      <c r="L811" s="1">
        <v>37028</v>
      </c>
      <c r="M811" s="1">
        <v>24</v>
      </c>
      <c r="N811" s="1">
        <v>1400</v>
      </c>
      <c r="O811" s="1"/>
      <c r="P811" s="1">
        <v>2000</v>
      </c>
      <c r="Q811" s="1" t="s">
        <v>3474</v>
      </c>
      <c r="R811" s="1">
        <v>600</v>
      </c>
      <c r="S811">
        <v>190000</v>
      </c>
      <c r="T811">
        <v>9528</v>
      </c>
      <c r="U811" t="s">
        <v>814</v>
      </c>
      <c r="V811">
        <v>17385</v>
      </c>
      <c r="W811" s="1">
        <v>45868</v>
      </c>
      <c r="X811" s="1" t="s">
        <v>55</v>
      </c>
      <c r="Y811" s="1" t="s">
        <v>51</v>
      </c>
      <c r="Z811" s="1" t="s">
        <v>504</v>
      </c>
      <c r="AA811" s="1" t="s">
        <v>505</v>
      </c>
      <c r="AB811" s="1" t="s">
        <v>518</v>
      </c>
      <c r="AC811" s="1"/>
      <c r="AD811" s="1">
        <v>45510</v>
      </c>
      <c r="AE811" s="1">
        <v>45807</v>
      </c>
      <c r="AF811" s="1"/>
      <c r="AG811" s="1">
        <v>45510</v>
      </c>
      <c r="AH811" s="1" t="s">
        <v>3790</v>
      </c>
      <c r="AI811" s="1"/>
      <c r="AJ811" s="31">
        <v>45510</v>
      </c>
      <c r="AK811"/>
      <c r="AL811"/>
      <c r="AM811"/>
      <c r="AN811"/>
      <c r="AO811"/>
      <c r="AP811"/>
    </row>
    <row r="812" spans="1:42" s="81" customFormat="1" hidden="1">
      <c r="A812" s="1" t="s">
        <v>49</v>
      </c>
      <c r="B812" s="1">
        <v>240809</v>
      </c>
      <c r="C812" s="1"/>
      <c r="D812" s="1" t="s">
        <v>436</v>
      </c>
      <c r="E812" s="1" t="s">
        <v>4362</v>
      </c>
      <c r="F812" t="s">
        <v>4386</v>
      </c>
      <c r="G812" t="s">
        <v>4364</v>
      </c>
      <c r="H812" s="1" t="s">
        <v>3803</v>
      </c>
      <c r="I812" s="1" t="s">
        <v>3804</v>
      </c>
      <c r="J812" s="1" t="s">
        <v>18</v>
      </c>
      <c r="K812" s="1" t="s">
        <v>50</v>
      </c>
      <c r="L812" s="1">
        <v>33526</v>
      </c>
      <c r="M812" s="1">
        <v>34</v>
      </c>
      <c r="N812" s="1">
        <v>1500</v>
      </c>
      <c r="O812" s="1"/>
      <c r="P812" s="1">
        <v>2000</v>
      </c>
      <c r="Q812" s="1" t="s">
        <v>3474</v>
      </c>
      <c r="R812" s="1">
        <v>500</v>
      </c>
      <c r="S812">
        <v>360000</v>
      </c>
      <c r="T812">
        <v>18054</v>
      </c>
      <c r="U812" t="s">
        <v>814</v>
      </c>
      <c r="V812">
        <v>32940</v>
      </c>
      <c r="W812" s="1">
        <v>45856</v>
      </c>
      <c r="X812" s="1"/>
      <c r="Y812" s="1" t="s">
        <v>51</v>
      </c>
      <c r="Z812" s="1" t="s">
        <v>437</v>
      </c>
      <c r="AA812" s="1" t="s">
        <v>438</v>
      </c>
      <c r="AB812" s="1" t="s">
        <v>439</v>
      </c>
      <c r="AC812" s="1">
        <v>45505</v>
      </c>
      <c r="AD812" s="1">
        <v>45510</v>
      </c>
      <c r="AE812" s="1"/>
      <c r="AF812" s="1"/>
      <c r="AG812" s="1">
        <v>45510</v>
      </c>
      <c r="AH812" s="1" t="s">
        <v>3777</v>
      </c>
      <c r="AI812" s="1" t="s">
        <v>2009</v>
      </c>
      <c r="AJ812" s="31">
        <v>45510</v>
      </c>
      <c r="AK812"/>
      <c r="AL812"/>
      <c r="AM812"/>
      <c r="AN812"/>
      <c r="AO812"/>
      <c r="AP812"/>
    </row>
    <row r="813" spans="1:42" s="81" customFormat="1" hidden="1">
      <c r="A813" s="1" t="s">
        <v>49</v>
      </c>
      <c r="B813" s="1">
        <v>240810</v>
      </c>
      <c r="C813" s="1">
        <v>8210135</v>
      </c>
      <c r="D813" s="1" t="s">
        <v>818</v>
      </c>
      <c r="E813" s="1" t="s">
        <v>834</v>
      </c>
      <c r="F813" t="s">
        <v>834</v>
      </c>
      <c r="G813"/>
      <c r="H813" s="1" t="s">
        <v>3805</v>
      </c>
      <c r="I813" s="1" t="s">
        <v>3806</v>
      </c>
      <c r="J813" s="1" t="s">
        <v>18</v>
      </c>
      <c r="K813" s="1" t="s">
        <v>50</v>
      </c>
      <c r="L813" s="1">
        <v>32353</v>
      </c>
      <c r="M813" s="1">
        <v>37</v>
      </c>
      <c r="N813" s="1">
        <v>1500</v>
      </c>
      <c r="O813" s="1"/>
      <c r="P813" s="1">
        <v>2150</v>
      </c>
      <c r="Q813" s="1" t="s">
        <v>3474</v>
      </c>
      <c r="R813" s="1">
        <v>650</v>
      </c>
      <c r="S813">
        <v>360000</v>
      </c>
      <c r="T813">
        <v>18054</v>
      </c>
      <c r="U813" t="s">
        <v>814</v>
      </c>
      <c r="V813">
        <v>32940</v>
      </c>
      <c r="W813" s="1">
        <v>45856</v>
      </c>
      <c r="X813" s="1"/>
      <c r="Y813" s="1" t="s">
        <v>51</v>
      </c>
      <c r="Z813" s="1" t="s">
        <v>982</v>
      </c>
      <c r="AA813" s="1" t="s">
        <v>983</v>
      </c>
      <c r="AB813" s="1" t="s">
        <v>1201</v>
      </c>
      <c r="AC813" s="1"/>
      <c r="AD813" s="1">
        <v>45510</v>
      </c>
      <c r="AE813" s="1"/>
      <c r="AF813" s="1"/>
      <c r="AG813" s="1">
        <v>45510</v>
      </c>
      <c r="AH813" s="1" t="s">
        <v>4279</v>
      </c>
      <c r="AI813" s="1" t="s">
        <v>4280</v>
      </c>
      <c r="AJ813" s="31">
        <v>45510</v>
      </c>
      <c r="AK813"/>
      <c r="AL813"/>
      <c r="AM813"/>
      <c r="AN813"/>
      <c r="AO813"/>
      <c r="AP813"/>
    </row>
    <row r="814" spans="1:42" s="81" customFormat="1" hidden="1">
      <c r="A814" s="1" t="s">
        <v>49</v>
      </c>
      <c r="B814" s="1">
        <v>240811</v>
      </c>
      <c r="C814" s="1">
        <v>5635</v>
      </c>
      <c r="D814" s="1" t="s">
        <v>846</v>
      </c>
      <c r="E814" s="1" t="s">
        <v>1234</v>
      </c>
      <c r="F814" t="s">
        <v>1583</v>
      </c>
      <c r="G814" t="s">
        <v>1514</v>
      </c>
      <c r="H814" s="1" t="s">
        <v>3807</v>
      </c>
      <c r="I814" s="1" t="s">
        <v>3808</v>
      </c>
      <c r="J814" s="1" t="s">
        <v>18</v>
      </c>
      <c r="K814" s="1" t="s">
        <v>50</v>
      </c>
      <c r="L814" s="1">
        <v>32633</v>
      </c>
      <c r="M814" s="1">
        <v>36</v>
      </c>
      <c r="N814" s="1">
        <v>1300</v>
      </c>
      <c r="O814" s="1"/>
      <c r="P814" s="1">
        <v>1700</v>
      </c>
      <c r="Q814" s="1"/>
      <c r="R814" s="1">
        <v>400</v>
      </c>
      <c r="S814">
        <v>280000</v>
      </c>
      <c r="T814">
        <v>14042</v>
      </c>
      <c r="U814" t="s">
        <v>814</v>
      </c>
      <c r="V814">
        <v>25620</v>
      </c>
      <c r="W814" s="1">
        <v>46170</v>
      </c>
      <c r="X814" s="1" t="s">
        <v>55</v>
      </c>
      <c r="Y814" s="1" t="s">
        <v>51</v>
      </c>
      <c r="Z814" s="1" t="s">
        <v>3809</v>
      </c>
      <c r="AA814" s="1" t="s">
        <v>3810</v>
      </c>
      <c r="AB814" s="1" t="s">
        <v>3811</v>
      </c>
      <c r="AC814" s="1" t="s">
        <v>53</v>
      </c>
      <c r="AD814" s="1">
        <v>45512</v>
      </c>
      <c r="AE814" s="1"/>
      <c r="AF814" s="1"/>
      <c r="AG814" s="1">
        <v>45512</v>
      </c>
      <c r="AH814" s="1" t="s">
        <v>3812</v>
      </c>
      <c r="AI814" s="1"/>
      <c r="AJ814" s="31">
        <v>45512</v>
      </c>
      <c r="AK814"/>
      <c r="AL814"/>
      <c r="AM814"/>
      <c r="AN814"/>
      <c r="AO814"/>
      <c r="AP814"/>
    </row>
    <row r="815" spans="1:42" s="81" customFormat="1" hidden="1">
      <c r="A815" s="1" t="s">
        <v>2542</v>
      </c>
      <c r="B815" s="1">
        <v>210108</v>
      </c>
      <c r="C815" s="1">
        <v>8210104</v>
      </c>
      <c r="D815" s="1" t="s">
        <v>818</v>
      </c>
      <c r="E815" s="1" t="s">
        <v>819</v>
      </c>
      <c r="F815" t="s">
        <v>819</v>
      </c>
      <c r="G815"/>
      <c r="H815" s="1" t="s">
        <v>2632</v>
      </c>
      <c r="I815" s="1" t="s">
        <v>2633</v>
      </c>
      <c r="J815" s="1" t="s">
        <v>18</v>
      </c>
      <c r="K815" s="1" t="s">
        <v>50</v>
      </c>
      <c r="L815" s="1">
        <v>33896</v>
      </c>
      <c r="M815" s="1">
        <v>33</v>
      </c>
      <c r="N815" s="1">
        <v>1450</v>
      </c>
      <c r="O815" s="1"/>
      <c r="P815" s="1">
        <v>2020</v>
      </c>
      <c r="Q815" s="1"/>
      <c r="R815" s="1">
        <v>570</v>
      </c>
      <c r="S815">
        <v>200000</v>
      </c>
      <c r="T815">
        <v>10030</v>
      </c>
      <c r="U815" t="s">
        <v>814</v>
      </c>
      <c r="V815">
        <v>18300</v>
      </c>
      <c r="W815" s="1">
        <v>47267</v>
      </c>
      <c r="X815" s="1" t="s">
        <v>55</v>
      </c>
      <c r="Y815" s="1" t="s">
        <v>51</v>
      </c>
      <c r="Z815" s="1" t="s">
        <v>529</v>
      </c>
      <c r="AA815" s="1" t="s">
        <v>3813</v>
      </c>
      <c r="AB815" s="1" t="s">
        <v>2442</v>
      </c>
      <c r="AC815" s="1"/>
      <c r="AD815" s="1">
        <v>45523</v>
      </c>
      <c r="AE815" s="1">
        <v>45652</v>
      </c>
      <c r="AF815" s="1"/>
      <c r="AG815" s="1">
        <v>45523</v>
      </c>
      <c r="AH815" s="1" t="s">
        <v>3782</v>
      </c>
      <c r="AI815" s="1"/>
      <c r="AJ815" s="31">
        <v>45523</v>
      </c>
      <c r="AK815" t="s">
        <v>2470</v>
      </c>
      <c r="AL815">
        <v>46345</v>
      </c>
      <c r="AM815" t="s">
        <v>2468</v>
      </c>
      <c r="AN815">
        <v>46366</v>
      </c>
      <c r="AO815"/>
      <c r="AP815"/>
    </row>
    <row r="816" spans="1:42" s="81" customFormat="1" hidden="1">
      <c r="A816" s="1" t="s">
        <v>2542</v>
      </c>
      <c r="B816" s="1">
        <v>240812</v>
      </c>
      <c r="C816" s="1"/>
      <c r="D816" s="1" t="s">
        <v>436</v>
      </c>
      <c r="E816" s="1" t="s">
        <v>4362</v>
      </c>
      <c r="F816" t="s">
        <v>4386</v>
      </c>
      <c r="G816" t="s">
        <v>4364</v>
      </c>
      <c r="H816" s="1" t="s">
        <v>3814</v>
      </c>
      <c r="I816" s="1" t="s">
        <v>3815</v>
      </c>
      <c r="J816" s="1" t="s">
        <v>18</v>
      </c>
      <c r="K816" s="1" t="s">
        <v>50</v>
      </c>
      <c r="L816" s="1">
        <v>34939</v>
      </c>
      <c r="M816" s="1">
        <v>30</v>
      </c>
      <c r="N816" s="1">
        <v>1500</v>
      </c>
      <c r="O816" s="1"/>
      <c r="P816" s="1">
        <v>2000</v>
      </c>
      <c r="Q816" s="1" t="s">
        <v>3474</v>
      </c>
      <c r="R816" s="1">
        <v>500</v>
      </c>
      <c r="S816">
        <v>360000</v>
      </c>
      <c r="T816">
        <v>18054</v>
      </c>
      <c r="U816" t="s">
        <v>814</v>
      </c>
      <c r="V816">
        <v>32940</v>
      </c>
      <c r="W816" s="1">
        <v>45621</v>
      </c>
      <c r="X816" s="1"/>
      <c r="Y816" s="1" t="s">
        <v>51</v>
      </c>
      <c r="Z816" s="1" t="s">
        <v>504</v>
      </c>
      <c r="AA816" s="1" t="s">
        <v>505</v>
      </c>
      <c r="AB816" s="1" t="s">
        <v>2503</v>
      </c>
      <c r="AC816" s="1"/>
      <c r="AD816" s="1">
        <v>45524</v>
      </c>
      <c r="AE816" s="1">
        <v>45983</v>
      </c>
      <c r="AF816" s="1"/>
      <c r="AG816" s="1">
        <v>45524</v>
      </c>
      <c r="AH816" s="1" t="s">
        <v>3782</v>
      </c>
      <c r="AI816" s="1"/>
      <c r="AJ816" s="31">
        <v>45524</v>
      </c>
      <c r="AK816"/>
      <c r="AL816"/>
      <c r="AM816"/>
      <c r="AN816"/>
      <c r="AO816"/>
      <c r="AP816"/>
    </row>
    <row r="817" spans="1:42" s="81" customFormat="1" hidden="1">
      <c r="A817" s="1" t="s">
        <v>2542</v>
      </c>
      <c r="B817" s="1">
        <v>220506</v>
      </c>
      <c r="C817" s="1">
        <v>242044</v>
      </c>
      <c r="D817" s="1" t="s">
        <v>846</v>
      </c>
      <c r="E817" s="1" t="s">
        <v>310</v>
      </c>
      <c r="F817" t="s">
        <v>1587</v>
      </c>
      <c r="G817" t="s">
        <v>1093</v>
      </c>
      <c r="H817" s="1" t="s">
        <v>603</v>
      </c>
      <c r="I817" s="1" t="s">
        <v>604</v>
      </c>
      <c r="J817" s="1" t="s">
        <v>18</v>
      </c>
      <c r="K817" s="1" t="s">
        <v>50</v>
      </c>
      <c r="L817" s="1">
        <v>35364</v>
      </c>
      <c r="M817" s="1">
        <v>29</v>
      </c>
      <c r="N817" s="1">
        <v>1300</v>
      </c>
      <c r="O817" s="1"/>
      <c r="P817" s="1">
        <v>1700</v>
      </c>
      <c r="Q817" s="1"/>
      <c r="R817" s="1">
        <v>400</v>
      </c>
      <c r="S817">
        <v>180000</v>
      </c>
      <c r="T817">
        <v>9027</v>
      </c>
      <c r="U817" t="s">
        <v>814</v>
      </c>
      <c r="V817">
        <v>16470</v>
      </c>
      <c r="W817" s="1">
        <v>46549</v>
      </c>
      <c r="X817" s="1" t="s">
        <v>55</v>
      </c>
      <c r="Y817" s="1" t="s">
        <v>51</v>
      </c>
      <c r="Z817" s="1" t="s">
        <v>3796</v>
      </c>
      <c r="AA817" s="1" t="s">
        <v>3797</v>
      </c>
      <c r="AB817" s="1" t="s">
        <v>3798</v>
      </c>
      <c r="AC817" s="1"/>
      <c r="AD817" s="1">
        <v>45525</v>
      </c>
      <c r="AE817" s="1">
        <v>45687</v>
      </c>
      <c r="AF817" s="1"/>
      <c r="AG817" s="1">
        <v>45525</v>
      </c>
      <c r="AH817" s="1" t="s">
        <v>3898</v>
      </c>
      <c r="AI817" s="1"/>
      <c r="AJ817" s="31">
        <v>45525</v>
      </c>
      <c r="AK817"/>
      <c r="AL817"/>
      <c r="AM817"/>
      <c r="AN817"/>
      <c r="AO817"/>
      <c r="AP817"/>
    </row>
    <row r="818" spans="1:42" s="81" customFormat="1" hidden="1">
      <c r="A818" s="1" t="s">
        <v>2542</v>
      </c>
      <c r="B818" s="1">
        <v>240813</v>
      </c>
      <c r="C818" s="1">
        <v>5640</v>
      </c>
      <c r="D818" s="1" t="s">
        <v>846</v>
      </c>
      <c r="E818" s="1" t="s">
        <v>1234</v>
      </c>
      <c r="F818" t="s">
        <v>1583</v>
      </c>
      <c r="G818" t="s">
        <v>1514</v>
      </c>
      <c r="H818" s="1" t="s">
        <v>3816</v>
      </c>
      <c r="I818" s="1" t="s">
        <v>3897</v>
      </c>
      <c r="J818" s="1" t="s">
        <v>18</v>
      </c>
      <c r="K818" s="1" t="s">
        <v>50</v>
      </c>
      <c r="L818" s="1">
        <v>31938</v>
      </c>
      <c r="M818" s="1">
        <v>38</v>
      </c>
      <c r="N818" s="1">
        <v>1300</v>
      </c>
      <c r="O818" s="1"/>
      <c r="P818" s="1">
        <v>1700</v>
      </c>
      <c r="Q818" s="1"/>
      <c r="R818" s="1">
        <v>400</v>
      </c>
      <c r="S818">
        <v>240000</v>
      </c>
      <c r="T818">
        <v>12036</v>
      </c>
      <c r="U818" t="s">
        <v>814</v>
      </c>
      <c r="V818">
        <v>21960</v>
      </c>
      <c r="W818" s="1">
        <v>46676</v>
      </c>
      <c r="X818" s="1" t="s">
        <v>55</v>
      </c>
      <c r="Y818" s="1" t="s">
        <v>51</v>
      </c>
      <c r="Z818" s="1" t="s">
        <v>3796</v>
      </c>
      <c r="AA818" s="1" t="s">
        <v>3797</v>
      </c>
      <c r="AB818" s="1" t="s">
        <v>3798</v>
      </c>
      <c r="AC818" s="1"/>
      <c r="AD818" s="1">
        <v>45525</v>
      </c>
      <c r="AE818" s="1">
        <v>45923</v>
      </c>
      <c r="AF818" s="1"/>
      <c r="AG818" s="1">
        <v>45525</v>
      </c>
      <c r="AH818" s="1" t="s">
        <v>3898</v>
      </c>
      <c r="AI818" s="1"/>
      <c r="AJ818" s="31">
        <v>45525</v>
      </c>
      <c r="AK818"/>
      <c r="AL818"/>
      <c r="AM818"/>
      <c r="AN818"/>
      <c r="AO818"/>
      <c r="AP818"/>
    </row>
    <row r="819" spans="1:42" s="81" customFormat="1" hidden="1">
      <c r="A819" s="1" t="s">
        <v>2542</v>
      </c>
      <c r="B819" s="1">
        <v>240814</v>
      </c>
      <c r="C819" s="1">
        <v>4641</v>
      </c>
      <c r="D819" s="1" t="s">
        <v>846</v>
      </c>
      <c r="E819" s="1" t="s">
        <v>1234</v>
      </c>
      <c r="F819" t="s">
        <v>1583</v>
      </c>
      <c r="G819" t="s">
        <v>1514</v>
      </c>
      <c r="H819" s="1" t="s">
        <v>3817</v>
      </c>
      <c r="I819" s="1" t="s">
        <v>3818</v>
      </c>
      <c r="J819" s="1" t="s">
        <v>18</v>
      </c>
      <c r="K819" s="1" t="s">
        <v>50</v>
      </c>
      <c r="L819" s="1">
        <v>34097</v>
      </c>
      <c r="M819" s="1">
        <v>32</v>
      </c>
      <c r="N819" s="1">
        <v>1300</v>
      </c>
      <c r="O819" s="1"/>
      <c r="P819" s="1">
        <v>1700</v>
      </c>
      <c r="Q819" s="1"/>
      <c r="R819" s="1">
        <v>400</v>
      </c>
      <c r="S819">
        <v>180000</v>
      </c>
      <c r="T819">
        <v>9027</v>
      </c>
      <c r="U819" t="s">
        <v>814</v>
      </c>
      <c r="V819">
        <v>16470</v>
      </c>
      <c r="W819" s="1">
        <v>46058</v>
      </c>
      <c r="X819" s="1" t="s">
        <v>55</v>
      </c>
      <c r="Y819" s="1" t="s">
        <v>51</v>
      </c>
      <c r="Z819" s="1" t="s">
        <v>3849</v>
      </c>
      <c r="AA819" s="1" t="s">
        <v>3850</v>
      </c>
      <c r="AB819" s="1" t="s">
        <v>3851</v>
      </c>
      <c r="AC819" s="1" t="s">
        <v>53</v>
      </c>
      <c r="AD819" s="1">
        <v>45525</v>
      </c>
      <c r="AE819" s="1">
        <v>45825</v>
      </c>
      <c r="AF819" s="1"/>
      <c r="AG819" s="1">
        <v>45525</v>
      </c>
      <c r="AH819" s="1" t="s">
        <v>3898</v>
      </c>
      <c r="AI819" s="1"/>
      <c r="AJ819" s="31">
        <v>45525</v>
      </c>
      <c r="AK819"/>
      <c r="AL819"/>
      <c r="AM819"/>
      <c r="AN819"/>
      <c r="AO819"/>
      <c r="AP819"/>
    </row>
    <row r="820" spans="1:42" s="81" customFormat="1" hidden="1">
      <c r="A820" s="1" t="s">
        <v>49</v>
      </c>
      <c r="B820" s="1">
        <v>240815</v>
      </c>
      <c r="C820" s="1">
        <v>5641</v>
      </c>
      <c r="D820" s="1" t="s">
        <v>846</v>
      </c>
      <c r="E820" s="1" t="s">
        <v>1232</v>
      </c>
      <c r="F820" t="s">
        <v>1237</v>
      </c>
      <c r="G820" t="s">
        <v>1514</v>
      </c>
      <c r="H820" s="1" t="s">
        <v>3819</v>
      </c>
      <c r="I820" s="1" t="s">
        <v>3820</v>
      </c>
      <c r="J820" s="1" t="s">
        <v>18</v>
      </c>
      <c r="K820" s="1" t="s">
        <v>50</v>
      </c>
      <c r="L820" s="1">
        <v>35383</v>
      </c>
      <c r="M820" s="1">
        <v>29</v>
      </c>
      <c r="N820" s="1">
        <v>1300</v>
      </c>
      <c r="O820" s="1"/>
      <c r="P820" s="1">
        <v>1700</v>
      </c>
      <c r="Q820" s="1"/>
      <c r="R820" s="1">
        <v>400</v>
      </c>
      <c r="S820">
        <v>260000</v>
      </c>
      <c r="T820">
        <v>13039</v>
      </c>
      <c r="U820" t="s">
        <v>814</v>
      </c>
      <c r="V820">
        <v>23790</v>
      </c>
      <c r="W820" s="1">
        <v>46217</v>
      </c>
      <c r="X820" s="1" t="s">
        <v>55</v>
      </c>
      <c r="Y820" s="1" t="s">
        <v>51</v>
      </c>
      <c r="Z820" s="1" t="s">
        <v>652</v>
      </c>
      <c r="AA820" s="1" t="s">
        <v>3852</v>
      </c>
      <c r="AB820" s="1" t="s">
        <v>3853</v>
      </c>
      <c r="AC820" s="1"/>
      <c r="AD820" s="1">
        <v>45526</v>
      </c>
      <c r="AE820" s="1"/>
      <c r="AF820" s="1"/>
      <c r="AG820" s="1">
        <v>45526</v>
      </c>
      <c r="AH820" s="1" t="s">
        <v>3898</v>
      </c>
      <c r="AI820" s="1"/>
      <c r="AJ820" s="31">
        <v>45526</v>
      </c>
      <c r="AK820"/>
      <c r="AL820"/>
      <c r="AM820"/>
      <c r="AN820"/>
      <c r="AO820"/>
      <c r="AP820"/>
    </row>
    <row r="821" spans="1:42" s="81" customFormat="1" hidden="1">
      <c r="A821" s="1" t="s">
        <v>49</v>
      </c>
      <c r="B821" s="1">
        <v>240408</v>
      </c>
      <c r="C821" s="1">
        <v>8210105</v>
      </c>
      <c r="D821" s="1" t="s">
        <v>815</v>
      </c>
      <c r="E821" s="1" t="s">
        <v>958</v>
      </c>
      <c r="F821" t="s">
        <v>958</v>
      </c>
      <c r="G821"/>
      <c r="H821" s="1" t="s">
        <v>2353</v>
      </c>
      <c r="I821" s="1" t="s">
        <v>2354</v>
      </c>
      <c r="J821" s="1" t="s">
        <v>18</v>
      </c>
      <c r="K821" s="1" t="s">
        <v>50</v>
      </c>
      <c r="L821" s="1">
        <v>32288</v>
      </c>
      <c r="M821" s="1">
        <v>37</v>
      </c>
      <c r="N821" s="1">
        <v>1500</v>
      </c>
      <c r="O821" s="1"/>
      <c r="P821" s="1">
        <v>2150</v>
      </c>
      <c r="Q821" s="1"/>
      <c r="R821" s="1">
        <v>650</v>
      </c>
      <c r="S821">
        <v>380000</v>
      </c>
      <c r="T821">
        <v>19057</v>
      </c>
      <c r="U821" t="s">
        <v>814</v>
      </c>
      <c r="V821">
        <v>34770</v>
      </c>
      <c r="W821" s="1">
        <v>47072</v>
      </c>
      <c r="X821" s="1" t="s">
        <v>55</v>
      </c>
      <c r="Y821" s="1" t="s">
        <v>51</v>
      </c>
      <c r="Z821" s="1" t="s">
        <v>982</v>
      </c>
      <c r="AA821" s="1" t="s">
        <v>983</v>
      </c>
      <c r="AB821" s="1" t="s">
        <v>1201</v>
      </c>
      <c r="AC821" s="1"/>
      <c r="AD821" s="1">
        <v>45530</v>
      </c>
      <c r="AE821" s="1"/>
      <c r="AF821" s="1"/>
      <c r="AG821" s="1">
        <v>45530</v>
      </c>
      <c r="AH821" s="1" t="s">
        <v>3898</v>
      </c>
      <c r="AI821" s="1"/>
      <c r="AJ821" s="31">
        <v>45530</v>
      </c>
      <c r="AK821"/>
      <c r="AL821"/>
      <c r="AM821"/>
      <c r="AN821">
        <v>45770</v>
      </c>
      <c r="AO821"/>
      <c r="AP821"/>
    </row>
    <row r="822" spans="1:42" s="81" customFormat="1" hidden="1">
      <c r="A822" s="1" t="s">
        <v>2542</v>
      </c>
      <c r="B822" s="1">
        <v>240816</v>
      </c>
      <c r="C822" s="1"/>
      <c r="D822" s="1" t="s">
        <v>436</v>
      </c>
      <c r="E822" s="1"/>
      <c r="F822"/>
      <c r="G822"/>
      <c r="H822" s="1" t="s">
        <v>3821</v>
      </c>
      <c r="I822" s="1" t="s">
        <v>3822</v>
      </c>
      <c r="J822" s="1" t="s">
        <v>18</v>
      </c>
      <c r="K822" s="1" t="s">
        <v>50</v>
      </c>
      <c r="L822" s="1">
        <v>36622</v>
      </c>
      <c r="M822" s="1">
        <v>25</v>
      </c>
      <c r="N822" s="1">
        <v>1400</v>
      </c>
      <c r="O822" s="1"/>
      <c r="P822" s="1">
        <v>2000</v>
      </c>
      <c r="Q822" s="1"/>
      <c r="R822" s="1">
        <v>600</v>
      </c>
      <c r="S822">
        <v>190000</v>
      </c>
      <c r="T822">
        <v>9528</v>
      </c>
      <c r="U822" t="s">
        <v>814</v>
      </c>
      <c r="V822">
        <v>17385</v>
      </c>
      <c r="W822" s="1">
        <v>45890</v>
      </c>
      <c r="X822" s="1" t="s">
        <v>55</v>
      </c>
      <c r="Y822" s="1" t="s">
        <v>51</v>
      </c>
      <c r="Z822" s="1" t="s">
        <v>504</v>
      </c>
      <c r="AA822" s="1" t="s">
        <v>3899</v>
      </c>
      <c r="AB822" s="1" t="s">
        <v>3900</v>
      </c>
      <c r="AC822" s="1"/>
      <c r="AD822" s="1">
        <v>45531</v>
      </c>
      <c r="AE822" s="1">
        <v>45792</v>
      </c>
      <c r="AF822" s="1"/>
      <c r="AG822" s="1">
        <v>45531</v>
      </c>
      <c r="AH822" s="1" t="s">
        <v>3901</v>
      </c>
      <c r="AI822" s="1"/>
      <c r="AJ822" s="31">
        <v>45531</v>
      </c>
      <c r="AK822"/>
      <c r="AL822"/>
      <c r="AM822"/>
      <c r="AN822"/>
      <c r="AO822"/>
      <c r="AP822"/>
    </row>
    <row r="823" spans="1:42" s="81" customFormat="1" hidden="1">
      <c r="A823" s="1" t="s">
        <v>2542</v>
      </c>
      <c r="B823" s="1">
        <v>240817</v>
      </c>
      <c r="C823" s="1"/>
      <c r="D823" s="1" t="s">
        <v>436</v>
      </c>
      <c r="E823" s="1"/>
      <c r="F823"/>
      <c r="G823"/>
      <c r="H823" s="1" t="s">
        <v>3823</v>
      </c>
      <c r="I823" s="1" t="s">
        <v>3824</v>
      </c>
      <c r="J823" s="1" t="s">
        <v>18</v>
      </c>
      <c r="K823" s="1" t="s">
        <v>50</v>
      </c>
      <c r="L823" s="1">
        <v>36188</v>
      </c>
      <c r="M823" s="1">
        <v>26</v>
      </c>
      <c r="N823" s="1">
        <v>1400</v>
      </c>
      <c r="O823" s="1"/>
      <c r="P823" s="1">
        <v>2000</v>
      </c>
      <c r="Q823" s="1"/>
      <c r="R823" s="1">
        <v>600</v>
      </c>
      <c r="S823">
        <v>190000</v>
      </c>
      <c r="T823">
        <v>9528</v>
      </c>
      <c r="U823" t="s">
        <v>814</v>
      </c>
      <c r="V823">
        <v>17385</v>
      </c>
      <c r="W823" s="1">
        <v>45890</v>
      </c>
      <c r="X823" s="1" t="s">
        <v>55</v>
      </c>
      <c r="Y823" s="1" t="s">
        <v>51</v>
      </c>
      <c r="Z823" s="1" t="s">
        <v>504</v>
      </c>
      <c r="AA823" s="1" t="s">
        <v>3899</v>
      </c>
      <c r="AB823" s="1" t="s">
        <v>3900</v>
      </c>
      <c r="AC823" s="1"/>
      <c r="AD823" s="1">
        <v>45531</v>
      </c>
      <c r="AE823" s="1">
        <v>45807</v>
      </c>
      <c r="AF823" s="1"/>
      <c r="AG823" s="1">
        <v>45531</v>
      </c>
      <c r="AH823" s="1" t="s">
        <v>3901</v>
      </c>
      <c r="AI823" s="1"/>
      <c r="AJ823" s="31">
        <v>45531</v>
      </c>
      <c r="AK823"/>
      <c r="AL823"/>
      <c r="AM823"/>
      <c r="AN823"/>
      <c r="AO823"/>
      <c r="AP823"/>
    </row>
    <row r="824" spans="1:42" s="81" customFormat="1" hidden="1">
      <c r="A824" s="1" t="s">
        <v>49</v>
      </c>
      <c r="B824" s="1">
        <v>240818</v>
      </c>
      <c r="C824" s="1"/>
      <c r="D824" s="1" t="s">
        <v>436</v>
      </c>
      <c r="E824" s="1" t="s">
        <v>503</v>
      </c>
      <c r="F824" t="s">
        <v>4372</v>
      </c>
      <c r="G824" t="s">
        <v>4373</v>
      </c>
      <c r="H824" s="1" t="s">
        <v>3825</v>
      </c>
      <c r="I824" s="1" t="s">
        <v>3826</v>
      </c>
      <c r="J824" s="1" t="s">
        <v>18</v>
      </c>
      <c r="K824" s="1" t="s">
        <v>50</v>
      </c>
      <c r="L824" s="1">
        <v>37108</v>
      </c>
      <c r="M824" s="1">
        <v>24</v>
      </c>
      <c r="N824" s="1">
        <v>1500</v>
      </c>
      <c r="O824" s="1"/>
      <c r="P824" s="1">
        <v>2100</v>
      </c>
      <c r="Q824" s="1"/>
      <c r="R824" s="1">
        <v>600</v>
      </c>
      <c r="S824">
        <v>360000</v>
      </c>
      <c r="T824">
        <v>18054</v>
      </c>
      <c r="U824" t="s">
        <v>814</v>
      </c>
      <c r="V824">
        <v>32940</v>
      </c>
      <c r="W824" s="1">
        <v>46255</v>
      </c>
      <c r="X824" s="1" t="s">
        <v>55</v>
      </c>
      <c r="Y824" s="1" t="s">
        <v>51</v>
      </c>
      <c r="Z824" s="1" t="s">
        <v>504</v>
      </c>
      <c r="AA824" s="1" t="s">
        <v>3899</v>
      </c>
      <c r="AB824" s="1" t="s">
        <v>3900</v>
      </c>
      <c r="AC824" s="1"/>
      <c r="AD824" s="1">
        <v>45531</v>
      </c>
      <c r="AE824" s="1"/>
      <c r="AF824" s="1"/>
      <c r="AG824" s="1">
        <v>45531</v>
      </c>
      <c r="AH824" s="1" t="s">
        <v>3901</v>
      </c>
      <c r="AI824" s="1"/>
      <c r="AJ824" s="31">
        <v>45531</v>
      </c>
      <c r="AK824"/>
      <c r="AL824"/>
      <c r="AM824"/>
      <c r="AN824"/>
      <c r="AO824"/>
      <c r="AP824"/>
    </row>
    <row r="825" spans="1:42" s="81" customFormat="1" hidden="1">
      <c r="A825" s="1" t="s">
        <v>49</v>
      </c>
      <c r="B825" s="1">
        <v>221206</v>
      </c>
      <c r="C825" s="1">
        <v>8210112</v>
      </c>
      <c r="D825" s="1" t="s">
        <v>822</v>
      </c>
      <c r="E825" s="1" t="s">
        <v>1312</v>
      </c>
      <c r="F825" t="s">
        <v>1312</v>
      </c>
      <c r="G825" t="s">
        <v>1871</v>
      </c>
      <c r="H825" s="1" t="s">
        <v>859</v>
      </c>
      <c r="I825" s="1" t="s">
        <v>860</v>
      </c>
      <c r="J825" s="1" t="s">
        <v>18</v>
      </c>
      <c r="K825" s="1" t="s">
        <v>50</v>
      </c>
      <c r="L825" s="1">
        <v>33248</v>
      </c>
      <c r="M825" s="1">
        <v>34</v>
      </c>
      <c r="N825" s="1">
        <v>1500</v>
      </c>
      <c r="O825" s="1"/>
      <c r="P825" s="1">
        <v>2150</v>
      </c>
      <c r="Q825" s="1"/>
      <c r="R825" s="1">
        <v>650</v>
      </c>
      <c r="S825">
        <v>340000</v>
      </c>
      <c r="T825">
        <v>17051</v>
      </c>
      <c r="U825" t="s">
        <v>814</v>
      </c>
      <c r="V825">
        <v>31110</v>
      </c>
      <c r="W825" s="1">
        <v>46161</v>
      </c>
      <c r="X825" s="1" t="s">
        <v>55</v>
      </c>
      <c r="Y825" s="1" t="s">
        <v>51</v>
      </c>
      <c r="Z825" s="1" t="s">
        <v>861</v>
      </c>
      <c r="AA825" s="1" t="s">
        <v>862</v>
      </c>
      <c r="AB825" s="1" t="s">
        <v>863</v>
      </c>
      <c r="AC825" s="1" t="s">
        <v>53</v>
      </c>
      <c r="AD825" s="1">
        <v>45532</v>
      </c>
      <c r="AE825" s="1"/>
      <c r="AF825" s="1"/>
      <c r="AG825" s="1">
        <v>45532</v>
      </c>
      <c r="AH825" s="1" t="s">
        <v>3898</v>
      </c>
      <c r="AI825" s="1"/>
      <c r="AJ825" s="31">
        <v>45532</v>
      </c>
      <c r="AK825"/>
      <c r="AL825"/>
      <c r="AM825"/>
      <c r="AN825"/>
      <c r="AO825"/>
      <c r="AP825" t="s">
        <v>4001</v>
      </c>
    </row>
    <row r="826" spans="1:42" s="81" customFormat="1" hidden="1">
      <c r="A826" s="1" t="s">
        <v>2542</v>
      </c>
      <c r="B826" s="1">
        <v>240901</v>
      </c>
      <c r="C826" s="1">
        <v>5643</v>
      </c>
      <c r="D826" s="1" t="s">
        <v>846</v>
      </c>
      <c r="E826" s="1" t="s">
        <v>1232</v>
      </c>
      <c r="F826" t="s">
        <v>1237</v>
      </c>
      <c r="G826" t="s">
        <v>1514</v>
      </c>
      <c r="H826" s="1" t="s">
        <v>3827</v>
      </c>
      <c r="I826" s="1" t="s">
        <v>3828</v>
      </c>
      <c r="J826" s="1" t="s">
        <v>18</v>
      </c>
      <c r="K826" s="1" t="s">
        <v>50</v>
      </c>
      <c r="L826" s="1">
        <v>34167</v>
      </c>
      <c r="M826" s="1">
        <v>32</v>
      </c>
      <c r="N826" s="1">
        <v>1300</v>
      </c>
      <c r="O826" s="1"/>
      <c r="P826" s="1">
        <v>1700</v>
      </c>
      <c r="Q826" s="1"/>
      <c r="R826" s="1">
        <v>400</v>
      </c>
      <c r="S826">
        <v>220000</v>
      </c>
      <c r="T826">
        <v>11033</v>
      </c>
      <c r="U826" t="s">
        <v>814</v>
      </c>
      <c r="V826">
        <v>20130</v>
      </c>
      <c r="W826" s="1">
        <v>46058</v>
      </c>
      <c r="X826" s="1" t="s">
        <v>55</v>
      </c>
      <c r="Y826" s="1" t="s">
        <v>51</v>
      </c>
      <c r="Z826" s="1" t="s">
        <v>3796</v>
      </c>
      <c r="AA826" s="1" t="s">
        <v>3902</v>
      </c>
      <c r="AB826" s="1" t="s">
        <v>3903</v>
      </c>
      <c r="AC826" s="1" t="s">
        <v>53</v>
      </c>
      <c r="AD826" s="1">
        <v>45537</v>
      </c>
      <c r="AE826" s="1">
        <v>45776</v>
      </c>
      <c r="AF826" s="1"/>
      <c r="AG826" s="1">
        <v>45537</v>
      </c>
      <c r="AH826" s="1" t="s">
        <v>757</v>
      </c>
      <c r="AI826" s="1"/>
      <c r="AJ826" s="31">
        <v>45537</v>
      </c>
      <c r="AK826"/>
      <c r="AL826"/>
      <c r="AM826"/>
      <c r="AN826"/>
      <c r="AO826"/>
      <c r="AP826"/>
    </row>
    <row r="827" spans="1:42" s="81" customFormat="1" hidden="1">
      <c r="A827" s="1" t="s">
        <v>49</v>
      </c>
      <c r="B827" s="1">
        <v>240902</v>
      </c>
      <c r="C827" s="1">
        <v>5644</v>
      </c>
      <c r="D827" s="1" t="s">
        <v>871</v>
      </c>
      <c r="E827" s="1" t="s">
        <v>1249</v>
      </c>
      <c r="F827" t="s">
        <v>1247</v>
      </c>
      <c r="G827" t="s">
        <v>1514</v>
      </c>
      <c r="H827" s="1" t="s">
        <v>3829</v>
      </c>
      <c r="I827" s="1" t="s">
        <v>3830</v>
      </c>
      <c r="J827" s="1" t="s">
        <v>18</v>
      </c>
      <c r="K827" s="1" t="s">
        <v>50</v>
      </c>
      <c r="L827" s="1">
        <v>36805</v>
      </c>
      <c r="M827" s="1">
        <v>25</v>
      </c>
      <c r="N827" s="1">
        <v>1300</v>
      </c>
      <c r="O827" s="1"/>
      <c r="P827" s="1">
        <v>1700</v>
      </c>
      <c r="Q827" s="1"/>
      <c r="R827" s="1">
        <v>400</v>
      </c>
      <c r="S827">
        <v>260000</v>
      </c>
      <c r="T827">
        <v>13039</v>
      </c>
      <c r="U827" t="s">
        <v>814</v>
      </c>
      <c r="V827">
        <v>23790</v>
      </c>
      <c r="W827" s="1">
        <v>46551</v>
      </c>
      <c r="X827" s="1" t="s">
        <v>55</v>
      </c>
      <c r="Y827" s="1" t="s">
        <v>51</v>
      </c>
      <c r="Z827" s="1" t="s">
        <v>652</v>
      </c>
      <c r="AA827" s="1" t="s">
        <v>3852</v>
      </c>
      <c r="AB827" s="1" t="s">
        <v>3853</v>
      </c>
      <c r="AC827" s="1"/>
      <c r="AD827" s="1">
        <v>45537</v>
      </c>
      <c r="AE827" s="1"/>
      <c r="AF827" s="1"/>
      <c r="AG827" s="1">
        <v>45537</v>
      </c>
      <c r="AH827" s="1" t="s">
        <v>3901</v>
      </c>
      <c r="AI827" s="1"/>
      <c r="AJ827" s="31">
        <v>45537</v>
      </c>
      <c r="AK827"/>
      <c r="AL827"/>
      <c r="AM827"/>
      <c r="AN827"/>
      <c r="AO827"/>
      <c r="AP827"/>
    </row>
    <row r="828" spans="1:42" s="81" customFormat="1" hidden="1">
      <c r="A828" s="1" t="s">
        <v>2542</v>
      </c>
      <c r="B828" s="1">
        <v>240903</v>
      </c>
      <c r="C828" s="1">
        <v>212051</v>
      </c>
      <c r="D828" s="1" t="s">
        <v>75</v>
      </c>
      <c r="E828" s="1" t="s">
        <v>2270</v>
      </c>
      <c r="F828" t="s">
        <v>753</v>
      </c>
      <c r="G828" t="s">
        <v>388</v>
      </c>
      <c r="H828" s="1" t="s">
        <v>3831</v>
      </c>
      <c r="I828" s="1" t="s">
        <v>3832</v>
      </c>
      <c r="J828" s="1" t="s">
        <v>18</v>
      </c>
      <c r="K828" s="1" t="s">
        <v>404</v>
      </c>
      <c r="L828" s="1">
        <v>28501</v>
      </c>
      <c r="M828" s="1">
        <v>47</v>
      </c>
      <c r="N828" s="1">
        <v>1400</v>
      </c>
      <c r="O828" s="1"/>
      <c r="P828" s="1">
        <v>1750</v>
      </c>
      <c r="Q828" s="1"/>
      <c r="R828" s="1">
        <v>350</v>
      </c>
      <c r="S828">
        <v>220000</v>
      </c>
      <c r="T828">
        <v>11033</v>
      </c>
      <c r="U828">
        <v>1749</v>
      </c>
      <c r="V828">
        <v>20130</v>
      </c>
      <c r="W828" s="1">
        <v>46474</v>
      </c>
      <c r="X828" s="1" t="s">
        <v>55</v>
      </c>
      <c r="Y828" s="1" t="s">
        <v>540</v>
      </c>
      <c r="Z828" s="1" t="s">
        <v>3921</v>
      </c>
      <c r="AA828" s="1" t="s">
        <v>3922</v>
      </c>
      <c r="AB828" s="1" t="s">
        <v>3951</v>
      </c>
      <c r="AC828" s="1" t="s">
        <v>53</v>
      </c>
      <c r="AD828" s="1">
        <v>45537</v>
      </c>
      <c r="AE828" s="1">
        <v>45730</v>
      </c>
      <c r="AF828" s="1"/>
      <c r="AG828" s="1">
        <v>45537</v>
      </c>
      <c r="AH828" s="1" t="s">
        <v>3898</v>
      </c>
      <c r="AI828" s="1"/>
      <c r="AJ828" s="31">
        <v>45537</v>
      </c>
      <c r="AK828"/>
      <c r="AL828"/>
      <c r="AM828"/>
      <c r="AN828"/>
      <c r="AO828"/>
      <c r="AP828"/>
    </row>
    <row r="829" spans="1:42" s="81" customFormat="1" hidden="1">
      <c r="A829" s="1" t="s">
        <v>49</v>
      </c>
      <c r="B829" s="1">
        <v>240904</v>
      </c>
      <c r="C829" s="1">
        <v>5646</v>
      </c>
      <c r="D829" s="1" t="s">
        <v>846</v>
      </c>
      <c r="E829" s="1" t="s">
        <v>1249</v>
      </c>
      <c r="F829" t="s">
        <v>1247</v>
      </c>
      <c r="G829" t="s">
        <v>1514</v>
      </c>
      <c r="H829" s="1" t="s">
        <v>3833</v>
      </c>
      <c r="I829" s="1" t="s">
        <v>3834</v>
      </c>
      <c r="J829" s="1" t="s">
        <v>18</v>
      </c>
      <c r="K829" s="1" t="s">
        <v>50</v>
      </c>
      <c r="L829" s="1">
        <v>37714</v>
      </c>
      <c r="M829" s="1">
        <v>22</v>
      </c>
      <c r="N829" s="1">
        <v>1300</v>
      </c>
      <c r="O829" s="1"/>
      <c r="P829" s="1">
        <v>1700</v>
      </c>
      <c r="Q829" s="1"/>
      <c r="R829" s="1">
        <v>400</v>
      </c>
      <c r="S829">
        <v>220000</v>
      </c>
      <c r="T829">
        <v>11033</v>
      </c>
      <c r="U829" t="s">
        <v>814</v>
      </c>
      <c r="V829">
        <v>20130</v>
      </c>
      <c r="W829" s="1">
        <v>46551</v>
      </c>
      <c r="X829" s="1" t="s">
        <v>55</v>
      </c>
      <c r="Y829" s="1" t="s">
        <v>51</v>
      </c>
      <c r="Z829" s="1" t="s">
        <v>652</v>
      </c>
      <c r="AA829" s="1" t="s">
        <v>3852</v>
      </c>
      <c r="AB829" s="1" t="s">
        <v>3853</v>
      </c>
      <c r="AC829" s="1"/>
      <c r="AD829" s="1">
        <v>45537</v>
      </c>
      <c r="AE829" s="1"/>
      <c r="AF829" s="1"/>
      <c r="AG829" s="1">
        <v>45537</v>
      </c>
      <c r="AH829" s="1" t="s">
        <v>3901</v>
      </c>
      <c r="AI829" s="1"/>
      <c r="AJ829" s="31">
        <v>45537</v>
      </c>
      <c r="AK829"/>
      <c r="AL829"/>
      <c r="AM829"/>
      <c r="AN829"/>
      <c r="AO829"/>
      <c r="AP829"/>
    </row>
    <row r="830" spans="1:42" s="81" customFormat="1" hidden="1">
      <c r="A830" s="1" t="s">
        <v>49</v>
      </c>
      <c r="B830" s="1">
        <v>240905</v>
      </c>
      <c r="C830" s="1">
        <v>232144</v>
      </c>
      <c r="D830" s="1" t="s">
        <v>83</v>
      </c>
      <c r="E830" s="1" t="s">
        <v>307</v>
      </c>
      <c r="F830" t="s">
        <v>2251</v>
      </c>
      <c r="G830" t="s">
        <v>2252</v>
      </c>
      <c r="H830" s="1" t="s">
        <v>3835</v>
      </c>
      <c r="I830" s="1" t="s">
        <v>3836</v>
      </c>
      <c r="J830" s="1" t="s">
        <v>18</v>
      </c>
      <c r="K830" s="1" t="s">
        <v>50</v>
      </c>
      <c r="L830" s="1">
        <v>36769</v>
      </c>
      <c r="M830" s="1">
        <v>25</v>
      </c>
      <c r="N830" s="1">
        <v>1300</v>
      </c>
      <c r="O830" s="1"/>
      <c r="P830" s="1">
        <v>1670</v>
      </c>
      <c r="Q830" s="1"/>
      <c r="R830" s="1">
        <v>370</v>
      </c>
      <c r="S830">
        <v>240000</v>
      </c>
      <c r="T830">
        <v>12036</v>
      </c>
      <c r="U830" t="s">
        <v>814</v>
      </c>
      <c r="V830">
        <v>21960</v>
      </c>
      <c r="W830" s="1">
        <v>46263</v>
      </c>
      <c r="X830" s="1" t="s">
        <v>55</v>
      </c>
      <c r="Y830" s="1" t="s">
        <v>51</v>
      </c>
      <c r="Z830" s="1" t="s">
        <v>110</v>
      </c>
      <c r="AA830" s="1" t="s">
        <v>1109</v>
      </c>
      <c r="AB830" s="1" t="s">
        <v>3639</v>
      </c>
      <c r="AC830" s="1"/>
      <c r="AD830" s="1">
        <v>45539</v>
      </c>
      <c r="AE830" s="1"/>
      <c r="AF830" s="1"/>
      <c r="AG830" s="1">
        <v>45539</v>
      </c>
      <c r="AH830" s="1" t="s">
        <v>3901</v>
      </c>
      <c r="AI830" s="1"/>
      <c r="AJ830" s="31">
        <v>45539</v>
      </c>
      <c r="AK830"/>
      <c r="AL830"/>
      <c r="AM830"/>
      <c r="AN830"/>
      <c r="AO830"/>
      <c r="AP830"/>
    </row>
    <row r="831" spans="1:42" s="81" customFormat="1" hidden="1">
      <c r="A831" s="1" t="s">
        <v>49</v>
      </c>
      <c r="B831" s="1">
        <v>240906</v>
      </c>
      <c r="C831" s="1">
        <v>232143</v>
      </c>
      <c r="D831" s="1" t="s">
        <v>83</v>
      </c>
      <c r="E831" s="1" t="s">
        <v>307</v>
      </c>
      <c r="F831" t="s">
        <v>2251</v>
      </c>
      <c r="G831" t="s">
        <v>2252</v>
      </c>
      <c r="H831" s="1" t="s">
        <v>3837</v>
      </c>
      <c r="I831" s="1" t="s">
        <v>3838</v>
      </c>
      <c r="J831" s="1" t="s">
        <v>18</v>
      </c>
      <c r="K831" s="1" t="s">
        <v>50</v>
      </c>
      <c r="L831" s="1">
        <v>36775</v>
      </c>
      <c r="M831" s="1">
        <v>25</v>
      </c>
      <c r="N831" s="1">
        <v>1310</v>
      </c>
      <c r="O831" s="1"/>
      <c r="P831" s="1">
        <v>1670</v>
      </c>
      <c r="Q831" s="1"/>
      <c r="R831" s="1">
        <v>360</v>
      </c>
      <c r="S831">
        <v>240000</v>
      </c>
      <c r="T831">
        <v>12036</v>
      </c>
      <c r="U831" t="s">
        <v>814</v>
      </c>
      <c r="V831">
        <v>21960</v>
      </c>
      <c r="W831" s="1">
        <v>46263</v>
      </c>
      <c r="X831" s="1" t="s">
        <v>55</v>
      </c>
      <c r="Y831" s="1" t="s">
        <v>51</v>
      </c>
      <c r="Z831" s="1" t="s">
        <v>110</v>
      </c>
      <c r="AA831" s="1" t="s">
        <v>127</v>
      </c>
      <c r="AB831" s="1" t="s">
        <v>2932</v>
      </c>
      <c r="AC831" s="1"/>
      <c r="AD831" s="1">
        <v>45539</v>
      </c>
      <c r="AE831" s="1"/>
      <c r="AF831" s="1"/>
      <c r="AG831" s="1">
        <v>45539</v>
      </c>
      <c r="AH831" s="1" t="s">
        <v>3901</v>
      </c>
      <c r="AI831" s="1"/>
      <c r="AJ831" s="31">
        <v>45539</v>
      </c>
      <c r="AK831"/>
      <c r="AL831"/>
      <c r="AM831"/>
      <c r="AN831"/>
      <c r="AO831"/>
      <c r="AP831"/>
    </row>
    <row r="832" spans="1:42" s="81" customFormat="1" hidden="1">
      <c r="A832" s="1" t="s">
        <v>49</v>
      </c>
      <c r="B832" s="1">
        <v>240907</v>
      </c>
      <c r="C832" s="1">
        <v>232145</v>
      </c>
      <c r="D832" s="1" t="s">
        <v>83</v>
      </c>
      <c r="E832" s="1" t="s">
        <v>309</v>
      </c>
      <c r="F832" t="s">
        <v>365</v>
      </c>
      <c r="G832" t="s">
        <v>2241</v>
      </c>
      <c r="H832" s="1" t="s">
        <v>3839</v>
      </c>
      <c r="I832" s="1" t="s">
        <v>3840</v>
      </c>
      <c r="J832" s="1" t="s">
        <v>18</v>
      </c>
      <c r="K832" s="1" t="s">
        <v>50</v>
      </c>
      <c r="L832" s="1">
        <v>36807</v>
      </c>
      <c r="M832" s="1">
        <v>25</v>
      </c>
      <c r="N832" s="1">
        <v>1300</v>
      </c>
      <c r="O832" s="1"/>
      <c r="P832" s="1">
        <v>1670</v>
      </c>
      <c r="Q832" s="1"/>
      <c r="R832" s="1">
        <v>370</v>
      </c>
      <c r="S832">
        <v>260000</v>
      </c>
      <c r="T832">
        <v>13039</v>
      </c>
      <c r="U832" t="s">
        <v>814</v>
      </c>
      <c r="V832">
        <v>23790</v>
      </c>
      <c r="W832" s="1">
        <v>46263</v>
      </c>
      <c r="X832" s="1" t="s">
        <v>55</v>
      </c>
      <c r="Y832" s="1" t="s">
        <v>51</v>
      </c>
      <c r="Z832" s="1" t="s">
        <v>110</v>
      </c>
      <c r="AA832" s="1" t="s">
        <v>127</v>
      </c>
      <c r="AB832" s="1" t="s">
        <v>2932</v>
      </c>
      <c r="AC832" s="1"/>
      <c r="AD832" s="1">
        <v>45539</v>
      </c>
      <c r="AE832" s="1"/>
      <c r="AF832" s="1"/>
      <c r="AG832" s="1">
        <v>45539</v>
      </c>
      <c r="AH832" s="1" t="s">
        <v>3901</v>
      </c>
      <c r="AI832" s="1"/>
      <c r="AJ832" s="31">
        <v>45539</v>
      </c>
      <c r="AK832"/>
      <c r="AL832"/>
      <c r="AM832"/>
      <c r="AN832"/>
      <c r="AO832"/>
      <c r="AP832"/>
    </row>
    <row r="833" spans="1:42" s="81" customFormat="1" hidden="1">
      <c r="A833" s="1" t="s">
        <v>2542</v>
      </c>
      <c r="B833" s="1">
        <v>240908</v>
      </c>
      <c r="C833" s="1"/>
      <c r="D833" s="1" t="s">
        <v>436</v>
      </c>
      <c r="E833" s="1"/>
      <c r="F833"/>
      <c r="G833"/>
      <c r="H833" s="1" t="s">
        <v>3841</v>
      </c>
      <c r="I833" s="1" t="s">
        <v>3126</v>
      </c>
      <c r="J833" s="1" t="s">
        <v>18</v>
      </c>
      <c r="K833" s="1" t="s">
        <v>50</v>
      </c>
      <c r="L833" s="1">
        <v>35357</v>
      </c>
      <c r="M833" s="1">
        <v>29</v>
      </c>
      <c r="N833" s="1">
        <v>1400</v>
      </c>
      <c r="O833" s="1"/>
      <c r="P833" s="1">
        <v>2000</v>
      </c>
      <c r="Q833" s="1"/>
      <c r="R833" s="1">
        <v>600</v>
      </c>
      <c r="S833">
        <v>240000</v>
      </c>
      <c r="T833">
        <v>12036</v>
      </c>
      <c r="U833" t="s">
        <v>814</v>
      </c>
      <c r="V833">
        <v>21960</v>
      </c>
      <c r="W833" s="1">
        <v>46282</v>
      </c>
      <c r="X833" s="1" t="s">
        <v>55</v>
      </c>
      <c r="Y833" s="1" t="s">
        <v>51</v>
      </c>
      <c r="Z833" s="1" t="s">
        <v>437</v>
      </c>
      <c r="AA833" s="1" t="s">
        <v>3904</v>
      </c>
      <c r="AB833" s="1" t="s">
        <v>3905</v>
      </c>
      <c r="AC833" s="1"/>
      <c r="AD833" s="1">
        <v>45541</v>
      </c>
      <c r="AE833" s="1">
        <v>45349</v>
      </c>
      <c r="AF833" s="1"/>
      <c r="AG833" s="1">
        <v>45541</v>
      </c>
      <c r="AH833" s="1" t="s">
        <v>3901</v>
      </c>
      <c r="AI833" s="1"/>
      <c r="AJ833" s="31">
        <v>45541</v>
      </c>
      <c r="AK833"/>
      <c r="AL833"/>
      <c r="AM833"/>
      <c r="AN833"/>
      <c r="AO833"/>
      <c r="AP833"/>
    </row>
    <row r="834" spans="1:42" s="81" customFormat="1" hidden="1">
      <c r="A834" s="1" t="s">
        <v>2542</v>
      </c>
      <c r="B834" s="1">
        <v>240909</v>
      </c>
      <c r="C834" s="1"/>
      <c r="D834" s="1" t="s">
        <v>168</v>
      </c>
      <c r="E834" s="1"/>
      <c r="F834"/>
      <c r="G834"/>
      <c r="H834" s="1" t="s">
        <v>3532</v>
      </c>
      <c r="I834" s="1" t="s">
        <v>3842</v>
      </c>
      <c r="J834" s="1" t="s">
        <v>18</v>
      </c>
      <c r="K834" s="1" t="s">
        <v>50</v>
      </c>
      <c r="L834" s="1">
        <v>33395</v>
      </c>
      <c r="M834" s="1">
        <v>34</v>
      </c>
      <c r="N834" s="1">
        <v>1400</v>
      </c>
      <c r="O834" s="1"/>
      <c r="P834" s="1">
        <v>2000</v>
      </c>
      <c r="Q834" s="1"/>
      <c r="R834" s="1">
        <v>600</v>
      </c>
      <c r="S834">
        <v>240000</v>
      </c>
      <c r="T834">
        <v>12036</v>
      </c>
      <c r="U834" t="s">
        <v>814</v>
      </c>
      <c r="V834">
        <v>21960</v>
      </c>
      <c r="W834" s="1">
        <v>46233</v>
      </c>
      <c r="X834" s="1" t="s">
        <v>55</v>
      </c>
      <c r="Y834" s="1" t="s">
        <v>51</v>
      </c>
      <c r="Z834" s="1" t="s">
        <v>437</v>
      </c>
      <c r="AA834" s="1" t="s">
        <v>3904</v>
      </c>
      <c r="AB834" s="1" t="s">
        <v>3905</v>
      </c>
      <c r="AC834" s="1"/>
      <c r="AD834" s="1">
        <v>45541</v>
      </c>
      <c r="AE834" s="1">
        <v>45754</v>
      </c>
      <c r="AF834" s="1"/>
      <c r="AG834" s="1">
        <v>45541</v>
      </c>
      <c r="AH834" s="1" t="s">
        <v>3901</v>
      </c>
      <c r="AI834" s="1" t="s">
        <v>4181</v>
      </c>
      <c r="AJ834" s="31">
        <v>45541</v>
      </c>
      <c r="AK834"/>
      <c r="AL834"/>
      <c r="AM834"/>
      <c r="AN834"/>
      <c r="AO834"/>
      <c r="AP834"/>
    </row>
    <row r="835" spans="1:42" s="81" customFormat="1" hidden="1">
      <c r="A835" s="1" t="s">
        <v>2542</v>
      </c>
      <c r="B835" s="1">
        <v>240910</v>
      </c>
      <c r="C835" s="1"/>
      <c r="D835" s="1" t="s">
        <v>436</v>
      </c>
      <c r="E835" s="1"/>
      <c r="F835"/>
      <c r="G835"/>
      <c r="H835" s="1" t="s">
        <v>3843</v>
      </c>
      <c r="I835" s="1" t="s">
        <v>3844</v>
      </c>
      <c r="J835" s="1" t="s">
        <v>18</v>
      </c>
      <c r="K835" s="1" t="s">
        <v>50</v>
      </c>
      <c r="L835" s="1">
        <v>34208</v>
      </c>
      <c r="M835" s="1">
        <v>32</v>
      </c>
      <c r="N835" s="1">
        <v>1400</v>
      </c>
      <c r="O835" s="1"/>
      <c r="P835" s="1">
        <v>2000</v>
      </c>
      <c r="Q835" s="1"/>
      <c r="R835" s="1">
        <v>600</v>
      </c>
      <c r="S835">
        <v>240000</v>
      </c>
      <c r="T835">
        <v>12036</v>
      </c>
      <c r="U835" t="s">
        <v>814</v>
      </c>
      <c r="V835">
        <v>21960</v>
      </c>
      <c r="W835" s="1">
        <v>46370</v>
      </c>
      <c r="X835" s="1" t="s">
        <v>55</v>
      </c>
      <c r="Y835" s="1" t="s">
        <v>51</v>
      </c>
      <c r="Z835" s="1" t="s">
        <v>437</v>
      </c>
      <c r="AA835" s="1" t="s">
        <v>3904</v>
      </c>
      <c r="AB835" s="1" t="s">
        <v>3905</v>
      </c>
      <c r="AC835" s="1"/>
      <c r="AD835" s="1">
        <v>45541</v>
      </c>
      <c r="AE835" s="1">
        <v>45596</v>
      </c>
      <c r="AF835" s="1"/>
      <c r="AG835" s="1">
        <v>45541</v>
      </c>
      <c r="AH835" s="1" t="s">
        <v>3901</v>
      </c>
      <c r="AI835" s="1"/>
      <c r="AJ835" s="31">
        <v>45541</v>
      </c>
      <c r="AK835"/>
      <c r="AL835"/>
      <c r="AM835"/>
      <c r="AN835"/>
      <c r="AO835"/>
      <c r="AP835"/>
    </row>
    <row r="836" spans="1:42" s="81" customFormat="1" hidden="1">
      <c r="A836" s="1" t="s">
        <v>49</v>
      </c>
      <c r="B836" s="1">
        <v>240911</v>
      </c>
      <c r="C836" s="1">
        <v>232147</v>
      </c>
      <c r="D836" s="1" t="s">
        <v>83</v>
      </c>
      <c r="E836" s="1" t="s">
        <v>307</v>
      </c>
      <c r="F836" t="s">
        <v>2251</v>
      </c>
      <c r="G836" t="s">
        <v>2252</v>
      </c>
      <c r="H836" s="1" t="s">
        <v>2024</v>
      </c>
      <c r="I836" s="1" t="s">
        <v>2025</v>
      </c>
      <c r="J836" s="1" t="s">
        <v>18</v>
      </c>
      <c r="K836" s="1" t="s">
        <v>50</v>
      </c>
      <c r="L836" s="1">
        <v>35305</v>
      </c>
      <c r="M836" s="1">
        <v>29</v>
      </c>
      <c r="N836" s="1">
        <v>1300</v>
      </c>
      <c r="O836" s="1"/>
      <c r="P836" s="1">
        <v>1660</v>
      </c>
      <c r="Q836" s="1"/>
      <c r="R836" s="1">
        <v>360</v>
      </c>
      <c r="S836">
        <v>240000</v>
      </c>
      <c r="T836">
        <v>12036</v>
      </c>
      <c r="U836" t="s">
        <v>814</v>
      </c>
      <c r="V836">
        <v>21960</v>
      </c>
      <c r="W836" s="1">
        <v>46282</v>
      </c>
      <c r="X836" s="1" t="s">
        <v>55</v>
      </c>
      <c r="Y836" s="1" t="s">
        <v>51</v>
      </c>
      <c r="Z836" s="1" t="s">
        <v>110</v>
      </c>
      <c r="AA836" s="1" t="s">
        <v>131</v>
      </c>
      <c r="AB836" s="1" t="s">
        <v>954</v>
      </c>
      <c r="AC836" s="1"/>
      <c r="AD836" s="1">
        <v>45548</v>
      </c>
      <c r="AE836" s="1"/>
      <c r="AF836" s="1"/>
      <c r="AG836" s="1">
        <v>45548</v>
      </c>
      <c r="AH836" s="1" t="s">
        <v>757</v>
      </c>
      <c r="AI836" s="1"/>
      <c r="AJ836" s="31">
        <v>45548</v>
      </c>
      <c r="AK836"/>
      <c r="AL836"/>
      <c r="AM836"/>
      <c r="AN836"/>
      <c r="AO836"/>
      <c r="AP836"/>
    </row>
    <row r="837" spans="1:42" s="81" customFormat="1" hidden="1">
      <c r="A837" s="1" t="s">
        <v>49</v>
      </c>
      <c r="B837" s="1">
        <v>240912</v>
      </c>
      <c r="C837" s="1">
        <v>232146</v>
      </c>
      <c r="D837" s="1" t="s">
        <v>83</v>
      </c>
      <c r="E837" s="1" t="s">
        <v>307</v>
      </c>
      <c r="F837" t="s">
        <v>2251</v>
      </c>
      <c r="G837" t="s">
        <v>2252</v>
      </c>
      <c r="H837" s="1" t="s">
        <v>3854</v>
      </c>
      <c r="I837" s="1" t="s">
        <v>3855</v>
      </c>
      <c r="J837" s="1" t="s">
        <v>18</v>
      </c>
      <c r="K837" s="1" t="s">
        <v>50</v>
      </c>
      <c r="L837" s="1">
        <v>37155</v>
      </c>
      <c r="M837" s="1">
        <v>24</v>
      </c>
      <c r="N837" s="1">
        <v>1300</v>
      </c>
      <c r="O837" s="1"/>
      <c r="P837" s="1">
        <v>1670</v>
      </c>
      <c r="Q837" s="1"/>
      <c r="R837" s="1">
        <v>370</v>
      </c>
      <c r="S837">
        <v>240000</v>
      </c>
      <c r="T837">
        <v>12036</v>
      </c>
      <c r="U837" t="s">
        <v>814</v>
      </c>
      <c r="V837">
        <v>21960</v>
      </c>
      <c r="W837" s="1">
        <v>46282</v>
      </c>
      <c r="X837" s="1" t="s">
        <v>55</v>
      </c>
      <c r="Y837" s="1" t="s">
        <v>51</v>
      </c>
      <c r="Z837" s="1" t="s">
        <v>110</v>
      </c>
      <c r="AA837" s="1" t="s">
        <v>127</v>
      </c>
      <c r="AB837" s="1" t="s">
        <v>4387</v>
      </c>
      <c r="AC837" s="1"/>
      <c r="AD837" s="1">
        <v>45548</v>
      </c>
      <c r="AE837" s="1"/>
      <c r="AF837" s="1"/>
      <c r="AG837" s="1">
        <v>45548</v>
      </c>
      <c r="AH837" s="1" t="s">
        <v>757</v>
      </c>
      <c r="AI837" s="1"/>
      <c r="AJ837" s="31">
        <v>45548</v>
      </c>
      <c r="AK837"/>
      <c r="AL837"/>
      <c r="AM837"/>
      <c r="AN837"/>
      <c r="AO837"/>
      <c r="AP837"/>
    </row>
    <row r="838" spans="1:42" s="81" customFormat="1" hidden="1">
      <c r="A838" s="1" t="s">
        <v>2542</v>
      </c>
      <c r="B838" s="1">
        <v>240913</v>
      </c>
      <c r="C838" s="1">
        <v>222074</v>
      </c>
      <c r="D838" s="1" t="s">
        <v>62</v>
      </c>
      <c r="E838" s="1" t="s">
        <v>3935</v>
      </c>
      <c r="F838" t="s">
        <v>794</v>
      </c>
      <c r="G838" t="s">
        <v>316</v>
      </c>
      <c r="H838" s="1" t="s">
        <v>3856</v>
      </c>
      <c r="I838" s="1" t="s">
        <v>3857</v>
      </c>
      <c r="J838" s="1" t="s">
        <v>18</v>
      </c>
      <c r="K838" s="1" t="s">
        <v>50</v>
      </c>
      <c r="L838" s="1">
        <v>37369</v>
      </c>
      <c r="M838" s="1">
        <v>23</v>
      </c>
      <c r="N838" s="1">
        <v>1200</v>
      </c>
      <c r="O838" s="1"/>
      <c r="P838" s="1">
        <v>1660</v>
      </c>
      <c r="Q838" s="1"/>
      <c r="R838" s="1">
        <v>460</v>
      </c>
      <c r="S838">
        <v>200000</v>
      </c>
      <c r="T838">
        <v>10030</v>
      </c>
      <c r="U838" t="s">
        <v>814</v>
      </c>
      <c r="V838">
        <v>18300</v>
      </c>
      <c r="W838" s="1">
        <v>45909</v>
      </c>
      <c r="X838" s="1" t="s">
        <v>55</v>
      </c>
      <c r="Y838" s="1" t="s">
        <v>51</v>
      </c>
      <c r="Z838" s="1" t="s">
        <v>817</v>
      </c>
      <c r="AA838" s="1" t="s">
        <v>1422</v>
      </c>
      <c r="AB838" s="1" t="s">
        <v>1423</v>
      </c>
      <c r="AC838" s="1"/>
      <c r="AD838" s="1">
        <v>45551</v>
      </c>
      <c r="AE838" s="1">
        <v>45758</v>
      </c>
      <c r="AF838" s="1"/>
      <c r="AG838" s="1">
        <v>45551</v>
      </c>
      <c r="AH838" s="1" t="s">
        <v>757</v>
      </c>
      <c r="AI838" s="1"/>
      <c r="AJ838" s="31">
        <v>45551</v>
      </c>
      <c r="AK838"/>
      <c r="AL838"/>
      <c r="AM838"/>
      <c r="AN838"/>
      <c r="AO838" t="s">
        <v>4164</v>
      </c>
      <c r="AP838"/>
    </row>
    <row r="839" spans="1:42" s="81" customFormat="1" hidden="1">
      <c r="A839" s="1" t="s">
        <v>2542</v>
      </c>
      <c r="B839" s="1">
        <v>240914</v>
      </c>
      <c r="C839" s="1"/>
      <c r="D839" s="1" t="s">
        <v>436</v>
      </c>
      <c r="E839" s="1"/>
      <c r="F839"/>
      <c r="G839"/>
      <c r="H839" s="1" t="s">
        <v>3906</v>
      </c>
      <c r="I839" s="1" t="s">
        <v>3907</v>
      </c>
      <c r="J839" s="1" t="s">
        <v>18</v>
      </c>
      <c r="K839" s="1" t="s">
        <v>50</v>
      </c>
      <c r="L839" s="1">
        <v>33256</v>
      </c>
      <c r="M839" s="1">
        <v>34</v>
      </c>
      <c r="N839" s="1">
        <v>1500</v>
      </c>
      <c r="O839" s="1"/>
      <c r="P839" s="1">
        <v>2100</v>
      </c>
      <c r="Q839" s="1"/>
      <c r="R839" s="1">
        <v>600</v>
      </c>
      <c r="S839">
        <v>260000</v>
      </c>
      <c r="T839">
        <v>13039</v>
      </c>
      <c r="U839" t="s">
        <v>814</v>
      </c>
      <c r="V839">
        <v>23790</v>
      </c>
      <c r="W839" s="1">
        <v>46085</v>
      </c>
      <c r="X839" s="1" t="s">
        <v>55</v>
      </c>
      <c r="Y839" s="1" t="s">
        <v>51</v>
      </c>
      <c r="Z839" s="1" t="s">
        <v>3908</v>
      </c>
      <c r="AA839" s="1" t="s">
        <v>3909</v>
      </c>
      <c r="AB839" s="1" t="s">
        <v>3910</v>
      </c>
      <c r="AC839" s="1"/>
      <c r="AD839" s="1">
        <v>45554</v>
      </c>
      <c r="AE839" s="1">
        <v>45639</v>
      </c>
      <c r="AF839" s="1"/>
      <c r="AG839" s="1">
        <v>45554</v>
      </c>
      <c r="AH839" s="1" t="s">
        <v>3911</v>
      </c>
      <c r="AI839" s="1"/>
      <c r="AJ839" s="31">
        <v>45554</v>
      </c>
      <c r="AK839"/>
      <c r="AL839"/>
      <c r="AM839"/>
      <c r="AN839"/>
      <c r="AO839"/>
      <c r="AP839"/>
    </row>
    <row r="840" spans="1:42" s="81" customFormat="1" hidden="1">
      <c r="A840" s="1" t="s">
        <v>2542</v>
      </c>
      <c r="B840" s="1">
        <v>240915</v>
      </c>
      <c r="C840" s="1"/>
      <c r="D840" s="1" t="s">
        <v>436</v>
      </c>
      <c r="E840" s="1"/>
      <c r="F840"/>
      <c r="G840"/>
      <c r="H840" s="1" t="s">
        <v>3912</v>
      </c>
      <c r="I840" s="1" t="s">
        <v>3913</v>
      </c>
      <c r="J840" s="1" t="s">
        <v>18</v>
      </c>
      <c r="K840" s="1" t="s">
        <v>50</v>
      </c>
      <c r="L840" s="1">
        <v>37619</v>
      </c>
      <c r="M840" s="1">
        <v>22</v>
      </c>
      <c r="N840" s="1">
        <v>1500</v>
      </c>
      <c r="O840" s="1"/>
      <c r="P840" s="1">
        <v>2100</v>
      </c>
      <c r="Q840" s="1"/>
      <c r="R840" s="1">
        <v>600</v>
      </c>
      <c r="S840">
        <v>240000</v>
      </c>
      <c r="T840">
        <v>12036</v>
      </c>
      <c r="U840" t="s">
        <v>814</v>
      </c>
      <c r="V840">
        <v>21960</v>
      </c>
      <c r="W840" s="1">
        <v>47300</v>
      </c>
      <c r="X840" s="1" t="s">
        <v>55</v>
      </c>
      <c r="Y840" s="1" t="s">
        <v>51</v>
      </c>
      <c r="Z840" s="1" t="s">
        <v>3908</v>
      </c>
      <c r="AA840" s="1" t="s">
        <v>3909</v>
      </c>
      <c r="AB840" s="1" t="s">
        <v>3910</v>
      </c>
      <c r="AC840" s="1"/>
      <c r="AD840" s="1">
        <v>45554</v>
      </c>
      <c r="AE840" s="1">
        <v>45819</v>
      </c>
      <c r="AF840" s="1"/>
      <c r="AG840" s="1">
        <v>45554</v>
      </c>
      <c r="AH840" s="1" t="s">
        <v>3911</v>
      </c>
      <c r="AI840" s="1"/>
      <c r="AJ840" s="31">
        <v>45554</v>
      </c>
      <c r="AK840"/>
      <c r="AL840"/>
      <c r="AM840"/>
      <c r="AN840"/>
      <c r="AO840"/>
      <c r="AP840"/>
    </row>
    <row r="841" spans="1:42" s="81" customFormat="1" hidden="1">
      <c r="A841" s="1" t="s">
        <v>2542</v>
      </c>
      <c r="B841" s="1">
        <v>240916</v>
      </c>
      <c r="C841" s="1"/>
      <c r="D841" s="1" t="s">
        <v>436</v>
      </c>
      <c r="E841" s="1"/>
      <c r="F841"/>
      <c r="G841"/>
      <c r="H841" s="1" t="s">
        <v>3914</v>
      </c>
      <c r="I841" s="1" t="s">
        <v>3915</v>
      </c>
      <c r="J841" s="1" t="s">
        <v>18</v>
      </c>
      <c r="K841" s="1" t="s">
        <v>50</v>
      </c>
      <c r="L841" s="1">
        <v>36912</v>
      </c>
      <c r="M841" s="1">
        <v>24</v>
      </c>
      <c r="N841" s="1">
        <v>1300</v>
      </c>
      <c r="O841" s="1"/>
      <c r="P841" s="1">
        <v>2000</v>
      </c>
      <c r="Q841" s="1"/>
      <c r="R841" s="1">
        <v>700</v>
      </c>
      <c r="S841">
        <v>220000</v>
      </c>
      <c r="T841">
        <v>11033</v>
      </c>
      <c r="U841" t="s">
        <v>814</v>
      </c>
      <c r="V841">
        <v>20130</v>
      </c>
      <c r="W841" s="1">
        <v>46032</v>
      </c>
      <c r="X841" s="1" t="s">
        <v>55</v>
      </c>
      <c r="Y841" s="1" t="s">
        <v>51</v>
      </c>
      <c r="Z841" s="1" t="s">
        <v>3908</v>
      </c>
      <c r="AA841" s="1" t="s">
        <v>3909</v>
      </c>
      <c r="AB841" s="1" t="s">
        <v>3910</v>
      </c>
      <c r="AC841" s="1"/>
      <c r="AD841" s="1">
        <v>45554</v>
      </c>
      <c r="AE841" s="1">
        <v>45723</v>
      </c>
      <c r="AF841" s="1"/>
      <c r="AG841" s="1">
        <v>45554</v>
      </c>
      <c r="AH841" s="1" t="s">
        <v>3911</v>
      </c>
      <c r="AI841" s="1"/>
      <c r="AJ841" s="31">
        <v>45554</v>
      </c>
      <c r="AK841"/>
      <c r="AL841"/>
      <c r="AM841"/>
      <c r="AN841"/>
      <c r="AO841"/>
      <c r="AP841"/>
    </row>
    <row r="842" spans="1:42" s="81" customFormat="1" hidden="1">
      <c r="A842" s="1" t="s">
        <v>49</v>
      </c>
      <c r="B842" s="1">
        <v>241002</v>
      </c>
      <c r="C842" s="1">
        <v>8210106</v>
      </c>
      <c r="D842" s="1" t="s">
        <v>815</v>
      </c>
      <c r="E842" s="1" t="s">
        <v>4182</v>
      </c>
      <c r="F842" t="s">
        <v>4182</v>
      </c>
      <c r="G842"/>
      <c r="H842" s="1" t="s">
        <v>3916</v>
      </c>
      <c r="I842" s="1" t="s">
        <v>3917</v>
      </c>
      <c r="J842" s="1" t="s">
        <v>18</v>
      </c>
      <c r="K842" s="1" t="s">
        <v>404</v>
      </c>
      <c r="L842" s="1">
        <v>27190</v>
      </c>
      <c r="M842" s="1">
        <v>51</v>
      </c>
      <c r="N842" s="1">
        <v>1500</v>
      </c>
      <c r="O842" s="1"/>
      <c r="P842" s="1">
        <v>2150</v>
      </c>
      <c r="Q842" s="1"/>
      <c r="R842" s="1">
        <v>650</v>
      </c>
      <c r="S842">
        <v>320000</v>
      </c>
      <c r="T842">
        <v>16048</v>
      </c>
      <c r="U842">
        <v>2544</v>
      </c>
      <c r="V842">
        <v>29280</v>
      </c>
      <c r="W842" s="1">
        <v>46480</v>
      </c>
      <c r="X842" s="1" t="s">
        <v>55</v>
      </c>
      <c r="Y842" s="1" t="s">
        <v>60</v>
      </c>
      <c r="Z842" s="1" t="s">
        <v>3918</v>
      </c>
      <c r="AA842" s="1" t="s">
        <v>3919</v>
      </c>
      <c r="AB842" s="1" t="s">
        <v>3920</v>
      </c>
      <c r="AC842" s="1" t="s">
        <v>53</v>
      </c>
      <c r="AD842" s="1">
        <v>45566</v>
      </c>
      <c r="AE842" s="1"/>
      <c r="AF842" s="1"/>
      <c r="AG842" s="1">
        <v>45566</v>
      </c>
      <c r="AH842" s="1" t="s">
        <v>3952</v>
      </c>
      <c r="AI842" s="1"/>
      <c r="AJ842" s="31">
        <v>45566</v>
      </c>
      <c r="AK842"/>
      <c r="AL842"/>
      <c r="AM842"/>
      <c r="AN842"/>
      <c r="AO842"/>
      <c r="AP842"/>
    </row>
    <row r="843" spans="1:42" s="81" customFormat="1" hidden="1">
      <c r="A843" s="1" t="s">
        <v>49</v>
      </c>
      <c r="B843" s="1">
        <v>211109</v>
      </c>
      <c r="C843" s="1"/>
      <c r="D843" s="1" t="s">
        <v>436</v>
      </c>
      <c r="E843" s="1" t="s">
        <v>503</v>
      </c>
      <c r="F843" t="s">
        <v>4372</v>
      </c>
      <c r="G843" t="s">
        <v>4373</v>
      </c>
      <c r="H843" s="1" t="s">
        <v>520</v>
      </c>
      <c r="I843" s="1" t="s">
        <v>521</v>
      </c>
      <c r="J843" s="1" t="s">
        <v>18</v>
      </c>
      <c r="K843" s="1" t="s">
        <v>50</v>
      </c>
      <c r="L843" s="1">
        <v>32051</v>
      </c>
      <c r="M843" s="1">
        <v>38</v>
      </c>
      <c r="N843" s="1">
        <v>1600</v>
      </c>
      <c r="O843" s="1"/>
      <c r="P843" s="1">
        <v>2100</v>
      </c>
      <c r="Q843" s="1"/>
      <c r="R843" s="1">
        <v>500</v>
      </c>
      <c r="S843">
        <v>360000</v>
      </c>
      <c r="T843">
        <v>18054</v>
      </c>
      <c r="U843" t="s">
        <v>814</v>
      </c>
      <c r="V843">
        <v>32940</v>
      </c>
      <c r="W843" s="1">
        <v>46279</v>
      </c>
      <c r="X843" s="1" t="s">
        <v>55</v>
      </c>
      <c r="Y843" s="1" t="s">
        <v>51</v>
      </c>
      <c r="Z843" s="1" t="s">
        <v>504</v>
      </c>
      <c r="AA843" s="1" t="s">
        <v>505</v>
      </c>
      <c r="AB843" s="1" t="s">
        <v>523</v>
      </c>
      <c r="AC843" s="1"/>
      <c r="AD843" s="1">
        <v>45566</v>
      </c>
      <c r="AE843" s="1"/>
      <c r="AF843" s="1"/>
      <c r="AG843" s="1">
        <v>45566</v>
      </c>
      <c r="AH843" s="1" t="s">
        <v>3952</v>
      </c>
      <c r="AI843" s="1"/>
      <c r="AJ843" s="31">
        <v>45566</v>
      </c>
      <c r="AK843"/>
      <c r="AL843"/>
      <c r="AM843"/>
      <c r="AN843"/>
      <c r="AO843"/>
      <c r="AP843"/>
    </row>
    <row r="844" spans="1:42" s="81" customFormat="1" hidden="1">
      <c r="A844" s="1" t="s">
        <v>2542</v>
      </c>
      <c r="B844" s="1">
        <v>231120</v>
      </c>
      <c r="C844" s="1"/>
      <c r="D844" s="1" t="s">
        <v>1612</v>
      </c>
      <c r="E844" s="1"/>
      <c r="F844"/>
      <c r="G844"/>
      <c r="H844" s="1" t="s">
        <v>3740</v>
      </c>
      <c r="I844" s="1" t="s">
        <v>3741</v>
      </c>
      <c r="J844" s="1" t="s">
        <v>18</v>
      </c>
      <c r="K844" s="1" t="s">
        <v>50</v>
      </c>
      <c r="L844" s="1">
        <v>34858</v>
      </c>
      <c r="M844" s="1">
        <v>30</v>
      </c>
      <c r="N844" s="1">
        <v>1300</v>
      </c>
      <c r="O844" s="1"/>
      <c r="P844" s="1">
        <v>1900</v>
      </c>
      <c r="Q844" s="1"/>
      <c r="R844" s="1">
        <v>600</v>
      </c>
      <c r="S844">
        <v>240000</v>
      </c>
      <c r="T844">
        <v>12036</v>
      </c>
      <c r="U844" t="s">
        <v>814</v>
      </c>
      <c r="V844">
        <v>21960</v>
      </c>
      <c r="W844" s="1">
        <v>46420</v>
      </c>
      <c r="X844" s="1" t="s">
        <v>55</v>
      </c>
      <c r="Y844" s="1" t="s">
        <v>51</v>
      </c>
      <c r="Z844" s="1" t="s">
        <v>110</v>
      </c>
      <c r="AA844" s="1" t="s">
        <v>378</v>
      </c>
      <c r="AB844" s="1" t="s">
        <v>252</v>
      </c>
      <c r="AC844" s="1"/>
      <c r="AD844" s="1">
        <v>45566</v>
      </c>
      <c r="AE844" s="1">
        <v>45852</v>
      </c>
      <c r="AF844" s="1"/>
      <c r="AG844" s="1">
        <v>45566</v>
      </c>
      <c r="AH844" s="1" t="s">
        <v>3952</v>
      </c>
      <c r="AI844" s="1"/>
      <c r="AJ844" s="31">
        <v>45566</v>
      </c>
      <c r="AK844"/>
      <c r="AL844"/>
      <c r="AM844"/>
      <c r="AN844"/>
      <c r="AO844"/>
      <c r="AP844"/>
    </row>
    <row r="845" spans="1:42" s="81" customFormat="1" hidden="1">
      <c r="A845" s="1" t="s">
        <v>49</v>
      </c>
      <c r="B845" s="1">
        <v>241001</v>
      </c>
      <c r="C845" s="1"/>
      <c r="D845" s="1" t="s">
        <v>168</v>
      </c>
      <c r="E845" s="1"/>
      <c r="F845"/>
      <c r="G845"/>
      <c r="H845" s="1" t="s">
        <v>237</v>
      </c>
      <c r="I845" s="1" t="s">
        <v>3858</v>
      </c>
      <c r="J845" s="1" t="s">
        <v>18</v>
      </c>
      <c r="K845" s="1" t="s">
        <v>50</v>
      </c>
      <c r="L845" s="1">
        <v>35097</v>
      </c>
      <c r="M845" s="1">
        <v>29</v>
      </c>
      <c r="N845" s="1">
        <v>1400</v>
      </c>
      <c r="O845" s="1"/>
      <c r="P845" s="1">
        <v>2000</v>
      </c>
      <c r="Q845" s="1"/>
      <c r="R845" s="1">
        <v>600</v>
      </c>
      <c r="S845">
        <v>300000</v>
      </c>
      <c r="T845">
        <v>15045</v>
      </c>
      <c r="U845" t="s">
        <v>814</v>
      </c>
      <c r="V845">
        <v>27450</v>
      </c>
      <c r="W845" s="1">
        <v>46079</v>
      </c>
      <c r="X845" s="1">
        <v>84</v>
      </c>
      <c r="Y845" s="1" t="s">
        <v>51</v>
      </c>
      <c r="Z845" s="1" t="s">
        <v>3953</v>
      </c>
      <c r="AA845" s="1" t="s">
        <v>3954</v>
      </c>
      <c r="AB845" s="1" t="s">
        <v>3955</v>
      </c>
      <c r="AC845" s="1" t="s">
        <v>53</v>
      </c>
      <c r="AD845" s="1">
        <v>45566</v>
      </c>
      <c r="AE845" s="1"/>
      <c r="AF845" s="1"/>
      <c r="AG845" s="1">
        <v>45566</v>
      </c>
      <c r="AH845" s="1" t="s">
        <v>765</v>
      </c>
      <c r="AI845" s="1"/>
      <c r="AJ845" s="31">
        <v>45566</v>
      </c>
      <c r="AK845"/>
      <c r="AL845"/>
      <c r="AM845"/>
      <c r="AN845"/>
      <c r="AO845"/>
      <c r="AP845"/>
    </row>
    <row r="846" spans="1:42" s="81" customFormat="1">
      <c r="A846" s="1" t="s">
        <v>49</v>
      </c>
      <c r="B846" s="1">
        <v>240117</v>
      </c>
      <c r="C846" s="1">
        <v>242104</v>
      </c>
      <c r="D846" s="1" t="s">
        <v>69</v>
      </c>
      <c r="E846" s="1" t="s">
        <v>310</v>
      </c>
      <c r="F846" t="s">
        <v>737</v>
      </c>
      <c r="G846" t="s">
        <v>1093</v>
      </c>
      <c r="H846" s="1" t="s">
        <v>2028</v>
      </c>
      <c r="I846" s="1" t="s">
        <v>2029</v>
      </c>
      <c r="J846" s="1" t="s">
        <v>18</v>
      </c>
      <c r="K846" s="1" t="s">
        <v>50</v>
      </c>
      <c r="L846" s="1">
        <v>37354</v>
      </c>
      <c r="M846" s="1">
        <v>23</v>
      </c>
      <c r="N846" s="1">
        <v>1200</v>
      </c>
      <c r="O846" s="1"/>
      <c r="P846" s="1">
        <v>1700</v>
      </c>
      <c r="Q846" s="1"/>
      <c r="R846" s="1">
        <v>500</v>
      </c>
      <c r="S846">
        <v>260000</v>
      </c>
      <c r="T846">
        <v>13039</v>
      </c>
      <c r="U846" t="s">
        <v>814</v>
      </c>
      <c r="V846">
        <v>23790</v>
      </c>
      <c r="W846" s="1">
        <v>46058</v>
      </c>
      <c r="X846" s="1">
        <v>63</v>
      </c>
      <c r="Y846" s="1" t="s">
        <v>51</v>
      </c>
      <c r="Z846" s="1" t="s">
        <v>470</v>
      </c>
      <c r="AA846" s="1" t="s">
        <v>1483</v>
      </c>
      <c r="AB846" s="1" t="s">
        <v>1484</v>
      </c>
      <c r="AC846" s="1">
        <v>45314</v>
      </c>
      <c r="AD846" s="1">
        <v>45316</v>
      </c>
      <c r="AE846" s="1"/>
      <c r="AF846" s="1"/>
      <c r="AG846" s="1" t="s">
        <v>2171</v>
      </c>
      <c r="AH846" s="1" t="s">
        <v>2169</v>
      </c>
      <c r="AI846" s="1"/>
      <c r="AJ846" s="31">
        <v>45316</v>
      </c>
      <c r="AK846"/>
      <c r="AL846"/>
      <c r="AM846"/>
      <c r="AN846"/>
      <c r="AO846" t="s">
        <v>4165</v>
      </c>
      <c r="AP846"/>
    </row>
    <row r="847" spans="1:42" s="81" customFormat="1" hidden="1">
      <c r="A847" s="1" t="s">
        <v>49</v>
      </c>
      <c r="B847" s="1">
        <v>241004</v>
      </c>
      <c r="C847" s="1"/>
      <c r="D847" s="1" t="s">
        <v>447</v>
      </c>
      <c r="E847" s="1" t="s">
        <v>1270</v>
      </c>
      <c r="F847" t="s">
        <v>1271</v>
      </c>
      <c r="G847" t="s">
        <v>1267</v>
      </c>
      <c r="H847" s="1" t="s">
        <v>1291</v>
      </c>
      <c r="I847" s="1" t="s">
        <v>3923</v>
      </c>
      <c r="J847" s="1" t="s">
        <v>18</v>
      </c>
      <c r="K847" s="1" t="s">
        <v>50</v>
      </c>
      <c r="L847" s="1">
        <v>36903</v>
      </c>
      <c r="M847" s="1">
        <v>24</v>
      </c>
      <c r="N847" s="1">
        <v>1250</v>
      </c>
      <c r="O847" s="1"/>
      <c r="P847" s="1">
        <v>1700</v>
      </c>
      <c r="Q847" s="1"/>
      <c r="R847" s="1">
        <v>450</v>
      </c>
      <c r="S847">
        <v>260000</v>
      </c>
      <c r="T847">
        <v>13039</v>
      </c>
      <c r="U847" t="s">
        <v>814</v>
      </c>
      <c r="V847">
        <v>23790</v>
      </c>
      <c r="W847" s="1">
        <v>46295</v>
      </c>
      <c r="X847" s="1" t="s">
        <v>55</v>
      </c>
      <c r="Y847" s="1" t="s">
        <v>51</v>
      </c>
      <c r="Z847" s="1" t="s">
        <v>2505</v>
      </c>
      <c r="AA847" s="1" t="s">
        <v>2494</v>
      </c>
      <c r="AB847" s="1"/>
      <c r="AC847" s="1"/>
      <c r="AD847" s="1">
        <v>45568</v>
      </c>
      <c r="AE847" s="1"/>
      <c r="AF847" s="1"/>
      <c r="AG847" s="1">
        <v>45568</v>
      </c>
      <c r="AH847" s="1" t="s">
        <v>3952</v>
      </c>
      <c r="AI847" s="1"/>
      <c r="AJ847" s="31">
        <v>45568</v>
      </c>
      <c r="AK847"/>
      <c r="AL847"/>
      <c r="AM847"/>
      <c r="AN847"/>
      <c r="AO847"/>
      <c r="AP847"/>
    </row>
    <row r="848" spans="1:42" s="81" customFormat="1" hidden="1">
      <c r="A848" s="1" t="s">
        <v>49</v>
      </c>
      <c r="B848" s="1">
        <v>241005</v>
      </c>
      <c r="C848" s="1">
        <v>232148</v>
      </c>
      <c r="D848" s="1" t="s">
        <v>83</v>
      </c>
      <c r="E848" s="1" t="s">
        <v>307</v>
      </c>
      <c r="F848" t="s">
        <v>2251</v>
      </c>
      <c r="G848" t="s">
        <v>2252</v>
      </c>
      <c r="H848" s="1" t="s">
        <v>3927</v>
      </c>
      <c r="I848" s="1" t="s">
        <v>3928</v>
      </c>
      <c r="J848" s="1" t="s">
        <v>18</v>
      </c>
      <c r="K848" s="1" t="s">
        <v>50</v>
      </c>
      <c r="L848" s="1">
        <v>37362</v>
      </c>
      <c r="M848" s="1">
        <v>23</v>
      </c>
      <c r="N848" s="1">
        <v>1250</v>
      </c>
      <c r="O848" s="1"/>
      <c r="P848" s="1">
        <v>1670</v>
      </c>
      <c r="Q848" s="1"/>
      <c r="R848" s="1">
        <v>420</v>
      </c>
      <c r="S848">
        <v>220000</v>
      </c>
      <c r="T848">
        <v>11033</v>
      </c>
      <c r="U848" t="s">
        <v>814</v>
      </c>
      <c r="V848">
        <v>20130</v>
      </c>
      <c r="W848" s="1">
        <v>46295</v>
      </c>
      <c r="X848" s="1" t="s">
        <v>55</v>
      </c>
      <c r="Y848" s="1" t="s">
        <v>51</v>
      </c>
      <c r="Z848" s="1" t="s">
        <v>110</v>
      </c>
      <c r="AA848" s="1" t="s">
        <v>131</v>
      </c>
      <c r="AB848" s="1" t="s">
        <v>1870</v>
      </c>
      <c r="AC848" s="1"/>
      <c r="AD848" s="1">
        <v>45572</v>
      </c>
      <c r="AE848" s="1"/>
      <c r="AF848" s="1"/>
      <c r="AG848" s="1">
        <v>45572</v>
      </c>
      <c r="AH848" s="1" t="s">
        <v>765</v>
      </c>
      <c r="AI848" s="1"/>
      <c r="AJ848" s="31">
        <v>45572</v>
      </c>
      <c r="AK848"/>
      <c r="AL848"/>
      <c r="AM848"/>
      <c r="AN848"/>
      <c r="AO848"/>
      <c r="AP848"/>
    </row>
    <row r="849" spans="1:42" s="81" customFormat="1" hidden="1">
      <c r="A849" s="1" t="s">
        <v>2542</v>
      </c>
      <c r="B849" s="1">
        <v>241006</v>
      </c>
      <c r="C849" s="1"/>
      <c r="D849" s="1" t="s">
        <v>519</v>
      </c>
      <c r="E849" s="1"/>
      <c r="F849"/>
      <c r="G849"/>
      <c r="H849" s="1" t="s">
        <v>3956</v>
      </c>
      <c r="I849" s="1" t="s">
        <v>3957</v>
      </c>
      <c r="J849" s="1" t="s">
        <v>18</v>
      </c>
      <c r="K849" s="1" t="s">
        <v>50</v>
      </c>
      <c r="L849" s="1">
        <v>35000</v>
      </c>
      <c r="M849" s="1">
        <v>30</v>
      </c>
      <c r="N849" s="1">
        <v>1400</v>
      </c>
      <c r="O849" s="1"/>
      <c r="P849" s="1">
        <v>1900</v>
      </c>
      <c r="Q849" s="1"/>
      <c r="R849" s="1">
        <v>500</v>
      </c>
      <c r="S849">
        <v>260000</v>
      </c>
      <c r="T849">
        <v>13039</v>
      </c>
      <c r="U849" t="s">
        <v>814</v>
      </c>
      <c r="V849">
        <v>23790</v>
      </c>
      <c r="W849" s="1">
        <v>45838</v>
      </c>
      <c r="X849" s="1" t="s">
        <v>55</v>
      </c>
      <c r="Y849" s="1" t="s">
        <v>51</v>
      </c>
      <c r="Z849" s="1" t="s">
        <v>1739</v>
      </c>
      <c r="AA849" s="1" t="s">
        <v>1740</v>
      </c>
      <c r="AB849" s="1" t="s">
        <v>1741</v>
      </c>
      <c r="AC849" s="1"/>
      <c r="AD849" s="1">
        <v>45582</v>
      </c>
      <c r="AE849" s="1">
        <v>45819</v>
      </c>
      <c r="AF849" s="1"/>
      <c r="AG849" s="1">
        <v>45582</v>
      </c>
      <c r="AH849" s="1" t="s">
        <v>3958</v>
      </c>
      <c r="AI849" s="1"/>
      <c r="AJ849" s="31">
        <v>45582</v>
      </c>
      <c r="AK849"/>
      <c r="AL849"/>
      <c r="AM849"/>
      <c r="AN849"/>
      <c r="AO849"/>
      <c r="AP849"/>
    </row>
    <row r="850" spans="1:42" s="81" customFormat="1">
      <c r="A850" s="1" t="s">
        <v>49</v>
      </c>
      <c r="B850" s="1">
        <v>220907</v>
      </c>
      <c r="C850" s="1">
        <v>222053</v>
      </c>
      <c r="D850" s="1" t="s">
        <v>62</v>
      </c>
      <c r="E850" s="1" t="s">
        <v>2469</v>
      </c>
      <c r="F850" t="s">
        <v>753</v>
      </c>
      <c r="G850" t="s">
        <v>388</v>
      </c>
      <c r="H850" s="1" t="s">
        <v>3508</v>
      </c>
      <c r="I850" s="1" t="s">
        <v>668</v>
      </c>
      <c r="J850" s="1" t="s">
        <v>18</v>
      </c>
      <c r="K850" s="1" t="s">
        <v>404</v>
      </c>
      <c r="L850" s="1">
        <v>26057</v>
      </c>
      <c r="M850" s="1">
        <v>54</v>
      </c>
      <c r="N850" s="1">
        <v>1410</v>
      </c>
      <c r="O850" s="1"/>
      <c r="P850" s="1">
        <v>1810</v>
      </c>
      <c r="Q850" s="1"/>
      <c r="R850" s="1">
        <v>400</v>
      </c>
      <c r="S850">
        <v>340000</v>
      </c>
      <c r="T850">
        <v>17051</v>
      </c>
      <c r="U850">
        <v>2703</v>
      </c>
      <c r="V850">
        <v>31110</v>
      </c>
      <c r="W850" s="1">
        <v>47404</v>
      </c>
      <c r="X850" s="1" t="s">
        <v>55</v>
      </c>
      <c r="Y850" s="1" t="s">
        <v>60</v>
      </c>
      <c r="Z850" s="1" t="s">
        <v>669</v>
      </c>
      <c r="AA850" s="1" t="s">
        <v>670</v>
      </c>
      <c r="AB850" s="1"/>
      <c r="AC850" s="1" t="s">
        <v>53</v>
      </c>
      <c r="AD850" s="1">
        <v>44816</v>
      </c>
      <c r="AE850" s="1"/>
      <c r="AF850" s="1"/>
      <c r="AG850" s="1" t="s">
        <v>352</v>
      </c>
      <c r="AH850" s="1" t="s">
        <v>757</v>
      </c>
      <c r="AI850" s="1"/>
      <c r="AJ850" s="31">
        <v>44816</v>
      </c>
      <c r="AK850"/>
      <c r="AL850"/>
      <c r="AM850"/>
      <c r="AN850"/>
      <c r="AO850"/>
      <c r="AP850"/>
    </row>
    <row r="851" spans="1:42" hidden="1">
      <c r="A851" s="1" t="s">
        <v>49</v>
      </c>
      <c r="B851" s="1">
        <v>241009</v>
      </c>
      <c r="C851" s="1">
        <v>232149</v>
      </c>
      <c r="D851" s="1" t="s">
        <v>83</v>
      </c>
      <c r="E851" s="1" t="s">
        <v>307</v>
      </c>
      <c r="F851" t="s">
        <v>2251</v>
      </c>
      <c r="G851" t="s">
        <v>2252</v>
      </c>
      <c r="H851" s="1" t="s">
        <v>3964</v>
      </c>
      <c r="I851" s="1" t="s">
        <v>3965</v>
      </c>
      <c r="J851" s="1" t="s">
        <v>18</v>
      </c>
      <c r="K851" s="1" t="s">
        <v>50</v>
      </c>
      <c r="L851" s="1">
        <v>36903</v>
      </c>
      <c r="M851" s="1">
        <v>24</v>
      </c>
      <c r="N851" s="1">
        <v>1250</v>
      </c>
      <c r="P851" s="1">
        <v>1670</v>
      </c>
      <c r="Q851" s="1"/>
      <c r="R851" s="1">
        <v>420</v>
      </c>
      <c r="S851">
        <v>240000</v>
      </c>
      <c r="T851">
        <v>12036</v>
      </c>
      <c r="U851" t="s">
        <v>814</v>
      </c>
      <c r="V851">
        <v>21960</v>
      </c>
      <c r="W851" s="1">
        <v>46316</v>
      </c>
      <c r="X851" s="1" t="s">
        <v>55</v>
      </c>
      <c r="Y851" s="1" t="s">
        <v>51</v>
      </c>
      <c r="Z851" s="1" t="s">
        <v>211</v>
      </c>
      <c r="AA851" s="1" t="s">
        <v>3074</v>
      </c>
      <c r="AB851" s="1" t="s">
        <v>4388</v>
      </c>
      <c r="AC851" s="1" t="s">
        <v>53</v>
      </c>
      <c r="AD851" s="1">
        <v>45586</v>
      </c>
      <c r="AE851" s="1"/>
      <c r="AF851" s="1"/>
      <c r="AG851" s="1">
        <v>45586</v>
      </c>
      <c r="AH851" s="1" t="s">
        <v>803</v>
      </c>
      <c r="AI851" s="1"/>
      <c r="AJ851" s="31">
        <v>45586</v>
      </c>
      <c r="AK851"/>
      <c r="AL851"/>
      <c r="AM851"/>
      <c r="AN851"/>
      <c r="AO851"/>
      <c r="AP851"/>
    </row>
    <row r="852" spans="1:42" hidden="1">
      <c r="A852" s="1" t="s">
        <v>2542</v>
      </c>
      <c r="B852" s="1">
        <v>241008</v>
      </c>
      <c r="C852" s="1">
        <v>5650</v>
      </c>
      <c r="D852" s="1" t="s">
        <v>846</v>
      </c>
      <c r="E852" s="1" t="s">
        <v>1232</v>
      </c>
      <c r="F852" t="s">
        <v>1237</v>
      </c>
      <c r="G852" t="s">
        <v>1514</v>
      </c>
      <c r="H852" s="1" t="s">
        <v>3823</v>
      </c>
      <c r="I852" s="1" t="s">
        <v>3924</v>
      </c>
      <c r="J852" s="1" t="s">
        <v>18</v>
      </c>
      <c r="K852" s="1" t="s">
        <v>50</v>
      </c>
      <c r="L852" s="1">
        <v>33287</v>
      </c>
      <c r="M852" s="1">
        <v>34</v>
      </c>
      <c r="N852" s="1">
        <v>1300</v>
      </c>
      <c r="P852" s="1">
        <v>1700</v>
      </c>
      <c r="Q852" s="1"/>
      <c r="R852" s="1">
        <v>400</v>
      </c>
      <c r="S852">
        <v>240000</v>
      </c>
      <c r="T852">
        <v>12036</v>
      </c>
      <c r="U852" t="s">
        <v>814</v>
      </c>
      <c r="V852">
        <v>21960</v>
      </c>
      <c r="W852" s="1">
        <v>46168</v>
      </c>
      <c r="X852" s="1" t="s">
        <v>55</v>
      </c>
      <c r="Y852" s="1" t="s">
        <v>51</v>
      </c>
      <c r="Z852" s="1" t="s">
        <v>3961</v>
      </c>
      <c r="AA852" s="1" t="s">
        <v>3962</v>
      </c>
      <c r="AB852" s="1" t="s">
        <v>3963</v>
      </c>
      <c r="AC852" s="1"/>
      <c r="AD852" s="1">
        <v>45586</v>
      </c>
      <c r="AE852" s="1">
        <v>45868</v>
      </c>
      <c r="AF852" s="1"/>
      <c r="AG852" s="1">
        <v>45586</v>
      </c>
      <c r="AH852" s="1" t="s">
        <v>1590</v>
      </c>
      <c r="AI852" s="1"/>
      <c r="AJ852" s="31">
        <v>45586</v>
      </c>
      <c r="AK852"/>
      <c r="AL852"/>
      <c r="AM852"/>
      <c r="AN852"/>
      <c r="AO852"/>
      <c r="AP852"/>
    </row>
    <row r="853" spans="1:42" hidden="1">
      <c r="A853" s="1" t="s">
        <v>49</v>
      </c>
      <c r="B853" s="1">
        <v>241010</v>
      </c>
      <c r="C853" s="1">
        <v>232150</v>
      </c>
      <c r="D853" s="1" t="s">
        <v>83</v>
      </c>
      <c r="E853" s="1" t="s">
        <v>311</v>
      </c>
      <c r="F853" t="s">
        <v>2253</v>
      </c>
      <c r="G853" t="s">
        <v>364</v>
      </c>
      <c r="H853" s="1" t="s">
        <v>3925</v>
      </c>
      <c r="I853" s="1" t="s">
        <v>3926</v>
      </c>
      <c r="J853" s="1" t="s">
        <v>17</v>
      </c>
      <c r="K853" s="1" t="s">
        <v>50</v>
      </c>
      <c r="L853" s="1">
        <v>34817</v>
      </c>
      <c r="M853" s="1">
        <v>30</v>
      </c>
      <c r="N853" s="1">
        <v>1300</v>
      </c>
      <c r="P853" s="1">
        <v>1680</v>
      </c>
      <c r="Q853" s="1"/>
      <c r="R853" s="1">
        <v>380</v>
      </c>
      <c r="S853">
        <v>200000</v>
      </c>
      <c r="T853">
        <v>10030</v>
      </c>
      <c r="U853" t="s">
        <v>814</v>
      </c>
      <c r="V853">
        <v>18300</v>
      </c>
      <c r="W853" s="1">
        <v>46137</v>
      </c>
      <c r="X853" s="1" t="s">
        <v>55</v>
      </c>
      <c r="Y853" s="1" t="s">
        <v>51</v>
      </c>
      <c r="Z853" s="1" t="s">
        <v>110</v>
      </c>
      <c r="AA853" s="1" t="s">
        <v>131</v>
      </c>
      <c r="AB853" s="1" t="s">
        <v>3966</v>
      </c>
      <c r="AC853" s="1"/>
      <c r="AD853" s="1">
        <v>45588</v>
      </c>
      <c r="AE853" s="1"/>
      <c r="AF853" s="1"/>
      <c r="AG853" s="1">
        <v>45588</v>
      </c>
      <c r="AH853" s="1" t="s">
        <v>3566</v>
      </c>
      <c r="AI853" s="1"/>
      <c r="AJ853" s="31">
        <v>45588</v>
      </c>
      <c r="AK853"/>
      <c r="AL853"/>
      <c r="AM853"/>
      <c r="AN853"/>
      <c r="AO853"/>
      <c r="AP853"/>
    </row>
    <row r="854" spans="1:42" hidden="1">
      <c r="A854" s="1" t="s">
        <v>49</v>
      </c>
      <c r="B854" s="1">
        <v>211016</v>
      </c>
      <c r="C854" s="1">
        <v>60051</v>
      </c>
      <c r="D854" s="1" t="s">
        <v>168</v>
      </c>
      <c r="E854" s="1" t="s">
        <v>169</v>
      </c>
      <c r="F854"/>
      <c r="G854"/>
      <c r="H854" s="1" t="s">
        <v>170</v>
      </c>
      <c r="I854" s="1" t="s">
        <v>171</v>
      </c>
      <c r="J854" s="1" t="s">
        <v>18</v>
      </c>
      <c r="K854" s="1" t="s">
        <v>50</v>
      </c>
      <c r="L854" s="1">
        <v>34043</v>
      </c>
      <c r="M854" s="1">
        <v>32</v>
      </c>
      <c r="N854" s="1">
        <v>1450</v>
      </c>
      <c r="P854" s="1">
        <v>2000</v>
      </c>
      <c r="Q854" s="1"/>
      <c r="R854" s="1">
        <v>550</v>
      </c>
      <c r="S854">
        <v>280000</v>
      </c>
      <c r="T854">
        <v>14042</v>
      </c>
      <c r="U854" t="s">
        <v>814</v>
      </c>
      <c r="V854">
        <v>25620</v>
      </c>
      <c r="W854" s="1">
        <v>46805</v>
      </c>
      <c r="X854" s="1" t="s">
        <v>55</v>
      </c>
      <c r="Y854" s="1" t="s">
        <v>51</v>
      </c>
      <c r="Z854" s="1" t="s">
        <v>1357</v>
      </c>
      <c r="AA854" s="1" t="s">
        <v>1358</v>
      </c>
      <c r="AB854" s="1" t="s">
        <v>1359</v>
      </c>
      <c r="AC854" s="1" t="s">
        <v>53</v>
      </c>
      <c r="AD854" s="1">
        <v>45597</v>
      </c>
      <c r="AE854" s="1"/>
      <c r="AF854" s="1"/>
      <c r="AG854" s="1">
        <v>45597</v>
      </c>
      <c r="AH854" s="1" t="s">
        <v>803</v>
      </c>
      <c r="AI854" s="1"/>
      <c r="AJ854" s="31">
        <v>45597</v>
      </c>
      <c r="AK854"/>
      <c r="AL854"/>
      <c r="AM854"/>
      <c r="AN854"/>
      <c r="AO854"/>
      <c r="AP854"/>
    </row>
    <row r="855" spans="1:42" hidden="1">
      <c r="A855" s="1" t="s">
        <v>49</v>
      </c>
      <c r="B855" s="1">
        <v>231101</v>
      </c>
      <c r="D855" s="1" t="s">
        <v>813</v>
      </c>
      <c r="E855" s="1" t="s">
        <v>1065</v>
      </c>
      <c r="F855" t="s">
        <v>1884</v>
      </c>
      <c r="G855" t="s">
        <v>1871</v>
      </c>
      <c r="H855" s="1" t="s">
        <v>1554</v>
      </c>
      <c r="I855" s="1" t="s">
        <v>1555</v>
      </c>
      <c r="J855" s="1" t="s">
        <v>18</v>
      </c>
      <c r="K855" s="1" t="s">
        <v>50</v>
      </c>
      <c r="L855" s="1">
        <v>33417</v>
      </c>
      <c r="M855" s="1">
        <v>34</v>
      </c>
      <c r="N855" s="1">
        <v>1300</v>
      </c>
      <c r="P855" s="1">
        <v>1800</v>
      </c>
      <c r="Q855" s="1"/>
      <c r="R855" s="1">
        <v>500</v>
      </c>
      <c r="S855">
        <v>240000</v>
      </c>
      <c r="T855">
        <v>12036</v>
      </c>
      <c r="U855" t="s">
        <v>814</v>
      </c>
      <c r="V855">
        <v>21960</v>
      </c>
      <c r="W855" s="1">
        <v>46170</v>
      </c>
      <c r="X855" s="1" t="s">
        <v>55</v>
      </c>
      <c r="Y855" s="1" t="s">
        <v>51</v>
      </c>
      <c r="Z855" s="1" t="s">
        <v>52</v>
      </c>
      <c r="AA855" s="1" t="s">
        <v>1384</v>
      </c>
      <c r="AB855" s="1" t="s">
        <v>1385</v>
      </c>
      <c r="AC855" s="1"/>
      <c r="AD855" s="1">
        <v>45597</v>
      </c>
      <c r="AE855" s="1"/>
      <c r="AF855" s="1"/>
      <c r="AG855" s="1">
        <v>45597</v>
      </c>
      <c r="AH855" s="1" t="s">
        <v>1590</v>
      </c>
      <c r="AI855" s="1"/>
      <c r="AJ855" s="31">
        <v>45597</v>
      </c>
      <c r="AK855"/>
      <c r="AL855"/>
      <c r="AM855"/>
      <c r="AN855"/>
      <c r="AO855"/>
      <c r="AP855" t="s">
        <v>4003</v>
      </c>
    </row>
    <row r="856" spans="1:42" hidden="1">
      <c r="A856" s="1" t="s">
        <v>49</v>
      </c>
      <c r="B856" s="1">
        <v>210422</v>
      </c>
      <c r="C856" s="1">
        <v>8210113</v>
      </c>
      <c r="D856" s="1" t="s">
        <v>818</v>
      </c>
      <c r="E856" s="1" t="s">
        <v>4168</v>
      </c>
      <c r="F856" t="s">
        <v>4168</v>
      </c>
      <c r="G856" t="s">
        <v>1068</v>
      </c>
      <c r="H856" s="1" t="s">
        <v>2809</v>
      </c>
      <c r="I856" s="1" t="s">
        <v>2810</v>
      </c>
      <c r="J856" s="1" t="s">
        <v>18</v>
      </c>
      <c r="K856" s="1" t="s">
        <v>50</v>
      </c>
      <c r="L856" s="1">
        <v>32470</v>
      </c>
      <c r="M856" s="1">
        <v>37</v>
      </c>
      <c r="N856" s="1">
        <v>1500</v>
      </c>
      <c r="P856" s="1">
        <v>2150</v>
      </c>
      <c r="Q856" s="1"/>
      <c r="R856" s="1">
        <v>650</v>
      </c>
      <c r="S856">
        <v>360000</v>
      </c>
      <c r="T856">
        <v>18054</v>
      </c>
      <c r="U856" t="s">
        <v>814</v>
      </c>
      <c r="V856">
        <v>32940</v>
      </c>
      <c r="W856" s="1">
        <v>46161</v>
      </c>
      <c r="X856" s="1" t="s">
        <v>55</v>
      </c>
      <c r="Y856" s="1" t="s">
        <v>51</v>
      </c>
      <c r="Z856" s="1" t="s">
        <v>2751</v>
      </c>
      <c r="AA856" s="1" t="s">
        <v>2752</v>
      </c>
      <c r="AB856" s="1" t="s">
        <v>2753</v>
      </c>
      <c r="AC856" s="1" t="s">
        <v>53</v>
      </c>
      <c r="AD856" s="1">
        <v>45597</v>
      </c>
      <c r="AE856" s="1"/>
      <c r="AF856" s="1"/>
      <c r="AG856" s="1">
        <v>45597</v>
      </c>
      <c r="AH856" s="1" t="s">
        <v>1590</v>
      </c>
      <c r="AI856" s="1"/>
      <c r="AJ856" s="31">
        <v>45597</v>
      </c>
      <c r="AK856"/>
      <c r="AL856"/>
      <c r="AM856"/>
      <c r="AN856"/>
      <c r="AO856"/>
      <c r="AP856" t="s">
        <v>4002</v>
      </c>
    </row>
    <row r="857" spans="1:42">
      <c r="A857" s="1" t="s">
        <v>49</v>
      </c>
      <c r="B857" s="1">
        <v>250604</v>
      </c>
      <c r="C857" s="1">
        <v>212056</v>
      </c>
      <c r="D857" s="1" t="s">
        <v>75</v>
      </c>
      <c r="E857" s="1" t="s">
        <v>2270</v>
      </c>
      <c r="F857" t="s">
        <v>753</v>
      </c>
      <c r="G857" t="s">
        <v>388</v>
      </c>
      <c r="H857" s="1" t="s">
        <v>4299</v>
      </c>
      <c r="I857" s="1" t="s">
        <v>4306</v>
      </c>
      <c r="J857" s="1" t="s">
        <v>17</v>
      </c>
      <c r="K857" s="1" t="s">
        <v>137</v>
      </c>
      <c r="L857" s="1">
        <v>28403</v>
      </c>
      <c r="M857" s="1">
        <v>48</v>
      </c>
      <c r="N857" s="1">
        <v>1400</v>
      </c>
      <c r="P857" s="1">
        <v>1750</v>
      </c>
      <c r="Q857" s="1"/>
      <c r="R857" s="1">
        <v>350</v>
      </c>
      <c r="S857">
        <v>240000</v>
      </c>
      <c r="T857">
        <v>12036</v>
      </c>
      <c r="U857">
        <v>1908</v>
      </c>
      <c r="V857">
        <v>21960</v>
      </c>
      <c r="W857" s="1"/>
      <c r="X857" s="1" t="s">
        <v>55</v>
      </c>
      <c r="Y857" s="1"/>
      <c r="Z857" s="1" t="s">
        <v>91</v>
      </c>
      <c r="AA857" s="1" t="s">
        <v>4391</v>
      </c>
      <c r="AB857" s="1" t="s">
        <v>4392</v>
      </c>
      <c r="AC857" s="1" t="s">
        <v>53</v>
      </c>
      <c r="AD857" s="1">
        <v>45812</v>
      </c>
      <c r="AE857" s="1"/>
      <c r="AF857" s="1"/>
      <c r="AG857" s="1">
        <v>45812</v>
      </c>
      <c r="AH857" s="1" t="s">
        <v>4393</v>
      </c>
      <c r="AI857" s="1"/>
      <c r="AJ857" s="31">
        <v>45812</v>
      </c>
      <c r="AK857"/>
      <c r="AL857"/>
      <c r="AM857"/>
      <c r="AN857"/>
      <c r="AO857"/>
      <c r="AP857"/>
    </row>
    <row r="858" spans="1:42" hidden="1">
      <c r="A858" s="1" t="s">
        <v>49</v>
      </c>
      <c r="B858" s="1">
        <v>241102</v>
      </c>
      <c r="C858" s="1">
        <v>232153</v>
      </c>
      <c r="D858" s="1" t="s">
        <v>83</v>
      </c>
      <c r="E858" s="1" t="s">
        <v>311</v>
      </c>
      <c r="F858" t="s">
        <v>2253</v>
      </c>
      <c r="G858" t="s">
        <v>364</v>
      </c>
      <c r="H858" s="1" t="s">
        <v>3969</v>
      </c>
      <c r="I858" s="1" t="s">
        <v>3970</v>
      </c>
      <c r="J858" s="1" t="s">
        <v>18</v>
      </c>
      <c r="K858" s="1" t="s">
        <v>50</v>
      </c>
      <c r="L858" s="1">
        <v>36815</v>
      </c>
      <c r="M858" s="1">
        <v>25</v>
      </c>
      <c r="N858" s="1">
        <v>1260</v>
      </c>
      <c r="P858" s="1">
        <v>1670</v>
      </c>
      <c r="Q858" s="1"/>
      <c r="R858" s="1">
        <v>410</v>
      </c>
      <c r="S858">
        <v>220000</v>
      </c>
      <c r="T858">
        <v>11033</v>
      </c>
      <c r="U858" t="s">
        <v>814</v>
      </c>
      <c r="V858">
        <v>20130</v>
      </c>
      <c r="W858" s="1">
        <v>46325</v>
      </c>
      <c r="X858" s="1" t="s">
        <v>55</v>
      </c>
      <c r="Y858" s="1" t="s">
        <v>51</v>
      </c>
      <c r="Z858" s="1" t="s">
        <v>110</v>
      </c>
      <c r="AA858" s="1" t="s">
        <v>111</v>
      </c>
      <c r="AB858" s="1" t="s">
        <v>3971</v>
      </c>
      <c r="AC858" s="1"/>
      <c r="AD858" s="1">
        <v>45602</v>
      </c>
      <c r="AE858" s="1"/>
      <c r="AF858" s="1"/>
      <c r="AG858" s="1">
        <v>45602</v>
      </c>
      <c r="AH858" s="1" t="s">
        <v>1590</v>
      </c>
      <c r="AI858" s="1"/>
      <c r="AJ858" s="31">
        <v>45602</v>
      </c>
      <c r="AK858"/>
      <c r="AL858"/>
      <c r="AM858"/>
      <c r="AN858"/>
      <c r="AO858"/>
      <c r="AP858"/>
    </row>
    <row r="859" spans="1:42" hidden="1">
      <c r="A859" s="1" t="s">
        <v>49</v>
      </c>
      <c r="B859" s="1">
        <v>241103</v>
      </c>
      <c r="C859" s="1">
        <v>232152</v>
      </c>
      <c r="D859" s="1" t="s">
        <v>83</v>
      </c>
      <c r="E859" s="1" t="s">
        <v>307</v>
      </c>
      <c r="F859" t="s">
        <v>2251</v>
      </c>
      <c r="G859" t="s">
        <v>2252</v>
      </c>
      <c r="H859" s="1" t="s">
        <v>3972</v>
      </c>
      <c r="I859" s="1" t="s">
        <v>3973</v>
      </c>
      <c r="J859" s="1" t="s">
        <v>18</v>
      </c>
      <c r="K859" s="1" t="s">
        <v>50</v>
      </c>
      <c r="L859" s="1">
        <v>37216</v>
      </c>
      <c r="M859" s="1">
        <v>24</v>
      </c>
      <c r="N859" s="1">
        <v>1250</v>
      </c>
      <c r="P859" s="1">
        <v>1670</v>
      </c>
      <c r="Q859" s="1"/>
      <c r="R859" s="1">
        <v>420</v>
      </c>
      <c r="S859">
        <v>240000</v>
      </c>
      <c r="T859">
        <v>12036</v>
      </c>
      <c r="U859" t="s">
        <v>814</v>
      </c>
      <c r="V859">
        <v>21960</v>
      </c>
      <c r="W859" s="1">
        <v>46325</v>
      </c>
      <c r="X859" s="1" t="s">
        <v>55</v>
      </c>
      <c r="Y859" s="1" t="s">
        <v>51</v>
      </c>
      <c r="Z859" s="1" t="s">
        <v>110</v>
      </c>
      <c r="AA859" s="1" t="s">
        <v>2299</v>
      </c>
      <c r="AB859" s="1" t="s">
        <v>3974</v>
      </c>
      <c r="AC859" s="1"/>
      <c r="AD859" s="1">
        <v>45602</v>
      </c>
      <c r="AE859" s="1"/>
      <c r="AF859" s="1"/>
      <c r="AG859" s="1">
        <v>45602</v>
      </c>
      <c r="AH859" s="1" t="s">
        <v>1590</v>
      </c>
      <c r="AI859" s="1"/>
      <c r="AJ859" s="31">
        <v>45602</v>
      </c>
      <c r="AK859"/>
      <c r="AL859"/>
      <c r="AM859"/>
      <c r="AN859"/>
      <c r="AO859"/>
      <c r="AP859"/>
    </row>
    <row r="860" spans="1:42" hidden="1">
      <c r="A860" s="1" t="s">
        <v>49</v>
      </c>
      <c r="B860" s="1">
        <v>241104</v>
      </c>
      <c r="C860" s="1">
        <v>232154</v>
      </c>
      <c r="D860" s="1" t="s">
        <v>83</v>
      </c>
      <c r="E860" s="1" t="s">
        <v>307</v>
      </c>
      <c r="F860" t="s">
        <v>2251</v>
      </c>
      <c r="G860" t="s">
        <v>2252</v>
      </c>
      <c r="H860" s="1" t="s">
        <v>3573</v>
      </c>
      <c r="I860" s="1" t="s">
        <v>3574</v>
      </c>
      <c r="J860" s="1" t="s">
        <v>18</v>
      </c>
      <c r="K860" s="1" t="s">
        <v>50</v>
      </c>
      <c r="L860" s="1">
        <v>37057</v>
      </c>
      <c r="M860" s="1">
        <v>24</v>
      </c>
      <c r="N860" s="1">
        <v>1250</v>
      </c>
      <c r="P860" s="1">
        <v>1660</v>
      </c>
      <c r="Q860" s="1"/>
      <c r="R860" s="1">
        <v>410</v>
      </c>
      <c r="S860">
        <v>220000</v>
      </c>
      <c r="T860">
        <v>11033</v>
      </c>
      <c r="U860" t="s">
        <v>814</v>
      </c>
      <c r="V860">
        <v>20130</v>
      </c>
      <c r="W860" s="1">
        <v>46325</v>
      </c>
      <c r="X860" s="1" t="s">
        <v>55</v>
      </c>
      <c r="Y860" s="1" t="s">
        <v>51</v>
      </c>
      <c r="Z860" s="1" t="s">
        <v>110</v>
      </c>
      <c r="AA860" s="1" t="s">
        <v>111</v>
      </c>
      <c r="AB860" s="1" t="s">
        <v>3971</v>
      </c>
      <c r="AC860" s="1"/>
      <c r="AD860" s="1">
        <v>45602</v>
      </c>
      <c r="AE860" s="1"/>
      <c r="AF860" s="1"/>
      <c r="AG860" s="1">
        <v>45602</v>
      </c>
      <c r="AH860" s="1" t="s">
        <v>1590</v>
      </c>
      <c r="AI860" s="1"/>
      <c r="AJ860" s="31">
        <v>45602</v>
      </c>
      <c r="AK860"/>
      <c r="AL860"/>
      <c r="AM860"/>
      <c r="AN860"/>
      <c r="AO860"/>
      <c r="AP860"/>
    </row>
    <row r="861" spans="1:42" hidden="1">
      <c r="A861" s="1" t="s">
        <v>49</v>
      </c>
      <c r="B861" s="1">
        <v>241105</v>
      </c>
      <c r="C861" s="1">
        <v>232151</v>
      </c>
      <c r="D861" s="1" t="s">
        <v>83</v>
      </c>
      <c r="E861" s="1" t="s">
        <v>309</v>
      </c>
      <c r="F861" t="s">
        <v>365</v>
      </c>
      <c r="G861" t="s">
        <v>2241</v>
      </c>
      <c r="H861" s="1" t="s">
        <v>1472</v>
      </c>
      <c r="I861" s="1" t="s">
        <v>3975</v>
      </c>
      <c r="J861" s="1" t="s">
        <v>18</v>
      </c>
      <c r="K861" s="1" t="s">
        <v>50</v>
      </c>
      <c r="L861" s="1">
        <v>37208</v>
      </c>
      <c r="M861" s="1">
        <v>24</v>
      </c>
      <c r="N861" s="1">
        <v>1250</v>
      </c>
      <c r="P861" s="1">
        <v>1670</v>
      </c>
      <c r="Q861" s="1"/>
      <c r="R861" s="1">
        <v>420</v>
      </c>
      <c r="S861">
        <v>240000</v>
      </c>
      <c r="T861">
        <v>12036</v>
      </c>
      <c r="U861" t="s">
        <v>814</v>
      </c>
      <c r="V861">
        <v>21960</v>
      </c>
      <c r="W861" s="1">
        <v>46325</v>
      </c>
      <c r="X861" s="1" t="s">
        <v>55</v>
      </c>
      <c r="Y861" s="1" t="s">
        <v>51</v>
      </c>
      <c r="Z861" s="1" t="s">
        <v>110</v>
      </c>
      <c r="AA861" s="1" t="s">
        <v>2299</v>
      </c>
      <c r="AB861" s="1" t="s">
        <v>3974</v>
      </c>
      <c r="AC861" s="1"/>
      <c r="AD861" s="1">
        <v>45602</v>
      </c>
      <c r="AE861" s="1"/>
      <c r="AF861" s="1"/>
      <c r="AG861" s="1">
        <v>45602</v>
      </c>
      <c r="AH861" s="1" t="s">
        <v>1590</v>
      </c>
      <c r="AI861" s="1"/>
      <c r="AJ861" s="31">
        <v>45602</v>
      </c>
      <c r="AK861"/>
      <c r="AL861"/>
      <c r="AM861"/>
      <c r="AN861"/>
      <c r="AO861"/>
      <c r="AP861"/>
    </row>
    <row r="862" spans="1:42" hidden="1">
      <c r="A862" s="1" t="s">
        <v>49</v>
      </c>
      <c r="B862" s="1">
        <v>241106</v>
      </c>
      <c r="C862" s="1">
        <v>232155</v>
      </c>
      <c r="D862" s="1" t="s">
        <v>83</v>
      </c>
      <c r="E862" s="1" t="s">
        <v>307</v>
      </c>
      <c r="F862" t="s">
        <v>2251</v>
      </c>
      <c r="G862" t="s">
        <v>2252</v>
      </c>
      <c r="H862" s="1" t="s">
        <v>3976</v>
      </c>
      <c r="I862" s="1" t="s">
        <v>3977</v>
      </c>
      <c r="J862" s="1" t="s">
        <v>18</v>
      </c>
      <c r="K862" s="1" t="s">
        <v>50</v>
      </c>
      <c r="L862" s="1">
        <v>36818</v>
      </c>
      <c r="M862" s="1">
        <v>25</v>
      </c>
      <c r="N862" s="1">
        <v>1250</v>
      </c>
      <c r="P862" s="1">
        <v>1660</v>
      </c>
      <c r="Q862" s="1"/>
      <c r="R862" s="1">
        <v>410</v>
      </c>
      <c r="S862">
        <v>200000</v>
      </c>
      <c r="T862">
        <v>10030</v>
      </c>
      <c r="U862" t="s">
        <v>814</v>
      </c>
      <c r="V862">
        <v>18300</v>
      </c>
      <c r="W862" s="1">
        <v>46344</v>
      </c>
      <c r="X862" s="1" t="s">
        <v>55</v>
      </c>
      <c r="Y862" s="1" t="s">
        <v>51</v>
      </c>
      <c r="Z862" s="1" t="s">
        <v>110</v>
      </c>
      <c r="AA862" s="1" t="s">
        <v>198</v>
      </c>
      <c r="AB862" s="1" t="s">
        <v>3978</v>
      </c>
      <c r="AC862" s="1"/>
      <c r="AD862" s="1">
        <v>45621</v>
      </c>
      <c r="AE862" s="1"/>
      <c r="AF862" s="1"/>
      <c r="AG862" s="1">
        <v>45621</v>
      </c>
      <c r="AH862" s="1" t="s">
        <v>4004</v>
      </c>
      <c r="AI862" s="1"/>
      <c r="AJ862" s="31">
        <v>45621</v>
      </c>
      <c r="AK862"/>
      <c r="AL862"/>
      <c r="AM862"/>
      <c r="AN862"/>
      <c r="AO862"/>
      <c r="AP862"/>
    </row>
    <row r="863" spans="1:42" hidden="1">
      <c r="A863" s="1" t="s">
        <v>2542</v>
      </c>
      <c r="B863" s="1">
        <v>241201</v>
      </c>
      <c r="D863" s="1" t="s">
        <v>414</v>
      </c>
      <c r="F863"/>
      <c r="G863"/>
      <c r="H863" s="1" t="s">
        <v>3979</v>
      </c>
      <c r="I863" s="1" t="s">
        <v>3980</v>
      </c>
      <c r="J863" s="1" t="s">
        <v>18</v>
      </c>
      <c r="K863" s="1" t="s">
        <v>50</v>
      </c>
      <c r="L863" s="1">
        <v>36127</v>
      </c>
      <c r="M863" s="1">
        <v>27</v>
      </c>
      <c r="N863" s="1">
        <v>1300</v>
      </c>
      <c r="P863" s="1">
        <v>1650</v>
      </c>
      <c r="Q863" s="1"/>
      <c r="R863" s="1">
        <v>350</v>
      </c>
      <c r="S863">
        <v>190000</v>
      </c>
      <c r="T863">
        <v>9528</v>
      </c>
      <c r="U863" t="s">
        <v>814</v>
      </c>
      <c r="V863">
        <v>17385</v>
      </c>
      <c r="W863" s="1">
        <v>45801</v>
      </c>
      <c r="X863" s="1" t="s">
        <v>55</v>
      </c>
      <c r="Y863" s="1" t="s">
        <v>51</v>
      </c>
      <c r="Z863" s="1" t="s">
        <v>2188</v>
      </c>
      <c r="AA863" s="1" t="s">
        <v>2189</v>
      </c>
      <c r="AB863" s="1" t="s">
        <v>2190</v>
      </c>
      <c r="AC863" s="1"/>
      <c r="AD863" s="1">
        <v>45629</v>
      </c>
      <c r="AE863" s="1">
        <v>45708</v>
      </c>
      <c r="AF863" s="1"/>
      <c r="AG863" s="1">
        <v>45629</v>
      </c>
      <c r="AH863" s="1" t="s">
        <v>4004</v>
      </c>
      <c r="AI863" s="1"/>
      <c r="AJ863" s="31">
        <v>45629</v>
      </c>
      <c r="AK863"/>
      <c r="AL863"/>
      <c r="AM863"/>
      <c r="AN863"/>
      <c r="AO863"/>
      <c r="AP863"/>
    </row>
    <row r="864" spans="1:42">
      <c r="A864" s="1" t="s">
        <v>49</v>
      </c>
      <c r="B864" s="1">
        <v>250703</v>
      </c>
      <c r="C864" s="1">
        <v>222089</v>
      </c>
      <c r="D864" s="1" t="s">
        <v>62</v>
      </c>
      <c r="E864" s="1" t="s">
        <v>2469</v>
      </c>
      <c r="F864" t="s">
        <v>753</v>
      </c>
      <c r="G864" t="s">
        <v>388</v>
      </c>
      <c r="H864" s="1" t="s">
        <v>4416</v>
      </c>
      <c r="I864" s="1" t="s">
        <v>4417</v>
      </c>
      <c r="J864" s="1" t="s">
        <v>18</v>
      </c>
      <c r="K864" s="1" t="s">
        <v>404</v>
      </c>
      <c r="L864" s="1">
        <v>30437</v>
      </c>
      <c r="M864" s="1">
        <v>42</v>
      </c>
      <c r="N864" s="1">
        <v>1400</v>
      </c>
      <c r="P864" s="1">
        <v>1750</v>
      </c>
      <c r="Q864" s="1"/>
      <c r="R864" s="1">
        <v>350</v>
      </c>
      <c r="S864">
        <v>260000</v>
      </c>
      <c r="T864">
        <v>13039</v>
      </c>
      <c r="U864">
        <v>2067</v>
      </c>
      <c r="V864">
        <v>23790</v>
      </c>
      <c r="W864" s="1">
        <v>46692</v>
      </c>
      <c r="X864" s="1" t="s">
        <v>55</v>
      </c>
      <c r="Y864" s="1" t="s">
        <v>540</v>
      </c>
      <c r="Z864" s="1" t="s">
        <v>669</v>
      </c>
      <c r="AA864" s="1" t="s">
        <v>4418</v>
      </c>
      <c r="AB864" s="1" t="s">
        <v>4419</v>
      </c>
      <c r="AC864" s="1" t="s">
        <v>53</v>
      </c>
      <c r="AD864" s="1">
        <v>45845</v>
      </c>
      <c r="AE864" s="1"/>
      <c r="AF864" s="1"/>
      <c r="AG864" s="1">
        <v>45870</v>
      </c>
      <c r="AH864" s="1" t="s">
        <v>4420</v>
      </c>
      <c r="AI864" s="1"/>
      <c r="AJ864" s="31">
        <v>45845</v>
      </c>
      <c r="AK864"/>
      <c r="AL864"/>
      <c r="AM864"/>
      <c r="AN864"/>
      <c r="AO864"/>
      <c r="AP864"/>
    </row>
    <row r="865" spans="1:42" hidden="1">
      <c r="A865" s="1" t="s">
        <v>49</v>
      </c>
      <c r="B865" s="1">
        <v>211012</v>
      </c>
      <c r="C865" s="1">
        <v>8210108</v>
      </c>
      <c r="D865" s="1" t="s">
        <v>822</v>
      </c>
      <c r="E865" s="1" t="s">
        <v>831</v>
      </c>
      <c r="F865" t="s">
        <v>831</v>
      </c>
      <c r="G865"/>
      <c r="H865" s="1" t="s">
        <v>832</v>
      </c>
      <c r="I865" s="1" t="s">
        <v>517</v>
      </c>
      <c r="J865" s="1" t="s">
        <v>18</v>
      </c>
      <c r="K865" s="1" t="s">
        <v>50</v>
      </c>
      <c r="L865" s="1">
        <v>34946</v>
      </c>
      <c r="M865" s="1">
        <v>30</v>
      </c>
      <c r="N865" s="1">
        <v>1500</v>
      </c>
      <c r="P865" s="1">
        <v>2150</v>
      </c>
      <c r="Q865" s="1"/>
      <c r="R865" s="1">
        <v>650</v>
      </c>
      <c r="S865">
        <v>340000</v>
      </c>
      <c r="T865">
        <v>17051</v>
      </c>
      <c r="U865" t="s">
        <v>814</v>
      </c>
      <c r="V865">
        <v>31110</v>
      </c>
      <c r="W865" s="1">
        <v>46633</v>
      </c>
      <c r="X865" s="1" t="s">
        <v>55</v>
      </c>
      <c r="Y865" s="1" t="s">
        <v>51</v>
      </c>
      <c r="Z865" s="1" t="s">
        <v>1196</v>
      </c>
      <c r="AA865" s="1" t="s">
        <v>1197</v>
      </c>
      <c r="AB865" s="1" t="s">
        <v>1272</v>
      </c>
      <c r="AC865" s="1" t="s">
        <v>53</v>
      </c>
      <c r="AD865" s="1">
        <v>45635</v>
      </c>
      <c r="AE865" s="1"/>
      <c r="AF865" s="1"/>
      <c r="AG865" s="1">
        <v>45635</v>
      </c>
      <c r="AH865" s="1" t="s">
        <v>4005</v>
      </c>
      <c r="AI865" s="1"/>
      <c r="AJ865" s="31">
        <v>45635</v>
      </c>
      <c r="AK865" t="s">
        <v>2470</v>
      </c>
      <c r="AL865">
        <v>45934</v>
      </c>
      <c r="AM865" t="s">
        <v>2468</v>
      </c>
      <c r="AN865">
        <v>46168</v>
      </c>
      <c r="AO865"/>
      <c r="AP865"/>
    </row>
    <row r="866" spans="1:42" hidden="1">
      <c r="A866" s="1" t="s">
        <v>49</v>
      </c>
      <c r="B866" s="1">
        <v>241203</v>
      </c>
      <c r="C866" s="1">
        <v>8210109</v>
      </c>
      <c r="D866" s="1" t="s">
        <v>818</v>
      </c>
      <c r="E866" s="1" t="s">
        <v>834</v>
      </c>
      <c r="F866" t="s">
        <v>834</v>
      </c>
      <c r="G866"/>
      <c r="H866" s="1" t="s">
        <v>4006</v>
      </c>
      <c r="I866" s="1" t="s">
        <v>4007</v>
      </c>
      <c r="J866" s="1" t="s">
        <v>18</v>
      </c>
      <c r="K866" s="1" t="s">
        <v>50</v>
      </c>
      <c r="L866" s="1">
        <v>33092</v>
      </c>
      <c r="M866" s="1">
        <v>35</v>
      </c>
      <c r="N866" s="1">
        <v>1500</v>
      </c>
      <c r="P866" s="1">
        <v>2150</v>
      </c>
      <c r="Q866" s="1"/>
      <c r="R866" s="1">
        <v>650</v>
      </c>
      <c r="S866">
        <v>360000</v>
      </c>
      <c r="T866">
        <v>18054</v>
      </c>
      <c r="U866" t="s">
        <v>814</v>
      </c>
      <c r="V866">
        <v>32940</v>
      </c>
      <c r="W866" s="1">
        <v>46124</v>
      </c>
      <c r="X866" s="1" t="s">
        <v>55</v>
      </c>
      <c r="Y866" s="1" t="s">
        <v>51</v>
      </c>
      <c r="Z866" s="1" t="s">
        <v>1546</v>
      </c>
      <c r="AA866" s="1" t="s">
        <v>2314</v>
      </c>
      <c r="AB866" s="1" t="s">
        <v>1547</v>
      </c>
      <c r="AC866" s="1"/>
      <c r="AD866" s="1">
        <v>45635</v>
      </c>
      <c r="AE866" s="1"/>
      <c r="AF866" s="1"/>
      <c r="AG866" s="1">
        <v>45635</v>
      </c>
      <c r="AH866" s="1" t="s">
        <v>4008</v>
      </c>
      <c r="AI866" s="1"/>
      <c r="AJ866" s="31">
        <v>45635</v>
      </c>
      <c r="AK866"/>
      <c r="AL866"/>
      <c r="AM866"/>
      <c r="AN866"/>
      <c r="AO866"/>
      <c r="AP866"/>
    </row>
    <row r="867" spans="1:42" hidden="1">
      <c r="A867" s="1" t="s">
        <v>2542</v>
      </c>
      <c r="B867" s="1">
        <v>241207</v>
      </c>
      <c r="C867" s="1">
        <v>232157</v>
      </c>
      <c r="D867" s="1" t="s">
        <v>83</v>
      </c>
      <c r="E867" s="1" t="s">
        <v>311</v>
      </c>
      <c r="F867" t="s">
        <v>4305</v>
      </c>
      <c r="G867" t="s">
        <v>364</v>
      </c>
      <c r="H867" s="1" t="s">
        <v>4009</v>
      </c>
      <c r="I867" s="1" t="s">
        <v>4010</v>
      </c>
      <c r="J867" s="1" t="s">
        <v>18</v>
      </c>
      <c r="K867" s="1" t="s">
        <v>50</v>
      </c>
      <c r="L867" s="1">
        <v>34924</v>
      </c>
      <c r="M867" s="1">
        <v>30</v>
      </c>
      <c r="N867" s="1">
        <v>1300</v>
      </c>
      <c r="P867" s="1">
        <v>1660</v>
      </c>
      <c r="Q867" s="1"/>
      <c r="R867" s="1">
        <v>360</v>
      </c>
      <c r="S867">
        <v>220000</v>
      </c>
      <c r="T867">
        <v>11033</v>
      </c>
      <c r="U867" t="s">
        <v>814</v>
      </c>
      <c r="V867">
        <v>20130</v>
      </c>
      <c r="W867" s="1">
        <v>46151</v>
      </c>
      <c r="X867" s="1" t="s">
        <v>55</v>
      </c>
      <c r="Y867" s="1" t="s">
        <v>51</v>
      </c>
      <c r="Z867" s="1" t="s">
        <v>4048</v>
      </c>
      <c r="AA867" s="1" t="s">
        <v>4049</v>
      </c>
      <c r="AB867" s="1" t="s">
        <v>4050</v>
      </c>
      <c r="AC867" s="1" t="s">
        <v>53</v>
      </c>
      <c r="AD867" s="1">
        <v>45635</v>
      </c>
      <c r="AE867" s="1">
        <v>45834</v>
      </c>
      <c r="AF867" s="1"/>
      <c r="AG867" s="1">
        <v>45635</v>
      </c>
      <c r="AH867" s="1" t="s">
        <v>4005</v>
      </c>
      <c r="AI867" s="1"/>
      <c r="AJ867" s="31">
        <v>45635</v>
      </c>
      <c r="AK867"/>
      <c r="AL867"/>
      <c r="AM867"/>
      <c r="AN867"/>
      <c r="AO867"/>
      <c r="AP867"/>
    </row>
    <row r="868" spans="1:42">
      <c r="A868" s="1" t="s">
        <v>49</v>
      </c>
      <c r="B868" s="1">
        <v>250904</v>
      </c>
      <c r="C868" s="1">
        <v>222090</v>
      </c>
      <c r="D868" s="1" t="s">
        <v>95</v>
      </c>
      <c r="E868" s="1" t="s">
        <v>4503</v>
      </c>
      <c r="F868" t="s">
        <v>753</v>
      </c>
      <c r="G868" t="s">
        <v>388</v>
      </c>
      <c r="H868" s="1" t="s">
        <v>4480</v>
      </c>
      <c r="I868" s="1" t="s">
        <v>4481</v>
      </c>
      <c r="J868" s="1" t="s">
        <v>18</v>
      </c>
      <c r="K868" s="1" t="s">
        <v>137</v>
      </c>
      <c r="L868" s="1">
        <v>35541</v>
      </c>
      <c r="M868" s="1">
        <v>28</v>
      </c>
      <c r="N868" s="1">
        <v>1400</v>
      </c>
      <c r="P868" s="1">
        <v>1750</v>
      </c>
      <c r="Q868" s="1"/>
      <c r="R868" s="1">
        <v>350</v>
      </c>
      <c r="S868">
        <v>240000</v>
      </c>
      <c r="T868">
        <v>12036</v>
      </c>
      <c r="U868" t="s">
        <v>814</v>
      </c>
      <c r="V868">
        <v>21960</v>
      </c>
      <c r="W868" s="1"/>
      <c r="X868" s="1" t="s">
        <v>55</v>
      </c>
      <c r="Y868" s="1"/>
      <c r="Z868" s="1" t="s">
        <v>67</v>
      </c>
      <c r="AA868" s="1" t="s">
        <v>4504</v>
      </c>
      <c r="AB868" s="1"/>
      <c r="AC868" s="1" t="s">
        <v>53</v>
      </c>
      <c r="AD868" s="1">
        <v>45916</v>
      </c>
      <c r="AE868" s="1"/>
      <c r="AF868" s="1"/>
      <c r="AG868" s="1">
        <v>45916</v>
      </c>
      <c r="AH868" s="1" t="s">
        <v>4505</v>
      </c>
      <c r="AI868" s="1"/>
      <c r="AJ868" s="31">
        <v>45916</v>
      </c>
      <c r="AK868"/>
      <c r="AL868"/>
      <c r="AM868"/>
      <c r="AN868"/>
      <c r="AO868"/>
      <c r="AP868"/>
    </row>
    <row r="869" spans="1:42" hidden="1">
      <c r="A869" s="1" t="s">
        <v>2542</v>
      </c>
      <c r="B869" s="1">
        <v>241204</v>
      </c>
      <c r="D869" s="1" t="s">
        <v>447</v>
      </c>
      <c r="F869"/>
      <c r="G869"/>
      <c r="H869" s="1" t="s">
        <v>4051</v>
      </c>
      <c r="I869" s="1" t="s">
        <v>3981</v>
      </c>
      <c r="J869" s="1" t="s">
        <v>18</v>
      </c>
      <c r="K869" s="1" t="s">
        <v>50</v>
      </c>
      <c r="L869" s="1">
        <v>36689</v>
      </c>
      <c r="M869" s="1">
        <v>25</v>
      </c>
      <c r="N869" s="1">
        <v>1200</v>
      </c>
      <c r="P869" s="1">
        <v>1700</v>
      </c>
      <c r="Q869" s="1"/>
      <c r="R869" s="1">
        <v>500</v>
      </c>
      <c r="S869">
        <v>200000</v>
      </c>
      <c r="T869">
        <v>10030</v>
      </c>
      <c r="U869" t="s">
        <v>814</v>
      </c>
      <c r="V869">
        <v>18300</v>
      </c>
      <c r="W869" s="1">
        <v>45993</v>
      </c>
      <c r="X869" s="1" t="s">
        <v>55</v>
      </c>
      <c r="Y869" s="1" t="s">
        <v>51</v>
      </c>
      <c r="Z869" s="1" t="s">
        <v>2505</v>
      </c>
      <c r="AA869" s="1" t="s">
        <v>2494</v>
      </c>
      <c r="AB869" s="1"/>
      <c r="AC869" s="1"/>
      <c r="AD869" s="1">
        <v>45635</v>
      </c>
      <c r="AE869" s="1">
        <v>45803</v>
      </c>
      <c r="AF869" s="1"/>
      <c r="AG869" s="1">
        <v>45635</v>
      </c>
      <c r="AH869" s="1" t="s">
        <v>4005</v>
      </c>
      <c r="AI869" s="1"/>
      <c r="AJ869" s="31">
        <v>45635</v>
      </c>
      <c r="AK869"/>
      <c r="AL869"/>
      <c r="AM869"/>
      <c r="AN869"/>
      <c r="AO869"/>
      <c r="AP869"/>
    </row>
    <row r="870" spans="1:42" hidden="1">
      <c r="A870" s="1" t="s">
        <v>49</v>
      </c>
      <c r="B870" s="1">
        <v>241206</v>
      </c>
      <c r="C870" s="1">
        <v>232156</v>
      </c>
      <c r="D870" s="1" t="s">
        <v>83</v>
      </c>
      <c r="E870" s="1" t="s">
        <v>307</v>
      </c>
      <c r="F870" t="s">
        <v>2251</v>
      </c>
      <c r="G870" t="s">
        <v>2252</v>
      </c>
      <c r="H870" s="1" t="s">
        <v>3992</v>
      </c>
      <c r="I870" s="1" t="s">
        <v>3993</v>
      </c>
      <c r="J870" s="1" t="s">
        <v>18</v>
      </c>
      <c r="K870" s="1" t="s">
        <v>50</v>
      </c>
      <c r="L870" s="1">
        <v>36260</v>
      </c>
      <c r="M870" s="1">
        <v>26</v>
      </c>
      <c r="N870" s="1">
        <v>1250</v>
      </c>
      <c r="P870" s="1">
        <v>1660</v>
      </c>
      <c r="Q870" s="1"/>
      <c r="R870" s="1">
        <v>410</v>
      </c>
      <c r="S870">
        <v>220000</v>
      </c>
      <c r="T870">
        <v>11033</v>
      </c>
      <c r="U870" t="s">
        <v>814</v>
      </c>
      <c r="V870">
        <v>20130</v>
      </c>
      <c r="W870" s="1">
        <v>46358</v>
      </c>
      <c r="X870" s="1" t="s">
        <v>55</v>
      </c>
      <c r="Y870" s="1" t="s">
        <v>51</v>
      </c>
      <c r="Z870" s="1" t="s">
        <v>110</v>
      </c>
      <c r="AA870" s="1" t="s">
        <v>111</v>
      </c>
      <c r="AB870" s="1" t="s">
        <v>3971</v>
      </c>
      <c r="AC870" s="1"/>
      <c r="AD870" s="1">
        <v>45636</v>
      </c>
      <c r="AE870" s="1"/>
      <c r="AF870" s="1"/>
      <c r="AG870" s="1">
        <v>45636</v>
      </c>
      <c r="AH870" s="1" t="s">
        <v>4005</v>
      </c>
      <c r="AI870" s="1"/>
      <c r="AJ870" s="31">
        <v>45636</v>
      </c>
      <c r="AK870"/>
      <c r="AL870"/>
      <c r="AM870"/>
      <c r="AN870"/>
      <c r="AO870"/>
      <c r="AP870"/>
    </row>
    <row r="871" spans="1:42" hidden="1">
      <c r="A871" s="1" t="s">
        <v>2542</v>
      </c>
      <c r="B871" s="1">
        <v>241209</v>
      </c>
      <c r="C871" s="1">
        <v>8210110</v>
      </c>
      <c r="D871" s="1" t="s">
        <v>822</v>
      </c>
      <c r="E871" s="1" t="s">
        <v>1312</v>
      </c>
      <c r="F871" t="s">
        <v>1312</v>
      </c>
      <c r="G871"/>
      <c r="H871" s="1" t="s">
        <v>4183</v>
      </c>
      <c r="I871" s="1" t="s">
        <v>4011</v>
      </c>
      <c r="J871" s="1" t="s">
        <v>18</v>
      </c>
      <c r="K871" s="1" t="s">
        <v>50</v>
      </c>
      <c r="L871" s="1">
        <v>35613</v>
      </c>
      <c r="M871" s="1">
        <v>28</v>
      </c>
      <c r="N871" s="1">
        <v>1500</v>
      </c>
      <c r="P871" s="1">
        <v>2150</v>
      </c>
      <c r="Q871" s="1"/>
      <c r="R871" s="1">
        <v>650</v>
      </c>
      <c r="S871">
        <v>220000</v>
      </c>
      <c r="T871">
        <v>11033</v>
      </c>
      <c r="U871" t="s">
        <v>814</v>
      </c>
      <c r="V871">
        <v>20130</v>
      </c>
      <c r="W871" s="1">
        <v>46587</v>
      </c>
      <c r="X871" s="1" t="s">
        <v>55</v>
      </c>
      <c r="Y871" s="1" t="s">
        <v>51</v>
      </c>
      <c r="Z871" s="1" t="s">
        <v>2366</v>
      </c>
      <c r="AA871" s="1" t="s">
        <v>4012</v>
      </c>
      <c r="AB871" s="1" t="s">
        <v>4013</v>
      </c>
      <c r="AC871" s="1" t="s">
        <v>53</v>
      </c>
      <c r="AD871" s="1">
        <v>45642</v>
      </c>
      <c r="AE871" s="1">
        <v>45905</v>
      </c>
      <c r="AF871" s="1"/>
      <c r="AG871" s="1">
        <v>45642</v>
      </c>
      <c r="AH871" s="1" t="s">
        <v>4008</v>
      </c>
      <c r="AI871" s="1"/>
      <c r="AJ871" s="31">
        <v>45642</v>
      </c>
      <c r="AK871"/>
      <c r="AL871"/>
      <c r="AM871"/>
      <c r="AN871"/>
      <c r="AO871"/>
      <c r="AP871"/>
    </row>
    <row r="872" spans="1:42" hidden="1">
      <c r="A872" s="1" t="s">
        <v>49</v>
      </c>
      <c r="B872" s="1">
        <v>241210</v>
      </c>
      <c r="C872" s="1">
        <v>8210111</v>
      </c>
      <c r="D872" s="1" t="s">
        <v>822</v>
      </c>
      <c r="E872" s="1" t="s">
        <v>1312</v>
      </c>
      <c r="F872" t="s">
        <v>1312</v>
      </c>
      <c r="G872"/>
      <c r="H872" s="1" t="s">
        <v>4014</v>
      </c>
      <c r="I872" s="1" t="s">
        <v>4015</v>
      </c>
      <c r="J872" s="1" t="s">
        <v>18</v>
      </c>
      <c r="K872" s="1" t="s">
        <v>50</v>
      </c>
      <c r="L872" s="1">
        <v>33876</v>
      </c>
      <c r="M872" s="1">
        <v>33</v>
      </c>
      <c r="N872" s="1">
        <v>1500</v>
      </c>
      <c r="P872" s="1">
        <v>2150</v>
      </c>
      <c r="Q872" s="1"/>
      <c r="R872" s="1">
        <v>650</v>
      </c>
      <c r="S872">
        <v>360000</v>
      </c>
      <c r="T872">
        <v>18054</v>
      </c>
      <c r="U872" t="s">
        <v>814</v>
      </c>
      <c r="V872">
        <v>32940</v>
      </c>
      <c r="W872" s="1">
        <v>46683</v>
      </c>
      <c r="X872" s="1" t="s">
        <v>55</v>
      </c>
      <c r="Y872" s="1" t="s">
        <v>51</v>
      </c>
      <c r="Z872" s="1" t="s">
        <v>4016</v>
      </c>
      <c r="AA872" s="1" t="s">
        <v>4017</v>
      </c>
      <c r="AB872" s="1" t="s">
        <v>4018</v>
      </c>
      <c r="AC872" s="1" t="s">
        <v>53</v>
      </c>
      <c r="AD872" s="1">
        <v>45642</v>
      </c>
      <c r="AE872" s="1"/>
      <c r="AF872" s="1"/>
      <c r="AG872" s="1">
        <v>45642</v>
      </c>
      <c r="AH872" s="1" t="s">
        <v>4008</v>
      </c>
      <c r="AI872" s="1"/>
      <c r="AJ872" s="31">
        <v>45642</v>
      </c>
      <c r="AK872"/>
      <c r="AL872"/>
      <c r="AM872"/>
      <c r="AN872"/>
      <c r="AO872"/>
      <c r="AP872"/>
    </row>
    <row r="873" spans="1:42" hidden="1">
      <c r="A873" s="1" t="s">
        <v>2542</v>
      </c>
      <c r="B873" s="1">
        <v>220206</v>
      </c>
      <c r="C873" s="1">
        <v>232045</v>
      </c>
      <c r="D873" s="1" t="s">
        <v>83</v>
      </c>
      <c r="E873" s="1" t="s">
        <v>307</v>
      </c>
      <c r="F873" t="s">
        <v>2251</v>
      </c>
      <c r="G873" t="s">
        <v>2252</v>
      </c>
      <c r="H873" s="1" t="s">
        <v>213</v>
      </c>
      <c r="I873" s="1" t="s">
        <v>214</v>
      </c>
      <c r="J873" s="1" t="s">
        <v>18</v>
      </c>
      <c r="K873" s="1" t="s">
        <v>50</v>
      </c>
      <c r="L873" s="1">
        <v>33746</v>
      </c>
      <c r="M873" s="1">
        <v>33</v>
      </c>
      <c r="N873" s="1">
        <v>1410</v>
      </c>
      <c r="P873" s="1">
        <v>1820</v>
      </c>
      <c r="Q873" s="1"/>
      <c r="R873" s="1">
        <v>410</v>
      </c>
      <c r="S873">
        <v>220000</v>
      </c>
      <c r="T873">
        <v>11033</v>
      </c>
      <c r="U873" t="s">
        <v>814</v>
      </c>
      <c r="V873">
        <v>20130</v>
      </c>
      <c r="W873" s="1">
        <v>46600</v>
      </c>
      <c r="X873" s="1" t="s">
        <v>55</v>
      </c>
      <c r="Y873" s="1" t="s">
        <v>51</v>
      </c>
      <c r="Z873" s="1" t="s">
        <v>110</v>
      </c>
      <c r="AA873" s="1" t="s">
        <v>4052</v>
      </c>
      <c r="AB873" s="1" t="s">
        <v>4053</v>
      </c>
      <c r="AC873" s="1" t="s">
        <v>53</v>
      </c>
      <c r="AD873" s="1">
        <v>45642</v>
      </c>
      <c r="AE873" s="1">
        <v>45773</v>
      </c>
      <c r="AF873" s="1"/>
      <c r="AG873" s="1">
        <v>45642</v>
      </c>
      <c r="AH873" s="1" t="s">
        <v>4054</v>
      </c>
      <c r="AI873" s="1"/>
      <c r="AJ873" s="31">
        <v>45642</v>
      </c>
      <c r="AK873"/>
      <c r="AL873"/>
      <c r="AM873"/>
      <c r="AN873"/>
      <c r="AO873"/>
      <c r="AP873"/>
    </row>
    <row r="874" spans="1:42" hidden="1">
      <c r="A874" s="1" t="s">
        <v>2542</v>
      </c>
      <c r="B874" s="1">
        <v>241208</v>
      </c>
      <c r="D874" s="1" t="s">
        <v>813</v>
      </c>
      <c r="F874"/>
      <c r="G874"/>
      <c r="H874" s="1" t="s">
        <v>3990</v>
      </c>
      <c r="I874" s="1" t="s">
        <v>3991</v>
      </c>
      <c r="J874" s="1" t="s">
        <v>18</v>
      </c>
      <c r="K874" s="1" t="s">
        <v>50</v>
      </c>
      <c r="L874" s="1">
        <v>36315</v>
      </c>
      <c r="M874" s="1">
        <v>26</v>
      </c>
      <c r="N874" s="1">
        <v>1300</v>
      </c>
      <c r="P874" s="1">
        <v>1800</v>
      </c>
      <c r="Q874" s="1"/>
      <c r="R874" s="1">
        <v>500</v>
      </c>
      <c r="S874">
        <v>220000</v>
      </c>
      <c r="T874">
        <v>11033</v>
      </c>
      <c r="U874" t="s">
        <v>814</v>
      </c>
      <c r="V874">
        <v>20130</v>
      </c>
      <c r="W874" s="1">
        <v>45763</v>
      </c>
      <c r="X874" s="1" t="s">
        <v>55</v>
      </c>
      <c r="Y874" s="1" t="s">
        <v>51</v>
      </c>
      <c r="Z874" s="1" t="s">
        <v>4019</v>
      </c>
      <c r="AA874" s="1" t="s">
        <v>4020</v>
      </c>
      <c r="AB874" s="1" t="s">
        <v>4021</v>
      </c>
      <c r="AC874" s="1" t="s">
        <v>53</v>
      </c>
      <c r="AD874" s="1">
        <v>45642</v>
      </c>
      <c r="AE874" s="1">
        <v>45730</v>
      </c>
      <c r="AF874" s="1"/>
      <c r="AG874" s="1">
        <v>45642</v>
      </c>
      <c r="AH874" s="1" t="s">
        <v>4008</v>
      </c>
      <c r="AI874" s="1"/>
      <c r="AJ874" s="31">
        <v>45642</v>
      </c>
      <c r="AK874"/>
      <c r="AL874"/>
      <c r="AM874"/>
      <c r="AN874"/>
      <c r="AO874"/>
      <c r="AP874"/>
    </row>
    <row r="875" spans="1:42">
      <c r="A875" s="1" t="s">
        <v>49</v>
      </c>
      <c r="B875" s="1">
        <v>251103</v>
      </c>
      <c r="C875" s="1">
        <v>222091</v>
      </c>
      <c r="D875" s="1" t="s">
        <v>62</v>
      </c>
      <c r="E875" s="1" t="s">
        <v>2469</v>
      </c>
      <c r="F875" t="s">
        <v>753</v>
      </c>
      <c r="G875" t="s">
        <v>388</v>
      </c>
      <c r="H875" s="1" t="s">
        <v>4547</v>
      </c>
      <c r="I875" s="1" t="s">
        <v>4548</v>
      </c>
      <c r="J875" s="1" t="s">
        <v>18</v>
      </c>
      <c r="K875" s="1" t="s">
        <v>404</v>
      </c>
      <c r="L875" s="1">
        <v>23695</v>
      </c>
      <c r="M875" s="1">
        <v>61</v>
      </c>
      <c r="N875" s="1">
        <v>1400</v>
      </c>
      <c r="P875" s="1">
        <v>1750</v>
      </c>
      <c r="Q875" s="1"/>
      <c r="R875" s="1">
        <v>350</v>
      </c>
      <c r="S875">
        <v>220000</v>
      </c>
      <c r="T875">
        <v>11033</v>
      </c>
      <c r="U875">
        <v>1749</v>
      </c>
      <c r="V875">
        <v>20130</v>
      </c>
      <c r="W875" s="1">
        <v>46247</v>
      </c>
      <c r="X875" s="1" t="s">
        <v>55</v>
      </c>
      <c r="Y875" s="1" t="s">
        <v>60</v>
      </c>
      <c r="Z875" s="1" t="s">
        <v>4549</v>
      </c>
      <c r="AA875" s="1" t="s">
        <v>4550</v>
      </c>
      <c r="AB875" s="1" t="s">
        <v>4551</v>
      </c>
      <c r="AC875" s="1" t="s">
        <v>53</v>
      </c>
      <c r="AD875" s="1">
        <v>45964</v>
      </c>
      <c r="AE875" s="1"/>
      <c r="AF875" s="1"/>
      <c r="AG875" s="1">
        <v>45964</v>
      </c>
      <c r="AH875" s="1" t="s">
        <v>4552</v>
      </c>
      <c r="AI875" s="1"/>
      <c r="AJ875" s="31">
        <v>45964</v>
      </c>
      <c r="AK875"/>
      <c r="AL875"/>
      <c r="AM875"/>
      <c r="AN875"/>
      <c r="AO875"/>
      <c r="AP875"/>
    </row>
    <row r="876" spans="1:42">
      <c r="A876" s="1" t="s">
        <v>49</v>
      </c>
      <c r="B876" s="1">
        <v>210207</v>
      </c>
      <c r="C876" s="1">
        <v>242008</v>
      </c>
      <c r="D876" s="1" t="s">
        <v>69</v>
      </c>
      <c r="E876" s="1" t="s">
        <v>306</v>
      </c>
      <c r="F876" t="s">
        <v>740</v>
      </c>
      <c r="G876" t="s">
        <v>317</v>
      </c>
      <c r="H876" s="1" t="s">
        <v>440</v>
      </c>
      <c r="I876" s="1" t="s">
        <v>441</v>
      </c>
      <c r="J876" s="1" t="s">
        <v>18</v>
      </c>
      <c r="K876" s="1" t="s">
        <v>50</v>
      </c>
      <c r="L876" s="1">
        <v>33849</v>
      </c>
      <c r="M876" s="1">
        <v>33</v>
      </c>
      <c r="N876" s="1">
        <v>1420</v>
      </c>
      <c r="O876" s="1" t="s">
        <v>70</v>
      </c>
      <c r="P876" s="1">
        <v>1820</v>
      </c>
      <c r="Q876" s="1" t="s">
        <v>71</v>
      </c>
      <c r="R876" s="1">
        <v>400</v>
      </c>
      <c r="S876">
        <v>280000</v>
      </c>
      <c r="T876">
        <v>14042</v>
      </c>
      <c r="U876" t="s">
        <v>814</v>
      </c>
      <c r="V876">
        <v>25620</v>
      </c>
      <c r="W876" s="1">
        <v>46013</v>
      </c>
      <c r="X876" s="1">
        <v>18</v>
      </c>
      <c r="Y876" s="1" t="s">
        <v>51</v>
      </c>
      <c r="Z876" s="1" t="s">
        <v>427</v>
      </c>
      <c r="AA876" s="1" t="s">
        <v>428</v>
      </c>
      <c r="AB876" s="1" t="s">
        <v>442</v>
      </c>
      <c r="AC876" s="1" t="s">
        <v>53</v>
      </c>
      <c r="AD876" s="1">
        <v>44242</v>
      </c>
      <c r="AE876" s="1"/>
      <c r="AF876" s="1"/>
      <c r="AG876" s="1">
        <v>44287</v>
      </c>
      <c r="AH876" s="1" t="s">
        <v>54</v>
      </c>
      <c r="AI876" s="1"/>
      <c r="AJ876" s="31">
        <v>44242</v>
      </c>
      <c r="AK876"/>
      <c r="AL876"/>
      <c r="AM876"/>
      <c r="AN876"/>
      <c r="AO876" t="s">
        <v>4164</v>
      </c>
      <c r="AP876"/>
    </row>
    <row r="877" spans="1:42" hidden="1">
      <c r="A877" s="1" t="s">
        <v>49</v>
      </c>
      <c r="B877" s="1">
        <v>241216</v>
      </c>
      <c r="D877" s="1" t="s">
        <v>447</v>
      </c>
      <c r="E877" s="1" t="s">
        <v>1270</v>
      </c>
      <c r="F877" t="s">
        <v>1271</v>
      </c>
      <c r="G877" t="s">
        <v>1267</v>
      </c>
      <c r="H877" s="1" t="s">
        <v>4036</v>
      </c>
      <c r="I877" s="1" t="s">
        <v>4037</v>
      </c>
      <c r="J877" s="1" t="s">
        <v>18</v>
      </c>
      <c r="K877" s="1" t="s">
        <v>50</v>
      </c>
      <c r="L877" s="1">
        <v>33044</v>
      </c>
      <c r="M877" s="1">
        <v>35</v>
      </c>
      <c r="N877" s="1">
        <v>1300</v>
      </c>
      <c r="P877" s="1">
        <v>1700</v>
      </c>
      <c r="Q877" s="1"/>
      <c r="R877" s="1">
        <v>400</v>
      </c>
      <c r="S877">
        <v>240000</v>
      </c>
      <c r="T877">
        <v>12036</v>
      </c>
      <c r="U877" t="s">
        <v>814</v>
      </c>
      <c r="V877">
        <v>21960</v>
      </c>
      <c r="W877" s="1">
        <v>46271</v>
      </c>
      <c r="X877" s="1" t="s">
        <v>55</v>
      </c>
      <c r="Y877" s="1" t="s">
        <v>51</v>
      </c>
      <c r="Z877" s="1" t="s">
        <v>448</v>
      </c>
      <c r="AA877" s="1" t="s">
        <v>449</v>
      </c>
      <c r="AB877" s="1" t="s">
        <v>1007</v>
      </c>
      <c r="AC877" s="1">
        <v>45658</v>
      </c>
      <c r="AD877" s="1">
        <v>45643</v>
      </c>
      <c r="AE877" s="1"/>
      <c r="AF877" s="1"/>
      <c r="AG877" s="1">
        <v>45643</v>
      </c>
      <c r="AH877" s="1" t="s">
        <v>4008</v>
      </c>
      <c r="AI877" s="1"/>
      <c r="AJ877" s="31">
        <v>45643</v>
      </c>
      <c r="AK877"/>
      <c r="AL877"/>
      <c r="AM877"/>
      <c r="AN877"/>
      <c r="AO877"/>
      <c r="AP877"/>
    </row>
    <row r="878" spans="1:42">
      <c r="A878" s="1" t="s">
        <v>49</v>
      </c>
      <c r="B878" s="1">
        <v>220210</v>
      </c>
      <c r="C878" s="1">
        <v>242032</v>
      </c>
      <c r="D878" s="1" t="s">
        <v>69</v>
      </c>
      <c r="E878" s="1" t="s">
        <v>306</v>
      </c>
      <c r="F878" t="s">
        <v>740</v>
      </c>
      <c r="G878" t="s">
        <v>317</v>
      </c>
      <c r="H878" s="1" t="s">
        <v>554</v>
      </c>
      <c r="I878" s="1" t="s">
        <v>555</v>
      </c>
      <c r="J878" s="1" t="s">
        <v>18</v>
      </c>
      <c r="K878" s="1" t="s">
        <v>50</v>
      </c>
      <c r="L878" s="1">
        <v>34992</v>
      </c>
      <c r="M878" s="1">
        <v>30</v>
      </c>
      <c r="N878" s="1">
        <v>1410</v>
      </c>
      <c r="P878" s="1">
        <v>1810</v>
      </c>
      <c r="Q878" s="1"/>
      <c r="R878" s="1">
        <v>400</v>
      </c>
      <c r="S878">
        <v>280000</v>
      </c>
      <c r="T878">
        <v>14042</v>
      </c>
      <c r="U878" t="s">
        <v>814</v>
      </c>
      <c r="V878">
        <v>25620</v>
      </c>
      <c r="W878" s="1">
        <v>46748</v>
      </c>
      <c r="X878" s="1" t="s">
        <v>55</v>
      </c>
      <c r="Y878" s="1" t="s">
        <v>51</v>
      </c>
      <c r="Z878" s="1" t="s">
        <v>427</v>
      </c>
      <c r="AA878" s="1" t="s">
        <v>4353</v>
      </c>
      <c r="AB878" s="1" t="s">
        <v>4354</v>
      </c>
      <c r="AC878" s="1" t="s">
        <v>53</v>
      </c>
      <c r="AD878" s="1">
        <v>44600</v>
      </c>
      <c r="AE878" s="1"/>
      <c r="AF878" s="1"/>
      <c r="AG878" s="1">
        <v>22.04</v>
      </c>
      <c r="AH878" s="1" t="s">
        <v>54</v>
      </c>
      <c r="AI878" s="1"/>
      <c r="AJ878" s="31">
        <v>44600</v>
      </c>
      <c r="AK878"/>
      <c r="AL878"/>
      <c r="AM878"/>
      <c r="AN878"/>
      <c r="AO878" t="s">
        <v>4165</v>
      </c>
      <c r="AP878"/>
    </row>
    <row r="879" spans="1:42">
      <c r="A879" s="1" t="s">
        <v>49</v>
      </c>
      <c r="B879" s="1">
        <v>221207</v>
      </c>
      <c r="C879" s="1">
        <v>242057</v>
      </c>
      <c r="D879" s="1" t="s">
        <v>69</v>
      </c>
      <c r="E879" s="1" t="s">
        <v>306</v>
      </c>
      <c r="F879" t="s">
        <v>740</v>
      </c>
      <c r="G879" t="s">
        <v>317</v>
      </c>
      <c r="H879" s="1" t="s">
        <v>867</v>
      </c>
      <c r="I879" s="1" t="s">
        <v>868</v>
      </c>
      <c r="J879" s="1" t="s">
        <v>18</v>
      </c>
      <c r="K879" s="1" t="s">
        <v>50</v>
      </c>
      <c r="L879" s="1">
        <v>35777</v>
      </c>
      <c r="M879" s="1">
        <v>27</v>
      </c>
      <c r="N879" s="1">
        <v>1320</v>
      </c>
      <c r="P879" s="1">
        <v>1700</v>
      </c>
      <c r="Q879" s="1"/>
      <c r="R879" s="1">
        <v>380</v>
      </c>
      <c r="S879">
        <v>260000</v>
      </c>
      <c r="T879">
        <v>13039</v>
      </c>
      <c r="U879" t="s">
        <v>814</v>
      </c>
      <c r="V879">
        <v>23790</v>
      </c>
      <c r="W879" s="1">
        <v>45993</v>
      </c>
      <c r="X879" s="1" t="s">
        <v>4580</v>
      </c>
      <c r="Y879" s="1" t="s">
        <v>51</v>
      </c>
      <c r="Z879" s="1" t="s">
        <v>493</v>
      </c>
      <c r="AA879" s="1" t="s">
        <v>494</v>
      </c>
      <c r="AB879" s="1" t="s">
        <v>495</v>
      </c>
      <c r="AC879" s="1">
        <v>44897</v>
      </c>
      <c r="AD879" s="1">
        <v>44903</v>
      </c>
      <c r="AE879" s="1"/>
      <c r="AF879" s="1"/>
      <c r="AG879" s="1" t="s">
        <v>855</v>
      </c>
      <c r="AH879" s="1" t="s">
        <v>864</v>
      </c>
      <c r="AI879" s="1"/>
      <c r="AJ879" s="31">
        <v>44903</v>
      </c>
      <c r="AK879"/>
      <c r="AL879"/>
      <c r="AM879"/>
      <c r="AN879"/>
      <c r="AO879" t="s">
        <v>4165</v>
      </c>
      <c r="AP879"/>
    </row>
    <row r="880" spans="1:42">
      <c r="A880" s="1" t="s">
        <v>49</v>
      </c>
      <c r="B880" s="1">
        <v>230106</v>
      </c>
      <c r="C880" s="1">
        <v>242060</v>
      </c>
      <c r="D880" s="1" t="s">
        <v>69</v>
      </c>
      <c r="E880" s="1" t="s">
        <v>306</v>
      </c>
      <c r="F880" t="s">
        <v>740</v>
      </c>
      <c r="G880" t="s">
        <v>317</v>
      </c>
      <c r="H880" s="1" t="s">
        <v>917</v>
      </c>
      <c r="I880" s="1" t="s">
        <v>918</v>
      </c>
      <c r="J880" s="1" t="s">
        <v>18</v>
      </c>
      <c r="K880" s="1" t="s">
        <v>50</v>
      </c>
      <c r="L880" s="1">
        <v>35192</v>
      </c>
      <c r="M880" s="1">
        <v>29</v>
      </c>
      <c r="N880" s="1">
        <v>1310</v>
      </c>
      <c r="P880" s="1">
        <v>1670</v>
      </c>
      <c r="Q880" s="1"/>
      <c r="R880" s="1">
        <v>360</v>
      </c>
      <c r="S880">
        <v>280000</v>
      </c>
      <c r="T880">
        <v>14042</v>
      </c>
      <c r="U880" t="s">
        <v>814</v>
      </c>
      <c r="V880">
        <v>25620</v>
      </c>
      <c r="W880" s="1">
        <v>46778</v>
      </c>
      <c r="X880" s="1" t="s">
        <v>55</v>
      </c>
      <c r="Y880" s="1" t="s">
        <v>51</v>
      </c>
      <c r="Z880" s="1" t="s">
        <v>72</v>
      </c>
      <c r="AA880" s="1" t="s">
        <v>508</v>
      </c>
      <c r="AB880" s="1" t="s">
        <v>509</v>
      </c>
      <c r="AC880" s="1"/>
      <c r="AD880" s="1">
        <v>44945</v>
      </c>
      <c r="AE880" s="1"/>
      <c r="AF880" s="1"/>
      <c r="AG880" s="1" t="s">
        <v>904</v>
      </c>
      <c r="AH880" s="1" t="s">
        <v>914</v>
      </c>
      <c r="AI880" s="1"/>
      <c r="AJ880" s="31">
        <v>44945</v>
      </c>
      <c r="AK880"/>
      <c r="AL880"/>
      <c r="AM880"/>
      <c r="AN880"/>
      <c r="AO880"/>
      <c r="AP880"/>
    </row>
    <row r="881" spans="1:42">
      <c r="A881" s="1" t="s">
        <v>49</v>
      </c>
      <c r="B881" s="1">
        <v>230613</v>
      </c>
      <c r="C881" s="1">
        <v>242067</v>
      </c>
      <c r="D881" s="1" t="s">
        <v>69</v>
      </c>
      <c r="E881" s="1" t="s">
        <v>306</v>
      </c>
      <c r="F881" t="s">
        <v>740</v>
      </c>
      <c r="G881" t="s">
        <v>317</v>
      </c>
      <c r="H881" s="1" t="s">
        <v>1330</v>
      </c>
      <c r="I881" s="1" t="s">
        <v>1331</v>
      </c>
      <c r="J881" s="1" t="s">
        <v>18</v>
      </c>
      <c r="K881" s="1" t="s">
        <v>50</v>
      </c>
      <c r="L881" s="1">
        <v>36403</v>
      </c>
      <c r="M881" s="1">
        <v>26</v>
      </c>
      <c r="N881" s="1">
        <v>1310</v>
      </c>
      <c r="P881" s="1">
        <v>1710</v>
      </c>
      <c r="Q881" s="1"/>
      <c r="R881" s="1">
        <v>400</v>
      </c>
      <c r="S881">
        <v>260000</v>
      </c>
      <c r="T881">
        <v>13039</v>
      </c>
      <c r="U881" t="s">
        <v>814</v>
      </c>
      <c r="V881">
        <v>23790</v>
      </c>
      <c r="W881" s="1">
        <v>47024</v>
      </c>
      <c r="X881" s="1" t="s">
        <v>55</v>
      </c>
      <c r="Y881" s="1" t="s">
        <v>51</v>
      </c>
      <c r="Z881" s="1" t="s">
        <v>470</v>
      </c>
      <c r="AA881" s="1" t="s">
        <v>576</v>
      </c>
      <c r="AB881" s="1" t="s">
        <v>577</v>
      </c>
      <c r="AC881" s="1">
        <v>45097</v>
      </c>
      <c r="AD881" s="1">
        <v>45103</v>
      </c>
      <c r="AE881" s="1"/>
      <c r="AF881" s="1"/>
      <c r="AG881" s="1" t="s">
        <v>352</v>
      </c>
      <c r="AH881" s="1" t="s">
        <v>1378</v>
      </c>
      <c r="AI881" s="1" t="s">
        <v>1332</v>
      </c>
      <c r="AJ881" s="31">
        <v>45103</v>
      </c>
      <c r="AK881"/>
      <c r="AL881"/>
      <c r="AM881"/>
      <c r="AN881"/>
      <c r="AO881"/>
      <c r="AP881"/>
    </row>
    <row r="882" spans="1:42" hidden="1">
      <c r="A882" s="1" t="s">
        <v>49</v>
      </c>
      <c r="B882" s="1">
        <v>241218</v>
      </c>
      <c r="D882" s="1" t="s">
        <v>1612</v>
      </c>
      <c r="F882"/>
      <c r="G882"/>
      <c r="H882" s="1" t="s">
        <v>4038</v>
      </c>
      <c r="I882" s="1" t="s">
        <v>4039</v>
      </c>
      <c r="J882" s="1" t="s">
        <v>18</v>
      </c>
      <c r="K882" s="1" t="s">
        <v>50</v>
      </c>
      <c r="L882" s="1">
        <v>36805</v>
      </c>
      <c r="M882" s="1">
        <v>25</v>
      </c>
      <c r="N882" s="1">
        <v>1300</v>
      </c>
      <c r="P882" s="1">
        <v>1900</v>
      </c>
      <c r="Q882" s="1"/>
      <c r="R882" s="1">
        <v>600</v>
      </c>
      <c r="S882">
        <v>280000</v>
      </c>
      <c r="T882">
        <v>14042</v>
      </c>
      <c r="U882" t="s">
        <v>814</v>
      </c>
      <c r="V882">
        <v>25620</v>
      </c>
      <c r="W882" s="1">
        <v>46324</v>
      </c>
      <c r="X882" s="1" t="s">
        <v>55</v>
      </c>
      <c r="Y882" s="1" t="s">
        <v>51</v>
      </c>
      <c r="Z882" s="1" t="s">
        <v>110</v>
      </c>
      <c r="AA882" s="1" t="s">
        <v>131</v>
      </c>
      <c r="AB882" s="1" t="s">
        <v>1870</v>
      </c>
      <c r="AC882" s="1"/>
      <c r="AD882" s="1">
        <v>45645</v>
      </c>
      <c r="AE882" s="1"/>
      <c r="AF882" s="1"/>
      <c r="AG882" s="1">
        <v>45645</v>
      </c>
      <c r="AH882" s="1" t="s">
        <v>3750</v>
      </c>
      <c r="AI882" s="1"/>
      <c r="AJ882" s="31">
        <v>45645</v>
      </c>
      <c r="AK882"/>
      <c r="AL882"/>
      <c r="AM882"/>
      <c r="AN882"/>
      <c r="AO882"/>
      <c r="AP882"/>
    </row>
    <row r="883" spans="1:42" hidden="1">
      <c r="A883" s="1" t="s">
        <v>2542</v>
      </c>
      <c r="B883" s="1">
        <v>211031</v>
      </c>
      <c r="D883" s="1" t="s">
        <v>436</v>
      </c>
      <c r="E883" s="1" t="s">
        <v>2659</v>
      </c>
      <c r="F883"/>
      <c r="G883"/>
      <c r="H883" s="1" t="s">
        <v>2847</v>
      </c>
      <c r="I883" s="1" t="s">
        <v>3076</v>
      </c>
      <c r="J883" s="1" t="s">
        <v>18</v>
      </c>
      <c r="K883" s="1" t="s">
        <v>50</v>
      </c>
      <c r="L883" s="1">
        <v>31475</v>
      </c>
      <c r="M883" s="1">
        <v>39</v>
      </c>
      <c r="N883" s="1">
        <v>1400</v>
      </c>
      <c r="P883" s="1">
        <v>2000</v>
      </c>
      <c r="Q883" s="1"/>
      <c r="R883" s="1">
        <v>600</v>
      </c>
      <c r="S883">
        <v>220000</v>
      </c>
      <c r="T883">
        <v>11033</v>
      </c>
      <c r="U883" t="s">
        <v>814</v>
      </c>
      <c r="V883">
        <v>20130</v>
      </c>
      <c r="W883" s="1">
        <v>46109</v>
      </c>
      <c r="X883" s="1" t="s">
        <v>55</v>
      </c>
      <c r="Y883" s="1" t="s">
        <v>51</v>
      </c>
      <c r="Z883" s="1" t="s">
        <v>437</v>
      </c>
      <c r="AA883" s="1" t="s">
        <v>843</v>
      </c>
      <c r="AB883" s="1" t="s">
        <v>844</v>
      </c>
      <c r="AC883" s="1"/>
      <c r="AD883" s="1">
        <v>45649</v>
      </c>
      <c r="AE883" s="1">
        <v>45797</v>
      </c>
      <c r="AF883" s="1"/>
      <c r="AG883" s="1">
        <v>45649</v>
      </c>
      <c r="AH883" s="1" t="s">
        <v>4055</v>
      </c>
      <c r="AI883" s="1"/>
      <c r="AJ883" s="31">
        <v>45649</v>
      </c>
      <c r="AK883"/>
      <c r="AL883"/>
      <c r="AM883"/>
      <c r="AN883"/>
      <c r="AO883"/>
      <c r="AP883"/>
    </row>
    <row r="884" spans="1:42" hidden="1">
      <c r="A884" s="1" t="s">
        <v>49</v>
      </c>
      <c r="B884" s="1">
        <v>241219</v>
      </c>
      <c r="C884" s="1">
        <v>232158</v>
      </c>
      <c r="D884" s="1" t="s">
        <v>83</v>
      </c>
      <c r="E884" s="1" t="s">
        <v>307</v>
      </c>
      <c r="F884" t="s">
        <v>2251</v>
      </c>
      <c r="G884" t="s">
        <v>2252</v>
      </c>
      <c r="H884" s="1" t="s">
        <v>4056</v>
      </c>
      <c r="I884" s="1" t="s">
        <v>4057</v>
      </c>
      <c r="J884" s="1" t="s">
        <v>18</v>
      </c>
      <c r="K884" s="1" t="s">
        <v>50</v>
      </c>
      <c r="L884" s="1">
        <v>35206</v>
      </c>
      <c r="M884" s="1">
        <v>29</v>
      </c>
      <c r="N884" s="1">
        <v>1310</v>
      </c>
      <c r="P884" s="1">
        <v>1690</v>
      </c>
      <c r="Q884" s="1"/>
      <c r="R884" s="1">
        <v>380</v>
      </c>
      <c r="S884">
        <v>280000</v>
      </c>
      <c r="T884">
        <v>14042</v>
      </c>
      <c r="U884" t="s">
        <v>814</v>
      </c>
      <c r="V884">
        <v>25620</v>
      </c>
      <c r="W884" s="1">
        <v>46357</v>
      </c>
      <c r="X884" s="1" t="s">
        <v>55</v>
      </c>
      <c r="Y884" s="1" t="s">
        <v>51</v>
      </c>
      <c r="Z884" s="1" t="s">
        <v>264</v>
      </c>
      <c r="AA884" s="1" t="s">
        <v>131</v>
      </c>
      <c r="AB884" s="1" t="s">
        <v>4058</v>
      </c>
      <c r="AC884" s="1"/>
      <c r="AD884" s="1">
        <v>45649</v>
      </c>
      <c r="AE884" s="1"/>
      <c r="AF884" s="1"/>
      <c r="AG884" s="1">
        <v>45649</v>
      </c>
      <c r="AH884" s="1" t="s">
        <v>4059</v>
      </c>
      <c r="AI884" s="1" t="s">
        <v>279</v>
      </c>
      <c r="AJ884" s="31">
        <v>45649</v>
      </c>
      <c r="AK884"/>
      <c r="AL884"/>
      <c r="AM884"/>
      <c r="AN884"/>
      <c r="AO884"/>
      <c r="AP884"/>
    </row>
    <row r="885" spans="1:42" hidden="1">
      <c r="A885" s="1" t="s">
        <v>49</v>
      </c>
      <c r="B885" s="1">
        <v>241220</v>
      </c>
      <c r="C885" s="1">
        <v>232159</v>
      </c>
      <c r="D885" s="1" t="s">
        <v>83</v>
      </c>
      <c r="E885" s="1" t="s">
        <v>307</v>
      </c>
      <c r="F885" t="s">
        <v>2251</v>
      </c>
      <c r="G885" t="s">
        <v>2252</v>
      </c>
      <c r="H885" s="1" t="s">
        <v>4060</v>
      </c>
      <c r="I885" s="1" t="s">
        <v>4061</v>
      </c>
      <c r="J885" s="1" t="s">
        <v>18</v>
      </c>
      <c r="K885" s="1" t="s">
        <v>50</v>
      </c>
      <c r="L885" s="1">
        <v>36850</v>
      </c>
      <c r="M885" s="1">
        <v>25</v>
      </c>
      <c r="N885" s="1">
        <v>1300</v>
      </c>
      <c r="P885" s="1">
        <v>1660</v>
      </c>
      <c r="Q885" s="1"/>
      <c r="R885" s="1">
        <v>360</v>
      </c>
      <c r="S885">
        <v>260000</v>
      </c>
      <c r="T885">
        <v>13039</v>
      </c>
      <c r="U885" t="s">
        <v>814</v>
      </c>
      <c r="V885">
        <v>23790</v>
      </c>
      <c r="W885" s="1">
        <v>46499</v>
      </c>
      <c r="X885" s="1" t="s">
        <v>55</v>
      </c>
      <c r="Y885" s="1" t="s">
        <v>51</v>
      </c>
      <c r="Z885" s="1" t="s">
        <v>110</v>
      </c>
      <c r="AA885" s="1" t="s">
        <v>113</v>
      </c>
      <c r="AB885" s="1" t="s">
        <v>3766</v>
      </c>
      <c r="AC885" s="1"/>
      <c r="AD885" s="1">
        <v>45649</v>
      </c>
      <c r="AE885" s="1"/>
      <c r="AF885" s="1"/>
      <c r="AG885" s="1">
        <v>45649</v>
      </c>
      <c r="AH885" s="1" t="s">
        <v>4059</v>
      </c>
      <c r="AI885" s="1" t="s">
        <v>279</v>
      </c>
      <c r="AJ885" s="31">
        <v>45649</v>
      </c>
      <c r="AK885"/>
      <c r="AL885"/>
      <c r="AM885"/>
      <c r="AN885"/>
      <c r="AO885"/>
      <c r="AP885"/>
    </row>
    <row r="886" spans="1:42" hidden="1">
      <c r="A886" s="1" t="s">
        <v>49</v>
      </c>
      <c r="B886" s="1">
        <v>210305</v>
      </c>
      <c r="C886" s="1">
        <v>8210114</v>
      </c>
      <c r="D886" s="1" t="s">
        <v>822</v>
      </c>
      <c r="E886" s="1" t="s">
        <v>1312</v>
      </c>
      <c r="F886" t="s">
        <v>1312</v>
      </c>
      <c r="G886"/>
      <c r="H886" s="1" t="s">
        <v>2703</v>
      </c>
      <c r="I886" s="1" t="s">
        <v>2704</v>
      </c>
      <c r="J886" s="1" t="s">
        <v>18</v>
      </c>
      <c r="K886" s="1" t="s">
        <v>50</v>
      </c>
      <c r="L886" s="1">
        <v>34554</v>
      </c>
      <c r="M886" s="1">
        <v>31</v>
      </c>
      <c r="N886" s="1">
        <v>1500</v>
      </c>
      <c r="P886" s="1">
        <v>2150</v>
      </c>
      <c r="Q886" s="1"/>
      <c r="R886" s="1">
        <v>650</v>
      </c>
      <c r="S886">
        <v>320000</v>
      </c>
      <c r="T886">
        <v>16048</v>
      </c>
      <c r="U886" t="s">
        <v>814</v>
      </c>
      <c r="V886">
        <v>29280</v>
      </c>
      <c r="W886" s="1">
        <v>46121</v>
      </c>
      <c r="X886" s="1" t="s">
        <v>55</v>
      </c>
      <c r="Y886" s="1" t="s">
        <v>51</v>
      </c>
      <c r="Z886" s="1" t="s">
        <v>1399</v>
      </c>
      <c r="AA886" s="1" t="s">
        <v>2491</v>
      </c>
      <c r="AB886" s="1" t="s">
        <v>2506</v>
      </c>
      <c r="AC886" s="1"/>
      <c r="AD886" s="1">
        <v>45663</v>
      </c>
      <c r="AE886" s="1"/>
      <c r="AF886" s="1"/>
      <c r="AG886" s="1">
        <v>45663</v>
      </c>
      <c r="AH886" s="1" t="s">
        <v>4055</v>
      </c>
      <c r="AI886" s="1"/>
      <c r="AJ886" s="31">
        <v>45663</v>
      </c>
      <c r="AK886"/>
      <c r="AL886"/>
      <c r="AM886"/>
      <c r="AN886"/>
      <c r="AO886"/>
      <c r="AP886"/>
    </row>
    <row r="887" spans="1:42" hidden="1">
      <c r="A887" s="1" t="s">
        <v>49</v>
      </c>
      <c r="B887" s="1">
        <v>250101</v>
      </c>
      <c r="C887" s="1">
        <v>5665</v>
      </c>
      <c r="D887" s="1" t="s">
        <v>846</v>
      </c>
      <c r="E887" s="1" t="s">
        <v>1232</v>
      </c>
      <c r="F887" t="s">
        <v>3489</v>
      </c>
      <c r="G887" t="s">
        <v>1514</v>
      </c>
      <c r="H887" s="1" t="s">
        <v>4040</v>
      </c>
      <c r="I887" s="1" t="s">
        <v>4041</v>
      </c>
      <c r="J887" s="1" t="s">
        <v>18</v>
      </c>
      <c r="K887" s="1" t="s">
        <v>50</v>
      </c>
      <c r="L887" s="1">
        <v>33518</v>
      </c>
      <c r="M887" s="1">
        <v>34</v>
      </c>
      <c r="N887" s="1">
        <v>1300</v>
      </c>
      <c r="P887" s="1">
        <v>1700</v>
      </c>
      <c r="Q887" s="1"/>
      <c r="R887" s="1">
        <v>400</v>
      </c>
      <c r="S887">
        <v>260000</v>
      </c>
      <c r="T887">
        <v>13039</v>
      </c>
      <c r="U887" t="s">
        <v>814</v>
      </c>
      <c r="V887">
        <v>23790</v>
      </c>
      <c r="W887" s="1">
        <v>46008</v>
      </c>
      <c r="X887" s="1">
        <v>13</v>
      </c>
      <c r="Y887" s="1" t="s">
        <v>51</v>
      </c>
      <c r="Z887" s="1" t="s">
        <v>3796</v>
      </c>
      <c r="AA887" s="1" t="s">
        <v>3797</v>
      </c>
      <c r="AB887" s="1" t="s">
        <v>3798</v>
      </c>
      <c r="AC887" s="1"/>
      <c r="AD887" s="1">
        <v>45663</v>
      </c>
      <c r="AE887" s="1"/>
      <c r="AF887" s="1"/>
      <c r="AG887" s="1">
        <v>45663</v>
      </c>
      <c r="AH887" s="1" t="s">
        <v>4055</v>
      </c>
      <c r="AI887" s="1"/>
      <c r="AJ887" s="31">
        <v>45663</v>
      </c>
      <c r="AK887"/>
      <c r="AL887"/>
      <c r="AM887"/>
      <c r="AN887"/>
      <c r="AO887"/>
      <c r="AP887"/>
    </row>
    <row r="888" spans="1:42" hidden="1">
      <c r="A888" s="1" t="s">
        <v>49</v>
      </c>
      <c r="B888" s="1">
        <v>250102</v>
      </c>
      <c r="C888" s="1">
        <v>8210115</v>
      </c>
      <c r="D888" s="1" t="s">
        <v>822</v>
      </c>
      <c r="E888" s="1" t="s">
        <v>2161</v>
      </c>
      <c r="F888" t="s">
        <v>2161</v>
      </c>
      <c r="G888"/>
      <c r="H888" s="1" t="s">
        <v>3146</v>
      </c>
      <c r="I888" s="1" t="s">
        <v>3147</v>
      </c>
      <c r="J888" s="1" t="s">
        <v>18</v>
      </c>
      <c r="K888" s="1" t="s">
        <v>50</v>
      </c>
      <c r="L888" s="1">
        <v>33692</v>
      </c>
      <c r="M888" s="1">
        <v>33</v>
      </c>
      <c r="N888" s="1">
        <v>1500</v>
      </c>
      <c r="P888" s="1">
        <v>2150</v>
      </c>
      <c r="Q888" s="1"/>
      <c r="R888" s="1">
        <v>650</v>
      </c>
      <c r="S888">
        <v>340000</v>
      </c>
      <c r="T888">
        <v>17051</v>
      </c>
      <c r="U888" t="s">
        <v>814</v>
      </c>
      <c r="V888">
        <v>31110</v>
      </c>
      <c r="W888" s="1">
        <v>46669</v>
      </c>
      <c r="X888" s="1" t="s">
        <v>55</v>
      </c>
      <c r="Y888" s="1" t="s">
        <v>51</v>
      </c>
      <c r="Z888" s="1" t="s">
        <v>578</v>
      </c>
      <c r="AA888" s="1" t="s">
        <v>4281</v>
      </c>
      <c r="AB888" s="1" t="s">
        <v>4282</v>
      </c>
      <c r="AC888" s="1" t="s">
        <v>53</v>
      </c>
      <c r="AD888" s="1">
        <v>45665</v>
      </c>
      <c r="AE888" s="1"/>
      <c r="AF888" s="1"/>
      <c r="AG888" s="1">
        <v>45665</v>
      </c>
      <c r="AH888" s="1" t="s">
        <v>4055</v>
      </c>
      <c r="AI888" s="1"/>
      <c r="AJ888" s="31">
        <v>45665</v>
      </c>
      <c r="AK888"/>
      <c r="AL888"/>
      <c r="AM888"/>
      <c r="AN888"/>
      <c r="AO888"/>
      <c r="AP888"/>
    </row>
    <row r="889" spans="1:42" hidden="1">
      <c r="A889" s="1" t="s">
        <v>49</v>
      </c>
      <c r="B889" s="1">
        <v>210118</v>
      </c>
      <c r="C889" s="1">
        <v>232003</v>
      </c>
      <c r="D889" s="1" t="s">
        <v>83</v>
      </c>
      <c r="E889" s="1" t="s">
        <v>307</v>
      </c>
      <c r="F889" t="s">
        <v>2251</v>
      </c>
      <c r="G889" t="s">
        <v>2252</v>
      </c>
      <c r="H889" s="1" t="s">
        <v>89</v>
      </c>
      <c r="I889" s="1" t="s">
        <v>90</v>
      </c>
      <c r="J889" s="1" t="s">
        <v>18</v>
      </c>
      <c r="K889" s="1" t="s">
        <v>50</v>
      </c>
      <c r="L889" s="1">
        <v>33963</v>
      </c>
      <c r="M889" s="1">
        <v>32</v>
      </c>
      <c r="N889" s="1">
        <v>1410</v>
      </c>
      <c r="O889" s="1" t="s">
        <v>70</v>
      </c>
      <c r="P889" s="1">
        <v>1840</v>
      </c>
      <c r="Q889" s="1" t="s">
        <v>71</v>
      </c>
      <c r="R889" s="1">
        <v>430</v>
      </c>
      <c r="S889">
        <v>280000</v>
      </c>
      <c r="T889">
        <v>14042</v>
      </c>
      <c r="U889" t="s">
        <v>814</v>
      </c>
      <c r="V889">
        <v>25620</v>
      </c>
      <c r="W889" s="1">
        <v>46399</v>
      </c>
      <c r="X889" s="1" t="s">
        <v>55</v>
      </c>
      <c r="Y889" s="1" t="s">
        <v>51</v>
      </c>
      <c r="Z889" s="1" t="s">
        <v>211</v>
      </c>
      <c r="AA889" s="1" t="s">
        <v>3074</v>
      </c>
      <c r="AB889" s="1" t="s">
        <v>4062</v>
      </c>
      <c r="AC889" s="1"/>
      <c r="AD889" s="1">
        <v>45670</v>
      </c>
      <c r="AE889" s="1">
        <v>46007</v>
      </c>
      <c r="AF889" s="1"/>
      <c r="AG889" s="1">
        <v>45670</v>
      </c>
      <c r="AH889" s="1" t="s">
        <v>4055</v>
      </c>
      <c r="AI889" s="1"/>
      <c r="AJ889" s="31">
        <v>45670</v>
      </c>
      <c r="AK889"/>
      <c r="AL889"/>
      <c r="AM889"/>
      <c r="AN889"/>
      <c r="AO889"/>
      <c r="AP889"/>
    </row>
    <row r="890" spans="1:42" hidden="1">
      <c r="A890" s="1" t="s">
        <v>49</v>
      </c>
      <c r="B890" s="1">
        <v>250103</v>
      </c>
      <c r="C890" s="1">
        <v>232160</v>
      </c>
      <c r="D890" s="1" t="s">
        <v>83</v>
      </c>
      <c r="E890" s="1" t="s">
        <v>307</v>
      </c>
      <c r="F890" t="s">
        <v>2251</v>
      </c>
      <c r="G890" t="s">
        <v>2252</v>
      </c>
      <c r="H890" s="1" t="s">
        <v>4063</v>
      </c>
      <c r="I890" s="1" t="s">
        <v>4064</v>
      </c>
      <c r="J890" s="1" t="s">
        <v>18</v>
      </c>
      <c r="K890" s="1" t="s">
        <v>50</v>
      </c>
      <c r="L890" s="1">
        <v>37610</v>
      </c>
      <c r="M890" s="1">
        <v>22</v>
      </c>
      <c r="N890" s="1">
        <v>1250</v>
      </c>
      <c r="P890" s="1">
        <v>1660</v>
      </c>
      <c r="Q890" s="1"/>
      <c r="R890" s="1">
        <v>410</v>
      </c>
      <c r="S890">
        <v>200000</v>
      </c>
      <c r="T890">
        <v>10030</v>
      </c>
      <c r="U890" t="s">
        <v>814</v>
      </c>
      <c r="V890">
        <v>18300</v>
      </c>
      <c r="W890" s="1">
        <v>46760</v>
      </c>
      <c r="X890" s="1" t="s">
        <v>55</v>
      </c>
      <c r="Y890" s="1" t="s">
        <v>51</v>
      </c>
      <c r="Z890" s="1" t="s">
        <v>110</v>
      </c>
      <c r="AA890" s="1" t="s">
        <v>215</v>
      </c>
      <c r="AB890" s="1" t="s">
        <v>216</v>
      </c>
      <c r="AC890" s="1"/>
      <c r="AD890" s="1">
        <v>45671</v>
      </c>
      <c r="AE890" s="1"/>
      <c r="AF890" s="1"/>
      <c r="AG890" s="1">
        <v>45671</v>
      </c>
      <c r="AH890" s="1" t="s">
        <v>4055</v>
      </c>
      <c r="AI890" s="1"/>
      <c r="AJ890" s="31">
        <v>45671</v>
      </c>
      <c r="AK890"/>
      <c r="AL890"/>
      <c r="AM890"/>
      <c r="AN890"/>
      <c r="AO890"/>
      <c r="AP890"/>
    </row>
    <row r="891" spans="1:42" hidden="1">
      <c r="A891" s="1" t="s">
        <v>49</v>
      </c>
      <c r="B891" s="1">
        <v>250104</v>
      </c>
      <c r="C891" s="1">
        <v>232161</v>
      </c>
      <c r="D891" s="1" t="s">
        <v>83</v>
      </c>
      <c r="E891" s="1" t="s">
        <v>307</v>
      </c>
      <c r="F891" t="s">
        <v>2251</v>
      </c>
      <c r="G891" t="s">
        <v>2252</v>
      </c>
      <c r="H891" s="1" t="s">
        <v>4065</v>
      </c>
      <c r="I891" s="1" t="s">
        <v>4066</v>
      </c>
      <c r="J891" s="1" t="s">
        <v>18</v>
      </c>
      <c r="K891" s="1" t="s">
        <v>50</v>
      </c>
      <c r="L891" s="1">
        <v>37275</v>
      </c>
      <c r="M891" s="1">
        <v>23</v>
      </c>
      <c r="N891" s="1">
        <v>1250</v>
      </c>
      <c r="P891" s="1">
        <v>1660</v>
      </c>
      <c r="Q891" s="1"/>
      <c r="R891" s="1">
        <v>410</v>
      </c>
      <c r="S891">
        <v>220000</v>
      </c>
      <c r="T891">
        <v>11033</v>
      </c>
      <c r="U891" t="s">
        <v>814</v>
      </c>
      <c r="V891">
        <v>20130</v>
      </c>
      <c r="W891" s="1">
        <v>46760</v>
      </c>
      <c r="X891" s="1" t="s">
        <v>55</v>
      </c>
      <c r="Y891" s="1" t="s">
        <v>51</v>
      </c>
      <c r="Z891" s="1" t="s">
        <v>110</v>
      </c>
      <c r="AA891" s="1" t="s">
        <v>215</v>
      </c>
      <c r="AB891" s="1" t="s">
        <v>216</v>
      </c>
      <c r="AC891" s="1"/>
      <c r="AD891" s="1">
        <v>45671</v>
      </c>
      <c r="AE891" s="1"/>
      <c r="AF891" s="1"/>
      <c r="AG891" s="1">
        <v>45671</v>
      </c>
      <c r="AH891" s="1" t="s">
        <v>4055</v>
      </c>
      <c r="AI891" s="1"/>
      <c r="AJ891" s="31">
        <v>45671</v>
      </c>
      <c r="AK891"/>
      <c r="AL891"/>
      <c r="AM891"/>
      <c r="AN891"/>
      <c r="AO891"/>
      <c r="AP891"/>
    </row>
    <row r="892" spans="1:42" hidden="1">
      <c r="A892" s="1" t="s">
        <v>49</v>
      </c>
      <c r="B892" s="1">
        <v>250105</v>
      </c>
      <c r="C892" s="1">
        <v>232162</v>
      </c>
      <c r="D892" s="1" t="s">
        <v>83</v>
      </c>
      <c r="E892" s="1" t="s">
        <v>307</v>
      </c>
      <c r="F892" t="s">
        <v>2251</v>
      </c>
      <c r="G892" t="s">
        <v>2252</v>
      </c>
      <c r="H892" s="1" t="s">
        <v>4067</v>
      </c>
      <c r="I892" s="1" t="s">
        <v>4068</v>
      </c>
      <c r="J892" s="1" t="s">
        <v>18</v>
      </c>
      <c r="K892" s="1" t="s">
        <v>50</v>
      </c>
      <c r="L892" s="1">
        <v>36811</v>
      </c>
      <c r="M892" s="1">
        <v>25</v>
      </c>
      <c r="N892" s="1">
        <v>1250</v>
      </c>
      <c r="P892" s="1">
        <v>1660</v>
      </c>
      <c r="Q892" s="1"/>
      <c r="R892" s="1">
        <v>410</v>
      </c>
      <c r="S892">
        <v>200000</v>
      </c>
      <c r="T892">
        <v>10030</v>
      </c>
      <c r="U892" t="s">
        <v>814</v>
      </c>
      <c r="V892">
        <v>18300</v>
      </c>
      <c r="W892" s="1">
        <v>46760</v>
      </c>
      <c r="X892" s="1" t="s">
        <v>55</v>
      </c>
      <c r="Y892" s="1" t="s">
        <v>51</v>
      </c>
      <c r="Z892" s="1" t="s">
        <v>110</v>
      </c>
      <c r="AA892" s="1" t="s">
        <v>215</v>
      </c>
      <c r="AB892" s="1" t="s">
        <v>216</v>
      </c>
      <c r="AC892" s="1"/>
      <c r="AD892" s="1">
        <v>45671</v>
      </c>
      <c r="AE892" s="1"/>
      <c r="AF892" s="1"/>
      <c r="AG892" s="1">
        <v>45671</v>
      </c>
      <c r="AH892" s="1" t="s">
        <v>4055</v>
      </c>
      <c r="AI892" s="1"/>
      <c r="AJ892" s="31">
        <v>45671</v>
      </c>
      <c r="AK892"/>
      <c r="AL892"/>
      <c r="AM892"/>
      <c r="AN892"/>
      <c r="AO892"/>
      <c r="AP892"/>
    </row>
    <row r="893" spans="1:42" hidden="1">
      <c r="A893" s="1" t="s">
        <v>2542</v>
      </c>
      <c r="B893" s="1">
        <v>250106</v>
      </c>
      <c r="C893" s="1">
        <v>5677</v>
      </c>
      <c r="D893" s="1" t="s">
        <v>846</v>
      </c>
      <c r="E893" s="1" t="s">
        <v>1234</v>
      </c>
      <c r="F893" t="s">
        <v>1583</v>
      </c>
      <c r="G893" t="s">
        <v>1514</v>
      </c>
      <c r="H893" s="1" t="s">
        <v>4069</v>
      </c>
      <c r="I893" s="1" t="s">
        <v>4070</v>
      </c>
      <c r="J893" s="1" t="s">
        <v>18</v>
      </c>
      <c r="K893" s="1" t="s">
        <v>50</v>
      </c>
      <c r="L893" s="1">
        <v>36840</v>
      </c>
      <c r="M893" s="1">
        <v>25</v>
      </c>
      <c r="N893" s="1">
        <v>1300</v>
      </c>
      <c r="P893" s="1">
        <v>1700</v>
      </c>
      <c r="Q893" s="1"/>
      <c r="R893" s="1">
        <v>400</v>
      </c>
      <c r="S893">
        <v>220000</v>
      </c>
      <c r="T893">
        <v>11033</v>
      </c>
      <c r="U893" t="s">
        <v>814</v>
      </c>
      <c r="V893">
        <v>20130</v>
      </c>
      <c r="W893" s="1">
        <v>45879</v>
      </c>
      <c r="X893" s="1" t="s">
        <v>55</v>
      </c>
      <c r="Y893" s="1" t="s">
        <v>51</v>
      </c>
      <c r="Z893" s="1" t="s">
        <v>448</v>
      </c>
      <c r="AA893" s="1" t="s">
        <v>449</v>
      </c>
      <c r="AB893" s="1" t="s">
        <v>1391</v>
      </c>
      <c r="AC893" s="1"/>
      <c r="AD893" s="1">
        <v>45672</v>
      </c>
      <c r="AE893" s="1">
        <v>45747</v>
      </c>
      <c r="AF893" s="1"/>
      <c r="AG893" s="1">
        <v>45672</v>
      </c>
      <c r="AH893" s="1" t="s">
        <v>4055</v>
      </c>
      <c r="AI893" s="1" t="s">
        <v>4071</v>
      </c>
      <c r="AJ893" s="31">
        <v>45672</v>
      </c>
      <c r="AK893"/>
      <c r="AL893"/>
      <c r="AM893"/>
      <c r="AN893"/>
      <c r="AO893"/>
      <c r="AP893"/>
    </row>
    <row r="894" spans="1:42" hidden="1">
      <c r="A894" s="1" t="s">
        <v>49</v>
      </c>
      <c r="B894" s="1">
        <v>250112</v>
      </c>
      <c r="C894" s="1">
        <v>232163</v>
      </c>
      <c r="D894" s="1" t="s">
        <v>83</v>
      </c>
      <c r="E894" s="1" t="s">
        <v>307</v>
      </c>
      <c r="F894" t="s">
        <v>2251</v>
      </c>
      <c r="G894" t="s">
        <v>2252</v>
      </c>
      <c r="H894" s="1" t="s">
        <v>4082</v>
      </c>
      <c r="I894" s="1" t="s">
        <v>4083</v>
      </c>
      <c r="J894" s="1" t="s">
        <v>18</v>
      </c>
      <c r="K894" s="1" t="s">
        <v>50</v>
      </c>
      <c r="L894" s="1">
        <v>36925</v>
      </c>
      <c r="M894" s="1">
        <v>24</v>
      </c>
      <c r="N894" s="1">
        <v>1250</v>
      </c>
      <c r="P894" s="1">
        <v>1660</v>
      </c>
      <c r="Q894" s="1"/>
      <c r="R894" s="1">
        <v>410</v>
      </c>
      <c r="S894">
        <v>220000</v>
      </c>
      <c r="T894">
        <v>11033</v>
      </c>
      <c r="U894" t="s">
        <v>814</v>
      </c>
      <c r="V894">
        <v>20130</v>
      </c>
      <c r="W894" s="1">
        <v>46762</v>
      </c>
      <c r="X894" s="1" t="s">
        <v>55</v>
      </c>
      <c r="Y894" s="1" t="s">
        <v>51</v>
      </c>
      <c r="Z894" s="1" t="s">
        <v>110</v>
      </c>
      <c r="AA894" s="1" t="s">
        <v>2509</v>
      </c>
      <c r="AB894" s="1" t="s">
        <v>2002</v>
      </c>
      <c r="AC894" s="1"/>
      <c r="AD894" s="1">
        <v>45673</v>
      </c>
      <c r="AE894" s="1"/>
      <c r="AF894" s="1"/>
      <c r="AG894" s="1">
        <v>45673</v>
      </c>
      <c r="AH894" s="1" t="s">
        <v>921</v>
      </c>
      <c r="AI894" s="1"/>
      <c r="AJ894" s="31">
        <v>45673</v>
      </c>
      <c r="AK894"/>
      <c r="AL894"/>
      <c r="AM894"/>
      <c r="AN894"/>
      <c r="AO894"/>
      <c r="AP894"/>
    </row>
    <row r="895" spans="1:42" hidden="1">
      <c r="A895" s="1" t="s">
        <v>49</v>
      </c>
      <c r="B895" s="1">
        <v>250113</v>
      </c>
      <c r="C895" s="1">
        <v>232164</v>
      </c>
      <c r="D895" s="1" t="s">
        <v>83</v>
      </c>
      <c r="E895" s="1" t="s">
        <v>307</v>
      </c>
      <c r="F895" t="s">
        <v>2251</v>
      </c>
      <c r="G895" t="s">
        <v>2252</v>
      </c>
      <c r="H895" s="1" t="s">
        <v>4084</v>
      </c>
      <c r="I895" s="1" t="s">
        <v>4085</v>
      </c>
      <c r="J895" s="1" t="s">
        <v>18</v>
      </c>
      <c r="K895" s="1" t="s">
        <v>50</v>
      </c>
      <c r="L895" s="1">
        <v>37164</v>
      </c>
      <c r="M895" s="1">
        <v>24</v>
      </c>
      <c r="N895" s="1">
        <v>1250</v>
      </c>
      <c r="P895" s="1">
        <v>1660</v>
      </c>
      <c r="Q895" s="1"/>
      <c r="R895" s="1">
        <v>410</v>
      </c>
      <c r="S895">
        <v>240000</v>
      </c>
      <c r="T895">
        <v>12036</v>
      </c>
      <c r="U895" t="s">
        <v>814</v>
      </c>
      <c r="V895">
        <v>21960</v>
      </c>
      <c r="W895" s="1">
        <v>46762</v>
      </c>
      <c r="X895" s="1" t="s">
        <v>55</v>
      </c>
      <c r="Y895" s="1" t="s">
        <v>51</v>
      </c>
      <c r="Z895" s="1" t="s">
        <v>110</v>
      </c>
      <c r="AA895" s="1" t="s">
        <v>2509</v>
      </c>
      <c r="AB895" s="1" t="s">
        <v>2002</v>
      </c>
      <c r="AC895" s="1"/>
      <c r="AD895" s="1">
        <v>45673</v>
      </c>
      <c r="AE895" s="1"/>
      <c r="AF895" s="1"/>
      <c r="AG895" s="1">
        <v>45673</v>
      </c>
      <c r="AH895" s="1" t="s">
        <v>921</v>
      </c>
      <c r="AI895" s="1"/>
      <c r="AJ895" s="31">
        <v>45673</v>
      </c>
      <c r="AK895"/>
      <c r="AL895"/>
      <c r="AM895"/>
      <c r="AN895"/>
      <c r="AO895"/>
      <c r="AP895"/>
    </row>
    <row r="896" spans="1:42">
      <c r="A896" s="1" t="s">
        <v>49</v>
      </c>
      <c r="B896" s="1">
        <v>230909</v>
      </c>
      <c r="C896" s="1">
        <v>242077</v>
      </c>
      <c r="D896" s="1" t="s">
        <v>69</v>
      </c>
      <c r="E896" s="1" t="s">
        <v>306</v>
      </c>
      <c r="F896" t="s">
        <v>740</v>
      </c>
      <c r="G896" t="s">
        <v>317</v>
      </c>
      <c r="H896" s="1" t="s">
        <v>1465</v>
      </c>
      <c r="I896" s="1" t="s">
        <v>1466</v>
      </c>
      <c r="J896" s="1" t="s">
        <v>18</v>
      </c>
      <c r="K896" s="1" t="s">
        <v>50</v>
      </c>
      <c r="L896" s="1">
        <v>36992</v>
      </c>
      <c r="M896" s="1">
        <v>24</v>
      </c>
      <c r="N896" s="1">
        <v>1310</v>
      </c>
      <c r="P896" s="1">
        <v>1700</v>
      </c>
      <c r="Q896" s="1"/>
      <c r="R896" s="1">
        <v>390</v>
      </c>
      <c r="S896">
        <v>260000</v>
      </c>
      <c r="T896">
        <v>13039</v>
      </c>
      <c r="U896" t="s">
        <v>814</v>
      </c>
      <c r="V896">
        <v>23790</v>
      </c>
      <c r="W896" s="1">
        <v>47033</v>
      </c>
      <c r="X896" s="1" t="s">
        <v>55</v>
      </c>
      <c r="Y896" s="1" t="s">
        <v>51</v>
      </c>
      <c r="Z896" s="1" t="s">
        <v>427</v>
      </c>
      <c r="AA896" s="1" t="s">
        <v>1467</v>
      </c>
      <c r="AB896" s="1" t="s">
        <v>1468</v>
      </c>
      <c r="AC896" s="1">
        <v>45181</v>
      </c>
      <c r="AD896" s="1">
        <v>45188</v>
      </c>
      <c r="AE896" s="1"/>
      <c r="AF896" s="1"/>
      <c r="AG896" s="1" t="s">
        <v>1469</v>
      </c>
      <c r="AH896" s="1" t="s">
        <v>760</v>
      </c>
      <c r="AI896" s="1"/>
      <c r="AJ896" s="31">
        <v>45188</v>
      </c>
      <c r="AK896"/>
      <c r="AL896"/>
      <c r="AM896"/>
      <c r="AN896"/>
      <c r="AO896" t="s">
        <v>4164</v>
      </c>
      <c r="AP896"/>
    </row>
    <row r="897" spans="1:42">
      <c r="A897" s="1" t="s">
        <v>49</v>
      </c>
      <c r="B897" s="1">
        <v>230913</v>
      </c>
      <c r="C897" s="1">
        <v>242078</v>
      </c>
      <c r="D897" s="1" t="s">
        <v>69</v>
      </c>
      <c r="E897" s="1" t="s">
        <v>306</v>
      </c>
      <c r="F897" t="s">
        <v>740</v>
      </c>
      <c r="G897" t="s">
        <v>317</v>
      </c>
      <c r="H897" s="1" t="s">
        <v>1479</v>
      </c>
      <c r="I897" s="1" t="s">
        <v>1480</v>
      </c>
      <c r="J897" s="1" t="s">
        <v>18</v>
      </c>
      <c r="K897" s="1" t="s">
        <v>50</v>
      </c>
      <c r="L897" s="1">
        <v>37070</v>
      </c>
      <c r="M897" s="1">
        <v>24</v>
      </c>
      <c r="N897" s="1">
        <v>1300</v>
      </c>
      <c r="P897" s="1">
        <v>1690</v>
      </c>
      <c r="Q897" s="1"/>
      <c r="R897" s="1">
        <v>390</v>
      </c>
      <c r="S897">
        <v>280000</v>
      </c>
      <c r="T897">
        <v>14042</v>
      </c>
      <c r="U897" t="s">
        <v>814</v>
      </c>
      <c r="V897">
        <v>25620</v>
      </c>
      <c r="W897" s="1">
        <v>47023</v>
      </c>
      <c r="X897" s="1" t="s">
        <v>55</v>
      </c>
      <c r="Y897" s="1" t="s">
        <v>51</v>
      </c>
      <c r="Z897" s="1" t="s">
        <v>427</v>
      </c>
      <c r="AA897" s="1" t="s">
        <v>1467</v>
      </c>
      <c r="AB897" s="1" t="s">
        <v>1468</v>
      </c>
      <c r="AC897" s="1">
        <v>45181</v>
      </c>
      <c r="AD897" s="1">
        <v>45188</v>
      </c>
      <c r="AE897" s="1"/>
      <c r="AF897" s="1"/>
      <c r="AG897" s="1" t="s">
        <v>1469</v>
      </c>
      <c r="AH897" s="1" t="s">
        <v>760</v>
      </c>
      <c r="AI897" s="1"/>
      <c r="AJ897" s="31">
        <v>45188</v>
      </c>
      <c r="AK897"/>
      <c r="AL897"/>
      <c r="AM897"/>
      <c r="AN897"/>
      <c r="AO897"/>
      <c r="AP897"/>
    </row>
    <row r="898" spans="1:42">
      <c r="A898" s="1" t="s">
        <v>49</v>
      </c>
      <c r="B898" s="1">
        <v>231109</v>
      </c>
      <c r="C898" s="1">
        <v>242081</v>
      </c>
      <c r="D898" s="1" t="s">
        <v>69</v>
      </c>
      <c r="E898" s="1" t="s">
        <v>306</v>
      </c>
      <c r="F898" t="s">
        <v>740</v>
      </c>
      <c r="G898" t="s">
        <v>317</v>
      </c>
      <c r="H898" s="1" t="s">
        <v>1568</v>
      </c>
      <c r="I898" s="1" t="s">
        <v>1569</v>
      </c>
      <c r="J898" s="1" t="s">
        <v>18</v>
      </c>
      <c r="K898" s="1" t="s">
        <v>50</v>
      </c>
      <c r="L898" s="1">
        <v>35962</v>
      </c>
      <c r="M898" s="1">
        <v>27</v>
      </c>
      <c r="N898" s="1">
        <v>1300</v>
      </c>
      <c r="P898" s="1">
        <v>1670</v>
      </c>
      <c r="Q898" s="1"/>
      <c r="R898" s="1">
        <v>370</v>
      </c>
      <c r="S898">
        <v>280000</v>
      </c>
      <c r="T898">
        <v>14042</v>
      </c>
      <c r="U898" t="s">
        <v>814</v>
      </c>
      <c r="V898">
        <v>25620</v>
      </c>
      <c r="W898" s="1">
        <v>47058</v>
      </c>
      <c r="X898" s="1" t="s">
        <v>55</v>
      </c>
      <c r="Y898" s="1" t="s">
        <v>51</v>
      </c>
      <c r="Z898" s="1" t="s">
        <v>485</v>
      </c>
      <c r="AA898" s="1" t="s">
        <v>486</v>
      </c>
      <c r="AB898" s="1" t="s">
        <v>1595</v>
      </c>
      <c r="AC898" s="1"/>
      <c r="AD898" s="1">
        <v>45232</v>
      </c>
      <c r="AE898" s="1"/>
      <c r="AF898" s="1"/>
      <c r="AG898" s="1" t="s">
        <v>1594</v>
      </c>
      <c r="AH898" s="1" t="s">
        <v>1590</v>
      </c>
      <c r="AI898" s="1"/>
      <c r="AJ898" s="31">
        <v>45232</v>
      </c>
      <c r="AK898"/>
      <c r="AL898"/>
      <c r="AM898"/>
      <c r="AN898"/>
      <c r="AO898"/>
      <c r="AP898"/>
    </row>
    <row r="899" spans="1:42">
      <c r="A899" s="1" t="s">
        <v>49</v>
      </c>
      <c r="B899" s="1">
        <v>240105</v>
      </c>
      <c r="C899" s="1">
        <v>242097</v>
      </c>
      <c r="D899" s="1" t="s">
        <v>69</v>
      </c>
      <c r="E899" s="1" t="s">
        <v>306</v>
      </c>
      <c r="F899" t="s">
        <v>740</v>
      </c>
      <c r="G899" t="s">
        <v>317</v>
      </c>
      <c r="H899" s="1" t="s">
        <v>1875</v>
      </c>
      <c r="I899" s="1" t="s">
        <v>1876</v>
      </c>
      <c r="J899" s="1" t="s">
        <v>18</v>
      </c>
      <c r="K899" s="1" t="s">
        <v>50</v>
      </c>
      <c r="L899" s="1">
        <v>37099</v>
      </c>
      <c r="M899" s="1">
        <v>24</v>
      </c>
      <c r="N899" s="1">
        <v>1320</v>
      </c>
      <c r="P899" s="1">
        <v>1680</v>
      </c>
      <c r="Q899" s="1"/>
      <c r="R899" s="1">
        <v>360</v>
      </c>
      <c r="S899">
        <v>260000</v>
      </c>
      <c r="T899">
        <v>13039</v>
      </c>
      <c r="U899" t="s">
        <v>814</v>
      </c>
      <c r="V899">
        <v>23790</v>
      </c>
      <c r="W899" s="1">
        <v>46058</v>
      </c>
      <c r="X899" s="1">
        <v>63</v>
      </c>
      <c r="Y899" s="1" t="s">
        <v>51</v>
      </c>
      <c r="Z899" s="1" t="s">
        <v>427</v>
      </c>
      <c r="AA899" s="1" t="s">
        <v>600</v>
      </c>
      <c r="AB899" s="1" t="s">
        <v>601</v>
      </c>
      <c r="AC899" s="1">
        <v>45303</v>
      </c>
      <c r="AD899" s="1">
        <v>45309</v>
      </c>
      <c r="AE899" s="1"/>
      <c r="AF899" s="1"/>
      <c r="AG899" s="1" t="s">
        <v>2012</v>
      </c>
      <c r="AH899" s="1" t="s">
        <v>1998</v>
      </c>
      <c r="AI899" s="1"/>
      <c r="AJ899" s="31">
        <v>45309</v>
      </c>
      <c r="AK899"/>
      <c r="AL899"/>
      <c r="AM899"/>
      <c r="AN899"/>
      <c r="AO899" t="s">
        <v>4164</v>
      </c>
      <c r="AP899"/>
    </row>
    <row r="900" spans="1:42">
      <c r="A900" s="1" t="s">
        <v>49</v>
      </c>
      <c r="B900" s="1">
        <v>240112</v>
      </c>
      <c r="C900" s="1">
        <v>242101</v>
      </c>
      <c r="D900" s="1" t="s">
        <v>69</v>
      </c>
      <c r="E900" s="1" t="s">
        <v>306</v>
      </c>
      <c r="F900" t="s">
        <v>740</v>
      </c>
      <c r="G900" t="s">
        <v>317</v>
      </c>
      <c r="H900" s="1" t="s">
        <v>2022</v>
      </c>
      <c r="I900" s="1" t="s">
        <v>2023</v>
      </c>
      <c r="J900" s="1" t="s">
        <v>18</v>
      </c>
      <c r="K900" s="1" t="s">
        <v>50</v>
      </c>
      <c r="L900" s="1">
        <v>36787</v>
      </c>
      <c r="M900" s="1">
        <v>25</v>
      </c>
      <c r="N900" s="1">
        <v>1300</v>
      </c>
      <c r="P900" s="1">
        <v>1700</v>
      </c>
      <c r="Q900" s="1"/>
      <c r="R900" s="1">
        <v>400</v>
      </c>
      <c r="S900">
        <v>280000</v>
      </c>
      <c r="T900">
        <v>14042</v>
      </c>
      <c r="U900" t="s">
        <v>814</v>
      </c>
      <c r="V900">
        <v>25620</v>
      </c>
      <c r="W900" s="1">
        <v>46058</v>
      </c>
      <c r="X900" s="1">
        <v>63</v>
      </c>
      <c r="Y900" s="1" t="s">
        <v>51</v>
      </c>
      <c r="Z900" s="1" t="s">
        <v>586</v>
      </c>
      <c r="AA900" s="1" t="s">
        <v>2017</v>
      </c>
      <c r="AB900" s="1" t="s">
        <v>2018</v>
      </c>
      <c r="AC900" s="1">
        <v>45308</v>
      </c>
      <c r="AD900" s="1">
        <v>45314</v>
      </c>
      <c r="AE900" s="1"/>
      <c r="AF900" s="1"/>
      <c r="AG900" s="1" t="s">
        <v>2170</v>
      </c>
      <c r="AH900" s="1" t="s">
        <v>2169</v>
      </c>
      <c r="AI900" s="1"/>
      <c r="AJ900" s="31">
        <v>45314</v>
      </c>
      <c r="AK900"/>
      <c r="AL900"/>
      <c r="AM900"/>
      <c r="AN900"/>
      <c r="AO900"/>
      <c r="AP900"/>
    </row>
    <row r="901" spans="1:42" hidden="1">
      <c r="A901" s="1" t="s">
        <v>2542</v>
      </c>
      <c r="B901" s="1">
        <v>250114</v>
      </c>
      <c r="D901" s="1" t="s">
        <v>1612</v>
      </c>
      <c r="F901"/>
      <c r="G901"/>
      <c r="H901" s="1" t="s">
        <v>4086</v>
      </c>
      <c r="I901" s="1" t="s">
        <v>4087</v>
      </c>
      <c r="J901" s="1" t="s">
        <v>18</v>
      </c>
      <c r="K901" s="1" t="s">
        <v>50</v>
      </c>
      <c r="L901" s="1">
        <v>34973</v>
      </c>
      <c r="M901" s="1">
        <v>30</v>
      </c>
      <c r="N901" s="1">
        <v>1300</v>
      </c>
      <c r="P901" s="1">
        <v>1900</v>
      </c>
      <c r="Q901" s="1"/>
      <c r="R901" s="1">
        <v>600</v>
      </c>
      <c r="S901">
        <v>200000</v>
      </c>
      <c r="T901">
        <v>10030</v>
      </c>
      <c r="U901" t="s">
        <v>814</v>
      </c>
      <c r="V901">
        <v>18300</v>
      </c>
      <c r="W901" s="1">
        <v>46593</v>
      </c>
      <c r="X901" s="1" t="s">
        <v>55</v>
      </c>
      <c r="Y901" s="1" t="s">
        <v>51</v>
      </c>
      <c r="Z901" s="1" t="s">
        <v>211</v>
      </c>
      <c r="AA901" s="1" t="s">
        <v>1366</v>
      </c>
      <c r="AB901" s="1" t="s">
        <v>4185</v>
      </c>
      <c r="AC901" s="1"/>
      <c r="AD901" s="1">
        <v>45674</v>
      </c>
      <c r="AE901" s="1">
        <v>45853</v>
      </c>
      <c r="AF901" s="1"/>
      <c r="AG901" s="1">
        <v>45674</v>
      </c>
      <c r="AH901" s="1" t="s">
        <v>4059</v>
      </c>
      <c r="AI901" s="1"/>
      <c r="AJ901" s="31">
        <v>45674</v>
      </c>
      <c r="AK901"/>
      <c r="AL901"/>
      <c r="AM901"/>
      <c r="AN901"/>
      <c r="AO901"/>
      <c r="AP901"/>
    </row>
    <row r="902" spans="1:42" hidden="1">
      <c r="A902" s="1" t="s">
        <v>49</v>
      </c>
      <c r="B902" s="1">
        <v>230210</v>
      </c>
      <c r="D902" s="1" t="s">
        <v>436</v>
      </c>
      <c r="E902" s="1" t="s">
        <v>4367</v>
      </c>
      <c r="F902" t="s">
        <v>4368</v>
      </c>
      <c r="G902" t="s">
        <v>4369</v>
      </c>
      <c r="H902" s="1" t="s">
        <v>940</v>
      </c>
      <c r="I902" s="1" t="s">
        <v>941</v>
      </c>
      <c r="J902" s="1" t="s">
        <v>18</v>
      </c>
      <c r="K902" s="1" t="s">
        <v>50</v>
      </c>
      <c r="L902" s="1">
        <v>32567</v>
      </c>
      <c r="M902" s="1">
        <v>36</v>
      </c>
      <c r="N902" s="1">
        <v>1500</v>
      </c>
      <c r="P902" s="1">
        <v>2000</v>
      </c>
      <c r="Q902" s="1" t="s">
        <v>3474</v>
      </c>
      <c r="R902" s="1">
        <v>500</v>
      </c>
      <c r="S902">
        <v>360000</v>
      </c>
      <c r="T902">
        <v>18054</v>
      </c>
      <c r="U902" t="s">
        <v>814</v>
      </c>
      <c r="V902">
        <v>32940</v>
      </c>
      <c r="W902" s="1">
        <v>46334</v>
      </c>
      <c r="X902" s="1" t="s">
        <v>55</v>
      </c>
      <c r="Y902" s="1" t="s">
        <v>51</v>
      </c>
      <c r="Z902" s="1" t="s">
        <v>437</v>
      </c>
      <c r="AA902" s="1" t="s">
        <v>1375</v>
      </c>
      <c r="AB902" s="1" t="s">
        <v>1376</v>
      </c>
      <c r="AC902" s="1" t="s">
        <v>53</v>
      </c>
      <c r="AD902" s="1">
        <v>45677</v>
      </c>
      <c r="AE902" s="1"/>
      <c r="AF902" s="1"/>
      <c r="AG902" s="1" t="s">
        <v>924</v>
      </c>
      <c r="AH902" s="1" t="s">
        <v>4088</v>
      </c>
      <c r="AI902" s="1"/>
      <c r="AJ902" s="31">
        <v>45677</v>
      </c>
      <c r="AK902"/>
      <c r="AL902"/>
      <c r="AM902"/>
      <c r="AN902"/>
      <c r="AO902"/>
      <c r="AP902"/>
    </row>
    <row r="903" spans="1:42" hidden="1">
      <c r="A903" s="1" t="s">
        <v>49</v>
      </c>
      <c r="B903" s="1">
        <v>250115</v>
      </c>
      <c r="C903" s="1">
        <v>5671</v>
      </c>
      <c r="D903" s="1" t="s">
        <v>846</v>
      </c>
      <c r="E903" s="1" t="s">
        <v>1234</v>
      </c>
      <c r="F903" t="s">
        <v>1583</v>
      </c>
      <c r="G903" t="s">
        <v>1514</v>
      </c>
      <c r="H903" s="1" t="s">
        <v>4089</v>
      </c>
      <c r="I903" s="1" t="s">
        <v>4090</v>
      </c>
      <c r="J903" s="1" t="s">
        <v>18</v>
      </c>
      <c r="K903" s="1" t="s">
        <v>50</v>
      </c>
      <c r="L903" s="1">
        <v>36385</v>
      </c>
      <c r="M903" s="1">
        <v>26</v>
      </c>
      <c r="N903" s="1">
        <v>1300</v>
      </c>
      <c r="P903" s="1">
        <v>1700</v>
      </c>
      <c r="Q903" s="1"/>
      <c r="R903" s="1">
        <v>400</v>
      </c>
      <c r="S903">
        <v>280000</v>
      </c>
      <c r="T903">
        <v>14042</v>
      </c>
      <c r="U903" t="s">
        <v>814</v>
      </c>
      <c r="V903">
        <v>25620</v>
      </c>
      <c r="W903" s="1">
        <v>46169</v>
      </c>
      <c r="X903" s="1" t="s">
        <v>55</v>
      </c>
      <c r="Y903" s="1" t="s">
        <v>51</v>
      </c>
      <c r="Z903" s="1" t="s">
        <v>652</v>
      </c>
      <c r="AA903" s="1" t="s">
        <v>786</v>
      </c>
      <c r="AB903" s="1" t="s">
        <v>660</v>
      </c>
      <c r="AC903" s="1"/>
      <c r="AD903" s="1">
        <v>45678</v>
      </c>
      <c r="AE903" s="1"/>
      <c r="AF903" s="1"/>
      <c r="AG903" s="1">
        <v>45678</v>
      </c>
      <c r="AH903" s="1" t="s">
        <v>4184</v>
      </c>
      <c r="AI903" s="1"/>
      <c r="AJ903" s="31">
        <v>45678</v>
      </c>
      <c r="AK903"/>
      <c r="AL903"/>
      <c r="AM903"/>
      <c r="AN903"/>
      <c r="AO903"/>
      <c r="AP903"/>
    </row>
    <row r="904" spans="1:42" hidden="1">
      <c r="A904" s="1" t="s">
        <v>49</v>
      </c>
      <c r="B904" s="1">
        <v>250116</v>
      </c>
      <c r="C904" s="1">
        <v>5670</v>
      </c>
      <c r="D904" s="1" t="s">
        <v>846</v>
      </c>
      <c r="E904" s="1" t="s">
        <v>1232</v>
      </c>
      <c r="F904" t="s">
        <v>3489</v>
      </c>
      <c r="G904" t="s">
        <v>1514</v>
      </c>
      <c r="H904" s="1" t="s">
        <v>4091</v>
      </c>
      <c r="I904" s="1" t="s">
        <v>4092</v>
      </c>
      <c r="J904" s="1" t="s">
        <v>18</v>
      </c>
      <c r="K904" s="1" t="s">
        <v>50</v>
      </c>
      <c r="L904" s="1">
        <v>31838</v>
      </c>
      <c r="M904" s="1">
        <v>38</v>
      </c>
      <c r="N904" s="1">
        <v>1300</v>
      </c>
      <c r="P904" s="1">
        <v>1700</v>
      </c>
      <c r="Q904" s="1"/>
      <c r="R904" s="1">
        <v>400</v>
      </c>
      <c r="S904">
        <v>280000</v>
      </c>
      <c r="T904">
        <v>14042</v>
      </c>
      <c r="U904" t="s">
        <v>814</v>
      </c>
      <c r="V904">
        <v>25620</v>
      </c>
      <c r="W904" s="1">
        <v>45973</v>
      </c>
      <c r="X904" s="1" t="s">
        <v>4585</v>
      </c>
      <c r="Y904" s="1" t="s">
        <v>51</v>
      </c>
      <c r="Z904" s="1" t="s">
        <v>3796</v>
      </c>
      <c r="AA904" s="1" t="s">
        <v>3797</v>
      </c>
      <c r="AB904" s="1" t="s">
        <v>3798</v>
      </c>
      <c r="AC904" s="1"/>
      <c r="AD904" s="1">
        <v>45678</v>
      </c>
      <c r="AE904" s="1"/>
      <c r="AF904" s="1"/>
      <c r="AG904" s="1">
        <v>45678</v>
      </c>
      <c r="AH904" s="1" t="s">
        <v>4184</v>
      </c>
      <c r="AI904" s="1"/>
      <c r="AJ904" s="31">
        <v>45678</v>
      </c>
      <c r="AK904"/>
      <c r="AL904"/>
      <c r="AM904"/>
      <c r="AN904"/>
      <c r="AO904"/>
      <c r="AP904"/>
    </row>
    <row r="905" spans="1:42">
      <c r="A905" s="1" t="s">
        <v>49</v>
      </c>
      <c r="B905" s="1">
        <v>240311</v>
      </c>
      <c r="C905" s="1">
        <v>242106</v>
      </c>
      <c r="D905" s="1" t="s">
        <v>69</v>
      </c>
      <c r="E905" s="1" t="s">
        <v>306</v>
      </c>
      <c r="F905" t="s">
        <v>740</v>
      </c>
      <c r="G905" t="s">
        <v>317</v>
      </c>
      <c r="H905" s="1" t="s">
        <v>2208</v>
      </c>
      <c r="I905" s="1" t="s">
        <v>2209</v>
      </c>
      <c r="J905" s="1" t="s">
        <v>18</v>
      </c>
      <c r="K905" s="1" t="s">
        <v>50</v>
      </c>
      <c r="L905" s="1">
        <v>36528</v>
      </c>
      <c r="M905" s="1">
        <v>25</v>
      </c>
      <c r="N905" s="1">
        <v>1300</v>
      </c>
      <c r="P905" s="1">
        <v>1670</v>
      </c>
      <c r="Q905" s="1"/>
      <c r="R905" s="1">
        <v>370</v>
      </c>
      <c r="S905">
        <v>260000</v>
      </c>
      <c r="T905">
        <v>13039</v>
      </c>
      <c r="U905" t="s">
        <v>814</v>
      </c>
      <c r="V905">
        <v>23790</v>
      </c>
      <c r="W905" s="1">
        <v>46106</v>
      </c>
      <c r="X905" s="1" t="s">
        <v>55</v>
      </c>
      <c r="Y905" s="1" t="s">
        <v>51</v>
      </c>
      <c r="Z905" s="1" t="s">
        <v>72</v>
      </c>
      <c r="AA905" s="1" t="s">
        <v>2311</v>
      </c>
      <c r="AB905" s="1" t="s">
        <v>2312</v>
      </c>
      <c r="AC905" s="1"/>
      <c r="AD905" s="1">
        <v>45363</v>
      </c>
      <c r="AE905" s="1"/>
      <c r="AF905" s="1"/>
      <c r="AG905" s="1" t="s">
        <v>2313</v>
      </c>
      <c r="AH905" s="1" t="s">
        <v>2294</v>
      </c>
      <c r="AI905" s="1"/>
      <c r="AJ905" s="31">
        <v>45363</v>
      </c>
      <c r="AK905"/>
      <c r="AL905"/>
      <c r="AM905"/>
      <c r="AN905"/>
      <c r="AO905"/>
      <c r="AP905"/>
    </row>
    <row r="906" spans="1:42" hidden="1">
      <c r="A906" s="1" t="s">
        <v>49</v>
      </c>
      <c r="B906" s="1">
        <v>250118</v>
      </c>
      <c r="C906" s="1">
        <v>232165</v>
      </c>
      <c r="D906" s="1" t="s">
        <v>83</v>
      </c>
      <c r="E906" s="1" t="s">
        <v>307</v>
      </c>
      <c r="F906" t="s">
        <v>2251</v>
      </c>
      <c r="G906" t="s">
        <v>2252</v>
      </c>
      <c r="H906" s="1" t="s">
        <v>4187</v>
      </c>
      <c r="I906" s="1" t="s">
        <v>4188</v>
      </c>
      <c r="J906" s="1" t="s">
        <v>18</v>
      </c>
      <c r="K906" s="1" t="s">
        <v>50</v>
      </c>
      <c r="L906" s="1">
        <v>35824</v>
      </c>
      <c r="M906" s="1">
        <v>27</v>
      </c>
      <c r="N906" s="1">
        <v>1250</v>
      </c>
      <c r="P906" s="1">
        <v>1660</v>
      </c>
      <c r="Q906" s="1"/>
      <c r="R906" s="1">
        <v>410</v>
      </c>
      <c r="S906">
        <v>200000</v>
      </c>
      <c r="T906">
        <v>10030</v>
      </c>
      <c r="U906" t="s">
        <v>814</v>
      </c>
      <c r="V906">
        <v>18300</v>
      </c>
      <c r="W906" s="1">
        <v>46042</v>
      </c>
      <c r="X906" s="1">
        <v>47</v>
      </c>
      <c r="Y906" s="1" t="s">
        <v>51</v>
      </c>
      <c r="Z906" s="1" t="s">
        <v>110</v>
      </c>
      <c r="AA906" s="1" t="s">
        <v>127</v>
      </c>
      <c r="AB906" s="1" t="s">
        <v>128</v>
      </c>
      <c r="AC906" s="1"/>
      <c r="AD906" s="1">
        <v>45685</v>
      </c>
      <c r="AE906" s="1"/>
      <c r="AF906" s="1"/>
      <c r="AG906" s="1">
        <v>45685</v>
      </c>
      <c r="AH906" s="1" t="s">
        <v>4186</v>
      </c>
      <c r="AI906" s="1"/>
      <c r="AJ906" s="31">
        <v>45685</v>
      </c>
      <c r="AK906"/>
      <c r="AL906"/>
      <c r="AM906"/>
      <c r="AN906"/>
      <c r="AO906"/>
      <c r="AP906"/>
    </row>
    <row r="907" spans="1:42" hidden="1">
      <c r="A907" s="1" t="s">
        <v>49</v>
      </c>
      <c r="B907" s="1">
        <v>250119</v>
      </c>
      <c r="C907" s="1">
        <v>232166</v>
      </c>
      <c r="D907" s="1" t="s">
        <v>83</v>
      </c>
      <c r="E907" s="1" t="s">
        <v>307</v>
      </c>
      <c r="F907" t="s">
        <v>2251</v>
      </c>
      <c r="G907" t="s">
        <v>2252</v>
      </c>
      <c r="H907" s="1" t="s">
        <v>4095</v>
      </c>
      <c r="I907" s="1" t="s">
        <v>4096</v>
      </c>
      <c r="J907" s="1" t="s">
        <v>18</v>
      </c>
      <c r="K907" s="1" t="s">
        <v>50</v>
      </c>
      <c r="L907" s="1">
        <v>36584</v>
      </c>
      <c r="M907" s="1">
        <v>25</v>
      </c>
      <c r="N907" s="1">
        <v>1250</v>
      </c>
      <c r="P907" s="1">
        <v>1660</v>
      </c>
      <c r="Q907" s="1"/>
      <c r="R907" s="1">
        <v>410</v>
      </c>
      <c r="S907">
        <v>200000</v>
      </c>
      <c r="T907">
        <v>10030</v>
      </c>
      <c r="U907" t="s">
        <v>814</v>
      </c>
      <c r="V907">
        <v>18300</v>
      </c>
      <c r="W907" s="1">
        <v>46042</v>
      </c>
      <c r="X907" s="1">
        <v>47</v>
      </c>
      <c r="Y907" s="1" t="s">
        <v>51</v>
      </c>
      <c r="Z907" s="1" t="s">
        <v>110</v>
      </c>
      <c r="AA907" s="1" t="s">
        <v>127</v>
      </c>
      <c r="AB907" s="1" t="s">
        <v>128</v>
      </c>
      <c r="AC907" s="1"/>
      <c r="AD907" s="1">
        <v>45685</v>
      </c>
      <c r="AE907" s="1"/>
      <c r="AF907" s="1"/>
      <c r="AG907" s="1">
        <v>45685</v>
      </c>
      <c r="AH907" s="1" t="s">
        <v>4186</v>
      </c>
      <c r="AI907" s="1"/>
      <c r="AJ907" s="31">
        <v>45685</v>
      </c>
      <c r="AK907"/>
      <c r="AL907"/>
      <c r="AM907"/>
      <c r="AN907"/>
      <c r="AO907"/>
      <c r="AP907"/>
    </row>
    <row r="908" spans="1:42" hidden="1">
      <c r="A908" s="1" t="s">
        <v>49</v>
      </c>
      <c r="B908" s="1">
        <v>250201</v>
      </c>
      <c r="C908" s="1">
        <v>9330009</v>
      </c>
      <c r="D908" s="1" t="s">
        <v>402</v>
      </c>
      <c r="E908" s="1" t="s">
        <v>4143</v>
      </c>
      <c r="F908" t="s">
        <v>3667</v>
      </c>
      <c r="G908" t="s">
        <v>1351</v>
      </c>
      <c r="H908" s="1" t="s">
        <v>4097</v>
      </c>
      <c r="I908" s="1" t="s">
        <v>4098</v>
      </c>
      <c r="J908" s="1" t="s">
        <v>17</v>
      </c>
      <c r="K908" s="1" t="s">
        <v>404</v>
      </c>
      <c r="L908" s="1">
        <v>30509</v>
      </c>
      <c r="M908" s="1">
        <v>42</v>
      </c>
      <c r="N908" s="1">
        <v>1400</v>
      </c>
      <c r="P908" s="1">
        <v>1872</v>
      </c>
      <c r="Q908" s="1"/>
      <c r="R908" s="1">
        <v>472</v>
      </c>
      <c r="S908">
        <v>320000</v>
      </c>
      <c r="T908">
        <v>16048</v>
      </c>
      <c r="U908">
        <v>2544</v>
      </c>
      <c r="V908">
        <v>29280</v>
      </c>
      <c r="W908" s="1">
        <v>47648</v>
      </c>
      <c r="X908" s="1" t="s">
        <v>55</v>
      </c>
      <c r="Y908" s="1" t="s">
        <v>60</v>
      </c>
      <c r="Z908" s="1" t="s">
        <v>4144</v>
      </c>
      <c r="AA908" s="1" t="s">
        <v>4145</v>
      </c>
      <c r="AB908" s="1" t="s">
        <v>53</v>
      </c>
      <c r="AC908" s="1"/>
      <c r="AD908" s="1">
        <v>45691</v>
      </c>
      <c r="AE908" s="1"/>
      <c r="AF908" s="1"/>
      <c r="AG908" s="1">
        <v>45691</v>
      </c>
      <c r="AH908" s="1" t="s">
        <v>4186</v>
      </c>
      <c r="AI908" s="1"/>
      <c r="AJ908" s="31">
        <v>45691</v>
      </c>
      <c r="AK908"/>
      <c r="AL908"/>
      <c r="AM908"/>
      <c r="AN908"/>
      <c r="AO908"/>
      <c r="AP908"/>
    </row>
    <row r="909" spans="1:42" hidden="1">
      <c r="A909" s="1" t="s">
        <v>49</v>
      </c>
      <c r="B909" s="1">
        <v>250207</v>
      </c>
      <c r="C909" s="1">
        <v>232168</v>
      </c>
      <c r="D909" s="1" t="s">
        <v>83</v>
      </c>
      <c r="E909" s="1" t="s">
        <v>307</v>
      </c>
      <c r="F909" t="s">
        <v>2251</v>
      </c>
      <c r="G909" t="s">
        <v>2252</v>
      </c>
      <c r="H909" s="1" t="s">
        <v>4109</v>
      </c>
      <c r="I909" s="1" t="s">
        <v>4110</v>
      </c>
      <c r="J909" s="1" t="s">
        <v>18</v>
      </c>
      <c r="K909" s="1" t="s">
        <v>50</v>
      </c>
      <c r="L909" s="1">
        <v>36826</v>
      </c>
      <c r="M909" s="1">
        <v>25</v>
      </c>
      <c r="N909" s="1">
        <v>1250</v>
      </c>
      <c r="P909" s="1">
        <v>1660</v>
      </c>
      <c r="Q909" s="1"/>
      <c r="R909" s="1">
        <v>410</v>
      </c>
      <c r="S909">
        <v>220000</v>
      </c>
      <c r="T909">
        <v>11033</v>
      </c>
      <c r="U909" t="s">
        <v>814</v>
      </c>
      <c r="V909">
        <v>20130</v>
      </c>
      <c r="W909" s="1">
        <v>46787</v>
      </c>
      <c r="X909" s="1" t="s">
        <v>55</v>
      </c>
      <c r="Y909" s="1" t="s">
        <v>51</v>
      </c>
      <c r="Z909" s="1" t="s">
        <v>110</v>
      </c>
      <c r="AA909" s="1" t="s">
        <v>198</v>
      </c>
      <c r="AB909" s="1" t="s">
        <v>755</v>
      </c>
      <c r="AC909" s="1"/>
      <c r="AD909" s="1">
        <v>45698</v>
      </c>
      <c r="AE909" s="1"/>
      <c r="AF909" s="1"/>
      <c r="AG909" s="1">
        <v>45698</v>
      </c>
      <c r="AH909" s="1" t="s">
        <v>4189</v>
      </c>
      <c r="AI909" s="1"/>
      <c r="AJ909" s="31">
        <v>45698</v>
      </c>
      <c r="AK909"/>
      <c r="AL909"/>
      <c r="AM909"/>
      <c r="AN909"/>
      <c r="AO909"/>
      <c r="AP909"/>
    </row>
    <row r="910" spans="1:42" hidden="1">
      <c r="A910" s="1" t="s">
        <v>2542</v>
      </c>
      <c r="B910" s="1">
        <v>250208</v>
      </c>
      <c r="C910" s="1">
        <v>232171</v>
      </c>
      <c r="D910" s="1" t="s">
        <v>83</v>
      </c>
      <c r="E910" s="1" t="s">
        <v>307</v>
      </c>
      <c r="F910" t="s">
        <v>2251</v>
      </c>
      <c r="G910" t="s">
        <v>2252</v>
      </c>
      <c r="H910" s="1" t="s">
        <v>4111</v>
      </c>
      <c r="I910" s="1" t="s">
        <v>4112</v>
      </c>
      <c r="J910" s="1" t="s">
        <v>18</v>
      </c>
      <c r="K910" s="1" t="s">
        <v>50</v>
      </c>
      <c r="L910" s="1">
        <v>37745</v>
      </c>
      <c r="M910" s="1">
        <v>22</v>
      </c>
      <c r="N910" s="1">
        <v>1250</v>
      </c>
      <c r="P910" s="1">
        <v>1660</v>
      </c>
      <c r="Q910" s="1"/>
      <c r="R910" s="1">
        <v>410</v>
      </c>
      <c r="S910">
        <v>240000</v>
      </c>
      <c r="T910">
        <v>12036</v>
      </c>
      <c r="U910" t="s">
        <v>814</v>
      </c>
      <c r="V910">
        <v>21960</v>
      </c>
      <c r="W910" s="1">
        <v>46787</v>
      </c>
      <c r="X910" s="1" t="s">
        <v>55</v>
      </c>
      <c r="Y910" s="1" t="s">
        <v>51</v>
      </c>
      <c r="Z910" s="1" t="s">
        <v>110</v>
      </c>
      <c r="AA910" s="1" t="s">
        <v>198</v>
      </c>
      <c r="AB910" s="1" t="s">
        <v>755</v>
      </c>
      <c r="AC910" s="1"/>
      <c r="AD910" s="1">
        <v>45698</v>
      </c>
      <c r="AE910" s="1">
        <v>45894</v>
      </c>
      <c r="AF910" s="1"/>
      <c r="AG910" s="1">
        <v>45698</v>
      </c>
      <c r="AH910" s="1" t="s">
        <v>4189</v>
      </c>
      <c r="AI910" s="1" t="s">
        <v>4493</v>
      </c>
      <c r="AJ910" s="31">
        <v>45698</v>
      </c>
      <c r="AK910"/>
      <c r="AL910"/>
      <c r="AM910"/>
      <c r="AN910"/>
      <c r="AO910"/>
      <c r="AP910"/>
    </row>
    <row r="911" spans="1:42" hidden="1">
      <c r="A911" s="1" t="s">
        <v>49</v>
      </c>
      <c r="B911" s="1">
        <v>250209</v>
      </c>
      <c r="C911" s="1">
        <v>232169</v>
      </c>
      <c r="D911" s="1" t="s">
        <v>83</v>
      </c>
      <c r="E911" s="1" t="s">
        <v>307</v>
      </c>
      <c r="F911" t="s">
        <v>2251</v>
      </c>
      <c r="G911" t="s">
        <v>2252</v>
      </c>
      <c r="H911" s="1" t="s">
        <v>4113</v>
      </c>
      <c r="I911" s="1" t="s">
        <v>4114</v>
      </c>
      <c r="J911" s="1" t="s">
        <v>18</v>
      </c>
      <c r="K911" s="1" t="s">
        <v>50</v>
      </c>
      <c r="L911" s="1">
        <v>37574</v>
      </c>
      <c r="M911" s="1">
        <v>23</v>
      </c>
      <c r="N911" s="1">
        <v>1250</v>
      </c>
      <c r="P911" s="1">
        <v>1660</v>
      </c>
      <c r="Q911" s="1"/>
      <c r="R911" s="1">
        <v>410</v>
      </c>
      <c r="S911">
        <v>240000</v>
      </c>
      <c r="T911">
        <v>12036</v>
      </c>
      <c r="U911" t="s">
        <v>814</v>
      </c>
      <c r="V911">
        <v>21960</v>
      </c>
      <c r="W911" s="1">
        <v>46787</v>
      </c>
      <c r="X911" s="1" t="s">
        <v>55</v>
      </c>
      <c r="Y911" s="1" t="s">
        <v>51</v>
      </c>
      <c r="Z911" s="1" t="s">
        <v>110</v>
      </c>
      <c r="AA911" s="1" t="s">
        <v>131</v>
      </c>
      <c r="AB911" s="1" t="s">
        <v>3885</v>
      </c>
      <c r="AC911" s="1"/>
      <c r="AD911" s="1">
        <v>45698</v>
      </c>
      <c r="AE911" s="1"/>
      <c r="AF911" s="1"/>
      <c r="AG911" s="1">
        <v>45698</v>
      </c>
      <c r="AH911" s="1" t="s">
        <v>4189</v>
      </c>
      <c r="AI911" s="1"/>
      <c r="AJ911" s="31">
        <v>45698</v>
      </c>
      <c r="AK911"/>
      <c r="AL911"/>
      <c r="AM911"/>
      <c r="AN911"/>
      <c r="AO911"/>
      <c r="AP911"/>
    </row>
    <row r="912" spans="1:42" hidden="1">
      <c r="A912" s="1" t="s">
        <v>49</v>
      </c>
      <c r="B912" s="1">
        <v>250210</v>
      </c>
      <c r="C912" s="1">
        <v>232172</v>
      </c>
      <c r="D912" s="1" t="s">
        <v>83</v>
      </c>
      <c r="E912" s="1" t="s">
        <v>307</v>
      </c>
      <c r="F912" t="s">
        <v>2251</v>
      </c>
      <c r="G912" t="s">
        <v>2252</v>
      </c>
      <c r="H912" s="1" t="s">
        <v>4115</v>
      </c>
      <c r="I912" s="1" t="s">
        <v>4116</v>
      </c>
      <c r="J912" s="1" t="s">
        <v>18</v>
      </c>
      <c r="K912" s="1" t="s">
        <v>50</v>
      </c>
      <c r="L912" s="1">
        <v>35980</v>
      </c>
      <c r="M912" s="1">
        <v>27</v>
      </c>
      <c r="N912" s="1">
        <v>1250</v>
      </c>
      <c r="P912" s="1">
        <v>1660</v>
      </c>
      <c r="Q912" s="1"/>
      <c r="R912" s="1">
        <v>410</v>
      </c>
      <c r="S912">
        <v>220000</v>
      </c>
      <c r="T912">
        <v>11033</v>
      </c>
      <c r="U912" t="s">
        <v>814</v>
      </c>
      <c r="V912">
        <v>20130</v>
      </c>
      <c r="W912" s="1">
        <v>46787</v>
      </c>
      <c r="X912" s="1" t="s">
        <v>55</v>
      </c>
      <c r="Y912" s="1" t="s">
        <v>51</v>
      </c>
      <c r="Z912" s="1" t="s">
        <v>110</v>
      </c>
      <c r="AA912" s="1" t="s">
        <v>131</v>
      </c>
      <c r="AB912" s="1" t="s">
        <v>3885</v>
      </c>
      <c r="AC912" s="1"/>
      <c r="AD912" s="1">
        <v>45698</v>
      </c>
      <c r="AE912" s="1"/>
      <c r="AF912" s="1"/>
      <c r="AG912" s="1">
        <v>45698</v>
      </c>
      <c r="AH912" s="1" t="s">
        <v>4189</v>
      </c>
      <c r="AI912" s="1"/>
      <c r="AJ912" s="31">
        <v>45698</v>
      </c>
      <c r="AK912"/>
      <c r="AL912"/>
      <c r="AM912"/>
      <c r="AN912"/>
      <c r="AO912"/>
      <c r="AP912"/>
    </row>
    <row r="913" spans="1:42" hidden="1">
      <c r="A913" s="1" t="s">
        <v>49</v>
      </c>
      <c r="B913" s="1">
        <v>250211</v>
      </c>
      <c r="C913" s="1">
        <v>232170</v>
      </c>
      <c r="D913" s="1" t="s">
        <v>83</v>
      </c>
      <c r="E913" s="1" t="s">
        <v>307</v>
      </c>
      <c r="F913" t="s">
        <v>2251</v>
      </c>
      <c r="G913" t="s">
        <v>2252</v>
      </c>
      <c r="H913" s="1" t="s">
        <v>4117</v>
      </c>
      <c r="I913" s="1" t="s">
        <v>4118</v>
      </c>
      <c r="J913" s="1" t="s">
        <v>18</v>
      </c>
      <c r="K913" s="1" t="s">
        <v>50</v>
      </c>
      <c r="L913" s="1">
        <v>37160</v>
      </c>
      <c r="M913" s="1">
        <v>24</v>
      </c>
      <c r="N913" s="1">
        <v>1260</v>
      </c>
      <c r="P913" s="1">
        <v>1660</v>
      </c>
      <c r="Q913" s="1"/>
      <c r="R913" s="1">
        <v>400</v>
      </c>
      <c r="S913">
        <v>200000</v>
      </c>
      <c r="T913">
        <v>10030</v>
      </c>
      <c r="U913" t="s">
        <v>814</v>
      </c>
      <c r="V913">
        <v>18300</v>
      </c>
      <c r="W913" s="1">
        <v>46787</v>
      </c>
      <c r="X913" s="1" t="s">
        <v>55</v>
      </c>
      <c r="Y913" s="1" t="s">
        <v>51</v>
      </c>
      <c r="Z913" s="1" t="s">
        <v>110</v>
      </c>
      <c r="AA913" s="1" t="s">
        <v>215</v>
      </c>
      <c r="AB913" s="1" t="s">
        <v>136</v>
      </c>
      <c r="AC913" s="1"/>
      <c r="AD913" s="1">
        <v>45698</v>
      </c>
      <c r="AE913" s="1"/>
      <c r="AF913" s="1"/>
      <c r="AG913" s="1">
        <v>45698</v>
      </c>
      <c r="AH913" s="1" t="s">
        <v>4189</v>
      </c>
      <c r="AI913" s="1"/>
      <c r="AJ913" s="31">
        <v>45698</v>
      </c>
      <c r="AK913"/>
      <c r="AL913"/>
      <c r="AM913"/>
      <c r="AN913"/>
      <c r="AO913"/>
      <c r="AP913"/>
    </row>
    <row r="914" spans="1:42" hidden="1">
      <c r="A914" s="1" t="s">
        <v>49</v>
      </c>
      <c r="B914" s="1">
        <v>250212</v>
      </c>
      <c r="C914" s="1">
        <v>232167</v>
      </c>
      <c r="D914" s="1" t="s">
        <v>83</v>
      </c>
      <c r="E914" s="1" t="s">
        <v>307</v>
      </c>
      <c r="F914" t="s">
        <v>2251</v>
      </c>
      <c r="G914" t="s">
        <v>2252</v>
      </c>
      <c r="H914" s="1" t="s">
        <v>4119</v>
      </c>
      <c r="I914" s="1" t="s">
        <v>4120</v>
      </c>
      <c r="J914" s="1" t="s">
        <v>18</v>
      </c>
      <c r="K914" s="1" t="s">
        <v>50</v>
      </c>
      <c r="L914" s="1">
        <v>37513</v>
      </c>
      <c r="M914" s="1">
        <v>23</v>
      </c>
      <c r="N914" s="1">
        <v>1250</v>
      </c>
      <c r="P914" s="1">
        <v>1660</v>
      </c>
      <c r="Q914" s="1"/>
      <c r="R914" s="1">
        <v>410</v>
      </c>
      <c r="S914">
        <v>200000</v>
      </c>
      <c r="T914">
        <v>10030</v>
      </c>
      <c r="U914" t="s">
        <v>814</v>
      </c>
      <c r="V914">
        <v>18300</v>
      </c>
      <c r="W914" s="1">
        <v>46787</v>
      </c>
      <c r="X914" s="1" t="s">
        <v>55</v>
      </c>
      <c r="Y914" s="1" t="s">
        <v>51</v>
      </c>
      <c r="Z914" s="1" t="s">
        <v>110</v>
      </c>
      <c r="AA914" s="1" t="s">
        <v>215</v>
      </c>
      <c r="AB914" s="1" t="s">
        <v>136</v>
      </c>
      <c r="AC914" s="1"/>
      <c r="AD914" s="1">
        <v>45698</v>
      </c>
      <c r="AE914" s="1"/>
      <c r="AF914" s="1"/>
      <c r="AG914" s="1">
        <v>45698</v>
      </c>
      <c r="AH914" s="1" t="s">
        <v>4189</v>
      </c>
      <c r="AI914" s="1"/>
      <c r="AJ914" s="31">
        <v>45698</v>
      </c>
      <c r="AK914"/>
      <c r="AL914"/>
      <c r="AM914"/>
      <c r="AN914"/>
      <c r="AO914"/>
      <c r="AP914"/>
    </row>
    <row r="915" spans="1:42">
      <c r="A915" s="1" t="s">
        <v>49</v>
      </c>
      <c r="B915" s="1">
        <v>240804</v>
      </c>
      <c r="C915" s="1">
        <v>242111</v>
      </c>
      <c r="D915" s="1" t="s">
        <v>69</v>
      </c>
      <c r="E915" s="1" t="s">
        <v>306</v>
      </c>
      <c r="F915" t="s">
        <v>740</v>
      </c>
      <c r="G915" t="s">
        <v>317</v>
      </c>
      <c r="H915" s="1" t="s">
        <v>3784</v>
      </c>
      <c r="I915" s="1" t="s">
        <v>3785</v>
      </c>
      <c r="J915" s="1" t="s">
        <v>18</v>
      </c>
      <c r="K915" s="1" t="s">
        <v>50</v>
      </c>
      <c r="L915" s="1">
        <v>36831</v>
      </c>
      <c r="M915" s="1">
        <v>25</v>
      </c>
      <c r="N915" s="1">
        <v>1300</v>
      </c>
      <c r="P915" s="1">
        <v>1660</v>
      </c>
      <c r="Q915" s="1"/>
      <c r="R915" s="1">
        <v>360</v>
      </c>
      <c r="S915">
        <v>260000</v>
      </c>
      <c r="T915">
        <v>13039</v>
      </c>
      <c r="U915" t="s">
        <v>814</v>
      </c>
      <c r="V915">
        <v>23790</v>
      </c>
      <c r="W915" s="1">
        <v>46232</v>
      </c>
      <c r="X915" s="1" t="s">
        <v>55</v>
      </c>
      <c r="Y915" s="1" t="s">
        <v>51</v>
      </c>
      <c r="Z915" s="1" t="s">
        <v>470</v>
      </c>
      <c r="AA915" s="1" t="s">
        <v>1707</v>
      </c>
      <c r="AB915" s="1" t="s">
        <v>1708</v>
      </c>
      <c r="AC915" s="1"/>
      <c r="AD915" s="1">
        <v>45506</v>
      </c>
      <c r="AE915" s="1"/>
      <c r="AF915" s="1"/>
      <c r="AG915" s="1">
        <v>45506</v>
      </c>
      <c r="AH915" s="1" t="s">
        <v>355</v>
      </c>
      <c r="AI915" s="1"/>
      <c r="AJ915" s="31">
        <v>45506</v>
      </c>
      <c r="AK915"/>
      <c r="AL915"/>
      <c r="AM915"/>
      <c r="AN915"/>
      <c r="AO915" t="s">
        <v>4165</v>
      </c>
      <c r="AP915"/>
    </row>
    <row r="916" spans="1:42">
      <c r="A916" s="1" t="s">
        <v>49</v>
      </c>
      <c r="B916" s="1">
        <v>241211</v>
      </c>
      <c r="C916" s="1">
        <v>242116</v>
      </c>
      <c r="D916" s="1" t="s">
        <v>69</v>
      </c>
      <c r="E916" s="1" t="s">
        <v>306</v>
      </c>
      <c r="F916" t="s">
        <v>740</v>
      </c>
      <c r="G916" t="s">
        <v>317</v>
      </c>
      <c r="H916" s="1" t="s">
        <v>4028</v>
      </c>
      <c r="I916" s="1" t="s">
        <v>4029</v>
      </c>
      <c r="J916" s="1" t="s">
        <v>18</v>
      </c>
      <c r="K916" s="1" t="s">
        <v>50</v>
      </c>
      <c r="L916" s="1">
        <v>37599</v>
      </c>
      <c r="M916" s="1">
        <v>22</v>
      </c>
      <c r="N916" s="1">
        <v>1250</v>
      </c>
      <c r="P916" s="1">
        <v>1660</v>
      </c>
      <c r="Q916" s="1"/>
      <c r="R916" s="1">
        <v>410</v>
      </c>
      <c r="S916">
        <v>280000</v>
      </c>
      <c r="T916">
        <v>14042</v>
      </c>
      <c r="U916" t="s">
        <v>814</v>
      </c>
      <c r="V916">
        <v>25620</v>
      </c>
      <c r="W916" s="1">
        <v>46002</v>
      </c>
      <c r="X916" s="1">
        <v>7</v>
      </c>
      <c r="Y916" s="1" t="s">
        <v>51</v>
      </c>
      <c r="Z916" s="1" t="s">
        <v>72</v>
      </c>
      <c r="AA916" s="1" t="s">
        <v>526</v>
      </c>
      <c r="AB916" s="1" t="s">
        <v>2001</v>
      </c>
      <c r="AC916" s="1"/>
      <c r="AD916" s="1">
        <v>45643</v>
      </c>
      <c r="AE916" s="1"/>
      <c r="AF916" s="1"/>
      <c r="AG916" s="1">
        <v>45643</v>
      </c>
      <c r="AH916" s="1" t="s">
        <v>4008</v>
      </c>
      <c r="AI916" s="1"/>
      <c r="AJ916" s="31">
        <v>45643</v>
      </c>
      <c r="AK916"/>
      <c r="AL916"/>
      <c r="AM916"/>
      <c r="AN916"/>
      <c r="AO916"/>
      <c r="AP916"/>
    </row>
    <row r="917" spans="1:42">
      <c r="A917" s="1" t="s">
        <v>49</v>
      </c>
      <c r="B917" s="1">
        <v>250216</v>
      </c>
      <c r="C917" s="1">
        <v>242124</v>
      </c>
      <c r="D917" s="1" t="s">
        <v>69</v>
      </c>
      <c r="E917" s="1" t="s">
        <v>306</v>
      </c>
      <c r="F917" t="s">
        <v>740</v>
      </c>
      <c r="G917" t="s">
        <v>317</v>
      </c>
      <c r="H917" s="1" t="s">
        <v>4126</v>
      </c>
      <c r="I917" s="1" t="s">
        <v>4127</v>
      </c>
      <c r="J917" s="1" t="s">
        <v>18</v>
      </c>
      <c r="K917" s="1" t="s">
        <v>50</v>
      </c>
      <c r="L917" s="1">
        <v>37488</v>
      </c>
      <c r="M917" s="1">
        <v>23</v>
      </c>
      <c r="N917" s="1">
        <v>1250</v>
      </c>
      <c r="P917" s="1">
        <v>1650</v>
      </c>
      <c r="Q917" s="1"/>
      <c r="R917" s="1">
        <v>400</v>
      </c>
      <c r="S917">
        <v>240000</v>
      </c>
      <c r="T917">
        <v>12036</v>
      </c>
      <c r="U917" t="s">
        <v>814</v>
      </c>
      <c r="V917">
        <v>21960</v>
      </c>
      <c r="W917" s="1">
        <v>46789</v>
      </c>
      <c r="X917" s="1" t="s">
        <v>55</v>
      </c>
      <c r="Y917" s="1" t="s">
        <v>51</v>
      </c>
      <c r="Z917" s="1" t="s">
        <v>485</v>
      </c>
      <c r="AA917" s="1" t="s">
        <v>486</v>
      </c>
      <c r="AB917" s="1" t="s">
        <v>1595</v>
      </c>
      <c r="AC917" s="1"/>
      <c r="AD917" s="1">
        <v>45700</v>
      </c>
      <c r="AE917" s="1"/>
      <c r="AF917" s="1"/>
      <c r="AG917" s="1">
        <v>45700</v>
      </c>
      <c r="AH917" s="1" t="s">
        <v>4186</v>
      </c>
      <c r="AI917" s="1"/>
      <c r="AJ917" s="31">
        <v>45700</v>
      </c>
      <c r="AK917"/>
      <c r="AL917"/>
      <c r="AM917"/>
      <c r="AN917"/>
      <c r="AO917"/>
      <c r="AP917"/>
    </row>
    <row r="918" spans="1:42" hidden="1">
      <c r="A918" s="1" t="s">
        <v>2542</v>
      </c>
      <c r="B918" s="1">
        <v>250203</v>
      </c>
      <c r="C918" s="1">
        <v>242120</v>
      </c>
      <c r="D918" s="1" t="s">
        <v>69</v>
      </c>
      <c r="E918" s="1" t="s">
        <v>306</v>
      </c>
      <c r="F918" t="s">
        <v>390</v>
      </c>
      <c r="G918" t="s">
        <v>1085</v>
      </c>
      <c r="H918" s="1" t="s">
        <v>4101</v>
      </c>
      <c r="I918" s="1" t="s">
        <v>4102</v>
      </c>
      <c r="J918" s="1" t="s">
        <v>18</v>
      </c>
      <c r="K918" s="1" t="s">
        <v>50</v>
      </c>
      <c r="L918" s="1">
        <v>36974</v>
      </c>
      <c r="M918" s="1">
        <v>24</v>
      </c>
      <c r="N918" s="1">
        <v>1200</v>
      </c>
      <c r="P918" s="1">
        <v>1650</v>
      </c>
      <c r="Q918" s="1"/>
      <c r="R918" s="1">
        <v>450</v>
      </c>
      <c r="S918">
        <v>190000</v>
      </c>
      <c r="T918">
        <v>9528</v>
      </c>
      <c r="U918" t="s">
        <v>814</v>
      </c>
      <c r="V918">
        <v>17385</v>
      </c>
      <c r="W918" s="1">
        <v>46786</v>
      </c>
      <c r="X918" s="1" t="s">
        <v>55</v>
      </c>
      <c r="Y918" s="1" t="s">
        <v>51</v>
      </c>
      <c r="Z918" s="1" t="s">
        <v>4146</v>
      </c>
      <c r="AA918" s="1" t="s">
        <v>4147</v>
      </c>
      <c r="AB918" s="1" t="s">
        <v>4149</v>
      </c>
      <c r="AC918" s="1"/>
      <c r="AD918" s="1">
        <v>45698</v>
      </c>
      <c r="AE918" s="1">
        <v>45878</v>
      </c>
      <c r="AF918" s="1"/>
      <c r="AG918" s="1">
        <v>45698</v>
      </c>
      <c r="AH918" s="1" t="s">
        <v>4189</v>
      </c>
      <c r="AI918" s="1"/>
      <c r="AJ918" s="31">
        <v>45698</v>
      </c>
      <c r="AK918"/>
      <c r="AL918"/>
      <c r="AM918"/>
      <c r="AN918"/>
      <c r="AO918"/>
      <c r="AP918"/>
    </row>
    <row r="919" spans="1:42">
      <c r="A919" s="1" t="s">
        <v>49</v>
      </c>
      <c r="B919" s="1">
        <v>250708</v>
      </c>
      <c r="C919" s="1">
        <v>242133</v>
      </c>
      <c r="D919" s="1" t="s">
        <v>69</v>
      </c>
      <c r="E919" s="1" t="s">
        <v>306</v>
      </c>
      <c r="F919" t="s">
        <v>740</v>
      </c>
      <c r="G919" t="s">
        <v>317</v>
      </c>
      <c r="H919" s="1" t="s">
        <v>4433</v>
      </c>
      <c r="I919" s="1" t="s">
        <v>4434</v>
      </c>
      <c r="J919" s="1" t="s">
        <v>18</v>
      </c>
      <c r="K919" s="1" t="s">
        <v>50</v>
      </c>
      <c r="L919" s="1">
        <v>37352</v>
      </c>
      <c r="M919" s="1">
        <v>23</v>
      </c>
      <c r="N919" s="1">
        <v>1200</v>
      </c>
      <c r="P919" s="1">
        <v>1650</v>
      </c>
      <c r="Q919" s="1"/>
      <c r="R919" s="1">
        <v>450</v>
      </c>
      <c r="S919">
        <v>220000</v>
      </c>
      <c r="T919">
        <v>11033</v>
      </c>
      <c r="U919" t="s">
        <v>814</v>
      </c>
      <c r="V919">
        <v>20130</v>
      </c>
      <c r="W919" s="1">
        <v>46950</v>
      </c>
      <c r="X919" s="1" t="s">
        <v>55</v>
      </c>
      <c r="Y919" s="1" t="s">
        <v>51</v>
      </c>
      <c r="Z919" s="1" t="s">
        <v>72</v>
      </c>
      <c r="AA919" s="1" t="s">
        <v>2311</v>
      </c>
      <c r="AB919" s="1" t="s">
        <v>2312</v>
      </c>
      <c r="AC919" s="1">
        <v>45854</v>
      </c>
      <c r="AD919" s="1">
        <v>45861</v>
      </c>
      <c r="AE919" s="1"/>
      <c r="AF919" s="1"/>
      <c r="AG919" s="1">
        <v>45861</v>
      </c>
      <c r="AH919" s="1" t="s">
        <v>4425</v>
      </c>
      <c r="AI919" s="1"/>
      <c r="AJ919" s="31">
        <v>45861</v>
      </c>
      <c r="AK919"/>
      <c r="AL919"/>
      <c r="AM919"/>
      <c r="AN919"/>
      <c r="AO919"/>
      <c r="AP919"/>
    </row>
    <row r="920" spans="1:42" hidden="1">
      <c r="A920" s="1" t="s">
        <v>49</v>
      </c>
      <c r="B920" s="1">
        <v>250213</v>
      </c>
      <c r="C920" s="1">
        <v>5682</v>
      </c>
      <c r="D920" s="1" t="s">
        <v>846</v>
      </c>
      <c r="E920" s="1" t="s">
        <v>1232</v>
      </c>
      <c r="F920" t="s">
        <v>3489</v>
      </c>
      <c r="G920" t="s">
        <v>1514</v>
      </c>
      <c r="H920" s="1" t="s">
        <v>4121</v>
      </c>
      <c r="I920" s="1" t="s">
        <v>4122</v>
      </c>
      <c r="J920" s="1" t="s">
        <v>18</v>
      </c>
      <c r="K920" s="1" t="s">
        <v>404</v>
      </c>
      <c r="L920" s="1">
        <v>31182</v>
      </c>
      <c r="M920" s="1">
        <v>40</v>
      </c>
      <c r="N920" s="1">
        <v>1300</v>
      </c>
      <c r="P920" s="1">
        <v>1700</v>
      </c>
      <c r="Q920" s="1"/>
      <c r="R920" s="1">
        <v>400</v>
      </c>
      <c r="S920">
        <v>280000</v>
      </c>
      <c r="T920">
        <v>14042</v>
      </c>
      <c r="U920">
        <v>2226</v>
      </c>
      <c r="V920">
        <v>25620</v>
      </c>
      <c r="W920" s="1">
        <v>47112</v>
      </c>
      <c r="X920" s="1" t="s">
        <v>55</v>
      </c>
      <c r="Y920" s="1" t="s">
        <v>51</v>
      </c>
      <c r="Z920" s="1" t="s">
        <v>4495</v>
      </c>
      <c r="AA920" s="1" t="s">
        <v>4496</v>
      </c>
      <c r="AB920" s="1" t="s">
        <v>4497</v>
      </c>
      <c r="AC920" s="1"/>
      <c r="AD920" s="1">
        <v>45698</v>
      </c>
      <c r="AE920" s="1"/>
      <c r="AF920" s="1"/>
      <c r="AG920" s="1">
        <v>45698</v>
      </c>
      <c r="AH920" s="1" t="s">
        <v>4189</v>
      </c>
      <c r="AI920" s="1"/>
      <c r="AJ920" s="31">
        <v>45698</v>
      </c>
      <c r="AK920"/>
      <c r="AL920"/>
      <c r="AM920"/>
      <c r="AN920"/>
      <c r="AO920"/>
      <c r="AP920"/>
    </row>
    <row r="921" spans="1:42" hidden="1">
      <c r="A921" s="1" t="s">
        <v>49</v>
      </c>
      <c r="B921" s="1">
        <v>250214</v>
      </c>
      <c r="C921" s="1">
        <v>5683</v>
      </c>
      <c r="D921" s="1" t="s">
        <v>846</v>
      </c>
      <c r="E921" s="1" t="s">
        <v>1232</v>
      </c>
      <c r="F921" t="s">
        <v>1237</v>
      </c>
      <c r="G921" t="s">
        <v>1514</v>
      </c>
      <c r="H921" s="1" t="s">
        <v>4123</v>
      </c>
      <c r="I921" s="1" t="s">
        <v>236</v>
      </c>
      <c r="J921" s="1" t="s">
        <v>18</v>
      </c>
      <c r="K921" s="1" t="s">
        <v>50</v>
      </c>
      <c r="L921" s="1">
        <v>37415</v>
      </c>
      <c r="M921" s="1">
        <v>23</v>
      </c>
      <c r="N921" s="1">
        <v>1300</v>
      </c>
      <c r="P921" s="1">
        <v>1700</v>
      </c>
      <c r="Q921" s="1"/>
      <c r="R921" s="1">
        <v>400</v>
      </c>
      <c r="S921">
        <v>260000</v>
      </c>
      <c r="T921">
        <v>13039</v>
      </c>
      <c r="U921" t="s">
        <v>814</v>
      </c>
      <c r="V921">
        <v>23790</v>
      </c>
      <c r="W921" s="1">
        <v>45995</v>
      </c>
      <c r="X921" s="1" t="s">
        <v>4586</v>
      </c>
      <c r="Y921" s="1" t="s">
        <v>51</v>
      </c>
      <c r="Z921" s="1" t="s">
        <v>801</v>
      </c>
      <c r="AA921" s="1" t="s">
        <v>802</v>
      </c>
      <c r="AB921" s="1" t="s">
        <v>4190</v>
      </c>
      <c r="AC921" s="1"/>
      <c r="AD921" s="1">
        <v>45698</v>
      </c>
      <c r="AE921" s="1"/>
      <c r="AF921" s="1"/>
      <c r="AG921" s="1">
        <v>45698</v>
      </c>
      <c r="AH921" s="1" t="s">
        <v>4191</v>
      </c>
      <c r="AI921" s="1"/>
      <c r="AJ921" s="31">
        <v>45698</v>
      </c>
      <c r="AK921"/>
      <c r="AL921"/>
      <c r="AM921"/>
      <c r="AN921"/>
      <c r="AO921"/>
      <c r="AP921"/>
    </row>
    <row r="922" spans="1:42">
      <c r="A922" s="1" t="s">
        <v>49</v>
      </c>
      <c r="B922" s="1">
        <v>250905</v>
      </c>
      <c r="C922" s="1">
        <v>242137</v>
      </c>
      <c r="D922" s="1" t="s">
        <v>69</v>
      </c>
      <c r="E922" s="1" t="s">
        <v>306</v>
      </c>
      <c r="F922" t="s">
        <v>740</v>
      </c>
      <c r="G922" t="s">
        <v>317</v>
      </c>
      <c r="H922" s="1" t="s">
        <v>4483</v>
      </c>
      <c r="I922" s="1" t="s">
        <v>4484</v>
      </c>
      <c r="J922" s="1" t="s">
        <v>18</v>
      </c>
      <c r="K922" s="1" t="s">
        <v>50</v>
      </c>
      <c r="L922" s="1">
        <v>37232</v>
      </c>
      <c r="M922" s="1">
        <v>23</v>
      </c>
      <c r="N922" s="1">
        <v>1200</v>
      </c>
      <c r="P922" s="1">
        <v>1650</v>
      </c>
      <c r="Q922" s="1"/>
      <c r="R922" s="1">
        <v>450</v>
      </c>
      <c r="S922">
        <v>200000</v>
      </c>
      <c r="T922">
        <v>10030</v>
      </c>
      <c r="U922" t="s">
        <v>814</v>
      </c>
      <c r="V922">
        <v>18300</v>
      </c>
      <c r="W922" s="1">
        <v>47742</v>
      </c>
      <c r="X922" s="1" t="s">
        <v>55</v>
      </c>
      <c r="Y922" s="1" t="s">
        <v>51</v>
      </c>
      <c r="Z922" s="1" t="s">
        <v>72</v>
      </c>
      <c r="AA922" s="1" t="s">
        <v>526</v>
      </c>
      <c r="AB922" s="1" t="s">
        <v>527</v>
      </c>
      <c r="AC922" s="1">
        <v>45918</v>
      </c>
      <c r="AD922" s="1">
        <v>45923</v>
      </c>
      <c r="AE922" s="1"/>
      <c r="AF922" s="1"/>
      <c r="AG922" s="1">
        <v>45923</v>
      </c>
      <c r="AH922" s="1" t="s">
        <v>765</v>
      </c>
      <c r="AI922" s="1"/>
      <c r="AJ922" s="31">
        <v>45923</v>
      </c>
      <c r="AK922"/>
      <c r="AL922"/>
      <c r="AM922"/>
      <c r="AN922"/>
      <c r="AO922"/>
      <c r="AP922"/>
    </row>
    <row r="923" spans="1:42">
      <c r="A923" s="1" t="s">
        <v>49</v>
      </c>
      <c r="B923" s="1">
        <v>220707</v>
      </c>
      <c r="C923" s="1">
        <v>242052</v>
      </c>
      <c r="D923" s="1" t="s">
        <v>69</v>
      </c>
      <c r="E923" s="1" t="s">
        <v>306</v>
      </c>
      <c r="F923" t="s">
        <v>742</v>
      </c>
      <c r="G923" t="s">
        <v>317</v>
      </c>
      <c r="H923" s="1" t="s">
        <v>634</v>
      </c>
      <c r="I923" s="1" t="s">
        <v>635</v>
      </c>
      <c r="J923" s="1" t="s">
        <v>18</v>
      </c>
      <c r="K923" s="1" t="s">
        <v>50</v>
      </c>
      <c r="L923" s="1">
        <v>33771</v>
      </c>
      <c r="M923" s="1">
        <v>33</v>
      </c>
      <c r="N923" s="1">
        <v>1310</v>
      </c>
      <c r="P923" s="1">
        <v>1730</v>
      </c>
      <c r="Q923" s="1"/>
      <c r="R923" s="1">
        <v>420</v>
      </c>
      <c r="S923">
        <v>260000</v>
      </c>
      <c r="T923">
        <v>13039</v>
      </c>
      <c r="U923" t="s">
        <v>814</v>
      </c>
      <c r="V923">
        <v>23790</v>
      </c>
      <c r="W923" s="1">
        <v>46558</v>
      </c>
      <c r="X923" s="1" t="s">
        <v>55</v>
      </c>
      <c r="Y923" s="1" t="s">
        <v>51</v>
      </c>
      <c r="Z923" s="1" t="s">
        <v>427</v>
      </c>
      <c r="AA923" s="1" t="s">
        <v>461</v>
      </c>
      <c r="AB923" s="1" t="s">
        <v>569</v>
      </c>
      <c r="AC923" s="1">
        <v>44756</v>
      </c>
      <c r="AD923" s="1">
        <v>44762</v>
      </c>
      <c r="AE923" s="1"/>
      <c r="AF923" s="1"/>
      <c r="AG923" s="1" t="s">
        <v>283</v>
      </c>
      <c r="AH923" s="1" t="s">
        <v>636</v>
      </c>
      <c r="AI923" s="1" t="s">
        <v>279</v>
      </c>
      <c r="AJ923" s="31">
        <v>44762</v>
      </c>
      <c r="AK923"/>
      <c r="AL923"/>
      <c r="AM923"/>
      <c r="AN923"/>
      <c r="AO923" t="s">
        <v>4165</v>
      </c>
      <c r="AP923"/>
    </row>
    <row r="924" spans="1:42">
      <c r="A924" s="1" t="s">
        <v>49</v>
      </c>
      <c r="B924" s="1">
        <v>230912</v>
      </c>
      <c r="C924" s="1">
        <v>242074</v>
      </c>
      <c r="D924" s="1" t="s">
        <v>69</v>
      </c>
      <c r="E924" s="1" t="s">
        <v>306</v>
      </c>
      <c r="F924" t="s">
        <v>742</v>
      </c>
      <c r="G924" t="s">
        <v>317</v>
      </c>
      <c r="H924" s="1" t="s">
        <v>1477</v>
      </c>
      <c r="I924" s="1" t="s">
        <v>1478</v>
      </c>
      <c r="J924" s="1" t="s">
        <v>18</v>
      </c>
      <c r="K924" s="1" t="s">
        <v>50</v>
      </c>
      <c r="L924" s="1">
        <v>35415</v>
      </c>
      <c r="M924" s="1">
        <v>28</v>
      </c>
      <c r="N924" s="1">
        <v>1300</v>
      </c>
      <c r="P924" s="1">
        <v>1700</v>
      </c>
      <c r="Q924" s="1"/>
      <c r="R924" s="1">
        <v>400</v>
      </c>
      <c r="S924">
        <v>260000</v>
      </c>
      <c r="T924">
        <v>13039</v>
      </c>
      <c r="U924" t="s">
        <v>814</v>
      </c>
      <c r="V924">
        <v>23790</v>
      </c>
      <c r="W924" s="1">
        <v>47023</v>
      </c>
      <c r="X924" s="1" t="s">
        <v>55</v>
      </c>
      <c r="Y924" s="1" t="s">
        <v>51</v>
      </c>
      <c r="Z924" s="1" t="s">
        <v>427</v>
      </c>
      <c r="AA924" s="1" t="s">
        <v>1467</v>
      </c>
      <c r="AB924" s="1" t="s">
        <v>1468</v>
      </c>
      <c r="AC924" s="1">
        <v>45181</v>
      </c>
      <c r="AD924" s="1">
        <v>45188</v>
      </c>
      <c r="AE924" s="1"/>
      <c r="AF924" s="1"/>
      <c r="AG924" s="1" t="s">
        <v>1469</v>
      </c>
      <c r="AH924" s="1" t="s">
        <v>760</v>
      </c>
      <c r="AI924" s="1"/>
      <c r="AJ924" s="31">
        <v>45188</v>
      </c>
      <c r="AK924"/>
      <c r="AL924"/>
      <c r="AM924"/>
      <c r="AN924"/>
      <c r="AO924"/>
      <c r="AP924"/>
    </row>
    <row r="925" spans="1:42">
      <c r="A925" s="1" t="s">
        <v>49</v>
      </c>
      <c r="B925" s="1">
        <v>231209</v>
      </c>
      <c r="C925" s="1">
        <v>242090</v>
      </c>
      <c r="D925" s="1" t="s">
        <v>69</v>
      </c>
      <c r="E925" s="1" t="s">
        <v>306</v>
      </c>
      <c r="F925" t="s">
        <v>742</v>
      </c>
      <c r="G925" t="s">
        <v>317</v>
      </c>
      <c r="H925" s="1" t="s">
        <v>1628</v>
      </c>
      <c r="I925" s="1" t="s">
        <v>645</v>
      </c>
      <c r="J925" s="1" t="s">
        <v>18</v>
      </c>
      <c r="K925" s="1" t="s">
        <v>50</v>
      </c>
      <c r="L925" s="1">
        <v>37138</v>
      </c>
      <c r="M925" s="1">
        <v>24</v>
      </c>
      <c r="N925" s="1">
        <v>1300</v>
      </c>
      <c r="P925" s="1">
        <v>1700</v>
      </c>
      <c r="Q925" s="1"/>
      <c r="R925" s="1">
        <v>400</v>
      </c>
      <c r="S925">
        <v>260000</v>
      </c>
      <c r="T925">
        <v>13039</v>
      </c>
      <c r="U925" t="s">
        <v>814</v>
      </c>
      <c r="V925">
        <v>23790</v>
      </c>
      <c r="W925" s="1">
        <v>47084</v>
      </c>
      <c r="X925" s="1" t="s">
        <v>55</v>
      </c>
      <c r="Y925" s="1" t="s">
        <v>51</v>
      </c>
      <c r="Z925" s="1" t="s">
        <v>1474</v>
      </c>
      <c r="AA925" s="1" t="s">
        <v>1475</v>
      </c>
      <c r="AB925" s="1" t="s">
        <v>1476</v>
      </c>
      <c r="AC925" s="1">
        <v>45257</v>
      </c>
      <c r="AD925" s="1">
        <v>45264</v>
      </c>
      <c r="AE925" s="1"/>
      <c r="AF925" s="1"/>
      <c r="AG925" s="1" t="s">
        <v>1720</v>
      </c>
      <c r="AH925" s="1" t="s">
        <v>1721</v>
      </c>
      <c r="AI925" s="1"/>
      <c r="AJ925" s="31">
        <v>45264</v>
      </c>
      <c r="AK925"/>
      <c r="AL925"/>
      <c r="AM925"/>
      <c r="AN925"/>
      <c r="AO925" t="s">
        <v>4165</v>
      </c>
      <c r="AP925"/>
    </row>
    <row r="926" spans="1:42">
      <c r="A926" s="1" t="s">
        <v>49</v>
      </c>
      <c r="B926" s="1">
        <v>240104</v>
      </c>
      <c r="C926" s="1">
        <v>242096</v>
      </c>
      <c r="D926" s="1" t="s">
        <v>69</v>
      </c>
      <c r="E926" s="1" t="s">
        <v>306</v>
      </c>
      <c r="F926" t="s">
        <v>742</v>
      </c>
      <c r="G926" t="s">
        <v>317</v>
      </c>
      <c r="H926" s="1" t="s">
        <v>1872</v>
      </c>
      <c r="I926" s="1" t="s">
        <v>1873</v>
      </c>
      <c r="J926" s="1" t="s">
        <v>18</v>
      </c>
      <c r="K926" s="1" t="s">
        <v>50</v>
      </c>
      <c r="L926" s="1">
        <v>36697</v>
      </c>
      <c r="M926" s="1">
        <v>25</v>
      </c>
      <c r="N926" s="1">
        <v>1300</v>
      </c>
      <c r="P926" s="1">
        <v>1690</v>
      </c>
      <c r="Q926" s="1"/>
      <c r="R926" s="1">
        <v>390</v>
      </c>
      <c r="S926">
        <v>260000</v>
      </c>
      <c r="T926">
        <v>13039</v>
      </c>
      <c r="U926" t="s">
        <v>814</v>
      </c>
      <c r="V926">
        <v>23790</v>
      </c>
      <c r="W926" s="1">
        <v>46058</v>
      </c>
      <c r="X926" s="1">
        <v>63</v>
      </c>
      <c r="Y926" s="1" t="s">
        <v>51</v>
      </c>
      <c r="Z926" s="1" t="s">
        <v>493</v>
      </c>
      <c r="AA926" s="1" t="s">
        <v>1874</v>
      </c>
      <c r="AB926" s="1" t="s">
        <v>1415</v>
      </c>
      <c r="AC926" s="1">
        <v>45303</v>
      </c>
      <c r="AD926" s="1">
        <v>45309</v>
      </c>
      <c r="AE926" s="1"/>
      <c r="AF926" s="1"/>
      <c r="AG926" s="1" t="s">
        <v>2012</v>
      </c>
      <c r="AH926" s="1" t="s">
        <v>1998</v>
      </c>
      <c r="AI926" s="1"/>
      <c r="AJ926" s="31">
        <v>45309</v>
      </c>
      <c r="AK926"/>
      <c r="AL926"/>
      <c r="AM926"/>
      <c r="AN926"/>
      <c r="AO926" t="s">
        <v>4165</v>
      </c>
      <c r="AP926"/>
    </row>
    <row r="927" spans="1:42" hidden="1">
      <c r="A927" s="1" t="s">
        <v>2542</v>
      </c>
      <c r="B927" s="1">
        <v>250220</v>
      </c>
      <c r="C927" s="1">
        <v>5691</v>
      </c>
      <c r="D927" s="1" t="s">
        <v>846</v>
      </c>
      <c r="E927" s="1" t="s">
        <v>1232</v>
      </c>
      <c r="F927" t="s">
        <v>3489</v>
      </c>
      <c r="G927" t="s">
        <v>1514</v>
      </c>
      <c r="H927" s="1" t="s">
        <v>4134</v>
      </c>
      <c r="I927" s="1" t="s">
        <v>4135</v>
      </c>
      <c r="J927" s="1" t="s">
        <v>18</v>
      </c>
      <c r="K927" s="1" t="s">
        <v>50</v>
      </c>
      <c r="L927" s="1">
        <v>35087</v>
      </c>
      <c r="M927" s="1">
        <v>29</v>
      </c>
      <c r="N927" s="1">
        <v>1300</v>
      </c>
      <c r="P927" s="1">
        <v>1700</v>
      </c>
      <c r="Q927" s="1"/>
      <c r="R927" s="1">
        <v>400</v>
      </c>
      <c r="S927">
        <v>280000</v>
      </c>
      <c r="T927">
        <v>14042</v>
      </c>
      <c r="U927" t="s">
        <v>814</v>
      </c>
      <c r="V927">
        <v>25620</v>
      </c>
      <c r="W927" s="1">
        <v>47122</v>
      </c>
      <c r="X927" s="1" t="s">
        <v>55</v>
      </c>
      <c r="Y927" s="1" t="s">
        <v>51</v>
      </c>
      <c r="Z927" s="1" t="s">
        <v>893</v>
      </c>
      <c r="AA927" s="1" t="s">
        <v>4192</v>
      </c>
      <c r="AB927" s="1" t="s">
        <v>4193</v>
      </c>
      <c r="AC927" s="1" t="s">
        <v>53</v>
      </c>
      <c r="AD927" s="1">
        <v>45701</v>
      </c>
      <c r="AE927" s="1">
        <v>45933</v>
      </c>
      <c r="AF927" s="1"/>
      <c r="AG927" s="1">
        <v>45701</v>
      </c>
      <c r="AH927" s="1" t="s">
        <v>4186</v>
      </c>
      <c r="AI927" s="1"/>
      <c r="AJ927" s="31">
        <v>45701</v>
      </c>
      <c r="AK927"/>
      <c r="AL927"/>
      <c r="AM927"/>
      <c r="AN927"/>
      <c r="AO927"/>
      <c r="AP927"/>
    </row>
    <row r="928" spans="1:42" hidden="1">
      <c r="A928" s="1" t="s">
        <v>2542</v>
      </c>
      <c r="B928" s="1">
        <v>250221</v>
      </c>
      <c r="C928" s="1">
        <v>5689</v>
      </c>
      <c r="D928" s="1" t="s">
        <v>846</v>
      </c>
      <c r="E928" s="1" t="s">
        <v>1234</v>
      </c>
      <c r="F928" t="s">
        <v>1583</v>
      </c>
      <c r="G928" t="s">
        <v>1514</v>
      </c>
      <c r="H928" s="1" t="s">
        <v>4136</v>
      </c>
      <c r="I928" s="1" t="s">
        <v>4137</v>
      </c>
      <c r="J928" s="1" t="s">
        <v>18</v>
      </c>
      <c r="K928" s="1" t="s">
        <v>50</v>
      </c>
      <c r="L928" s="1">
        <v>34226</v>
      </c>
      <c r="M928" s="1">
        <v>32</v>
      </c>
      <c r="N928" s="1">
        <v>1300</v>
      </c>
      <c r="P928" s="1">
        <v>1700</v>
      </c>
      <c r="Q928" s="1"/>
      <c r="R928" s="1">
        <v>400</v>
      </c>
      <c r="S928">
        <v>300000</v>
      </c>
      <c r="T928">
        <v>15045</v>
      </c>
      <c r="U928" t="s">
        <v>814</v>
      </c>
      <c r="V928">
        <v>27450</v>
      </c>
      <c r="W928" s="1">
        <v>46487</v>
      </c>
      <c r="X928" s="1" t="s">
        <v>55</v>
      </c>
      <c r="Y928" s="1" t="s">
        <v>51</v>
      </c>
      <c r="Z928" s="1" t="s">
        <v>801</v>
      </c>
      <c r="AA928" s="1" t="s">
        <v>802</v>
      </c>
      <c r="AB928" s="1" t="s">
        <v>4190</v>
      </c>
      <c r="AC928" s="1"/>
      <c r="AD928" s="1">
        <v>45701</v>
      </c>
      <c r="AE928" s="1">
        <v>45960</v>
      </c>
      <c r="AF928" s="1"/>
      <c r="AG928" s="1">
        <v>45701</v>
      </c>
      <c r="AH928" s="1" t="s">
        <v>4186</v>
      </c>
      <c r="AI928" s="1"/>
      <c r="AJ928" s="31">
        <v>45701</v>
      </c>
      <c r="AK928"/>
      <c r="AL928"/>
      <c r="AM928"/>
      <c r="AN928"/>
      <c r="AO928"/>
      <c r="AP928"/>
    </row>
    <row r="929" spans="1:42" hidden="1">
      <c r="A929" s="1" t="s">
        <v>2542</v>
      </c>
      <c r="B929" s="1">
        <v>230603</v>
      </c>
      <c r="C929" s="1">
        <v>8210116</v>
      </c>
      <c r="D929" s="1" t="s">
        <v>822</v>
      </c>
      <c r="E929" s="1" t="s">
        <v>2429</v>
      </c>
      <c r="F929" t="s">
        <v>2429</v>
      </c>
      <c r="G929"/>
      <c r="H929" s="1" t="s">
        <v>1278</v>
      </c>
      <c r="I929" s="1" t="s">
        <v>1250</v>
      </c>
      <c r="J929" s="1" t="s">
        <v>18</v>
      </c>
      <c r="K929" s="1" t="s">
        <v>50</v>
      </c>
      <c r="L929" s="1">
        <v>34115</v>
      </c>
      <c r="M929" s="1">
        <v>32</v>
      </c>
      <c r="N929" s="1">
        <v>1500</v>
      </c>
      <c r="P929" s="1">
        <v>2150</v>
      </c>
      <c r="Q929" s="1"/>
      <c r="R929" s="1">
        <v>650</v>
      </c>
      <c r="S929">
        <v>240000</v>
      </c>
      <c r="T929">
        <v>12036</v>
      </c>
      <c r="U929" t="s">
        <v>814</v>
      </c>
      <c r="V929">
        <v>21960</v>
      </c>
      <c r="W929" s="1">
        <v>46622</v>
      </c>
      <c r="X929" s="1" t="s">
        <v>55</v>
      </c>
      <c r="Y929" s="1" t="s">
        <v>51</v>
      </c>
      <c r="Z929" s="1" t="s">
        <v>1321</v>
      </c>
      <c r="AA929" s="1" t="s">
        <v>1322</v>
      </c>
      <c r="AB929" s="1" t="s">
        <v>1323</v>
      </c>
      <c r="AC929" s="1"/>
      <c r="AD929" s="1">
        <v>45705</v>
      </c>
      <c r="AE929" s="1">
        <v>45728</v>
      </c>
      <c r="AF929" s="1"/>
      <c r="AG929" s="1">
        <v>45705</v>
      </c>
      <c r="AH929" s="1" t="s">
        <v>4194</v>
      </c>
      <c r="AI929" s="1"/>
      <c r="AJ929" s="31">
        <v>45705</v>
      </c>
      <c r="AK929"/>
      <c r="AL929"/>
      <c r="AM929"/>
      <c r="AN929"/>
      <c r="AO929"/>
      <c r="AP929"/>
    </row>
    <row r="930" spans="1:42">
      <c r="A930" s="1" t="s">
        <v>49</v>
      </c>
      <c r="B930" s="1">
        <v>240106</v>
      </c>
      <c r="C930" s="1">
        <v>242094</v>
      </c>
      <c r="D930" s="1" t="s">
        <v>69</v>
      </c>
      <c r="E930" s="1" t="s">
        <v>306</v>
      </c>
      <c r="F930" t="s">
        <v>742</v>
      </c>
      <c r="G930" t="s">
        <v>317</v>
      </c>
      <c r="H930" s="1" t="s">
        <v>1877</v>
      </c>
      <c r="I930" s="1" t="s">
        <v>1878</v>
      </c>
      <c r="J930" s="1" t="s">
        <v>18</v>
      </c>
      <c r="K930" s="1" t="s">
        <v>50</v>
      </c>
      <c r="L930" s="1">
        <v>35186</v>
      </c>
      <c r="M930" s="1">
        <v>29</v>
      </c>
      <c r="N930" s="1">
        <v>1300</v>
      </c>
      <c r="P930" s="1">
        <v>1670</v>
      </c>
      <c r="Q930" s="1"/>
      <c r="R930" s="1">
        <v>370</v>
      </c>
      <c r="S930">
        <v>260000</v>
      </c>
      <c r="T930">
        <v>13039</v>
      </c>
      <c r="U930" t="s">
        <v>814</v>
      </c>
      <c r="V930">
        <v>23790</v>
      </c>
      <c r="W930" s="1">
        <v>46058</v>
      </c>
      <c r="X930" s="1">
        <v>63</v>
      </c>
      <c r="Y930" s="1" t="s">
        <v>51</v>
      </c>
      <c r="Z930" s="1" t="s">
        <v>485</v>
      </c>
      <c r="AA930" s="1" t="s">
        <v>1133</v>
      </c>
      <c r="AB930" s="1" t="s">
        <v>1134</v>
      </c>
      <c r="AC930" s="1">
        <v>45303</v>
      </c>
      <c r="AD930" s="1">
        <v>45309</v>
      </c>
      <c r="AE930" s="1"/>
      <c r="AF930" s="1"/>
      <c r="AG930" s="1" t="s">
        <v>2012</v>
      </c>
      <c r="AH930" s="1" t="s">
        <v>1998</v>
      </c>
      <c r="AI930" s="1"/>
      <c r="AJ930" s="31">
        <v>45309</v>
      </c>
      <c r="AK930"/>
      <c r="AL930"/>
      <c r="AM930"/>
      <c r="AN930"/>
      <c r="AO930"/>
      <c r="AP930"/>
    </row>
    <row r="931" spans="1:42" hidden="1">
      <c r="A931" s="1" t="s">
        <v>49</v>
      </c>
      <c r="B931" s="1">
        <v>250222</v>
      </c>
      <c r="C931" s="1">
        <v>5690</v>
      </c>
      <c r="D931" s="1" t="s">
        <v>846</v>
      </c>
      <c r="E931" s="1" t="s">
        <v>1234</v>
      </c>
      <c r="F931" t="s">
        <v>1583</v>
      </c>
      <c r="G931" t="s">
        <v>1514</v>
      </c>
      <c r="H931" s="1" t="s">
        <v>4138</v>
      </c>
      <c r="I931" s="1" t="s">
        <v>4139</v>
      </c>
      <c r="J931" s="1" t="s">
        <v>18</v>
      </c>
      <c r="K931" s="1" t="s">
        <v>50</v>
      </c>
      <c r="L931" s="1">
        <v>36747</v>
      </c>
      <c r="M931" s="1">
        <v>25</v>
      </c>
      <c r="N931" s="1">
        <v>1300</v>
      </c>
      <c r="P931" s="1">
        <v>1700</v>
      </c>
      <c r="Q931" s="1"/>
      <c r="R931" s="1">
        <v>400</v>
      </c>
      <c r="S931">
        <v>260000</v>
      </c>
      <c r="T931">
        <v>13039</v>
      </c>
      <c r="U931" t="s">
        <v>814</v>
      </c>
      <c r="V931">
        <v>23790</v>
      </c>
      <c r="W931" s="1">
        <v>46014</v>
      </c>
      <c r="X931" s="1">
        <v>19</v>
      </c>
      <c r="Y931" s="1" t="s">
        <v>51</v>
      </c>
      <c r="Z931" s="1" t="s">
        <v>801</v>
      </c>
      <c r="AA931" s="1" t="s">
        <v>802</v>
      </c>
      <c r="AB931" s="1" t="s">
        <v>4190</v>
      </c>
      <c r="AC931" s="1"/>
      <c r="AD931" s="1">
        <v>45705</v>
      </c>
      <c r="AE931" s="1"/>
      <c r="AF931" s="1"/>
      <c r="AG931" s="1">
        <v>45705</v>
      </c>
      <c r="AH931" s="1" t="s">
        <v>4186</v>
      </c>
      <c r="AI931" s="1"/>
      <c r="AJ931" s="31">
        <v>45705</v>
      </c>
      <c r="AK931"/>
      <c r="AL931"/>
      <c r="AM931"/>
      <c r="AN931"/>
      <c r="AO931"/>
      <c r="AP931"/>
    </row>
    <row r="932" spans="1:42">
      <c r="A932" s="1" t="s">
        <v>49</v>
      </c>
      <c r="B932" s="1">
        <v>240107</v>
      </c>
      <c r="C932" s="1">
        <v>242095</v>
      </c>
      <c r="D932" s="1" t="s">
        <v>69</v>
      </c>
      <c r="E932" s="1" t="s">
        <v>306</v>
      </c>
      <c r="F932" t="s">
        <v>742</v>
      </c>
      <c r="G932" t="s">
        <v>317</v>
      </c>
      <c r="H932" s="1" t="s">
        <v>1879</v>
      </c>
      <c r="I932" s="1" t="s">
        <v>1880</v>
      </c>
      <c r="J932" s="1" t="s">
        <v>18</v>
      </c>
      <c r="K932" s="1" t="s">
        <v>50</v>
      </c>
      <c r="L932" s="1">
        <v>36560</v>
      </c>
      <c r="M932" s="1">
        <v>25</v>
      </c>
      <c r="N932" s="1">
        <v>1300</v>
      </c>
      <c r="P932" s="1">
        <v>1700</v>
      </c>
      <c r="Q932" s="1"/>
      <c r="R932" s="1">
        <v>400</v>
      </c>
      <c r="S932">
        <v>260000</v>
      </c>
      <c r="T932">
        <v>13039</v>
      </c>
      <c r="U932" t="s">
        <v>814</v>
      </c>
      <c r="V932">
        <v>23790</v>
      </c>
      <c r="W932" s="1">
        <v>46058</v>
      </c>
      <c r="X932" s="1">
        <v>63</v>
      </c>
      <c r="Y932" s="1" t="s">
        <v>51</v>
      </c>
      <c r="Z932" s="1" t="s">
        <v>485</v>
      </c>
      <c r="AA932" s="1" t="s">
        <v>486</v>
      </c>
      <c r="AB932" s="1" t="s">
        <v>593</v>
      </c>
      <c r="AC932" s="1">
        <v>45303</v>
      </c>
      <c r="AD932" s="1">
        <v>45309</v>
      </c>
      <c r="AE932" s="1"/>
      <c r="AF932" s="1"/>
      <c r="AG932" s="1" t="s">
        <v>2012</v>
      </c>
      <c r="AH932" s="1" t="s">
        <v>1998</v>
      </c>
      <c r="AI932" s="1"/>
      <c r="AJ932" s="31">
        <v>45309</v>
      </c>
      <c r="AK932"/>
      <c r="AL932"/>
      <c r="AM932"/>
      <c r="AN932"/>
      <c r="AO932" t="s">
        <v>4165</v>
      </c>
      <c r="AP932"/>
    </row>
    <row r="933" spans="1:42">
      <c r="A933" s="1" t="s">
        <v>49</v>
      </c>
      <c r="B933" s="1">
        <v>240113</v>
      </c>
      <c r="C933" s="1">
        <v>242099</v>
      </c>
      <c r="D933" s="1" t="s">
        <v>69</v>
      </c>
      <c r="E933" s="1" t="s">
        <v>306</v>
      </c>
      <c r="F933" t="s">
        <v>742</v>
      </c>
      <c r="G933" t="s">
        <v>317</v>
      </c>
      <c r="H933" s="1" t="s">
        <v>2024</v>
      </c>
      <c r="I933" s="1" t="s">
        <v>2025</v>
      </c>
      <c r="J933" s="1" t="s">
        <v>18</v>
      </c>
      <c r="K933" s="1" t="s">
        <v>50</v>
      </c>
      <c r="L933" s="1">
        <v>35877</v>
      </c>
      <c r="M933" s="1">
        <v>27</v>
      </c>
      <c r="N933" s="1">
        <v>1300</v>
      </c>
      <c r="P933" s="1">
        <v>1680</v>
      </c>
      <c r="Q933" s="1"/>
      <c r="R933" s="1">
        <v>380</v>
      </c>
      <c r="S933">
        <v>260000</v>
      </c>
      <c r="T933">
        <v>13039</v>
      </c>
      <c r="U933" t="s">
        <v>814</v>
      </c>
      <c r="V933">
        <v>23790</v>
      </c>
      <c r="W933" s="1">
        <v>46058</v>
      </c>
      <c r="X933" s="1">
        <v>63</v>
      </c>
      <c r="Y933" s="1" t="s">
        <v>51</v>
      </c>
      <c r="Z933" s="1" t="s">
        <v>427</v>
      </c>
      <c r="AA933" s="1" t="s">
        <v>1724</v>
      </c>
      <c r="AB933" s="1" t="s">
        <v>2021</v>
      </c>
      <c r="AC933" s="1">
        <v>45308</v>
      </c>
      <c r="AD933" s="1">
        <v>45314</v>
      </c>
      <c r="AE933" s="1"/>
      <c r="AF933" s="1"/>
      <c r="AG933" s="1" t="s">
        <v>2170</v>
      </c>
      <c r="AH933" s="1" t="s">
        <v>2169</v>
      </c>
      <c r="AI933" s="1"/>
      <c r="AJ933" s="31">
        <v>45314</v>
      </c>
      <c r="AK933"/>
      <c r="AL933"/>
      <c r="AM933"/>
      <c r="AN933"/>
      <c r="AO933"/>
      <c r="AP933"/>
    </row>
    <row r="934" spans="1:42">
      <c r="A934" s="1" t="s">
        <v>49</v>
      </c>
      <c r="B934" s="1">
        <v>240803</v>
      </c>
      <c r="C934" s="1">
        <v>242110</v>
      </c>
      <c r="D934" s="1" t="s">
        <v>69</v>
      </c>
      <c r="E934" s="1" t="s">
        <v>306</v>
      </c>
      <c r="F934" t="s">
        <v>742</v>
      </c>
      <c r="G934" t="s">
        <v>317</v>
      </c>
      <c r="H934" s="1" t="s">
        <v>1278</v>
      </c>
      <c r="I934" s="1" t="s">
        <v>1250</v>
      </c>
      <c r="J934" s="1" t="s">
        <v>18</v>
      </c>
      <c r="K934" s="1" t="s">
        <v>50</v>
      </c>
      <c r="L934" s="1">
        <v>36213</v>
      </c>
      <c r="M934" s="1">
        <v>26</v>
      </c>
      <c r="N934" s="1">
        <v>1300</v>
      </c>
      <c r="P934" s="1">
        <v>1660</v>
      </c>
      <c r="Q934" s="1"/>
      <c r="R934" s="1">
        <v>360</v>
      </c>
      <c r="S934">
        <v>260000</v>
      </c>
      <c r="T934">
        <v>13039</v>
      </c>
      <c r="U934" t="s">
        <v>814</v>
      </c>
      <c r="V934">
        <v>23790</v>
      </c>
      <c r="W934" s="1">
        <v>46232</v>
      </c>
      <c r="X934" s="1" t="s">
        <v>55</v>
      </c>
      <c r="Y934" s="1" t="s">
        <v>51</v>
      </c>
      <c r="Z934" s="1" t="s">
        <v>493</v>
      </c>
      <c r="AA934" s="1" t="s">
        <v>993</v>
      </c>
      <c r="AB934" s="1" t="s">
        <v>994</v>
      </c>
      <c r="AC934" s="1"/>
      <c r="AD934" s="1">
        <v>45506</v>
      </c>
      <c r="AE934" s="1"/>
      <c r="AF934" s="1"/>
      <c r="AG934" s="1">
        <v>45506</v>
      </c>
      <c r="AH934" s="1" t="s">
        <v>355</v>
      </c>
      <c r="AI934" s="1"/>
      <c r="AJ934" s="31">
        <v>45506</v>
      </c>
      <c r="AK934"/>
      <c r="AL934"/>
      <c r="AM934"/>
      <c r="AN934"/>
      <c r="AO934"/>
      <c r="AP934"/>
    </row>
    <row r="935" spans="1:42" hidden="1">
      <c r="A935" s="1" t="s">
        <v>49</v>
      </c>
      <c r="B935" s="1">
        <v>250225</v>
      </c>
      <c r="C935" s="1">
        <v>232173</v>
      </c>
      <c r="D935" s="1" t="s">
        <v>83</v>
      </c>
      <c r="E935" s="1" t="s">
        <v>307</v>
      </c>
      <c r="F935" t="s">
        <v>2251</v>
      </c>
      <c r="G935" t="s">
        <v>2252</v>
      </c>
      <c r="H935" s="1" t="s">
        <v>4140</v>
      </c>
      <c r="I935" s="1" t="s">
        <v>4141</v>
      </c>
      <c r="J935" s="1" t="s">
        <v>18</v>
      </c>
      <c r="K935" s="1" t="s">
        <v>50</v>
      </c>
      <c r="L935" s="1">
        <v>32772</v>
      </c>
      <c r="M935" s="1">
        <v>36</v>
      </c>
      <c r="N935" s="1">
        <v>1400</v>
      </c>
      <c r="P935" s="1">
        <v>1790</v>
      </c>
      <c r="Q935" s="1"/>
      <c r="R935" s="1">
        <v>390</v>
      </c>
      <c r="S935">
        <v>340000</v>
      </c>
      <c r="T935">
        <v>17051</v>
      </c>
      <c r="U935" t="s">
        <v>814</v>
      </c>
      <c r="V935">
        <v>31110</v>
      </c>
      <c r="W935" s="1">
        <v>47051</v>
      </c>
      <c r="X935" s="1" t="s">
        <v>55</v>
      </c>
      <c r="Y935" s="1" t="s">
        <v>51</v>
      </c>
      <c r="Z935" s="1" t="s">
        <v>211</v>
      </c>
      <c r="AA935" s="1" t="s">
        <v>4498</v>
      </c>
      <c r="AB935" s="1" t="s">
        <v>4499</v>
      </c>
      <c r="AC935" s="1"/>
      <c r="AD935" s="1">
        <v>45709</v>
      </c>
      <c r="AE935" s="1"/>
      <c r="AF935" s="1"/>
      <c r="AG935" s="1">
        <v>45709</v>
      </c>
      <c r="AH935" s="1" t="s">
        <v>4195</v>
      </c>
      <c r="AI935" s="1"/>
      <c r="AJ935" s="31">
        <v>45709</v>
      </c>
      <c r="AK935"/>
      <c r="AL935"/>
      <c r="AM935"/>
      <c r="AN935"/>
      <c r="AO935"/>
      <c r="AP935"/>
    </row>
    <row r="936" spans="1:42" hidden="1">
      <c r="A936" s="1" t="s">
        <v>2542</v>
      </c>
      <c r="B936" s="1">
        <v>220303</v>
      </c>
      <c r="C936" s="1">
        <v>8210117</v>
      </c>
      <c r="D936" s="1" t="s">
        <v>818</v>
      </c>
      <c r="E936" s="1" t="s">
        <v>834</v>
      </c>
      <c r="F936" t="s">
        <v>834</v>
      </c>
      <c r="G936"/>
      <c r="H936" s="1" t="s">
        <v>564</v>
      </c>
      <c r="I936" s="1" t="s">
        <v>565</v>
      </c>
      <c r="J936" s="1" t="s">
        <v>18</v>
      </c>
      <c r="K936" s="1" t="s">
        <v>50</v>
      </c>
      <c r="L936" s="1">
        <v>33068</v>
      </c>
      <c r="M936" s="1">
        <v>35</v>
      </c>
      <c r="N936" s="1">
        <v>1500</v>
      </c>
      <c r="P936" s="1">
        <v>2150</v>
      </c>
      <c r="Q936" s="1"/>
      <c r="R936" s="1">
        <v>650</v>
      </c>
      <c r="S936">
        <v>300000</v>
      </c>
      <c r="T936">
        <v>15045</v>
      </c>
      <c r="U936" t="s">
        <v>814</v>
      </c>
      <c r="V936">
        <v>27450</v>
      </c>
      <c r="W936" s="1">
        <v>46261</v>
      </c>
      <c r="X936" s="1" t="s">
        <v>55</v>
      </c>
      <c r="Y936" s="1" t="s">
        <v>51</v>
      </c>
      <c r="Z936" s="1" t="s">
        <v>2751</v>
      </c>
      <c r="AA936" s="1" t="s">
        <v>2752</v>
      </c>
      <c r="AB936" s="1" t="s">
        <v>4196</v>
      </c>
      <c r="AC936" s="1" t="s">
        <v>53</v>
      </c>
      <c r="AD936" s="1">
        <v>45712</v>
      </c>
      <c r="AE936" s="1">
        <v>45919</v>
      </c>
      <c r="AF936" s="1"/>
      <c r="AG936" s="1">
        <v>45712</v>
      </c>
      <c r="AH936" s="1" t="s">
        <v>4195</v>
      </c>
      <c r="AI936" s="1"/>
      <c r="AJ936" s="31">
        <v>45712</v>
      </c>
      <c r="AK936"/>
      <c r="AL936"/>
      <c r="AM936"/>
      <c r="AN936"/>
      <c r="AO936"/>
      <c r="AP936"/>
    </row>
    <row r="937" spans="1:42" hidden="1">
      <c r="A937" s="1" t="s">
        <v>49</v>
      </c>
      <c r="B937" s="1">
        <v>210301</v>
      </c>
      <c r="C937" s="1">
        <v>8210118</v>
      </c>
      <c r="D937" s="1" t="s">
        <v>818</v>
      </c>
      <c r="E937" s="1" t="s">
        <v>834</v>
      </c>
      <c r="F937" t="s">
        <v>834</v>
      </c>
      <c r="G937"/>
      <c r="H937" s="1" t="s">
        <v>105</v>
      </c>
      <c r="I937" s="1" t="s">
        <v>106</v>
      </c>
      <c r="J937" s="1" t="s">
        <v>18</v>
      </c>
      <c r="K937" s="1" t="s">
        <v>50</v>
      </c>
      <c r="L937" s="1">
        <v>34922</v>
      </c>
      <c r="M937" s="1">
        <v>30</v>
      </c>
      <c r="N937" s="1">
        <v>1500</v>
      </c>
      <c r="P937" s="1">
        <v>2150</v>
      </c>
      <c r="Q937" s="1"/>
      <c r="R937" s="1">
        <v>650</v>
      </c>
      <c r="S937">
        <v>320000</v>
      </c>
      <c r="T937">
        <v>16048</v>
      </c>
      <c r="U937" t="s">
        <v>814</v>
      </c>
      <c r="V937">
        <v>29280</v>
      </c>
      <c r="W937" s="1">
        <v>46650</v>
      </c>
      <c r="X937" s="1" t="s">
        <v>55</v>
      </c>
      <c r="Y937" s="1" t="s">
        <v>51</v>
      </c>
      <c r="Z937" s="1" t="s">
        <v>529</v>
      </c>
      <c r="AA937" s="1" t="s">
        <v>3813</v>
      </c>
      <c r="AB937" s="1" t="s">
        <v>1535</v>
      </c>
      <c r="AC937" s="1" t="s">
        <v>53</v>
      </c>
      <c r="AD937" s="1">
        <v>45719</v>
      </c>
      <c r="AE937" s="1"/>
      <c r="AF937" s="1"/>
      <c r="AG937" s="1">
        <v>45719</v>
      </c>
      <c r="AH937" s="1" t="s">
        <v>4197</v>
      </c>
      <c r="AI937" s="1"/>
      <c r="AJ937" s="31">
        <v>45719</v>
      </c>
      <c r="AK937"/>
      <c r="AL937"/>
      <c r="AM937"/>
      <c r="AN937"/>
      <c r="AO937"/>
      <c r="AP937"/>
    </row>
    <row r="938" spans="1:42" hidden="1">
      <c r="A938" s="1" t="s">
        <v>49</v>
      </c>
      <c r="B938" s="1">
        <v>230910</v>
      </c>
      <c r="C938" s="1">
        <v>5400</v>
      </c>
      <c r="D938" s="1" t="s">
        <v>846</v>
      </c>
      <c r="E938" s="1" t="s">
        <v>1232</v>
      </c>
      <c r="F938" t="s">
        <v>1237</v>
      </c>
      <c r="G938" t="s">
        <v>1514</v>
      </c>
      <c r="H938" s="1" t="s">
        <v>1470</v>
      </c>
      <c r="I938" s="1" t="s">
        <v>1471</v>
      </c>
      <c r="J938" s="1" t="s">
        <v>18</v>
      </c>
      <c r="K938" s="1" t="s">
        <v>50</v>
      </c>
      <c r="L938" s="1">
        <v>36274</v>
      </c>
      <c r="M938" s="1">
        <v>26</v>
      </c>
      <c r="N938" s="1">
        <v>1300</v>
      </c>
      <c r="P938" s="1">
        <v>1700</v>
      </c>
      <c r="Q938" s="1"/>
      <c r="R938" s="1">
        <v>400</v>
      </c>
      <c r="S938">
        <v>260000</v>
      </c>
      <c r="T938">
        <v>13039</v>
      </c>
      <c r="U938" t="s">
        <v>814</v>
      </c>
      <c r="V938">
        <v>23790</v>
      </c>
      <c r="W938" s="1">
        <v>47048</v>
      </c>
      <c r="X938" s="1" t="s">
        <v>55</v>
      </c>
      <c r="Y938" s="1" t="s">
        <v>51</v>
      </c>
      <c r="Z938" s="1" t="s">
        <v>485</v>
      </c>
      <c r="AA938" s="1" t="s">
        <v>486</v>
      </c>
      <c r="AB938" s="1" t="s">
        <v>3886</v>
      </c>
      <c r="AC938" s="1"/>
      <c r="AD938" s="1">
        <v>45719</v>
      </c>
      <c r="AE938" s="1"/>
      <c r="AF938" s="1"/>
      <c r="AG938" s="1">
        <v>45719</v>
      </c>
      <c r="AH938" s="1" t="s">
        <v>4195</v>
      </c>
      <c r="AI938" s="1"/>
      <c r="AJ938" s="31">
        <v>45719</v>
      </c>
      <c r="AK938"/>
      <c r="AL938"/>
      <c r="AM938"/>
      <c r="AN938"/>
      <c r="AO938"/>
      <c r="AP938"/>
    </row>
    <row r="939" spans="1:42" hidden="1">
      <c r="A939" s="1" t="s">
        <v>49</v>
      </c>
      <c r="B939" s="1">
        <v>210108</v>
      </c>
      <c r="C939" s="1">
        <v>8210119</v>
      </c>
      <c r="D939" s="1" t="s">
        <v>818</v>
      </c>
      <c r="E939" s="1" t="s">
        <v>4168</v>
      </c>
      <c r="F939" t="s">
        <v>4168</v>
      </c>
      <c r="G939"/>
      <c r="H939" s="1" t="s">
        <v>2632</v>
      </c>
      <c r="I939" s="1" t="s">
        <v>2633</v>
      </c>
      <c r="J939" s="1" t="s">
        <v>18</v>
      </c>
      <c r="K939" s="1" t="s">
        <v>50</v>
      </c>
      <c r="L939" s="1">
        <v>33896</v>
      </c>
      <c r="M939" s="1">
        <v>33</v>
      </c>
      <c r="N939" s="1">
        <v>1555</v>
      </c>
      <c r="P939" s="1">
        <v>2225</v>
      </c>
      <c r="Q939" s="1"/>
      <c r="R939" s="1">
        <v>670</v>
      </c>
      <c r="S939">
        <v>360000</v>
      </c>
      <c r="T939">
        <v>18054</v>
      </c>
      <c r="U939" t="s">
        <v>814</v>
      </c>
      <c r="V939">
        <v>32940</v>
      </c>
      <c r="W939" s="1">
        <v>47267</v>
      </c>
      <c r="X939" s="1" t="s">
        <v>55</v>
      </c>
      <c r="Y939" s="1" t="s">
        <v>51</v>
      </c>
      <c r="Z939" s="1" t="s">
        <v>529</v>
      </c>
      <c r="AA939" s="1" t="s">
        <v>3813</v>
      </c>
      <c r="AB939" s="1" t="s">
        <v>2634</v>
      </c>
      <c r="AC939" s="1" t="s">
        <v>53</v>
      </c>
      <c r="AD939" s="1">
        <v>45721</v>
      </c>
      <c r="AE939" s="1"/>
      <c r="AF939" s="1"/>
      <c r="AG939" s="1">
        <v>45721</v>
      </c>
      <c r="AH939" s="1" t="s">
        <v>4195</v>
      </c>
      <c r="AI939" s="1"/>
      <c r="AJ939" s="31">
        <v>45721</v>
      </c>
      <c r="AK939"/>
      <c r="AL939"/>
      <c r="AM939"/>
      <c r="AN939"/>
      <c r="AO939"/>
      <c r="AP939"/>
    </row>
    <row r="940" spans="1:42" hidden="1">
      <c r="A940" s="1" t="s">
        <v>49</v>
      </c>
      <c r="B940" s="1">
        <v>210404</v>
      </c>
      <c r="C940" s="1">
        <v>8210120</v>
      </c>
      <c r="D940" s="1" t="s">
        <v>822</v>
      </c>
      <c r="E940" s="1" t="s">
        <v>1312</v>
      </c>
      <c r="F940" t="s">
        <v>1312</v>
      </c>
      <c r="G940"/>
      <c r="H940" s="1" t="s">
        <v>454</v>
      </c>
      <c r="I940" s="1" t="s">
        <v>455</v>
      </c>
      <c r="J940" s="1" t="s">
        <v>18</v>
      </c>
      <c r="K940" s="1" t="s">
        <v>50</v>
      </c>
      <c r="L940" s="1">
        <v>34845</v>
      </c>
      <c r="M940" s="1">
        <v>30</v>
      </c>
      <c r="N940" s="1">
        <v>1550</v>
      </c>
      <c r="P940" s="1">
        <v>2150</v>
      </c>
      <c r="Q940" s="1"/>
      <c r="R940" s="1">
        <v>600</v>
      </c>
      <c r="S940">
        <v>340000</v>
      </c>
      <c r="T940">
        <v>17051</v>
      </c>
      <c r="U940" t="s">
        <v>814</v>
      </c>
      <c r="V940">
        <v>31110</v>
      </c>
      <c r="W940" s="1">
        <v>47353</v>
      </c>
      <c r="X940" s="1" t="s">
        <v>55</v>
      </c>
      <c r="Y940" s="1" t="s">
        <v>51</v>
      </c>
      <c r="Z940" s="1" t="s">
        <v>982</v>
      </c>
      <c r="AA940" s="1" t="s">
        <v>983</v>
      </c>
      <c r="AB940" s="1" t="s">
        <v>990</v>
      </c>
      <c r="AC940" s="1"/>
      <c r="AD940" s="1">
        <v>45726</v>
      </c>
      <c r="AE940" s="1"/>
      <c r="AF940" s="1"/>
      <c r="AG940" s="1">
        <v>45726</v>
      </c>
      <c r="AH940" s="1" t="s">
        <v>4195</v>
      </c>
      <c r="AI940" s="1"/>
      <c r="AJ940" s="31">
        <v>45726</v>
      </c>
      <c r="AK940"/>
      <c r="AL940"/>
      <c r="AM940"/>
      <c r="AN940"/>
      <c r="AO940"/>
      <c r="AP940"/>
    </row>
    <row r="941" spans="1:42" hidden="1">
      <c r="A941" s="1" t="s">
        <v>49</v>
      </c>
      <c r="B941" s="1">
        <v>250301</v>
      </c>
      <c r="C941" s="1">
        <v>232175</v>
      </c>
      <c r="D941" s="1" t="s">
        <v>83</v>
      </c>
      <c r="E941" s="1" t="s">
        <v>306</v>
      </c>
      <c r="F941" t="s">
        <v>365</v>
      </c>
      <c r="G941" t="s">
        <v>2241</v>
      </c>
      <c r="H941" s="1" t="s">
        <v>4198</v>
      </c>
      <c r="I941" s="1" t="s">
        <v>4199</v>
      </c>
      <c r="J941" s="1" t="s">
        <v>18</v>
      </c>
      <c r="K941" s="1" t="s">
        <v>50</v>
      </c>
      <c r="L941" s="1">
        <v>37267</v>
      </c>
      <c r="M941" s="1">
        <v>23</v>
      </c>
      <c r="N941" s="1">
        <v>1250</v>
      </c>
      <c r="P941" s="1">
        <v>1660</v>
      </c>
      <c r="Q941" s="1"/>
      <c r="R941" s="1">
        <v>410</v>
      </c>
      <c r="S941">
        <v>260000</v>
      </c>
      <c r="T941">
        <v>13039</v>
      </c>
      <c r="U941" t="s">
        <v>814</v>
      </c>
      <c r="V941">
        <v>23790</v>
      </c>
      <c r="W941" s="1">
        <v>46325</v>
      </c>
      <c r="X941" s="1" t="s">
        <v>55</v>
      </c>
      <c r="Y941" s="1" t="s">
        <v>51</v>
      </c>
      <c r="Z941" s="1" t="s">
        <v>110</v>
      </c>
      <c r="AA941" s="1" t="s">
        <v>111</v>
      </c>
      <c r="AB941" s="1" t="s">
        <v>3971</v>
      </c>
      <c r="AC941" s="1"/>
      <c r="AD941" s="1">
        <v>45726</v>
      </c>
      <c r="AE941" s="1"/>
      <c r="AF941" s="1"/>
      <c r="AG941" s="1">
        <v>45726</v>
      </c>
      <c r="AH941" s="1" t="s">
        <v>4200</v>
      </c>
      <c r="AI941" s="1" t="s">
        <v>4201</v>
      </c>
      <c r="AJ941" s="31">
        <v>45726</v>
      </c>
      <c r="AK941"/>
      <c r="AL941"/>
      <c r="AM941"/>
      <c r="AN941"/>
      <c r="AO941"/>
      <c r="AP941"/>
    </row>
    <row r="942" spans="1:42" hidden="1">
      <c r="A942" s="1" t="s">
        <v>49</v>
      </c>
      <c r="B942" s="1">
        <v>250302</v>
      </c>
      <c r="C942" s="1">
        <v>232174</v>
      </c>
      <c r="D942" s="1" t="s">
        <v>83</v>
      </c>
      <c r="E942" s="1" t="s">
        <v>306</v>
      </c>
      <c r="F942" t="s">
        <v>365</v>
      </c>
      <c r="G942" t="s">
        <v>2241</v>
      </c>
      <c r="H942" s="1" t="s">
        <v>4202</v>
      </c>
      <c r="I942" s="1" t="s">
        <v>4203</v>
      </c>
      <c r="J942" s="1" t="s">
        <v>18</v>
      </c>
      <c r="K942" s="1" t="s">
        <v>50</v>
      </c>
      <c r="L942" s="1">
        <v>36925</v>
      </c>
      <c r="M942" s="1">
        <v>24</v>
      </c>
      <c r="N942" s="1">
        <v>1250</v>
      </c>
      <c r="P942" s="1">
        <v>1660</v>
      </c>
      <c r="Q942" s="1"/>
      <c r="R942" s="1">
        <v>410</v>
      </c>
      <c r="S942">
        <v>200000</v>
      </c>
      <c r="T942">
        <v>10030</v>
      </c>
      <c r="U942" t="s">
        <v>814</v>
      </c>
      <c r="V942">
        <v>18300</v>
      </c>
      <c r="W942" s="1">
        <v>46344</v>
      </c>
      <c r="X942" s="1" t="s">
        <v>55</v>
      </c>
      <c r="Y942" s="1" t="s">
        <v>51</v>
      </c>
      <c r="Z942" s="1" t="s">
        <v>110</v>
      </c>
      <c r="AA942" s="1" t="s">
        <v>198</v>
      </c>
      <c r="AB942" s="1" t="s">
        <v>3978</v>
      </c>
      <c r="AC942" s="1"/>
      <c r="AD942" s="1">
        <v>45726</v>
      </c>
      <c r="AE942" s="1"/>
      <c r="AF942" s="1"/>
      <c r="AG942" s="1">
        <v>45726</v>
      </c>
      <c r="AH942" s="1" t="s">
        <v>4200</v>
      </c>
      <c r="AI942" s="1" t="s">
        <v>4204</v>
      </c>
      <c r="AJ942" s="31">
        <v>45726</v>
      </c>
      <c r="AK942"/>
      <c r="AL942"/>
      <c r="AM942"/>
      <c r="AN942"/>
      <c r="AO942"/>
      <c r="AP942"/>
    </row>
    <row r="943" spans="1:42" hidden="1">
      <c r="A943" s="1" t="s">
        <v>2542</v>
      </c>
      <c r="B943" s="1">
        <v>250303</v>
      </c>
      <c r="D943" s="1" t="s">
        <v>414</v>
      </c>
      <c r="F943"/>
      <c r="G943"/>
      <c r="H943" s="1" t="s">
        <v>4205</v>
      </c>
      <c r="I943" s="1" t="s">
        <v>4206</v>
      </c>
      <c r="J943" s="1" t="s">
        <v>18</v>
      </c>
      <c r="K943" s="1" t="s">
        <v>200</v>
      </c>
      <c r="L943" s="1">
        <v>31478</v>
      </c>
      <c r="M943" s="1">
        <v>39</v>
      </c>
      <c r="N943" s="1">
        <v>1300</v>
      </c>
      <c r="P943" s="1">
        <v>1650</v>
      </c>
      <c r="Q943" s="1"/>
      <c r="R943" s="1">
        <v>350</v>
      </c>
      <c r="S943">
        <v>320000</v>
      </c>
      <c r="T943">
        <v>16048</v>
      </c>
      <c r="U943" t="s">
        <v>814</v>
      </c>
      <c r="V943">
        <v>29280</v>
      </c>
      <c r="W943" s="1">
        <v>46187</v>
      </c>
      <c r="X943" s="1" t="s">
        <v>55</v>
      </c>
      <c r="Y943" s="1" t="s">
        <v>51</v>
      </c>
      <c r="Z943" s="1" t="s">
        <v>4207</v>
      </c>
      <c r="AA943" s="1" t="s">
        <v>4208</v>
      </c>
      <c r="AB943" s="1" t="s">
        <v>4209</v>
      </c>
      <c r="AC943" s="1">
        <v>45731</v>
      </c>
      <c r="AD943" s="1">
        <v>45733</v>
      </c>
      <c r="AE943" s="1">
        <v>45952</v>
      </c>
      <c r="AF943" s="1"/>
      <c r="AG943" s="1">
        <v>45733</v>
      </c>
      <c r="AH943" s="1" t="s">
        <v>4197</v>
      </c>
      <c r="AI943" s="1"/>
      <c r="AJ943" s="31">
        <v>45733</v>
      </c>
      <c r="AK943"/>
      <c r="AL943"/>
      <c r="AM943"/>
      <c r="AN943"/>
      <c r="AO943"/>
      <c r="AP943"/>
    </row>
    <row r="944" spans="1:42" hidden="1">
      <c r="A944" s="1" t="s">
        <v>49</v>
      </c>
      <c r="B944" s="1">
        <v>250304</v>
      </c>
      <c r="C944" s="1">
        <v>8210122</v>
      </c>
      <c r="D944" s="1" t="s">
        <v>822</v>
      </c>
      <c r="E944" s="1" t="s">
        <v>2429</v>
      </c>
      <c r="F944" t="s">
        <v>2429</v>
      </c>
      <c r="G944"/>
      <c r="H944" s="1" t="s">
        <v>4210</v>
      </c>
      <c r="I944" s="1" t="s">
        <v>4211</v>
      </c>
      <c r="J944" s="1" t="s">
        <v>18</v>
      </c>
      <c r="K944" s="1" t="s">
        <v>50</v>
      </c>
      <c r="L944" s="1">
        <v>33560</v>
      </c>
      <c r="M944" s="1">
        <v>34</v>
      </c>
      <c r="N944" s="1">
        <v>1500</v>
      </c>
      <c r="P944" s="1">
        <v>2150</v>
      </c>
      <c r="Q944" s="1"/>
      <c r="R944" s="1">
        <v>650</v>
      </c>
      <c r="S944">
        <v>360000</v>
      </c>
      <c r="T944">
        <v>18054</v>
      </c>
      <c r="U944" t="s">
        <v>814</v>
      </c>
      <c r="V944">
        <v>32940</v>
      </c>
      <c r="W944" s="1">
        <v>46248</v>
      </c>
      <c r="X944" s="1" t="s">
        <v>55</v>
      </c>
      <c r="Y944" s="1" t="s">
        <v>51</v>
      </c>
      <c r="Z944" s="1" t="s">
        <v>4016</v>
      </c>
      <c r="AA944" s="1" t="s">
        <v>4017</v>
      </c>
      <c r="AB944" s="1" t="s">
        <v>4212</v>
      </c>
      <c r="AC944" s="1" t="s">
        <v>53</v>
      </c>
      <c r="AD944" s="1">
        <v>45735</v>
      </c>
      <c r="AE944" s="1"/>
      <c r="AF944" s="1"/>
      <c r="AG944" s="1">
        <v>45735</v>
      </c>
      <c r="AH944" s="1" t="s">
        <v>4213</v>
      </c>
      <c r="AI944" s="1"/>
      <c r="AJ944" s="31">
        <v>45735</v>
      </c>
      <c r="AK944"/>
      <c r="AL944"/>
      <c r="AM944"/>
      <c r="AN944"/>
      <c r="AO944"/>
      <c r="AP944"/>
    </row>
    <row r="945" spans="1:42" hidden="1">
      <c r="A945" s="1" t="s">
        <v>2542</v>
      </c>
      <c r="B945" s="1">
        <v>250305</v>
      </c>
      <c r="C945" s="1">
        <v>8210121</v>
      </c>
      <c r="D945" s="1" t="s">
        <v>822</v>
      </c>
      <c r="E945" s="1" t="s">
        <v>1312</v>
      </c>
      <c r="F945" t="s">
        <v>1312</v>
      </c>
      <c r="G945"/>
      <c r="H945" s="1" t="s">
        <v>4214</v>
      </c>
      <c r="I945" s="1" t="s">
        <v>4215</v>
      </c>
      <c r="J945" s="1" t="s">
        <v>18</v>
      </c>
      <c r="K945" s="1" t="s">
        <v>50</v>
      </c>
      <c r="L945" s="1">
        <v>34957</v>
      </c>
      <c r="M945" s="1">
        <v>30</v>
      </c>
      <c r="N945" s="1">
        <v>1500</v>
      </c>
      <c r="P945" s="1">
        <v>2150</v>
      </c>
      <c r="Q945" s="1"/>
      <c r="R945" s="1">
        <v>650</v>
      </c>
      <c r="S945">
        <v>260000</v>
      </c>
      <c r="T945">
        <v>13039</v>
      </c>
      <c r="U945" t="s">
        <v>814</v>
      </c>
      <c r="V945">
        <v>23790</v>
      </c>
      <c r="W945" s="1">
        <v>45962</v>
      </c>
      <c r="X945" s="1" t="s">
        <v>55</v>
      </c>
      <c r="Y945" s="1" t="s">
        <v>51</v>
      </c>
      <c r="Z945" s="1" t="s">
        <v>3619</v>
      </c>
      <c r="AA945" s="1" t="s">
        <v>3620</v>
      </c>
      <c r="AB945" s="1" t="s">
        <v>4216</v>
      </c>
      <c r="AC945" s="1" t="s">
        <v>53</v>
      </c>
      <c r="AD945" s="1">
        <v>45735</v>
      </c>
      <c r="AE945" s="1">
        <v>45769</v>
      </c>
      <c r="AF945" s="1"/>
      <c r="AG945" s="1">
        <v>45735</v>
      </c>
      <c r="AH945" s="1" t="s">
        <v>4213</v>
      </c>
      <c r="AI945" s="1"/>
      <c r="AJ945" s="31">
        <v>45735</v>
      </c>
      <c r="AK945"/>
      <c r="AL945"/>
      <c r="AM945"/>
      <c r="AN945"/>
      <c r="AO945"/>
      <c r="AP945"/>
    </row>
    <row r="946" spans="1:42" hidden="1">
      <c r="A946" s="1" t="s">
        <v>2542</v>
      </c>
      <c r="B946" s="1">
        <v>250306</v>
      </c>
      <c r="C946" s="1">
        <v>8210123</v>
      </c>
      <c r="D946" s="1" t="s">
        <v>822</v>
      </c>
      <c r="E946" s="1" t="s">
        <v>831</v>
      </c>
      <c r="F946" t="s">
        <v>831</v>
      </c>
      <c r="G946"/>
      <c r="H946" s="1" t="s">
        <v>4217</v>
      </c>
      <c r="I946" s="1" t="s">
        <v>4218</v>
      </c>
      <c r="J946" s="1" t="s">
        <v>18</v>
      </c>
      <c r="K946" s="1" t="s">
        <v>50</v>
      </c>
      <c r="L946" s="1">
        <v>34805</v>
      </c>
      <c r="M946" s="1">
        <v>30</v>
      </c>
      <c r="N946" s="1">
        <v>1500</v>
      </c>
      <c r="P946" s="1">
        <v>2150</v>
      </c>
      <c r="Q946" s="1"/>
      <c r="R946" s="1">
        <v>650</v>
      </c>
      <c r="S946">
        <v>260000</v>
      </c>
      <c r="T946">
        <v>13039</v>
      </c>
      <c r="U946" t="s">
        <v>814</v>
      </c>
      <c r="V946">
        <v>23790</v>
      </c>
      <c r="W946" s="1">
        <v>46905</v>
      </c>
      <c r="X946" s="1" t="s">
        <v>55</v>
      </c>
      <c r="Y946" s="1" t="s">
        <v>51</v>
      </c>
      <c r="Z946" s="1" t="s">
        <v>1321</v>
      </c>
      <c r="AA946" s="1" t="s">
        <v>1322</v>
      </c>
      <c r="AB946" s="1" t="s">
        <v>1323</v>
      </c>
      <c r="AC946" s="1"/>
      <c r="AD946" s="1">
        <v>45735</v>
      </c>
      <c r="AE946" s="1">
        <v>45800</v>
      </c>
      <c r="AF946" s="1"/>
      <c r="AG946" s="1">
        <v>45735</v>
      </c>
      <c r="AH946" s="1" t="s">
        <v>4213</v>
      </c>
      <c r="AI946" s="1"/>
      <c r="AJ946" s="31">
        <v>45735</v>
      </c>
      <c r="AK946"/>
      <c r="AL946"/>
      <c r="AM946"/>
      <c r="AN946"/>
      <c r="AO946"/>
      <c r="AP946"/>
    </row>
    <row r="947" spans="1:42">
      <c r="A947" s="1" t="s">
        <v>49</v>
      </c>
      <c r="B947" s="1">
        <v>241212</v>
      </c>
      <c r="C947" s="1">
        <v>242114</v>
      </c>
      <c r="D947" s="1" t="s">
        <v>69</v>
      </c>
      <c r="E947" s="1" t="s">
        <v>306</v>
      </c>
      <c r="F947" t="s">
        <v>742</v>
      </c>
      <c r="G947" t="s">
        <v>317</v>
      </c>
      <c r="H947" s="1" t="s">
        <v>4030</v>
      </c>
      <c r="I947" s="1" t="s">
        <v>4031</v>
      </c>
      <c r="J947" s="1" t="s">
        <v>18</v>
      </c>
      <c r="K947" s="1" t="s">
        <v>50</v>
      </c>
      <c r="L947" s="1">
        <v>37544</v>
      </c>
      <c r="M947" s="1">
        <v>23</v>
      </c>
      <c r="N947" s="1">
        <v>1250</v>
      </c>
      <c r="P947" s="1">
        <v>1660</v>
      </c>
      <c r="Q947" s="1"/>
      <c r="R947" s="1">
        <v>410</v>
      </c>
      <c r="S947">
        <v>240000</v>
      </c>
      <c r="T947">
        <v>12036</v>
      </c>
      <c r="U947" t="s">
        <v>814</v>
      </c>
      <c r="V947">
        <v>21960</v>
      </c>
      <c r="W947" s="1">
        <v>46002</v>
      </c>
      <c r="X947" s="1">
        <v>7</v>
      </c>
      <c r="Y947" s="1" t="s">
        <v>51</v>
      </c>
      <c r="Z947" s="1" t="s">
        <v>620</v>
      </c>
      <c r="AA947" s="1" t="s">
        <v>621</v>
      </c>
      <c r="AB947" s="1" t="s">
        <v>622</v>
      </c>
      <c r="AC947" s="1"/>
      <c r="AD947" s="1">
        <v>45643</v>
      </c>
      <c r="AE947" s="1"/>
      <c r="AF947" s="1"/>
      <c r="AG947" s="1">
        <v>45643</v>
      </c>
      <c r="AH947" s="1" t="s">
        <v>4008</v>
      </c>
      <c r="AI947" s="1"/>
      <c r="AJ947" s="31">
        <v>45643</v>
      </c>
      <c r="AK947"/>
      <c r="AL947"/>
      <c r="AM947"/>
      <c r="AN947"/>
      <c r="AO947"/>
      <c r="AP947"/>
    </row>
    <row r="948" spans="1:42">
      <c r="A948" s="1" t="s">
        <v>49</v>
      </c>
      <c r="B948" s="1">
        <v>241214</v>
      </c>
      <c r="C948" s="1">
        <v>242113</v>
      </c>
      <c r="D948" s="1" t="s">
        <v>69</v>
      </c>
      <c r="E948" s="1" t="s">
        <v>306</v>
      </c>
      <c r="F948" t="s">
        <v>742</v>
      </c>
      <c r="G948" t="s">
        <v>317</v>
      </c>
      <c r="H948" s="1" t="s">
        <v>4034</v>
      </c>
      <c r="I948" s="1" t="s">
        <v>4035</v>
      </c>
      <c r="J948" s="1" t="s">
        <v>18</v>
      </c>
      <c r="K948" s="1" t="s">
        <v>50</v>
      </c>
      <c r="L948" s="1">
        <v>37309</v>
      </c>
      <c r="M948" s="1">
        <v>23</v>
      </c>
      <c r="N948" s="1">
        <v>1250</v>
      </c>
      <c r="P948" s="1">
        <v>1660</v>
      </c>
      <c r="Q948" s="1"/>
      <c r="R948" s="1">
        <v>410</v>
      </c>
      <c r="S948">
        <v>240000</v>
      </c>
      <c r="T948">
        <v>12036</v>
      </c>
      <c r="U948" t="s">
        <v>814</v>
      </c>
      <c r="V948">
        <v>21960</v>
      </c>
      <c r="W948" s="1">
        <v>46002</v>
      </c>
      <c r="X948" s="1">
        <v>7</v>
      </c>
      <c r="Y948" s="1" t="s">
        <v>51</v>
      </c>
      <c r="Z948" s="1" t="s">
        <v>72</v>
      </c>
      <c r="AA948" s="1" t="s">
        <v>526</v>
      </c>
      <c r="AB948" s="1" t="s">
        <v>2001</v>
      </c>
      <c r="AC948" s="1"/>
      <c r="AD948" s="1">
        <v>45643</v>
      </c>
      <c r="AE948" s="1"/>
      <c r="AF948" s="1"/>
      <c r="AG948" s="1">
        <v>45643</v>
      </c>
      <c r="AH948" s="1" t="s">
        <v>4008</v>
      </c>
      <c r="AI948" s="1"/>
      <c r="AJ948" s="31">
        <v>45643</v>
      </c>
      <c r="AK948"/>
      <c r="AL948"/>
      <c r="AM948"/>
      <c r="AN948"/>
      <c r="AO948"/>
      <c r="AP948"/>
    </row>
    <row r="949" spans="1:42">
      <c r="A949" s="1" t="s">
        <v>49</v>
      </c>
      <c r="B949" s="1">
        <v>250202</v>
      </c>
      <c r="C949" s="1">
        <v>242119</v>
      </c>
      <c r="D949" s="1" t="s">
        <v>69</v>
      </c>
      <c r="E949" s="1" t="s">
        <v>306</v>
      </c>
      <c r="F949" t="s">
        <v>742</v>
      </c>
      <c r="G949" t="s">
        <v>317</v>
      </c>
      <c r="H949" s="1" t="s">
        <v>4099</v>
      </c>
      <c r="I949" s="1" t="s">
        <v>4100</v>
      </c>
      <c r="J949" s="1" t="s">
        <v>18</v>
      </c>
      <c r="K949" s="1" t="s">
        <v>50</v>
      </c>
      <c r="L949" s="1">
        <v>36533</v>
      </c>
      <c r="M949" s="1">
        <v>25</v>
      </c>
      <c r="N949" s="1">
        <v>1250</v>
      </c>
      <c r="P949" s="1">
        <v>1650</v>
      </c>
      <c r="Q949" s="1"/>
      <c r="R949" s="1">
        <v>400</v>
      </c>
      <c r="S949">
        <v>240000</v>
      </c>
      <c r="T949">
        <v>12036</v>
      </c>
      <c r="U949" t="s">
        <v>814</v>
      </c>
      <c r="V949">
        <v>21960</v>
      </c>
      <c r="W949" s="1">
        <v>46056</v>
      </c>
      <c r="X949" s="1">
        <v>61</v>
      </c>
      <c r="Y949" s="1" t="s">
        <v>51</v>
      </c>
      <c r="Z949" s="1" t="s">
        <v>4146</v>
      </c>
      <c r="AA949" s="1" t="s">
        <v>4147</v>
      </c>
      <c r="AB949" s="1" t="s">
        <v>4148</v>
      </c>
      <c r="AC949" s="1"/>
      <c r="AD949" s="1">
        <v>45698</v>
      </c>
      <c r="AE949" s="1"/>
      <c r="AF949" s="1"/>
      <c r="AG949" s="1">
        <v>45698</v>
      </c>
      <c r="AH949" s="1" t="s">
        <v>4186</v>
      </c>
      <c r="AI949" s="1"/>
      <c r="AJ949" s="31">
        <v>45698</v>
      </c>
      <c r="AK949"/>
      <c r="AL949"/>
      <c r="AM949"/>
      <c r="AN949"/>
      <c r="AO949"/>
      <c r="AP949"/>
    </row>
    <row r="950" spans="1:42">
      <c r="A950" s="1" t="s">
        <v>49</v>
      </c>
      <c r="B950" s="1">
        <v>250204</v>
      </c>
      <c r="C950" s="1">
        <v>242121</v>
      </c>
      <c r="D950" s="1" t="s">
        <v>69</v>
      </c>
      <c r="E950" s="1" t="s">
        <v>306</v>
      </c>
      <c r="F950" t="s">
        <v>742</v>
      </c>
      <c r="G950" t="s">
        <v>317</v>
      </c>
      <c r="H950" s="1" t="s">
        <v>4103</v>
      </c>
      <c r="I950" s="1" t="s">
        <v>4104</v>
      </c>
      <c r="J950" s="1" t="s">
        <v>18</v>
      </c>
      <c r="K950" s="1" t="s">
        <v>50</v>
      </c>
      <c r="L950" s="1">
        <v>37055</v>
      </c>
      <c r="M950" s="1">
        <v>24</v>
      </c>
      <c r="N950" s="1">
        <v>1250</v>
      </c>
      <c r="P950" s="1">
        <v>1650</v>
      </c>
      <c r="Q950" s="1"/>
      <c r="R950" s="1">
        <v>400</v>
      </c>
      <c r="S950">
        <v>220000</v>
      </c>
      <c r="T950">
        <v>11033</v>
      </c>
      <c r="U950" t="s">
        <v>814</v>
      </c>
      <c r="V950">
        <v>20130</v>
      </c>
      <c r="W950" s="1">
        <v>46786</v>
      </c>
      <c r="X950" s="1" t="s">
        <v>55</v>
      </c>
      <c r="Y950" s="1" t="s">
        <v>51</v>
      </c>
      <c r="Z950" s="1" t="s">
        <v>4146</v>
      </c>
      <c r="AA950" s="1" t="s">
        <v>4147</v>
      </c>
      <c r="AB950" s="1" t="s">
        <v>4149</v>
      </c>
      <c r="AC950" s="1"/>
      <c r="AD950" s="1">
        <v>45698</v>
      </c>
      <c r="AE950" s="1"/>
      <c r="AF950" s="1"/>
      <c r="AG950" s="1">
        <v>45698</v>
      </c>
      <c r="AH950" s="1" t="s">
        <v>4189</v>
      </c>
      <c r="AI950" s="1"/>
      <c r="AJ950" s="31">
        <v>45698</v>
      </c>
      <c r="AK950"/>
      <c r="AL950"/>
      <c r="AM950"/>
      <c r="AN950"/>
      <c r="AO950"/>
      <c r="AP950"/>
    </row>
    <row r="951" spans="1:42" hidden="1">
      <c r="A951" s="1" t="s">
        <v>49</v>
      </c>
      <c r="B951" s="1">
        <v>201202</v>
      </c>
      <c r="C951" s="1">
        <v>8210124</v>
      </c>
      <c r="D951" s="1" t="s">
        <v>818</v>
      </c>
      <c r="E951" s="1" t="s">
        <v>4168</v>
      </c>
      <c r="F951" t="s">
        <v>4168</v>
      </c>
      <c r="G951"/>
      <c r="H951" s="1" t="s">
        <v>409</v>
      </c>
      <c r="I951" s="1" t="s">
        <v>410</v>
      </c>
      <c r="J951" s="1" t="s">
        <v>18</v>
      </c>
      <c r="K951" s="1" t="s">
        <v>50</v>
      </c>
      <c r="L951" s="1">
        <v>35115</v>
      </c>
      <c r="M951" s="1">
        <v>29</v>
      </c>
      <c r="N951" s="1">
        <v>1500</v>
      </c>
      <c r="P951" s="1">
        <v>2150</v>
      </c>
      <c r="Q951" s="1"/>
      <c r="R951" s="1">
        <v>650</v>
      </c>
      <c r="S951">
        <v>240000</v>
      </c>
      <c r="T951">
        <v>12036</v>
      </c>
      <c r="U951" t="s">
        <v>814</v>
      </c>
      <c r="V951">
        <v>21960</v>
      </c>
      <c r="W951" s="1">
        <v>46659</v>
      </c>
      <c r="X951" s="1" t="s">
        <v>55</v>
      </c>
      <c r="Y951" s="1" t="s">
        <v>51</v>
      </c>
      <c r="Z951" s="1" t="s">
        <v>1753</v>
      </c>
      <c r="AA951" s="1" t="s">
        <v>2158</v>
      </c>
      <c r="AB951" s="1" t="s">
        <v>2159</v>
      </c>
      <c r="AC951" s="1" t="s">
        <v>53</v>
      </c>
      <c r="AD951" s="1">
        <v>45748</v>
      </c>
      <c r="AE951" s="1"/>
      <c r="AF951" s="1"/>
      <c r="AG951" s="1">
        <v>45748</v>
      </c>
      <c r="AH951" s="1" t="s">
        <v>2346</v>
      </c>
      <c r="AI951" s="1"/>
      <c r="AJ951" s="31">
        <v>45748</v>
      </c>
      <c r="AK951"/>
      <c r="AL951"/>
      <c r="AM951"/>
      <c r="AN951"/>
      <c r="AO951"/>
      <c r="AP951"/>
    </row>
    <row r="952" spans="1:42" hidden="1">
      <c r="A952" s="1" t="s">
        <v>49</v>
      </c>
      <c r="B952" s="1">
        <v>250402</v>
      </c>
      <c r="C952" s="1">
        <v>8210125</v>
      </c>
      <c r="D952" s="1" t="s">
        <v>822</v>
      </c>
      <c r="E952" s="1" t="s">
        <v>831</v>
      </c>
      <c r="F952" t="s">
        <v>831</v>
      </c>
      <c r="G952"/>
      <c r="H952" s="1" t="s">
        <v>4229</v>
      </c>
      <c r="I952" s="1" t="s">
        <v>4230</v>
      </c>
      <c r="J952" s="1" t="s">
        <v>18</v>
      </c>
      <c r="K952" s="1" t="s">
        <v>50</v>
      </c>
      <c r="L952" s="1">
        <v>33161</v>
      </c>
      <c r="M952" s="1">
        <v>35</v>
      </c>
      <c r="N952" s="1">
        <v>1500</v>
      </c>
      <c r="P952" s="1">
        <v>2150</v>
      </c>
      <c r="Q952" s="1"/>
      <c r="R952" s="1">
        <v>650</v>
      </c>
      <c r="S952">
        <v>240000</v>
      </c>
      <c r="T952">
        <v>12036</v>
      </c>
      <c r="U952" t="s">
        <v>814</v>
      </c>
      <c r="V952">
        <v>21960</v>
      </c>
      <c r="W952" s="1">
        <v>46676</v>
      </c>
      <c r="X952" s="1" t="s">
        <v>55</v>
      </c>
      <c r="Y952" s="1" t="s">
        <v>51</v>
      </c>
      <c r="Z952" s="1" t="s">
        <v>4231</v>
      </c>
      <c r="AA952" s="1" t="s">
        <v>4232</v>
      </c>
      <c r="AB952" s="1" t="s">
        <v>4233</v>
      </c>
      <c r="AC952" s="1" t="s">
        <v>53</v>
      </c>
      <c r="AD952" s="1">
        <v>45748</v>
      </c>
      <c r="AE952" s="1"/>
      <c r="AF952" s="1"/>
      <c r="AG952" s="1">
        <v>45748</v>
      </c>
      <c r="AH952" s="1" t="s">
        <v>2346</v>
      </c>
      <c r="AI952" s="1"/>
      <c r="AJ952" s="31">
        <v>45748</v>
      </c>
      <c r="AK952"/>
      <c r="AL952"/>
      <c r="AM952"/>
      <c r="AN952"/>
      <c r="AO952"/>
      <c r="AP952"/>
    </row>
    <row r="953" spans="1:42">
      <c r="A953" s="1" t="s">
        <v>49</v>
      </c>
      <c r="B953" s="1">
        <v>250215</v>
      </c>
      <c r="C953" s="1">
        <v>242126</v>
      </c>
      <c r="D953" s="1" t="s">
        <v>69</v>
      </c>
      <c r="E953" s="1" t="s">
        <v>306</v>
      </c>
      <c r="F953" t="s">
        <v>742</v>
      </c>
      <c r="G953" t="s">
        <v>317</v>
      </c>
      <c r="H953" s="1" t="s">
        <v>4124</v>
      </c>
      <c r="I953" s="1" t="s">
        <v>4125</v>
      </c>
      <c r="J953" s="1" t="s">
        <v>18</v>
      </c>
      <c r="K953" s="1" t="s">
        <v>50</v>
      </c>
      <c r="L953" s="1">
        <v>37614</v>
      </c>
      <c r="M953" s="1">
        <v>22</v>
      </c>
      <c r="N953" s="1">
        <v>1250</v>
      </c>
      <c r="P953" s="1">
        <v>1650</v>
      </c>
      <c r="Q953" s="1"/>
      <c r="R953" s="1">
        <v>400</v>
      </c>
      <c r="S953">
        <v>220000</v>
      </c>
      <c r="T953">
        <v>11033</v>
      </c>
      <c r="U953" t="s">
        <v>814</v>
      </c>
      <c r="V953">
        <v>20130</v>
      </c>
      <c r="W953" s="1">
        <v>46789</v>
      </c>
      <c r="X953" s="1" t="s">
        <v>55</v>
      </c>
      <c r="Y953" s="1" t="s">
        <v>51</v>
      </c>
      <c r="Z953" s="1" t="s">
        <v>493</v>
      </c>
      <c r="AA953" s="1" t="s">
        <v>494</v>
      </c>
      <c r="AB953" s="1" t="s">
        <v>4152</v>
      </c>
      <c r="AC953" s="1"/>
      <c r="AD953" s="1">
        <v>45700</v>
      </c>
      <c r="AE953" s="1"/>
      <c r="AF953" s="1"/>
      <c r="AG953" s="1">
        <v>45700</v>
      </c>
      <c r="AH953" s="1" t="s">
        <v>4186</v>
      </c>
      <c r="AI953" s="1"/>
      <c r="AJ953" s="31">
        <v>45700</v>
      </c>
      <c r="AK953"/>
      <c r="AL953"/>
      <c r="AM953"/>
      <c r="AN953"/>
      <c r="AO953"/>
      <c r="AP953"/>
    </row>
    <row r="954" spans="1:42" hidden="1">
      <c r="A954" s="1" t="s">
        <v>2542</v>
      </c>
      <c r="B954" s="1">
        <v>250405</v>
      </c>
      <c r="D954" s="1" t="s">
        <v>62</v>
      </c>
      <c r="E954" s="1" t="s">
        <v>2469</v>
      </c>
      <c r="F954" t="s">
        <v>753</v>
      </c>
      <c r="G954" t="s">
        <v>388</v>
      </c>
      <c r="H954" s="1" t="s">
        <v>4239</v>
      </c>
      <c r="I954" s="1" t="s">
        <v>4240</v>
      </c>
      <c r="J954" s="1" t="s">
        <v>18</v>
      </c>
      <c r="K954" s="1" t="s">
        <v>404</v>
      </c>
      <c r="L954" s="1">
        <v>39243</v>
      </c>
      <c r="M954" s="1">
        <v>18</v>
      </c>
      <c r="N954" s="1">
        <v>1400</v>
      </c>
      <c r="P954" s="1">
        <v>1750</v>
      </c>
      <c r="Q954" s="1"/>
      <c r="R954" s="1">
        <v>350</v>
      </c>
      <c r="S954">
        <v>220000</v>
      </c>
      <c r="T954">
        <v>11033</v>
      </c>
      <c r="U954" t="s">
        <v>814</v>
      </c>
      <c r="V954">
        <v>20130</v>
      </c>
      <c r="W954" s="1">
        <v>46675</v>
      </c>
      <c r="X954" s="1" t="s">
        <v>55</v>
      </c>
      <c r="Y954" s="1" t="s">
        <v>540</v>
      </c>
      <c r="Z954" s="1" t="s">
        <v>80</v>
      </c>
      <c r="AA954" s="1" t="s">
        <v>632</v>
      </c>
      <c r="AB954" s="1" t="s">
        <v>633</v>
      </c>
      <c r="AC954" s="1" t="s">
        <v>53</v>
      </c>
      <c r="AD954" s="1">
        <v>45748</v>
      </c>
      <c r="AE954" s="1">
        <v>45915</v>
      </c>
      <c r="AF954" s="1"/>
      <c r="AG954" s="1">
        <v>45748</v>
      </c>
      <c r="AH954" s="1" t="s">
        <v>2346</v>
      </c>
      <c r="AI954" s="1"/>
      <c r="AJ954" s="31">
        <v>45748</v>
      </c>
      <c r="AK954"/>
      <c r="AL954"/>
      <c r="AM954"/>
      <c r="AN954"/>
      <c r="AO954"/>
      <c r="AP954"/>
    </row>
    <row r="955" spans="1:42" hidden="1">
      <c r="A955" s="1" t="s">
        <v>49</v>
      </c>
      <c r="B955" s="1">
        <v>250401</v>
      </c>
      <c r="D955" s="1" t="s">
        <v>687</v>
      </c>
      <c r="F955"/>
      <c r="G955"/>
      <c r="H955" s="1" t="s">
        <v>4227</v>
      </c>
      <c r="I955" s="1" t="s">
        <v>4228</v>
      </c>
      <c r="J955" s="1" t="s">
        <v>18</v>
      </c>
      <c r="K955" s="1" t="s">
        <v>50</v>
      </c>
      <c r="L955" s="1">
        <v>36421</v>
      </c>
      <c r="M955" s="1">
        <v>26</v>
      </c>
      <c r="N955" s="1">
        <v>1400</v>
      </c>
      <c r="P955" s="1">
        <v>1900</v>
      </c>
      <c r="Q955" s="1"/>
      <c r="R955" s="1">
        <v>500</v>
      </c>
      <c r="S955">
        <v>280000</v>
      </c>
      <c r="T955">
        <v>14042</v>
      </c>
      <c r="U955" t="s">
        <v>814</v>
      </c>
      <c r="V955">
        <v>25620</v>
      </c>
      <c r="W955" s="1">
        <v>47099</v>
      </c>
      <c r="X955" s="1" t="s">
        <v>55</v>
      </c>
      <c r="Y955" s="1" t="s">
        <v>51</v>
      </c>
      <c r="Z955" s="1" t="s">
        <v>115</v>
      </c>
      <c r="AA955" s="1" t="s">
        <v>116</v>
      </c>
      <c r="AB955" s="1" t="s">
        <v>2725</v>
      </c>
      <c r="AC955" s="1"/>
      <c r="AD955" s="1">
        <v>45748</v>
      </c>
      <c r="AE955" s="1"/>
      <c r="AF955" s="1"/>
      <c r="AG955" s="1">
        <v>45748</v>
      </c>
      <c r="AH955" s="1" t="s">
        <v>2346</v>
      </c>
      <c r="AI955" s="1"/>
      <c r="AJ955" s="31">
        <v>45748</v>
      </c>
      <c r="AK955"/>
      <c r="AL955"/>
      <c r="AM955"/>
      <c r="AN955"/>
      <c r="AO955"/>
      <c r="AP955"/>
    </row>
    <row r="956" spans="1:42" hidden="1">
      <c r="A956" s="1" t="s">
        <v>2542</v>
      </c>
      <c r="B956" s="1">
        <v>250403</v>
      </c>
      <c r="C956" s="1">
        <v>8210126</v>
      </c>
      <c r="D956" s="1" t="s">
        <v>822</v>
      </c>
      <c r="E956" s="1" t="s">
        <v>2429</v>
      </c>
      <c r="F956" t="s">
        <v>2429</v>
      </c>
      <c r="G956"/>
      <c r="H956" s="1" t="s">
        <v>4234</v>
      </c>
      <c r="I956" s="1" t="s">
        <v>4235</v>
      </c>
      <c r="J956" s="1" t="s">
        <v>18</v>
      </c>
      <c r="K956" s="1" t="s">
        <v>50</v>
      </c>
      <c r="L956" s="1">
        <v>34905</v>
      </c>
      <c r="M956" s="1">
        <v>30</v>
      </c>
      <c r="N956" s="1">
        <v>1500</v>
      </c>
      <c r="P956" s="1">
        <v>2150</v>
      </c>
      <c r="Q956" s="1"/>
      <c r="R956" s="1">
        <v>650</v>
      </c>
      <c r="S956">
        <v>240000</v>
      </c>
      <c r="T956">
        <v>12036</v>
      </c>
      <c r="U956" t="s">
        <v>814</v>
      </c>
      <c r="V956">
        <v>21960</v>
      </c>
      <c r="W956" s="1">
        <v>46717</v>
      </c>
      <c r="X956" s="1" t="s">
        <v>55</v>
      </c>
      <c r="Y956" s="1" t="s">
        <v>51</v>
      </c>
      <c r="Z956" s="1" t="s">
        <v>2567</v>
      </c>
      <c r="AA956" s="1" t="s">
        <v>3882</v>
      </c>
      <c r="AB956" s="1" t="s">
        <v>4236</v>
      </c>
      <c r="AC956" s="1"/>
      <c r="AD956" s="1">
        <v>45748</v>
      </c>
      <c r="AE956" s="1">
        <v>45869</v>
      </c>
      <c r="AF956" s="1"/>
      <c r="AG956" s="1">
        <v>45748</v>
      </c>
      <c r="AH956" s="1" t="s">
        <v>2346</v>
      </c>
      <c r="AI956" s="1"/>
      <c r="AJ956" s="31">
        <v>45748</v>
      </c>
      <c r="AK956"/>
      <c r="AL956"/>
      <c r="AM956"/>
      <c r="AN956"/>
      <c r="AO956"/>
      <c r="AP956"/>
    </row>
    <row r="957" spans="1:42">
      <c r="A957" s="1" t="s">
        <v>49</v>
      </c>
      <c r="B957" s="1">
        <v>210416</v>
      </c>
      <c r="C957" s="1">
        <v>242016</v>
      </c>
      <c r="D957" s="1" t="s">
        <v>69</v>
      </c>
      <c r="E957" s="1" t="s">
        <v>306</v>
      </c>
      <c r="F957" t="s">
        <v>742</v>
      </c>
      <c r="G957" t="s">
        <v>317</v>
      </c>
      <c r="H957" s="1" t="s">
        <v>468</v>
      </c>
      <c r="I957" s="1" t="s">
        <v>469</v>
      </c>
      <c r="J957" s="1" t="s">
        <v>18</v>
      </c>
      <c r="K957" s="1" t="s">
        <v>50</v>
      </c>
      <c r="L957" s="1">
        <v>33527</v>
      </c>
      <c r="M957" s="1">
        <v>34</v>
      </c>
      <c r="N957" s="1">
        <v>1410</v>
      </c>
      <c r="P957" s="1">
        <v>1850</v>
      </c>
      <c r="Q957" s="1"/>
      <c r="R957" s="1">
        <v>440</v>
      </c>
      <c r="S957">
        <v>300000</v>
      </c>
      <c r="T957">
        <v>15045</v>
      </c>
      <c r="U957" t="s">
        <v>814</v>
      </c>
      <c r="V957">
        <v>27450</v>
      </c>
      <c r="W957" s="1">
        <v>46529</v>
      </c>
      <c r="X957" s="1" t="s">
        <v>55</v>
      </c>
      <c r="Y957" s="1" t="s">
        <v>51</v>
      </c>
      <c r="Z957" s="1" t="s">
        <v>427</v>
      </c>
      <c r="AA957" s="1" t="s">
        <v>423</v>
      </c>
      <c r="AB957" s="1" t="s">
        <v>424</v>
      </c>
      <c r="AC957" s="1"/>
      <c r="AD957" s="1">
        <v>45707</v>
      </c>
      <c r="AE957" s="1"/>
      <c r="AF957" s="1"/>
      <c r="AG957" s="1">
        <v>45707</v>
      </c>
      <c r="AH957" s="1" t="s">
        <v>4195</v>
      </c>
      <c r="AI957" s="1"/>
      <c r="AJ957" s="31">
        <v>45707</v>
      </c>
      <c r="AK957"/>
      <c r="AL957"/>
      <c r="AM957"/>
      <c r="AN957"/>
      <c r="AO957" t="s">
        <v>4165</v>
      </c>
      <c r="AP957"/>
    </row>
    <row r="958" spans="1:42" hidden="1">
      <c r="A958" s="1" t="s">
        <v>49</v>
      </c>
      <c r="B958" s="1">
        <v>250407</v>
      </c>
      <c r="C958" s="1">
        <v>232176</v>
      </c>
      <c r="D958" s="1" t="s">
        <v>83</v>
      </c>
      <c r="E958" s="1" t="s">
        <v>1386</v>
      </c>
      <c r="F958" t="s">
        <v>2259</v>
      </c>
      <c r="G958" t="s">
        <v>388</v>
      </c>
      <c r="H958" s="1" t="s">
        <v>4243</v>
      </c>
      <c r="I958" s="1" t="s">
        <v>4244</v>
      </c>
      <c r="J958" s="1" t="s">
        <v>18</v>
      </c>
      <c r="K958" s="1" t="s">
        <v>50</v>
      </c>
      <c r="L958" s="1">
        <v>37275</v>
      </c>
      <c r="M958" s="1">
        <v>23</v>
      </c>
      <c r="N958" s="1">
        <v>1200</v>
      </c>
      <c r="P958" s="1">
        <v>1650</v>
      </c>
      <c r="Q958" s="1"/>
      <c r="R958" s="1">
        <v>450</v>
      </c>
      <c r="S958">
        <v>160000</v>
      </c>
      <c r="T958">
        <v>8024</v>
      </c>
      <c r="U958" t="s">
        <v>814</v>
      </c>
      <c r="V958">
        <v>14640</v>
      </c>
      <c r="W958" s="1">
        <v>46845</v>
      </c>
      <c r="X958" s="1"/>
      <c r="Y958" s="1" t="s">
        <v>51</v>
      </c>
      <c r="Z958" s="1" t="s">
        <v>86</v>
      </c>
      <c r="AA958" s="1" t="s">
        <v>4245</v>
      </c>
      <c r="AB958" s="1" t="s">
        <v>839</v>
      </c>
      <c r="AC958" s="1"/>
      <c r="AD958" s="1">
        <v>45755</v>
      </c>
      <c r="AE958" s="1"/>
      <c r="AF958" s="1"/>
      <c r="AG958" s="1">
        <v>45755</v>
      </c>
      <c r="AH958" s="1" t="s">
        <v>2346</v>
      </c>
      <c r="AI958" s="1"/>
      <c r="AJ958" s="31">
        <v>45755</v>
      </c>
      <c r="AK958"/>
      <c r="AL958"/>
      <c r="AM958"/>
      <c r="AN958"/>
      <c r="AO958"/>
      <c r="AP958"/>
    </row>
    <row r="959" spans="1:42" hidden="1">
      <c r="A959" s="1" t="s">
        <v>2542</v>
      </c>
      <c r="B959" s="1">
        <v>250408</v>
      </c>
      <c r="D959" s="1" t="s">
        <v>548</v>
      </c>
      <c r="F959"/>
      <c r="G959"/>
      <c r="H959" s="1" t="s">
        <v>4246</v>
      </c>
      <c r="I959" s="1" t="s">
        <v>4247</v>
      </c>
      <c r="J959" s="1" t="s">
        <v>18</v>
      </c>
      <c r="K959" s="1" t="s">
        <v>50</v>
      </c>
      <c r="L959" s="1">
        <v>36005</v>
      </c>
      <c r="M959" s="1">
        <v>27</v>
      </c>
      <c r="N959" s="1">
        <v>1400</v>
      </c>
      <c r="P959" s="1">
        <v>1900</v>
      </c>
      <c r="Q959" s="1"/>
      <c r="R959" s="1">
        <v>500</v>
      </c>
      <c r="S959">
        <v>260000</v>
      </c>
      <c r="T959">
        <v>13039</v>
      </c>
      <c r="U959" t="s">
        <v>814</v>
      </c>
      <c r="V959">
        <v>23790</v>
      </c>
      <c r="W959" s="1">
        <v>46743</v>
      </c>
      <c r="X959" s="1" t="s">
        <v>55</v>
      </c>
      <c r="Y959" s="1" t="s">
        <v>51</v>
      </c>
      <c r="Z959" s="1" t="s">
        <v>4248</v>
      </c>
      <c r="AA959" s="1" t="s">
        <v>4249</v>
      </c>
      <c r="AB959" s="1" t="s">
        <v>4250</v>
      </c>
      <c r="AC959" s="1" t="s">
        <v>53</v>
      </c>
      <c r="AD959" s="1">
        <v>45758</v>
      </c>
      <c r="AE959" s="1">
        <v>45876</v>
      </c>
      <c r="AF959" s="1"/>
      <c r="AG959" s="1">
        <v>45758</v>
      </c>
      <c r="AH959" s="1" t="s">
        <v>2281</v>
      </c>
      <c r="AI959" s="1"/>
      <c r="AJ959" s="31">
        <v>45758</v>
      </c>
      <c r="AK959"/>
      <c r="AL959"/>
      <c r="AM959"/>
      <c r="AN959"/>
      <c r="AO959"/>
      <c r="AP959"/>
    </row>
    <row r="960" spans="1:42" hidden="1">
      <c r="A960" s="1" t="s">
        <v>49</v>
      </c>
      <c r="B960" s="1">
        <v>250409</v>
      </c>
      <c r="C960" s="1">
        <v>8210127</v>
      </c>
      <c r="D960" s="1" t="s">
        <v>823</v>
      </c>
      <c r="E960" s="1" t="s">
        <v>838</v>
      </c>
      <c r="F960" t="s">
        <v>838</v>
      </c>
      <c r="G960"/>
      <c r="H960" s="1" t="s">
        <v>4251</v>
      </c>
      <c r="I960" s="1" t="s">
        <v>4252</v>
      </c>
      <c r="J960" s="1" t="s">
        <v>18</v>
      </c>
      <c r="K960" s="1" t="s">
        <v>50</v>
      </c>
      <c r="L960" s="1">
        <v>35971</v>
      </c>
      <c r="M960" s="1">
        <v>27</v>
      </c>
      <c r="N960" s="1">
        <v>1500</v>
      </c>
      <c r="P960" s="1">
        <v>2150</v>
      </c>
      <c r="Q960" s="1"/>
      <c r="R960" s="1">
        <v>650</v>
      </c>
      <c r="S960">
        <v>300000</v>
      </c>
      <c r="T960">
        <v>15045</v>
      </c>
      <c r="U960" t="s">
        <v>814</v>
      </c>
      <c r="V960">
        <v>27450</v>
      </c>
      <c r="W960" s="1">
        <v>47057</v>
      </c>
      <c r="X960" s="1" t="s">
        <v>55</v>
      </c>
      <c r="Y960" s="1" t="s">
        <v>51</v>
      </c>
      <c r="Z960" s="1" t="s">
        <v>982</v>
      </c>
      <c r="AA960" s="1" t="s">
        <v>983</v>
      </c>
      <c r="AB960" s="1" t="s">
        <v>990</v>
      </c>
      <c r="AC960" s="1"/>
      <c r="AD960" s="1">
        <v>45759</v>
      </c>
      <c r="AE960" s="1"/>
      <c r="AF960" s="1"/>
      <c r="AG960" s="1">
        <v>45759</v>
      </c>
      <c r="AH960" s="1" t="s">
        <v>2281</v>
      </c>
      <c r="AI960" s="1"/>
      <c r="AJ960" s="31">
        <v>45759</v>
      </c>
      <c r="AK960"/>
      <c r="AL960"/>
      <c r="AM960"/>
      <c r="AN960"/>
      <c r="AO960"/>
      <c r="AP960"/>
    </row>
    <row r="961" spans="1:42" hidden="1">
      <c r="A961" s="1" t="s">
        <v>49</v>
      </c>
      <c r="B961" s="1">
        <v>250410</v>
      </c>
      <c r="D961" s="1" t="s">
        <v>1612</v>
      </c>
      <c r="F961"/>
      <c r="G961"/>
      <c r="H961" s="1" t="s">
        <v>4253</v>
      </c>
      <c r="I961" s="1" t="s">
        <v>4254</v>
      </c>
      <c r="J961" s="1" t="s">
        <v>18</v>
      </c>
      <c r="K961" s="1" t="s">
        <v>50</v>
      </c>
      <c r="L961" s="1">
        <v>37770</v>
      </c>
      <c r="M961" s="1">
        <v>22</v>
      </c>
      <c r="N961" s="1">
        <v>1200</v>
      </c>
      <c r="P961" s="1">
        <v>1900</v>
      </c>
      <c r="Q961" s="1"/>
      <c r="R961" s="1">
        <v>700</v>
      </c>
      <c r="S961">
        <v>240000</v>
      </c>
      <c r="T961">
        <v>12036</v>
      </c>
      <c r="U961" t="s">
        <v>814</v>
      </c>
      <c r="V961">
        <v>21960</v>
      </c>
      <c r="W961" s="1">
        <v>46852</v>
      </c>
      <c r="X961" s="1" t="s">
        <v>55</v>
      </c>
      <c r="Y961" s="1" t="s">
        <v>51</v>
      </c>
      <c r="Z961" s="1" t="s">
        <v>110</v>
      </c>
      <c r="AA961" s="1" t="s">
        <v>134</v>
      </c>
      <c r="AB961" s="1" t="s">
        <v>947</v>
      </c>
      <c r="AC961" s="1"/>
      <c r="AD961" s="1">
        <v>45762</v>
      </c>
      <c r="AE961" s="1"/>
      <c r="AF961" s="1"/>
      <c r="AG961" s="1">
        <v>45762</v>
      </c>
      <c r="AH961" s="1" t="s">
        <v>2281</v>
      </c>
      <c r="AI961" s="1"/>
      <c r="AJ961" s="31">
        <v>45762</v>
      </c>
      <c r="AK961"/>
      <c r="AL961"/>
      <c r="AM961"/>
      <c r="AN961"/>
      <c r="AO961"/>
      <c r="AP961"/>
    </row>
    <row r="962" spans="1:42">
      <c r="A962" s="1" t="s">
        <v>49</v>
      </c>
      <c r="B962" s="1">
        <v>250804</v>
      </c>
      <c r="C962" s="1">
        <v>242136</v>
      </c>
      <c r="D962" s="1" t="s">
        <v>69</v>
      </c>
      <c r="E962" s="1" t="s">
        <v>306</v>
      </c>
      <c r="F962" t="s">
        <v>742</v>
      </c>
      <c r="G962" t="s">
        <v>317</v>
      </c>
      <c r="H962" s="1" t="s">
        <v>4452</v>
      </c>
      <c r="I962" s="1" t="s">
        <v>4453</v>
      </c>
      <c r="J962" s="1" t="s">
        <v>18</v>
      </c>
      <c r="K962" s="1" t="s">
        <v>50</v>
      </c>
      <c r="L962" s="1">
        <v>37538</v>
      </c>
      <c r="M962" s="1">
        <v>23</v>
      </c>
      <c r="N962" s="1">
        <v>1200</v>
      </c>
      <c r="P962" s="1">
        <v>1650</v>
      </c>
      <c r="Q962" s="1"/>
      <c r="R962" s="1">
        <v>450</v>
      </c>
      <c r="S962">
        <v>160000</v>
      </c>
      <c r="T962">
        <v>8024</v>
      </c>
      <c r="U962" t="s">
        <v>814</v>
      </c>
      <c r="V962">
        <v>14640</v>
      </c>
      <c r="W962" s="1">
        <v>47694</v>
      </c>
      <c r="X962" s="1" t="s">
        <v>55</v>
      </c>
      <c r="Y962" s="1" t="s">
        <v>51</v>
      </c>
      <c r="Z962" s="1" t="s">
        <v>4146</v>
      </c>
      <c r="AA962" s="1" t="s">
        <v>4147</v>
      </c>
      <c r="AB962" s="1" t="s">
        <v>4149</v>
      </c>
      <c r="AC962" s="1"/>
      <c r="AD962" s="1">
        <v>45873</v>
      </c>
      <c r="AE962" s="1"/>
      <c r="AF962" s="1"/>
      <c r="AG962" s="1">
        <v>45873</v>
      </c>
      <c r="AH962" s="1" t="s">
        <v>4444</v>
      </c>
      <c r="AI962" s="1"/>
      <c r="AJ962" s="31">
        <v>45873</v>
      </c>
      <c r="AK962"/>
      <c r="AL962"/>
      <c r="AM962"/>
      <c r="AN962"/>
      <c r="AO962"/>
      <c r="AP962"/>
    </row>
    <row r="963" spans="1:42" hidden="1">
      <c r="A963" s="1" t="s">
        <v>49</v>
      </c>
      <c r="B963" s="1">
        <v>250411</v>
      </c>
      <c r="D963" s="1" t="s">
        <v>168</v>
      </c>
      <c r="F963"/>
      <c r="G963"/>
      <c r="H963" s="1" t="s">
        <v>4255</v>
      </c>
      <c r="I963" s="1" t="s">
        <v>4284</v>
      </c>
      <c r="J963" s="1" t="s">
        <v>17</v>
      </c>
      <c r="K963" s="1" t="s">
        <v>50</v>
      </c>
      <c r="L963" s="1">
        <v>33417</v>
      </c>
      <c r="M963" s="1">
        <v>34</v>
      </c>
      <c r="N963" s="1">
        <v>1400</v>
      </c>
      <c r="P963" s="1">
        <v>2000</v>
      </c>
      <c r="Q963" s="1"/>
      <c r="R963" s="1">
        <v>600</v>
      </c>
      <c r="S963">
        <v>220000</v>
      </c>
      <c r="T963">
        <v>11033</v>
      </c>
      <c r="U963" t="s">
        <v>814</v>
      </c>
      <c r="V963">
        <v>20130</v>
      </c>
      <c r="W963" s="1">
        <v>46623</v>
      </c>
      <c r="X963" s="1" t="s">
        <v>55</v>
      </c>
      <c r="Y963" s="1" t="s">
        <v>51</v>
      </c>
      <c r="Z963" s="1" t="s">
        <v>4256</v>
      </c>
      <c r="AA963" s="1" t="s">
        <v>4257</v>
      </c>
      <c r="AB963" s="1" t="s">
        <v>4258</v>
      </c>
      <c r="AC963" s="1">
        <v>45764</v>
      </c>
      <c r="AD963" s="1">
        <v>45769</v>
      </c>
      <c r="AE963" s="1"/>
      <c r="AF963" s="1"/>
      <c r="AG963" s="1">
        <v>45769</v>
      </c>
      <c r="AH963" s="1" t="s">
        <v>4279</v>
      </c>
      <c r="AI963" s="1"/>
      <c r="AJ963" s="31">
        <v>45769</v>
      </c>
      <c r="AK963"/>
      <c r="AL963"/>
      <c r="AM963"/>
      <c r="AN963"/>
      <c r="AO963"/>
      <c r="AP963"/>
    </row>
    <row r="964" spans="1:42" hidden="1">
      <c r="A964" s="1" t="s">
        <v>49</v>
      </c>
      <c r="B964" s="1">
        <v>250501</v>
      </c>
      <c r="C964" s="1">
        <v>232177</v>
      </c>
      <c r="D964" s="1" t="s">
        <v>83</v>
      </c>
      <c r="E964" s="1" t="s">
        <v>307</v>
      </c>
      <c r="F964" t="s">
        <v>2251</v>
      </c>
      <c r="G964" t="s">
        <v>2252</v>
      </c>
      <c r="H964" s="1" t="s">
        <v>4259</v>
      </c>
      <c r="I964" s="1" t="s">
        <v>4285</v>
      </c>
      <c r="J964" s="1" t="s">
        <v>18</v>
      </c>
      <c r="K964" s="1" t="s">
        <v>50</v>
      </c>
      <c r="L964" s="1">
        <v>37573</v>
      </c>
      <c r="M964" s="1">
        <v>23</v>
      </c>
      <c r="N964" s="1">
        <v>1200</v>
      </c>
      <c r="P964" s="1">
        <v>1650</v>
      </c>
      <c r="Q964" s="1"/>
      <c r="R964" s="1">
        <v>450</v>
      </c>
      <c r="S964">
        <v>190000</v>
      </c>
      <c r="T964">
        <v>9528</v>
      </c>
      <c r="U964" t="s">
        <v>814</v>
      </c>
      <c r="V964">
        <v>17385</v>
      </c>
      <c r="W964" s="1">
        <v>47070</v>
      </c>
      <c r="X964" s="1" t="s">
        <v>55</v>
      </c>
      <c r="Y964" s="1" t="s">
        <v>51</v>
      </c>
      <c r="Z964" s="1" t="s">
        <v>110</v>
      </c>
      <c r="AA964" s="1" t="s">
        <v>1538</v>
      </c>
      <c r="AB964" s="1" t="s">
        <v>4286</v>
      </c>
      <c r="AC964" s="1"/>
      <c r="AD964" s="1">
        <v>45782</v>
      </c>
      <c r="AE964" s="1"/>
      <c r="AF964" s="1"/>
      <c r="AG964" s="1">
        <v>45782</v>
      </c>
      <c r="AH964" s="1" t="s">
        <v>2283</v>
      </c>
      <c r="AI964" s="1"/>
      <c r="AJ964" s="31">
        <v>45782</v>
      </c>
      <c r="AK964"/>
      <c r="AL964"/>
      <c r="AM964"/>
      <c r="AN964"/>
      <c r="AO964"/>
      <c r="AP964"/>
    </row>
    <row r="965" spans="1:42" hidden="1">
      <c r="A965" s="1" t="s">
        <v>49</v>
      </c>
      <c r="B965" s="1">
        <v>220125</v>
      </c>
      <c r="C965" s="1">
        <v>8210128</v>
      </c>
      <c r="D965" s="1" t="s">
        <v>818</v>
      </c>
      <c r="E965" s="1" t="s">
        <v>835</v>
      </c>
      <c r="F965" t="s">
        <v>835</v>
      </c>
      <c r="G965"/>
      <c r="H965" s="1" t="s">
        <v>546</v>
      </c>
      <c r="I965" s="1" t="s">
        <v>547</v>
      </c>
      <c r="J965" s="1" t="s">
        <v>18</v>
      </c>
      <c r="K965" s="1" t="s">
        <v>50</v>
      </c>
      <c r="L965" s="1">
        <v>35389</v>
      </c>
      <c r="M965" s="1">
        <v>29</v>
      </c>
      <c r="N965" s="1">
        <v>1500</v>
      </c>
      <c r="P965" s="1">
        <v>2150</v>
      </c>
      <c r="Q965" s="1"/>
      <c r="R965" s="1">
        <v>650</v>
      </c>
      <c r="S965">
        <v>220000</v>
      </c>
      <c r="T965">
        <v>11033</v>
      </c>
      <c r="U965" t="s">
        <v>814</v>
      </c>
      <c r="V965">
        <v>20130</v>
      </c>
      <c r="W965" s="1">
        <v>46720</v>
      </c>
      <c r="X965" s="1" t="s">
        <v>55</v>
      </c>
      <c r="Y965" s="1" t="s">
        <v>51</v>
      </c>
      <c r="Z965" s="1" t="s">
        <v>982</v>
      </c>
      <c r="AA965" s="1" t="s">
        <v>983</v>
      </c>
      <c r="AB965" s="1" t="s">
        <v>1201</v>
      </c>
      <c r="AC965" s="1"/>
      <c r="AD965" s="1">
        <v>45783</v>
      </c>
      <c r="AE965" s="1"/>
      <c r="AF965" s="1"/>
      <c r="AG965" s="1">
        <v>45783</v>
      </c>
      <c r="AH965" s="1" t="s">
        <v>4279</v>
      </c>
      <c r="AI965" s="1"/>
      <c r="AJ965" s="31">
        <v>45783</v>
      </c>
      <c r="AK965"/>
      <c r="AL965"/>
      <c r="AM965"/>
      <c r="AN965"/>
      <c r="AO965"/>
      <c r="AP965"/>
    </row>
    <row r="966" spans="1:42" hidden="1">
      <c r="A966" s="1" t="s">
        <v>49</v>
      </c>
      <c r="B966" s="1">
        <v>250505</v>
      </c>
      <c r="C966" s="1">
        <v>8210129</v>
      </c>
      <c r="D966" s="1" t="s">
        <v>823</v>
      </c>
      <c r="E966" s="1" t="s">
        <v>838</v>
      </c>
      <c r="F966" t="s">
        <v>838</v>
      </c>
      <c r="G966"/>
      <c r="H966" s="1" t="s">
        <v>4264</v>
      </c>
      <c r="I966" s="1" t="s">
        <v>4265</v>
      </c>
      <c r="J966" s="1" t="s">
        <v>18</v>
      </c>
      <c r="K966" s="1" t="s">
        <v>50</v>
      </c>
      <c r="L966" s="1">
        <v>32921</v>
      </c>
      <c r="M966" s="1">
        <v>35</v>
      </c>
      <c r="N966" s="1">
        <v>1500</v>
      </c>
      <c r="P966" s="1">
        <v>2150</v>
      </c>
      <c r="Q966" s="1"/>
      <c r="R966" s="1">
        <v>650</v>
      </c>
      <c r="S966">
        <v>220000</v>
      </c>
      <c r="T966">
        <v>11033</v>
      </c>
      <c r="U966" t="s">
        <v>814</v>
      </c>
      <c r="V966">
        <v>20130</v>
      </c>
      <c r="W966" s="1">
        <v>46356</v>
      </c>
      <c r="X966" s="1" t="s">
        <v>55</v>
      </c>
      <c r="Y966" s="1" t="s">
        <v>51</v>
      </c>
      <c r="Z966" s="1" t="s">
        <v>456</v>
      </c>
      <c r="AA966" s="1" t="s">
        <v>457</v>
      </c>
      <c r="AB966" s="1" t="s">
        <v>458</v>
      </c>
      <c r="AC966" s="1"/>
      <c r="AD966" s="1">
        <v>45783</v>
      </c>
      <c r="AE966" s="1"/>
      <c r="AF966" s="1"/>
      <c r="AG966" s="1">
        <v>45783</v>
      </c>
      <c r="AH966" s="1" t="s">
        <v>1127</v>
      </c>
      <c r="AI966" s="1"/>
      <c r="AJ966" s="31">
        <v>45783</v>
      </c>
      <c r="AK966"/>
      <c r="AL966"/>
      <c r="AM966"/>
      <c r="AN966"/>
      <c r="AO966"/>
      <c r="AP966"/>
    </row>
    <row r="967" spans="1:42" hidden="1">
      <c r="A967" s="1" t="s">
        <v>49</v>
      </c>
      <c r="B967" s="1">
        <v>250504</v>
      </c>
      <c r="C967" s="1">
        <v>8210130</v>
      </c>
      <c r="D967" s="1" t="s">
        <v>823</v>
      </c>
      <c r="E967" s="1" t="s">
        <v>838</v>
      </c>
      <c r="F967" t="s">
        <v>838</v>
      </c>
      <c r="G967"/>
      <c r="H967" s="1" t="s">
        <v>4262</v>
      </c>
      <c r="I967" s="1" t="s">
        <v>4263</v>
      </c>
      <c r="J967" s="1" t="s">
        <v>18</v>
      </c>
      <c r="K967" s="1" t="s">
        <v>50</v>
      </c>
      <c r="L967" s="1">
        <v>35423</v>
      </c>
      <c r="M967" s="1">
        <v>28</v>
      </c>
      <c r="N967" s="1">
        <v>1500</v>
      </c>
      <c r="P967" s="1">
        <v>2150</v>
      </c>
      <c r="Q967" s="1"/>
      <c r="R967" s="1">
        <v>650</v>
      </c>
      <c r="S967">
        <v>220000</v>
      </c>
      <c r="T967">
        <v>11033</v>
      </c>
      <c r="U967" t="s">
        <v>814</v>
      </c>
      <c r="V967">
        <v>20130</v>
      </c>
      <c r="W967" s="1">
        <v>46805</v>
      </c>
      <c r="X967" s="1" t="s">
        <v>55</v>
      </c>
      <c r="Y967" s="1" t="s">
        <v>51</v>
      </c>
      <c r="Z967" s="1" t="s">
        <v>530</v>
      </c>
      <c r="AA967" s="1" t="s">
        <v>2994</v>
      </c>
      <c r="AB967" s="1" t="s">
        <v>531</v>
      </c>
      <c r="AC967" s="1"/>
      <c r="AD967" s="1">
        <v>45783</v>
      </c>
      <c r="AE967" s="1"/>
      <c r="AF967" s="1"/>
      <c r="AG967" s="1">
        <v>45783</v>
      </c>
      <c r="AH967" s="1" t="s">
        <v>2283</v>
      </c>
      <c r="AI967" s="1"/>
      <c r="AJ967" s="31">
        <v>45783</v>
      </c>
      <c r="AK967"/>
      <c r="AL967"/>
      <c r="AM967"/>
      <c r="AN967"/>
      <c r="AO967"/>
      <c r="AP967"/>
    </row>
    <row r="968" spans="1:42" hidden="1">
      <c r="A968" s="1" t="s">
        <v>49</v>
      </c>
      <c r="B968" s="1">
        <v>250502</v>
      </c>
      <c r="C968" s="1">
        <v>8210131</v>
      </c>
      <c r="D968" s="1" t="s">
        <v>818</v>
      </c>
      <c r="E968" s="1" t="s">
        <v>1312</v>
      </c>
      <c r="F968" t="s">
        <v>1312</v>
      </c>
      <c r="G968"/>
      <c r="H968" s="1" t="s">
        <v>2988</v>
      </c>
      <c r="I968" s="1" t="s">
        <v>2989</v>
      </c>
      <c r="J968" s="1" t="s">
        <v>18</v>
      </c>
      <c r="K968" s="1" t="s">
        <v>50</v>
      </c>
      <c r="L968" s="1">
        <v>36441</v>
      </c>
      <c r="M968" s="1">
        <v>26</v>
      </c>
      <c r="N968" s="1">
        <v>1500</v>
      </c>
      <c r="P968" s="1">
        <v>2150</v>
      </c>
      <c r="Q968" s="1"/>
      <c r="R968" s="1">
        <v>650</v>
      </c>
      <c r="S968">
        <v>220000</v>
      </c>
      <c r="T968">
        <v>11033</v>
      </c>
      <c r="U968" t="s">
        <v>814</v>
      </c>
      <c r="V968">
        <v>20130</v>
      </c>
      <c r="W968" s="1">
        <v>46351</v>
      </c>
      <c r="X968" s="1" t="s">
        <v>55</v>
      </c>
      <c r="Y968" s="1" t="s">
        <v>51</v>
      </c>
      <c r="Z968" s="1" t="s">
        <v>3307</v>
      </c>
      <c r="AA968" s="1" t="s">
        <v>3308</v>
      </c>
      <c r="AB968" s="1" t="s">
        <v>3309</v>
      </c>
      <c r="AC968" s="1"/>
      <c r="AD968" s="1">
        <v>45783</v>
      </c>
      <c r="AE968" s="1"/>
      <c r="AF968" s="1"/>
      <c r="AG968" s="1">
        <v>45783</v>
      </c>
      <c r="AH968" s="1" t="s">
        <v>2283</v>
      </c>
      <c r="AI968" s="1"/>
      <c r="AJ968" s="31">
        <v>45783</v>
      </c>
      <c r="AK968"/>
      <c r="AL968"/>
      <c r="AM968"/>
      <c r="AN968"/>
      <c r="AO968"/>
      <c r="AP968"/>
    </row>
    <row r="969" spans="1:42" hidden="1">
      <c r="A969" s="1" t="s">
        <v>49</v>
      </c>
      <c r="B969" s="1">
        <v>231112</v>
      </c>
      <c r="C969" s="1">
        <v>8210132</v>
      </c>
      <c r="D969" s="1" t="s">
        <v>822</v>
      </c>
      <c r="E969" s="1" t="s">
        <v>831</v>
      </c>
      <c r="F969" t="s">
        <v>831</v>
      </c>
      <c r="G969"/>
      <c r="H969" s="1" t="s">
        <v>1574</v>
      </c>
      <c r="I969" s="1" t="s">
        <v>1575</v>
      </c>
      <c r="J969" s="1" t="s">
        <v>18</v>
      </c>
      <c r="K969" s="1" t="s">
        <v>50</v>
      </c>
      <c r="L969" s="1">
        <v>33293</v>
      </c>
      <c r="M969" s="1">
        <v>34</v>
      </c>
      <c r="N969" s="1">
        <v>1500</v>
      </c>
      <c r="P969" s="1">
        <v>2150</v>
      </c>
      <c r="Q969" s="1"/>
      <c r="R969" s="1">
        <v>650</v>
      </c>
      <c r="S969">
        <v>220000</v>
      </c>
      <c r="T969">
        <v>11033</v>
      </c>
      <c r="U969" t="s">
        <v>814</v>
      </c>
      <c r="V969">
        <v>20130</v>
      </c>
      <c r="W969" s="1">
        <v>46948</v>
      </c>
      <c r="X969" s="1" t="s">
        <v>55</v>
      </c>
      <c r="Y969" s="1" t="s">
        <v>51</v>
      </c>
      <c r="Z969" s="1" t="s">
        <v>1455</v>
      </c>
      <c r="AA969" s="1" t="s">
        <v>1456</v>
      </c>
      <c r="AB969" s="1" t="s">
        <v>1457</v>
      </c>
      <c r="AC969" s="1"/>
      <c r="AD969" s="1">
        <v>45783</v>
      </c>
      <c r="AE969" s="1"/>
      <c r="AF969" s="1"/>
      <c r="AG969" s="1">
        <v>45783</v>
      </c>
      <c r="AH969" s="1" t="s">
        <v>2283</v>
      </c>
      <c r="AI969" s="1"/>
      <c r="AJ969" s="31">
        <v>45783</v>
      </c>
      <c r="AK969"/>
      <c r="AL969"/>
      <c r="AM969"/>
      <c r="AN969"/>
      <c r="AO969"/>
      <c r="AP969"/>
    </row>
    <row r="970" spans="1:42" hidden="1">
      <c r="A970" s="1" t="s">
        <v>49</v>
      </c>
      <c r="B970" s="1">
        <v>250503</v>
      </c>
      <c r="C970" s="1">
        <v>8210133</v>
      </c>
      <c r="D970" s="1" t="s">
        <v>822</v>
      </c>
      <c r="E970" s="1" t="s">
        <v>1312</v>
      </c>
      <c r="F970" t="s">
        <v>1312</v>
      </c>
      <c r="G970"/>
      <c r="H970" s="1" t="s">
        <v>4260</v>
      </c>
      <c r="I970" s="1" t="s">
        <v>4261</v>
      </c>
      <c r="J970" s="1" t="s">
        <v>18</v>
      </c>
      <c r="K970" s="1" t="s">
        <v>50</v>
      </c>
      <c r="L970" s="1">
        <v>34459</v>
      </c>
      <c r="M970" s="1">
        <v>31</v>
      </c>
      <c r="N970" s="1">
        <v>1500</v>
      </c>
      <c r="P970" s="1">
        <v>2150</v>
      </c>
      <c r="Q970" s="1"/>
      <c r="R970" s="1">
        <v>650</v>
      </c>
      <c r="S970">
        <v>220000</v>
      </c>
      <c r="T970">
        <v>11033</v>
      </c>
      <c r="U970" t="s">
        <v>814</v>
      </c>
      <c r="V970">
        <v>20130</v>
      </c>
      <c r="W970" s="1">
        <v>46803</v>
      </c>
      <c r="X970" s="1" t="s">
        <v>55</v>
      </c>
      <c r="Y970" s="1" t="s">
        <v>51</v>
      </c>
      <c r="Z970" s="1" t="s">
        <v>3307</v>
      </c>
      <c r="AA970" s="1" t="s">
        <v>3308</v>
      </c>
      <c r="AB970" s="1" t="s">
        <v>4287</v>
      </c>
      <c r="AC970" s="1"/>
      <c r="AD970" s="1">
        <v>45783</v>
      </c>
      <c r="AE970" s="1"/>
      <c r="AF970" s="1"/>
      <c r="AG970" s="1">
        <v>45783</v>
      </c>
      <c r="AH970" s="1" t="s">
        <v>2283</v>
      </c>
      <c r="AI970" s="1"/>
      <c r="AJ970" s="31">
        <v>45783</v>
      </c>
      <c r="AK970"/>
      <c r="AL970"/>
      <c r="AM970"/>
      <c r="AN970"/>
      <c r="AO970"/>
      <c r="AP970"/>
    </row>
    <row r="971" spans="1:42">
      <c r="A971" s="1" t="s">
        <v>49</v>
      </c>
      <c r="B971" s="1">
        <v>251105</v>
      </c>
      <c r="C971" s="1">
        <v>242142</v>
      </c>
      <c r="D971" s="1" t="s">
        <v>69</v>
      </c>
      <c r="E971" s="1" t="s">
        <v>306</v>
      </c>
      <c r="F971" t="s">
        <v>742</v>
      </c>
      <c r="G971" t="s">
        <v>317</v>
      </c>
      <c r="H971" s="1" t="s">
        <v>4559</v>
      </c>
      <c r="I971" s="1" t="s">
        <v>4560</v>
      </c>
      <c r="J971" s="1" t="s">
        <v>18</v>
      </c>
      <c r="K971" s="1" t="s">
        <v>50</v>
      </c>
      <c r="L971" s="1">
        <v>37187</v>
      </c>
      <c r="M971" s="1">
        <v>24</v>
      </c>
      <c r="N971" s="1">
        <v>1200</v>
      </c>
      <c r="P971" s="1">
        <v>1650</v>
      </c>
      <c r="Q971" s="1"/>
      <c r="R971" s="1">
        <v>450</v>
      </c>
      <c r="S971">
        <v>190000</v>
      </c>
      <c r="T971">
        <v>9528</v>
      </c>
      <c r="U971" t="s">
        <v>814</v>
      </c>
      <c r="V971">
        <v>17385</v>
      </c>
      <c r="W971" s="1">
        <v>47052</v>
      </c>
      <c r="X971" s="1" t="s">
        <v>55</v>
      </c>
      <c r="Y971" s="1" t="s">
        <v>51</v>
      </c>
      <c r="Z971" s="1" t="s">
        <v>470</v>
      </c>
      <c r="AA971" s="1" t="s">
        <v>576</v>
      </c>
      <c r="AB971" s="1" t="s">
        <v>4561</v>
      </c>
      <c r="AC971" s="1"/>
      <c r="AD971" s="1">
        <v>45973</v>
      </c>
      <c r="AE971" s="1"/>
      <c r="AF971" s="1"/>
      <c r="AG971" s="1">
        <v>45973</v>
      </c>
      <c r="AH971" s="1" t="s">
        <v>1590</v>
      </c>
      <c r="AI971" s="1"/>
      <c r="AJ971" s="31">
        <v>45973</v>
      </c>
      <c r="AK971"/>
      <c r="AL971"/>
      <c r="AM971"/>
      <c r="AN971"/>
      <c r="AO971"/>
      <c r="AP971"/>
    </row>
    <row r="972" spans="1:42" hidden="1">
      <c r="A972" s="1" t="s">
        <v>49</v>
      </c>
      <c r="B972" s="1">
        <v>250506</v>
      </c>
      <c r="D972" s="1" t="s">
        <v>447</v>
      </c>
      <c r="E972" s="1" t="s">
        <v>1270</v>
      </c>
      <c r="F972" t="s">
        <v>1271</v>
      </c>
      <c r="G972" t="s">
        <v>1267</v>
      </c>
      <c r="H972" s="1" t="s">
        <v>4288</v>
      </c>
      <c r="I972" s="1" t="s">
        <v>4289</v>
      </c>
      <c r="J972" s="1" t="s">
        <v>18</v>
      </c>
      <c r="K972" s="1" t="s">
        <v>50</v>
      </c>
      <c r="L972" s="1">
        <v>36286</v>
      </c>
      <c r="M972" s="1">
        <v>26</v>
      </c>
      <c r="N972" s="1">
        <v>1250</v>
      </c>
      <c r="P972" s="1">
        <v>1700</v>
      </c>
      <c r="Q972" s="1"/>
      <c r="R972" s="1">
        <v>450</v>
      </c>
      <c r="S972">
        <v>200000</v>
      </c>
      <c r="T972">
        <v>10030</v>
      </c>
      <c r="U972" t="s">
        <v>814</v>
      </c>
      <c r="V972">
        <v>18300</v>
      </c>
      <c r="W972" s="1">
        <v>47133</v>
      </c>
      <c r="X972" s="1" t="s">
        <v>55</v>
      </c>
      <c r="Y972" s="1" t="s">
        <v>51</v>
      </c>
      <c r="Z972" s="1" t="s">
        <v>4290</v>
      </c>
      <c r="AA972" s="1" t="s">
        <v>4291</v>
      </c>
      <c r="AB972" s="1"/>
      <c r="AC972" s="1" t="s">
        <v>53</v>
      </c>
      <c r="AD972" s="1">
        <v>45789</v>
      </c>
      <c r="AE972" s="1"/>
      <c r="AF972" s="1"/>
      <c r="AG972" s="1">
        <v>45789</v>
      </c>
      <c r="AH972" s="1" t="s">
        <v>4283</v>
      </c>
      <c r="AI972" s="1"/>
      <c r="AJ972" s="31">
        <v>45789</v>
      </c>
      <c r="AK972"/>
      <c r="AL972"/>
      <c r="AM972"/>
      <c r="AN972"/>
      <c r="AO972"/>
      <c r="AP972"/>
    </row>
    <row r="973" spans="1:42" hidden="1">
      <c r="A973" s="1" t="s">
        <v>49</v>
      </c>
      <c r="B973" s="1">
        <v>250507</v>
      </c>
      <c r="D973" s="1" t="s">
        <v>447</v>
      </c>
      <c r="E973" s="1" t="s">
        <v>1270</v>
      </c>
      <c r="F973" t="s">
        <v>1271</v>
      </c>
      <c r="G973" t="s">
        <v>1267</v>
      </c>
      <c r="H973" s="1" t="s">
        <v>4292</v>
      </c>
      <c r="I973" s="1" t="s">
        <v>4293</v>
      </c>
      <c r="J973" s="1" t="s">
        <v>18</v>
      </c>
      <c r="K973" s="1" t="s">
        <v>50</v>
      </c>
      <c r="L973" s="1">
        <v>37215</v>
      </c>
      <c r="M973" s="1">
        <v>24</v>
      </c>
      <c r="N973" s="1">
        <v>1250</v>
      </c>
      <c r="P973" s="1">
        <v>1700</v>
      </c>
      <c r="Q973" s="1"/>
      <c r="R973" s="1">
        <v>450</v>
      </c>
      <c r="S973">
        <v>200000</v>
      </c>
      <c r="T973">
        <v>10030</v>
      </c>
      <c r="U973" t="s">
        <v>814</v>
      </c>
      <c r="V973">
        <v>18300</v>
      </c>
      <c r="W973" s="1">
        <v>46050</v>
      </c>
      <c r="X973" s="1">
        <v>55</v>
      </c>
      <c r="Y973" s="1" t="s">
        <v>51</v>
      </c>
      <c r="Z973" s="1" t="s">
        <v>4290</v>
      </c>
      <c r="AA973" s="1" t="s">
        <v>4291</v>
      </c>
      <c r="AB973" s="1"/>
      <c r="AC973" s="1" t="s">
        <v>53</v>
      </c>
      <c r="AD973" s="1">
        <v>45789</v>
      </c>
      <c r="AE973" s="1"/>
      <c r="AF973" s="1"/>
      <c r="AG973" s="1">
        <v>45789</v>
      </c>
      <c r="AH973" s="1" t="s">
        <v>4283</v>
      </c>
      <c r="AI973" s="1"/>
      <c r="AJ973" s="31">
        <v>45789</v>
      </c>
      <c r="AK973"/>
      <c r="AL973"/>
      <c r="AM973"/>
      <c r="AN973"/>
      <c r="AO973"/>
      <c r="AP973"/>
    </row>
    <row r="974" spans="1:42" hidden="1">
      <c r="A974" s="1" t="s">
        <v>49</v>
      </c>
      <c r="B974" s="1">
        <v>220802</v>
      </c>
      <c r="C974" s="1">
        <v>8210134</v>
      </c>
      <c r="D974" s="1" t="s">
        <v>815</v>
      </c>
      <c r="E974" s="1" t="s">
        <v>833</v>
      </c>
      <c r="F974" t="s">
        <v>833</v>
      </c>
      <c r="G974" t="s">
        <v>1183</v>
      </c>
      <c r="H974" s="1" t="s">
        <v>644</v>
      </c>
      <c r="I974" s="1" t="s">
        <v>645</v>
      </c>
      <c r="J974" s="1" t="s">
        <v>18</v>
      </c>
      <c r="K974" s="1" t="s">
        <v>50</v>
      </c>
      <c r="L974" s="1">
        <v>34604</v>
      </c>
      <c r="M974" s="1">
        <v>31</v>
      </c>
      <c r="N974" s="1">
        <v>1500</v>
      </c>
      <c r="P974" s="1">
        <v>2150</v>
      </c>
      <c r="Q974" s="1"/>
      <c r="R974" s="1">
        <v>650</v>
      </c>
      <c r="S974">
        <v>220000</v>
      </c>
      <c r="T974">
        <v>11033</v>
      </c>
      <c r="U974" t="s">
        <v>814</v>
      </c>
      <c r="V974">
        <v>20130</v>
      </c>
      <c r="W974" s="1">
        <v>46214</v>
      </c>
      <c r="X974" s="1" t="s">
        <v>55</v>
      </c>
      <c r="Y974" s="1" t="s">
        <v>51</v>
      </c>
      <c r="Z974" s="1" t="s">
        <v>982</v>
      </c>
      <c r="AA974" s="1" t="s">
        <v>983</v>
      </c>
      <c r="AB974" s="1" t="s">
        <v>1201</v>
      </c>
      <c r="AC974" s="1"/>
      <c r="AD974" s="1">
        <v>45796</v>
      </c>
      <c r="AE974" s="1"/>
      <c r="AF974" s="1"/>
      <c r="AG974" s="1">
        <v>45796</v>
      </c>
      <c r="AH974" s="1" t="s">
        <v>4283</v>
      </c>
      <c r="AI974" s="1"/>
      <c r="AJ974" s="31">
        <v>45796</v>
      </c>
      <c r="AK974"/>
      <c r="AL974"/>
      <c r="AM974"/>
      <c r="AN974"/>
      <c r="AO974"/>
      <c r="AP974"/>
    </row>
    <row r="975" spans="1:42" hidden="1">
      <c r="A975" s="1" t="s">
        <v>49</v>
      </c>
      <c r="B975" s="1">
        <v>221009</v>
      </c>
      <c r="D975" s="1" t="s">
        <v>436</v>
      </c>
      <c r="E975" s="1" t="s">
        <v>503</v>
      </c>
      <c r="F975" t="s">
        <v>4372</v>
      </c>
      <c r="G975" t="s">
        <v>4373</v>
      </c>
      <c r="H975" s="1" t="s">
        <v>776</v>
      </c>
      <c r="I975" s="1" t="s">
        <v>777</v>
      </c>
      <c r="J975" s="1" t="s">
        <v>18</v>
      </c>
      <c r="K975" s="1" t="s">
        <v>50</v>
      </c>
      <c r="L975" s="1">
        <v>34791</v>
      </c>
      <c r="M975" s="1">
        <v>30</v>
      </c>
      <c r="N975" s="1">
        <v>1600</v>
      </c>
      <c r="P975" s="1">
        <v>2100</v>
      </c>
      <c r="Q975" s="1"/>
      <c r="R975" s="1">
        <v>500</v>
      </c>
      <c r="S975">
        <v>260000</v>
      </c>
      <c r="T975">
        <v>13039</v>
      </c>
      <c r="U975" t="s">
        <v>814</v>
      </c>
      <c r="V975">
        <v>23790</v>
      </c>
      <c r="W975" s="1">
        <v>46745</v>
      </c>
      <c r="X975" s="1" t="s">
        <v>55</v>
      </c>
      <c r="Y975" s="1" t="s">
        <v>51</v>
      </c>
      <c r="Z975" s="1" t="s">
        <v>504</v>
      </c>
      <c r="AA975" s="1" t="s">
        <v>505</v>
      </c>
      <c r="AB975" s="1" t="s">
        <v>518</v>
      </c>
      <c r="AC975" s="1"/>
      <c r="AD975" s="1">
        <v>45799</v>
      </c>
      <c r="AE975" s="1"/>
      <c r="AF975" s="1"/>
      <c r="AG975" s="1">
        <v>45799</v>
      </c>
      <c r="AH975" s="1" t="s">
        <v>4389</v>
      </c>
      <c r="AI975" s="1"/>
      <c r="AJ975" s="31">
        <v>45799</v>
      </c>
      <c r="AK975"/>
      <c r="AL975"/>
      <c r="AM975"/>
      <c r="AN975"/>
      <c r="AO975"/>
      <c r="AP975"/>
    </row>
    <row r="976" spans="1:42" hidden="1">
      <c r="A976" s="1" t="s">
        <v>2542</v>
      </c>
      <c r="B976" s="1">
        <v>250508</v>
      </c>
      <c r="D976" s="1" t="s">
        <v>168</v>
      </c>
      <c r="F976"/>
      <c r="G976"/>
      <c r="H976" s="1" t="s">
        <v>4294</v>
      </c>
      <c r="I976" s="1" t="s">
        <v>4199</v>
      </c>
      <c r="J976" s="1" t="s">
        <v>18</v>
      </c>
      <c r="K976" s="1" t="s">
        <v>50</v>
      </c>
      <c r="L976" s="1">
        <v>36093</v>
      </c>
      <c r="M976" s="1">
        <v>27</v>
      </c>
      <c r="N976" s="1">
        <v>1400</v>
      </c>
      <c r="P976" s="1">
        <v>2000</v>
      </c>
      <c r="Q976" s="1"/>
      <c r="R976" s="1">
        <v>600</v>
      </c>
      <c r="S976">
        <v>220000</v>
      </c>
      <c r="T976">
        <v>11033</v>
      </c>
      <c r="U976" t="s">
        <v>814</v>
      </c>
      <c r="V976">
        <v>20130</v>
      </c>
      <c r="W976" s="1">
        <v>46815</v>
      </c>
      <c r="X976" s="1" t="s">
        <v>55</v>
      </c>
      <c r="Y976" s="1" t="s">
        <v>51</v>
      </c>
      <c r="Z976" s="1" t="s">
        <v>178</v>
      </c>
      <c r="AA976" s="1" t="s">
        <v>179</v>
      </c>
      <c r="AB976" s="1" t="s">
        <v>180</v>
      </c>
      <c r="AC976" s="1"/>
      <c r="AD976" s="1">
        <v>45804</v>
      </c>
      <c r="AE976" s="1">
        <v>45842</v>
      </c>
      <c r="AF976" s="1"/>
      <c r="AG976" s="1">
        <v>45804</v>
      </c>
      <c r="AH976" s="1" t="s">
        <v>4389</v>
      </c>
      <c r="AI976" s="1"/>
      <c r="AJ976" s="31">
        <v>45804</v>
      </c>
      <c r="AK976"/>
      <c r="AL976"/>
      <c r="AM976"/>
      <c r="AN976"/>
      <c r="AO976"/>
      <c r="AP976"/>
    </row>
    <row r="977" spans="1:42" hidden="1">
      <c r="A977" s="1" t="s">
        <v>49</v>
      </c>
      <c r="B977" s="1">
        <v>250601</v>
      </c>
      <c r="D977" s="1" t="s">
        <v>447</v>
      </c>
      <c r="E977" s="1" t="s">
        <v>1270</v>
      </c>
      <c r="F977" t="s">
        <v>1271</v>
      </c>
      <c r="G977" t="s">
        <v>1267</v>
      </c>
      <c r="H977" s="1" t="s">
        <v>4295</v>
      </c>
      <c r="I977" s="1" t="s">
        <v>4296</v>
      </c>
      <c r="J977" s="1" t="s">
        <v>18</v>
      </c>
      <c r="K977" s="1" t="s">
        <v>50</v>
      </c>
      <c r="L977" s="1">
        <v>37549</v>
      </c>
      <c r="M977" s="1">
        <v>23</v>
      </c>
      <c r="N977" s="1">
        <v>1200</v>
      </c>
      <c r="P977" s="1">
        <v>1700</v>
      </c>
      <c r="Q977" s="1"/>
      <c r="R977" s="1">
        <v>500</v>
      </c>
      <c r="S977">
        <v>200000</v>
      </c>
      <c r="T977">
        <v>10030</v>
      </c>
      <c r="U977" t="s">
        <v>814</v>
      </c>
      <c r="V977">
        <v>18300</v>
      </c>
      <c r="W977" s="1">
        <v>46170</v>
      </c>
      <c r="X977" s="1" t="s">
        <v>55</v>
      </c>
      <c r="Y977" s="1" t="s">
        <v>51</v>
      </c>
      <c r="Z977" s="1" t="s">
        <v>448</v>
      </c>
      <c r="AA977" s="1" t="s">
        <v>449</v>
      </c>
      <c r="AB977" s="1" t="s">
        <v>501</v>
      </c>
      <c r="AC977" s="1"/>
      <c r="AD977" s="1">
        <v>45810</v>
      </c>
      <c r="AE977" s="1"/>
      <c r="AF977" s="1"/>
      <c r="AG977" s="1">
        <v>45810</v>
      </c>
      <c r="AH977" s="1" t="s">
        <v>4389</v>
      </c>
      <c r="AI977" s="1"/>
      <c r="AJ977" s="31">
        <v>45810</v>
      </c>
      <c r="AK977"/>
      <c r="AL977"/>
      <c r="AM977"/>
      <c r="AN977"/>
      <c r="AO977"/>
      <c r="AP977"/>
    </row>
    <row r="978" spans="1:42" hidden="1">
      <c r="A978" s="1" t="s">
        <v>49</v>
      </c>
      <c r="B978" s="1">
        <v>250602</v>
      </c>
      <c r="D978" s="1" t="s">
        <v>447</v>
      </c>
      <c r="E978" s="1" t="s">
        <v>1270</v>
      </c>
      <c r="F978" t="s">
        <v>1271</v>
      </c>
      <c r="G978" t="s">
        <v>1267</v>
      </c>
      <c r="H978" s="1" t="s">
        <v>3015</v>
      </c>
      <c r="I978" s="1" t="s">
        <v>3016</v>
      </c>
      <c r="J978" s="1" t="s">
        <v>18</v>
      </c>
      <c r="K978" s="1" t="s">
        <v>50</v>
      </c>
      <c r="L978" s="1">
        <v>37457</v>
      </c>
      <c r="M978" s="1">
        <v>23</v>
      </c>
      <c r="N978" s="1">
        <v>1200</v>
      </c>
      <c r="P978" s="1">
        <v>1700</v>
      </c>
      <c r="Q978" s="1"/>
      <c r="R978" s="1">
        <v>500</v>
      </c>
      <c r="S978">
        <v>200000</v>
      </c>
      <c r="T978">
        <v>10030</v>
      </c>
      <c r="U978" t="s">
        <v>814</v>
      </c>
      <c r="V978">
        <v>18300</v>
      </c>
      <c r="W978" s="1">
        <v>46170</v>
      </c>
      <c r="X978" s="1" t="s">
        <v>55</v>
      </c>
      <c r="Y978" s="1" t="s">
        <v>51</v>
      </c>
      <c r="Z978" s="1" t="s">
        <v>448</v>
      </c>
      <c r="AA978" s="1" t="s">
        <v>449</v>
      </c>
      <c r="AB978" s="1" t="s">
        <v>501</v>
      </c>
      <c r="AC978" s="1"/>
      <c r="AD978" s="1">
        <v>45810</v>
      </c>
      <c r="AE978" s="1"/>
      <c r="AF978" s="1"/>
      <c r="AG978" s="1">
        <v>45810</v>
      </c>
      <c r="AH978" s="1" t="s">
        <v>4389</v>
      </c>
      <c r="AI978" s="1"/>
      <c r="AJ978" s="31">
        <v>45810</v>
      </c>
      <c r="AK978"/>
      <c r="AL978"/>
      <c r="AM978"/>
      <c r="AN978"/>
      <c r="AO978"/>
      <c r="AP978"/>
    </row>
    <row r="979" spans="1:42" hidden="1">
      <c r="A979" s="1" t="s">
        <v>49</v>
      </c>
      <c r="B979" s="1">
        <v>221001</v>
      </c>
      <c r="C979" s="1">
        <v>6546</v>
      </c>
      <c r="D979" s="1" t="s">
        <v>688</v>
      </c>
      <c r="E979" s="1" t="s">
        <v>851</v>
      </c>
      <c r="F979" t="s">
        <v>851</v>
      </c>
      <c r="G979" t="s">
        <v>1183</v>
      </c>
      <c r="H979" s="1" t="s">
        <v>689</v>
      </c>
      <c r="I979" s="1" t="s">
        <v>690</v>
      </c>
      <c r="J979" s="1" t="s">
        <v>18</v>
      </c>
      <c r="K979" s="1" t="s">
        <v>50</v>
      </c>
      <c r="L979" s="1">
        <v>35097</v>
      </c>
      <c r="M979" s="1">
        <v>29</v>
      </c>
      <c r="N979" s="1">
        <v>1400</v>
      </c>
      <c r="P979" s="1">
        <v>1900</v>
      </c>
      <c r="Q979" s="1"/>
      <c r="R979" s="1">
        <v>500</v>
      </c>
      <c r="S979">
        <v>240000</v>
      </c>
      <c r="T979">
        <v>12036</v>
      </c>
      <c r="U979" t="s">
        <v>814</v>
      </c>
      <c r="V979">
        <v>21960</v>
      </c>
      <c r="W979" s="1">
        <v>46058</v>
      </c>
      <c r="X979" s="1">
        <v>63</v>
      </c>
      <c r="Y979" s="1" t="s">
        <v>51</v>
      </c>
      <c r="Z979" s="1" t="s">
        <v>761</v>
      </c>
      <c r="AA979" s="1" t="s">
        <v>762</v>
      </c>
      <c r="AB979" s="1" t="s">
        <v>763</v>
      </c>
      <c r="AC979" s="1"/>
      <c r="AD979" s="1">
        <v>45810</v>
      </c>
      <c r="AE979" s="1"/>
      <c r="AF979" s="1"/>
      <c r="AG979" s="1">
        <v>45810</v>
      </c>
      <c r="AH979" s="1" t="s">
        <v>4389</v>
      </c>
      <c r="AI979" s="1"/>
      <c r="AJ979" s="31">
        <v>45810</v>
      </c>
      <c r="AK979"/>
      <c r="AL979"/>
      <c r="AM979"/>
      <c r="AN979"/>
      <c r="AO979"/>
      <c r="AP979"/>
    </row>
    <row r="980" spans="1:42" hidden="1">
      <c r="A980" s="1" t="s">
        <v>2542</v>
      </c>
      <c r="B980" s="1">
        <v>250606</v>
      </c>
      <c r="D980" s="1" t="s">
        <v>62</v>
      </c>
      <c r="F980"/>
      <c r="G980"/>
      <c r="H980" s="1" t="s">
        <v>4395</v>
      </c>
      <c r="I980" s="1" t="s">
        <v>4396</v>
      </c>
      <c r="J980" s="1" t="s">
        <v>18</v>
      </c>
      <c r="K980" s="1" t="s">
        <v>404</v>
      </c>
      <c r="L980" s="1">
        <v>31309</v>
      </c>
      <c r="M980" s="1">
        <v>40</v>
      </c>
      <c r="N980" s="1">
        <v>1400</v>
      </c>
      <c r="P980" s="1">
        <v>1750</v>
      </c>
      <c r="Q980" s="1"/>
      <c r="R980" s="1">
        <v>350</v>
      </c>
      <c r="S980"/>
      <c r="T980" t="s">
        <v>55</v>
      </c>
      <c r="U980" t="s">
        <v>814</v>
      </c>
      <c r="V980" t="s">
        <v>55</v>
      </c>
      <c r="W980" s="1"/>
      <c r="X980" s="1" t="s">
        <v>55</v>
      </c>
      <c r="Y980" s="1" t="s">
        <v>60</v>
      </c>
      <c r="Z980" s="1" t="s">
        <v>4397</v>
      </c>
      <c r="AA980" s="1" t="s">
        <v>4398</v>
      </c>
      <c r="AB980" s="1" t="s">
        <v>4399</v>
      </c>
      <c r="AC980" s="1" t="s">
        <v>53</v>
      </c>
      <c r="AD980" s="1">
        <v>45810</v>
      </c>
      <c r="AE980" s="1">
        <v>45810</v>
      </c>
      <c r="AF980" s="1"/>
      <c r="AG980" s="1"/>
      <c r="AH980" s="1"/>
      <c r="AI980" s="1"/>
      <c r="AJ980" s="31">
        <v>45810</v>
      </c>
      <c r="AK980"/>
      <c r="AL980"/>
      <c r="AM980"/>
      <c r="AN980"/>
      <c r="AO980"/>
      <c r="AP980"/>
    </row>
    <row r="981" spans="1:42">
      <c r="A981" s="1" t="s">
        <v>49</v>
      </c>
      <c r="B981" s="1">
        <v>251107</v>
      </c>
      <c r="C981" s="1">
        <v>242141</v>
      </c>
      <c r="D981" s="1" t="s">
        <v>69</v>
      </c>
      <c r="E981" s="1" t="s">
        <v>306</v>
      </c>
      <c r="F981" t="s">
        <v>742</v>
      </c>
      <c r="G981" t="s">
        <v>317</v>
      </c>
      <c r="H981" s="1" t="s">
        <v>4564</v>
      </c>
      <c r="I981" s="1" t="s">
        <v>4565</v>
      </c>
      <c r="J981" s="1" t="s">
        <v>18</v>
      </c>
      <c r="K981" s="1" t="s">
        <v>50</v>
      </c>
      <c r="L981" s="1">
        <v>37081</v>
      </c>
      <c r="M981" s="1">
        <v>24</v>
      </c>
      <c r="N981" s="1">
        <v>1200</v>
      </c>
      <c r="P981" s="1">
        <v>1650</v>
      </c>
      <c r="Q981" s="1"/>
      <c r="R981" s="1">
        <v>450</v>
      </c>
      <c r="S981">
        <v>190000</v>
      </c>
      <c r="T981">
        <v>9528</v>
      </c>
      <c r="U981" t="s">
        <v>814</v>
      </c>
      <c r="V981">
        <v>17385</v>
      </c>
      <c r="W981" s="1">
        <v>47061</v>
      </c>
      <c r="X981" s="1" t="s">
        <v>55</v>
      </c>
      <c r="Y981" s="1" t="s">
        <v>51</v>
      </c>
      <c r="Z981" s="1" t="s">
        <v>470</v>
      </c>
      <c r="AA981" s="1" t="s">
        <v>576</v>
      </c>
      <c r="AB981" s="1" t="s">
        <v>4561</v>
      </c>
      <c r="AC981" s="1"/>
      <c r="AD981" s="1">
        <v>45973</v>
      </c>
      <c r="AE981" s="1"/>
      <c r="AF981" s="1"/>
      <c r="AG981" s="1">
        <v>45973</v>
      </c>
      <c r="AH981" s="1" t="s">
        <v>1590</v>
      </c>
      <c r="AI981" s="1"/>
      <c r="AJ981" s="31">
        <v>45973</v>
      </c>
      <c r="AK981"/>
      <c r="AL981"/>
      <c r="AM981"/>
      <c r="AN981"/>
      <c r="AO981"/>
      <c r="AP981"/>
    </row>
    <row r="982" spans="1:42">
      <c r="A982" s="1" t="s">
        <v>49</v>
      </c>
      <c r="B982" s="1">
        <v>211010</v>
      </c>
      <c r="C982" s="1">
        <v>222030</v>
      </c>
      <c r="D982" s="1" t="s">
        <v>62</v>
      </c>
      <c r="E982" s="1" t="s">
        <v>3935</v>
      </c>
      <c r="F982" t="s">
        <v>743</v>
      </c>
      <c r="G982" t="s">
        <v>1090</v>
      </c>
      <c r="H982" s="1" t="s">
        <v>829</v>
      </c>
      <c r="I982" s="1" t="s">
        <v>830</v>
      </c>
      <c r="J982" s="1" t="s">
        <v>18</v>
      </c>
      <c r="K982" s="1" t="s">
        <v>404</v>
      </c>
      <c r="L982" s="1">
        <v>28551</v>
      </c>
      <c r="M982" s="1">
        <v>47</v>
      </c>
      <c r="N982" s="1">
        <v>1430</v>
      </c>
      <c r="P982" s="1">
        <v>1890</v>
      </c>
      <c r="Q982" s="1" t="s">
        <v>71</v>
      </c>
      <c r="R982" s="1">
        <v>460</v>
      </c>
      <c r="S982">
        <v>300000</v>
      </c>
      <c r="T982">
        <v>15045</v>
      </c>
      <c r="U982">
        <v>2385</v>
      </c>
      <c r="V982">
        <v>27450</v>
      </c>
      <c r="W982" s="1">
        <v>46702</v>
      </c>
      <c r="X982" s="1" t="s">
        <v>55</v>
      </c>
      <c r="Y982" s="1" t="s">
        <v>540</v>
      </c>
      <c r="Z982" s="1" t="s">
        <v>67</v>
      </c>
      <c r="AA982" s="1" t="s">
        <v>68</v>
      </c>
      <c r="AB982" s="1" t="s">
        <v>3878</v>
      </c>
      <c r="AC982" s="1">
        <v>44593</v>
      </c>
      <c r="AD982" s="1">
        <v>44476</v>
      </c>
      <c r="AE982" s="1"/>
      <c r="AF982" s="1"/>
      <c r="AG982" s="1">
        <v>44531</v>
      </c>
      <c r="AH982" s="1" t="s">
        <v>54</v>
      </c>
      <c r="AI982" s="1"/>
      <c r="AJ982" s="31">
        <v>44476</v>
      </c>
      <c r="AK982"/>
      <c r="AL982"/>
      <c r="AM982"/>
      <c r="AN982"/>
      <c r="AO982"/>
      <c r="AP982"/>
    </row>
    <row r="983" spans="1:42">
      <c r="A983" s="1" t="s">
        <v>49</v>
      </c>
      <c r="B983" s="1">
        <v>210201</v>
      </c>
      <c r="C983" s="1">
        <v>222009</v>
      </c>
      <c r="D983" s="1" t="s">
        <v>62</v>
      </c>
      <c r="E983" s="1" t="s">
        <v>3935</v>
      </c>
      <c r="F983" t="s">
        <v>743</v>
      </c>
      <c r="G983" t="s">
        <v>3950</v>
      </c>
      <c r="H983" s="1" t="s">
        <v>2667</v>
      </c>
      <c r="I983" s="1" t="s">
        <v>2668</v>
      </c>
      <c r="J983" s="1" t="s">
        <v>18</v>
      </c>
      <c r="K983" s="1" t="s">
        <v>50</v>
      </c>
      <c r="L983" s="1">
        <v>33480</v>
      </c>
      <c r="M983" s="1">
        <v>34</v>
      </c>
      <c r="N983" s="1">
        <v>1470</v>
      </c>
      <c r="O983" s="1" t="s">
        <v>2669</v>
      </c>
      <c r="P983" s="1">
        <v>1860</v>
      </c>
      <c r="Q983" s="1" t="s">
        <v>66</v>
      </c>
      <c r="R983" s="1">
        <v>390</v>
      </c>
      <c r="S983">
        <v>300000</v>
      </c>
      <c r="T983">
        <v>15045</v>
      </c>
      <c r="U983" t="s">
        <v>814</v>
      </c>
      <c r="V983">
        <v>27450</v>
      </c>
      <c r="W983" s="1">
        <v>46696</v>
      </c>
      <c r="X983" s="1" t="s">
        <v>55</v>
      </c>
      <c r="Y983" s="1" t="s">
        <v>51</v>
      </c>
      <c r="Z983" s="1" t="s">
        <v>2670</v>
      </c>
      <c r="AA983" s="1" t="s">
        <v>2671</v>
      </c>
      <c r="AB983" s="1" t="s">
        <v>2672</v>
      </c>
      <c r="AC983" s="1" t="s">
        <v>53</v>
      </c>
      <c r="AD983" s="1">
        <v>45495</v>
      </c>
      <c r="AE983" s="1"/>
      <c r="AF983" s="1"/>
      <c r="AG983" s="1">
        <v>44287</v>
      </c>
      <c r="AH983" s="1" t="s">
        <v>3778</v>
      </c>
      <c r="AI983" s="1"/>
      <c r="AJ983" s="31">
        <v>44487</v>
      </c>
      <c r="AK983"/>
      <c r="AL983"/>
      <c r="AM983"/>
      <c r="AN983"/>
      <c r="AO983" t="s">
        <v>4164</v>
      </c>
      <c r="AP983"/>
    </row>
    <row r="984" spans="1:42" hidden="1">
      <c r="A984" s="1" t="s">
        <v>49</v>
      </c>
      <c r="B984" s="1">
        <v>210812</v>
      </c>
      <c r="C984" s="1">
        <v>83882</v>
      </c>
      <c r="D984" s="1" t="s">
        <v>168</v>
      </c>
      <c r="E984" s="1" t="s">
        <v>2949</v>
      </c>
      <c r="F984"/>
      <c r="G984"/>
      <c r="H984" s="1" t="s">
        <v>2950</v>
      </c>
      <c r="I984" s="1" t="s">
        <v>2951</v>
      </c>
      <c r="J984" s="1" t="s">
        <v>18</v>
      </c>
      <c r="K984" s="1" t="s">
        <v>50</v>
      </c>
      <c r="L984" s="1">
        <v>33805</v>
      </c>
      <c r="M984" s="1">
        <v>33</v>
      </c>
      <c r="N984" s="1">
        <v>1400</v>
      </c>
      <c r="P984" s="1">
        <v>2000</v>
      </c>
      <c r="Q984" s="1"/>
      <c r="R984" s="1">
        <v>600</v>
      </c>
      <c r="S984">
        <v>240000</v>
      </c>
      <c r="T984">
        <v>12036</v>
      </c>
      <c r="U984" t="s">
        <v>814</v>
      </c>
      <c r="V984">
        <v>21960</v>
      </c>
      <c r="W984" s="1">
        <v>46267</v>
      </c>
      <c r="X984" s="1" t="s">
        <v>55</v>
      </c>
      <c r="Y984" s="1" t="s">
        <v>51</v>
      </c>
      <c r="Z984" s="1" t="s">
        <v>4402</v>
      </c>
      <c r="AA984" s="1" t="s">
        <v>4403</v>
      </c>
      <c r="AB984" s="1" t="s">
        <v>4404</v>
      </c>
      <c r="AC984" s="1" t="s">
        <v>53</v>
      </c>
      <c r="AD984" s="1">
        <v>45826</v>
      </c>
      <c r="AE984" s="1"/>
      <c r="AF984" s="1"/>
      <c r="AG984" s="1">
        <v>45826</v>
      </c>
      <c r="AH984" s="1" t="s">
        <v>4393</v>
      </c>
      <c r="AI984" s="1"/>
      <c r="AJ984" s="31">
        <v>45826</v>
      </c>
      <c r="AK984"/>
      <c r="AL984"/>
      <c r="AM984"/>
      <c r="AN984"/>
      <c r="AO984"/>
      <c r="AP984"/>
    </row>
    <row r="985" spans="1:42">
      <c r="A985" s="1" t="s">
        <v>49</v>
      </c>
      <c r="B985" s="1">
        <v>231215</v>
      </c>
      <c r="C985" s="1">
        <v>242093</v>
      </c>
      <c r="D985" s="1" t="s">
        <v>69</v>
      </c>
      <c r="E985" s="1" t="s">
        <v>310</v>
      </c>
      <c r="F985" t="s">
        <v>2003</v>
      </c>
      <c r="G985" t="s">
        <v>2004</v>
      </c>
      <c r="H985" s="1" t="s">
        <v>1722</v>
      </c>
      <c r="I985" s="1" t="s">
        <v>1723</v>
      </c>
      <c r="J985" s="1" t="s">
        <v>18</v>
      </c>
      <c r="K985" s="1" t="s">
        <v>50</v>
      </c>
      <c r="L985" s="1">
        <v>37082</v>
      </c>
      <c r="M985" s="1">
        <v>24</v>
      </c>
      <c r="N985" s="1">
        <v>1300</v>
      </c>
      <c r="P985" s="1">
        <v>1680</v>
      </c>
      <c r="Q985" s="1"/>
      <c r="R985" s="1">
        <v>380</v>
      </c>
      <c r="S985">
        <v>260000</v>
      </c>
      <c r="T985">
        <v>13039</v>
      </c>
      <c r="U985" t="s">
        <v>814</v>
      </c>
      <c r="V985">
        <v>23790</v>
      </c>
      <c r="W985" s="1">
        <v>45997</v>
      </c>
      <c r="X985" s="1">
        <v>2</v>
      </c>
      <c r="Y985" s="1" t="s">
        <v>51</v>
      </c>
      <c r="Z985" s="1" t="s">
        <v>427</v>
      </c>
      <c r="AA985" s="1" t="s">
        <v>1724</v>
      </c>
      <c r="AB985" s="1" t="s">
        <v>462</v>
      </c>
      <c r="AC985" s="1"/>
      <c r="AD985" s="1">
        <v>45272</v>
      </c>
      <c r="AE985" s="1">
        <v>45982</v>
      </c>
      <c r="AF985" s="1"/>
      <c r="AG985" s="1" t="s">
        <v>1725</v>
      </c>
      <c r="AH985" s="1" t="s">
        <v>1726</v>
      </c>
      <c r="AI985" s="1"/>
      <c r="AJ985" s="31">
        <v>45272</v>
      </c>
      <c r="AK985"/>
      <c r="AL985"/>
      <c r="AM985"/>
      <c r="AN985"/>
      <c r="AO985" t="s">
        <v>4165</v>
      </c>
      <c r="AP985"/>
    </row>
    <row r="986" spans="1:42">
      <c r="A986" s="1" t="s">
        <v>49</v>
      </c>
      <c r="B986" s="1">
        <v>250307</v>
      </c>
      <c r="C986" s="1">
        <v>242129</v>
      </c>
      <c r="D986" s="1" t="s">
        <v>69</v>
      </c>
      <c r="E986" s="1" t="s">
        <v>310</v>
      </c>
      <c r="F986" t="s">
        <v>2003</v>
      </c>
      <c r="G986" t="s">
        <v>2004</v>
      </c>
      <c r="H986" s="1" t="s">
        <v>4219</v>
      </c>
      <c r="I986" s="1" t="s">
        <v>4220</v>
      </c>
      <c r="J986" s="1" t="s">
        <v>18</v>
      </c>
      <c r="K986" s="1" t="s">
        <v>50</v>
      </c>
      <c r="L986" s="1">
        <v>37535</v>
      </c>
      <c r="M986" s="1">
        <v>23</v>
      </c>
      <c r="N986" s="1">
        <v>1200</v>
      </c>
      <c r="P986" s="1">
        <v>1650</v>
      </c>
      <c r="Q986" s="1"/>
      <c r="R986" s="1">
        <v>450</v>
      </c>
      <c r="S986">
        <v>190000</v>
      </c>
      <c r="T986">
        <v>9528</v>
      </c>
      <c r="U986" t="s">
        <v>814</v>
      </c>
      <c r="V986">
        <v>17385</v>
      </c>
      <c r="W986" s="1">
        <v>46825</v>
      </c>
      <c r="X986" s="1" t="s">
        <v>55</v>
      </c>
      <c r="Y986" s="1" t="s">
        <v>51</v>
      </c>
      <c r="Z986" s="1" t="s">
        <v>72</v>
      </c>
      <c r="AA986" s="1" t="s">
        <v>508</v>
      </c>
      <c r="AB986" s="1" t="s">
        <v>509</v>
      </c>
      <c r="AC986" s="1"/>
      <c r="AD986" s="1">
        <v>45736</v>
      </c>
      <c r="AE986" s="1"/>
      <c r="AF986" s="1"/>
      <c r="AG986" s="1">
        <v>45736</v>
      </c>
      <c r="AH986" s="1" t="s">
        <v>2346</v>
      </c>
      <c r="AI986" s="1"/>
      <c r="AJ986" s="31">
        <v>45736</v>
      </c>
      <c r="AK986"/>
      <c r="AL986"/>
      <c r="AM986"/>
      <c r="AN986"/>
      <c r="AO986"/>
      <c r="AP986"/>
    </row>
    <row r="987" spans="1:42" hidden="1">
      <c r="A987" s="1" t="s">
        <v>49</v>
      </c>
      <c r="B987" s="1">
        <v>240709</v>
      </c>
      <c r="D987" s="1" t="s">
        <v>436</v>
      </c>
      <c r="E987" s="1" t="s">
        <v>4362</v>
      </c>
      <c r="F987" t="s">
        <v>4363</v>
      </c>
      <c r="G987" t="s">
        <v>4364</v>
      </c>
      <c r="H987" s="1" t="s">
        <v>2516</v>
      </c>
      <c r="I987" s="1" t="s">
        <v>2517</v>
      </c>
      <c r="J987" s="1" t="s">
        <v>18</v>
      </c>
      <c r="K987" s="1" t="s">
        <v>50</v>
      </c>
      <c r="L987" s="1">
        <v>37040</v>
      </c>
      <c r="M987" s="1">
        <v>24</v>
      </c>
      <c r="N987" s="1">
        <v>1600</v>
      </c>
      <c r="P987" s="1">
        <v>2100</v>
      </c>
      <c r="Q987" s="1" t="s">
        <v>3474</v>
      </c>
      <c r="R987" s="1">
        <v>500</v>
      </c>
      <c r="S987">
        <v>260000</v>
      </c>
      <c r="T987">
        <v>13039</v>
      </c>
      <c r="U987" t="s">
        <v>814</v>
      </c>
      <c r="V987">
        <v>23790</v>
      </c>
      <c r="W987" s="1">
        <v>46923</v>
      </c>
      <c r="X987" s="1" t="s">
        <v>55</v>
      </c>
      <c r="Y987" s="1" t="s">
        <v>51</v>
      </c>
      <c r="Z987" s="1" t="s">
        <v>504</v>
      </c>
      <c r="AA987" s="1" t="s">
        <v>505</v>
      </c>
      <c r="AB987" s="1" t="s">
        <v>2513</v>
      </c>
      <c r="AC987" s="1"/>
      <c r="AD987" s="1">
        <v>45839</v>
      </c>
      <c r="AE987" s="1"/>
      <c r="AF987" s="1"/>
      <c r="AG987" s="1">
        <v>45839</v>
      </c>
      <c r="AH987" s="1" t="s">
        <v>623</v>
      </c>
      <c r="AI987" s="1" t="s">
        <v>2515</v>
      </c>
      <c r="AJ987" s="31">
        <v>45839</v>
      </c>
      <c r="AK987"/>
      <c r="AL987"/>
      <c r="AM987"/>
      <c r="AN987"/>
      <c r="AO987"/>
      <c r="AP987"/>
    </row>
    <row r="988" spans="1:42" hidden="1">
      <c r="A988" s="1" t="s">
        <v>49</v>
      </c>
      <c r="B988" s="1">
        <v>231003</v>
      </c>
      <c r="D988" s="1" t="s">
        <v>168</v>
      </c>
      <c r="F988"/>
      <c r="G988"/>
      <c r="H988" s="1" t="s">
        <v>3720</v>
      </c>
      <c r="I988" s="1" t="s">
        <v>3721</v>
      </c>
      <c r="J988" s="1" t="s">
        <v>18</v>
      </c>
      <c r="K988" s="1" t="s">
        <v>50</v>
      </c>
      <c r="L988" s="1">
        <v>36039</v>
      </c>
      <c r="M988" s="1">
        <v>27</v>
      </c>
      <c r="N988" s="1">
        <v>1400</v>
      </c>
      <c r="P988" s="1">
        <v>2000</v>
      </c>
      <c r="Q988" s="1"/>
      <c r="R988" s="1">
        <v>600</v>
      </c>
      <c r="S988">
        <v>260000</v>
      </c>
      <c r="T988">
        <v>13039</v>
      </c>
      <c r="U988" t="s">
        <v>814</v>
      </c>
      <c r="V988">
        <v>23790</v>
      </c>
      <c r="W988" s="1">
        <v>46323</v>
      </c>
      <c r="X988" s="1" t="s">
        <v>55</v>
      </c>
      <c r="Y988" s="1" t="s">
        <v>51</v>
      </c>
      <c r="Z988" s="1" t="s">
        <v>178</v>
      </c>
      <c r="AA988" s="1" t="s">
        <v>179</v>
      </c>
      <c r="AB988" s="1" t="s">
        <v>180</v>
      </c>
      <c r="AC988" s="1"/>
      <c r="AD988" s="1">
        <v>45839</v>
      </c>
      <c r="AE988" s="1"/>
      <c r="AF988" s="1"/>
      <c r="AG988" s="1">
        <v>45839</v>
      </c>
      <c r="AH988" s="1" t="s">
        <v>623</v>
      </c>
      <c r="AI988" s="1"/>
      <c r="AJ988" s="31">
        <v>45839</v>
      </c>
      <c r="AK988"/>
      <c r="AL988"/>
      <c r="AM988"/>
      <c r="AN988"/>
      <c r="AO988"/>
      <c r="AP988"/>
    </row>
    <row r="989" spans="1:42" hidden="1">
      <c r="A989" s="1" t="s">
        <v>49</v>
      </c>
      <c r="B989" s="1">
        <v>250701</v>
      </c>
      <c r="D989" s="1" t="s">
        <v>168</v>
      </c>
      <c r="F989"/>
      <c r="G989"/>
      <c r="H989" s="1" t="s">
        <v>4408</v>
      </c>
      <c r="I989" s="1" t="s">
        <v>4409</v>
      </c>
      <c r="J989" s="1" t="s">
        <v>17</v>
      </c>
      <c r="K989" s="1" t="s">
        <v>50</v>
      </c>
      <c r="L989" s="1">
        <v>37160</v>
      </c>
      <c r="M989" s="1">
        <v>24</v>
      </c>
      <c r="N989" s="1">
        <v>1300</v>
      </c>
      <c r="P989" s="1">
        <v>1900</v>
      </c>
      <c r="Q989" s="1"/>
      <c r="R989" s="1">
        <v>600</v>
      </c>
      <c r="S989">
        <v>240000</v>
      </c>
      <c r="T989">
        <v>12036</v>
      </c>
      <c r="U989" t="s">
        <v>814</v>
      </c>
      <c r="V989">
        <v>21960</v>
      </c>
      <c r="W989" s="1">
        <v>45987</v>
      </c>
      <c r="X989" s="1" t="s">
        <v>4587</v>
      </c>
      <c r="Y989" s="1" t="s">
        <v>51</v>
      </c>
      <c r="Z989" s="1" t="s">
        <v>4256</v>
      </c>
      <c r="AA989" s="1" t="s">
        <v>4257</v>
      </c>
      <c r="AB989" s="1" t="s">
        <v>4258</v>
      </c>
      <c r="AC989" s="1"/>
      <c r="AD989" s="1">
        <v>45839</v>
      </c>
      <c r="AE989" s="1"/>
      <c r="AF989" s="1"/>
      <c r="AG989" s="1">
        <v>45839</v>
      </c>
      <c r="AH989" s="1" t="s">
        <v>623</v>
      </c>
      <c r="AI989" s="1"/>
      <c r="AJ989" s="31">
        <v>45839</v>
      </c>
      <c r="AK989"/>
      <c r="AL989"/>
      <c r="AM989"/>
      <c r="AN989"/>
      <c r="AO989"/>
      <c r="AP989"/>
    </row>
    <row r="990" spans="1:42" hidden="1">
      <c r="A990" s="1" t="s">
        <v>49</v>
      </c>
      <c r="B990" s="1">
        <v>250702</v>
      </c>
      <c r="D990" s="1" t="s">
        <v>1612</v>
      </c>
      <c r="F990"/>
      <c r="G990"/>
      <c r="H990" s="1" t="s">
        <v>4410</v>
      </c>
      <c r="I990" s="1" t="s">
        <v>4411</v>
      </c>
      <c r="J990" s="1" t="s">
        <v>18</v>
      </c>
      <c r="K990" s="1" t="s">
        <v>50</v>
      </c>
      <c r="L990" s="1">
        <v>34979</v>
      </c>
      <c r="M990" s="1">
        <v>30</v>
      </c>
      <c r="N990" s="1">
        <v>1300</v>
      </c>
      <c r="P990" s="1">
        <v>1900</v>
      </c>
      <c r="Q990" s="1"/>
      <c r="R990" s="1">
        <v>600</v>
      </c>
      <c r="S990">
        <v>220000</v>
      </c>
      <c r="T990">
        <v>11033</v>
      </c>
      <c r="U990" t="s">
        <v>814</v>
      </c>
      <c r="V990">
        <v>20130</v>
      </c>
      <c r="W990" s="1">
        <v>46420</v>
      </c>
      <c r="X990" s="1" t="s">
        <v>55</v>
      </c>
      <c r="Y990" s="1" t="s">
        <v>51</v>
      </c>
      <c r="Z990" s="1" t="s">
        <v>4412</v>
      </c>
      <c r="AA990" s="1" t="s">
        <v>4413</v>
      </c>
      <c r="AB990" s="1" t="s">
        <v>4414</v>
      </c>
      <c r="AC990" s="1"/>
      <c r="AD990" s="1">
        <v>45840</v>
      </c>
      <c r="AE990" s="1"/>
      <c r="AF990" s="1"/>
      <c r="AG990" s="1">
        <v>45840</v>
      </c>
      <c r="AH990" s="1" t="s">
        <v>623</v>
      </c>
      <c r="AI990" s="1"/>
      <c r="AJ990" s="31">
        <v>45840</v>
      </c>
      <c r="AK990"/>
      <c r="AL990"/>
      <c r="AM990"/>
      <c r="AN990"/>
      <c r="AO990"/>
      <c r="AP990"/>
    </row>
    <row r="991" spans="1:42">
      <c r="A991" s="1" t="s">
        <v>49</v>
      </c>
      <c r="B991" s="1">
        <v>251010</v>
      </c>
      <c r="C991" s="1">
        <v>242139</v>
      </c>
      <c r="D991" s="1" t="s">
        <v>69</v>
      </c>
      <c r="E991" s="1" t="s">
        <v>310</v>
      </c>
      <c r="F991" t="s">
        <v>2003</v>
      </c>
      <c r="G991" t="s">
        <v>2004</v>
      </c>
      <c r="H991" s="1" t="s">
        <v>4537</v>
      </c>
      <c r="I991" s="1" t="s">
        <v>4538</v>
      </c>
      <c r="J991" s="1" t="s">
        <v>18</v>
      </c>
      <c r="K991" s="1" t="s">
        <v>50</v>
      </c>
      <c r="L991" s="1">
        <v>36174</v>
      </c>
      <c r="M991" s="1">
        <v>26</v>
      </c>
      <c r="N991" s="1">
        <v>1200</v>
      </c>
      <c r="P991" s="1">
        <v>1650</v>
      </c>
      <c r="Q991" s="1"/>
      <c r="R991" s="1">
        <v>450</v>
      </c>
      <c r="S991">
        <v>220000</v>
      </c>
      <c r="T991">
        <v>11033</v>
      </c>
      <c r="U991" t="s">
        <v>814</v>
      </c>
      <c r="V991">
        <v>20130</v>
      </c>
      <c r="W991" s="1">
        <v>47040</v>
      </c>
      <c r="X991" s="1" t="s">
        <v>55</v>
      </c>
      <c r="Y991" s="1" t="s">
        <v>51</v>
      </c>
      <c r="Z991" s="1" t="s">
        <v>72</v>
      </c>
      <c r="AA991" s="1" t="s">
        <v>526</v>
      </c>
      <c r="AB991" s="1" t="s">
        <v>2001</v>
      </c>
      <c r="AC991" s="1">
        <v>45946</v>
      </c>
      <c r="AD991" s="1">
        <v>45951</v>
      </c>
      <c r="AE991" s="1"/>
      <c r="AF991" s="1"/>
      <c r="AG991" s="1">
        <v>45951</v>
      </c>
      <c r="AH991" s="1" t="s">
        <v>4536</v>
      </c>
      <c r="AI991" s="1"/>
      <c r="AJ991" s="31">
        <v>45951</v>
      </c>
      <c r="AK991"/>
      <c r="AL991"/>
      <c r="AM991"/>
      <c r="AN991"/>
      <c r="AO991"/>
      <c r="AP991"/>
    </row>
    <row r="992" spans="1:42">
      <c r="A992" s="1" t="s">
        <v>49</v>
      </c>
      <c r="B992" s="1">
        <v>210406</v>
      </c>
      <c r="C992" s="1">
        <v>242011</v>
      </c>
      <c r="D992" s="1" t="s">
        <v>69</v>
      </c>
      <c r="E992" s="1" t="s">
        <v>306</v>
      </c>
      <c r="F992" t="s">
        <v>390</v>
      </c>
      <c r="G992" t="s">
        <v>1085</v>
      </c>
      <c r="H992" s="1" t="s">
        <v>459</v>
      </c>
      <c r="I992" s="1" t="s">
        <v>460</v>
      </c>
      <c r="J992" s="1" t="s">
        <v>18</v>
      </c>
      <c r="K992" s="1" t="s">
        <v>50</v>
      </c>
      <c r="L992" s="1">
        <v>32269</v>
      </c>
      <c r="M992" s="1">
        <v>37</v>
      </c>
      <c r="N992" s="1">
        <v>1420</v>
      </c>
      <c r="O992" s="1" t="s">
        <v>70</v>
      </c>
      <c r="P992" s="1">
        <v>1880</v>
      </c>
      <c r="Q992" s="1" t="s">
        <v>71</v>
      </c>
      <c r="R992" s="1">
        <v>460</v>
      </c>
      <c r="S992">
        <v>320000</v>
      </c>
      <c r="T992">
        <v>16048</v>
      </c>
      <c r="U992" t="s">
        <v>814</v>
      </c>
      <c r="V992">
        <v>29280</v>
      </c>
      <c r="W992" s="1">
        <v>46435</v>
      </c>
      <c r="X992" s="1" t="s">
        <v>55</v>
      </c>
      <c r="Y992" s="1" t="s">
        <v>51</v>
      </c>
      <c r="Z992" s="1" t="s">
        <v>3890</v>
      </c>
      <c r="AA992" s="1" t="s">
        <v>3891</v>
      </c>
      <c r="AB992" s="1" t="s">
        <v>3995</v>
      </c>
      <c r="AC992" s="1" t="s">
        <v>53</v>
      </c>
      <c r="AD992" s="1">
        <v>44291</v>
      </c>
      <c r="AE992" s="1"/>
      <c r="AF992" s="1"/>
      <c r="AG992" s="1">
        <v>44348</v>
      </c>
      <c r="AH992" s="1" t="s">
        <v>54</v>
      </c>
      <c r="AI992" s="1"/>
      <c r="AJ992" s="31">
        <v>44291</v>
      </c>
      <c r="AK992"/>
      <c r="AL992"/>
      <c r="AM992"/>
      <c r="AN992"/>
      <c r="AO992" t="s">
        <v>4164</v>
      </c>
      <c r="AP992"/>
    </row>
    <row r="993" spans="1:42" hidden="1">
      <c r="A993" s="1" t="s">
        <v>49</v>
      </c>
      <c r="B993" s="1">
        <v>220501</v>
      </c>
      <c r="C993" s="1">
        <v>5702</v>
      </c>
      <c r="D993" s="1" t="s">
        <v>871</v>
      </c>
      <c r="E993" s="1" t="s">
        <v>1249</v>
      </c>
      <c r="F993" t="s">
        <v>1247</v>
      </c>
      <c r="G993" t="s">
        <v>1514</v>
      </c>
      <c r="H993" s="1" t="s">
        <v>598</v>
      </c>
      <c r="I993" s="1" t="s">
        <v>599</v>
      </c>
      <c r="J993" s="1" t="s">
        <v>18</v>
      </c>
      <c r="K993" s="1" t="s">
        <v>50</v>
      </c>
      <c r="L993" s="1">
        <v>34992</v>
      </c>
      <c r="M993" s="1">
        <v>30</v>
      </c>
      <c r="N993" s="1">
        <v>1300</v>
      </c>
      <c r="P993" s="1">
        <v>1700</v>
      </c>
      <c r="Q993" s="1"/>
      <c r="R993" s="1">
        <v>400</v>
      </c>
      <c r="S993">
        <v>220000</v>
      </c>
      <c r="T993">
        <v>11033</v>
      </c>
      <c r="U993" t="s">
        <v>814</v>
      </c>
      <c r="V993">
        <v>20130</v>
      </c>
      <c r="W993" s="1">
        <v>46716</v>
      </c>
      <c r="X993" s="1" t="s">
        <v>55</v>
      </c>
      <c r="Y993" s="1" t="s">
        <v>51</v>
      </c>
      <c r="Z993" s="1" t="s">
        <v>3518</v>
      </c>
      <c r="AA993" s="1" t="s">
        <v>3519</v>
      </c>
      <c r="AB993" s="1" t="s">
        <v>3520</v>
      </c>
      <c r="AC993" s="1"/>
      <c r="AD993" s="1">
        <v>45846</v>
      </c>
      <c r="AE993" s="1"/>
      <c r="AF993" s="1"/>
      <c r="AG993" s="1">
        <v>45846</v>
      </c>
      <c r="AH993" s="1" t="s">
        <v>4415</v>
      </c>
      <c r="AI993" s="1"/>
      <c r="AJ993" s="31">
        <v>45846</v>
      </c>
      <c r="AK993"/>
      <c r="AL993"/>
      <c r="AM993"/>
      <c r="AN993"/>
      <c r="AO993"/>
      <c r="AP993"/>
    </row>
    <row r="994" spans="1:42" hidden="1">
      <c r="A994" s="1" t="s">
        <v>49</v>
      </c>
      <c r="B994" s="1">
        <v>250704</v>
      </c>
      <c r="C994" s="1">
        <v>8210136</v>
      </c>
      <c r="D994" s="1" t="s">
        <v>822</v>
      </c>
      <c r="E994" s="1" t="s">
        <v>831</v>
      </c>
      <c r="F994" t="s">
        <v>831</v>
      </c>
      <c r="G994"/>
      <c r="H994" s="1" t="s">
        <v>4421</v>
      </c>
      <c r="I994" s="1" t="s">
        <v>4422</v>
      </c>
      <c r="J994" s="1" t="s">
        <v>18</v>
      </c>
      <c r="K994" s="1" t="s">
        <v>50</v>
      </c>
      <c r="L994" s="1">
        <v>35107</v>
      </c>
      <c r="M994" s="1">
        <v>29</v>
      </c>
      <c r="N994" s="1">
        <v>1500</v>
      </c>
      <c r="P994" s="1">
        <v>2150</v>
      </c>
      <c r="Q994" s="1"/>
      <c r="R994" s="1">
        <v>650</v>
      </c>
      <c r="S994">
        <v>280000</v>
      </c>
      <c r="T994">
        <v>14042</v>
      </c>
      <c r="U994" t="s">
        <v>814</v>
      </c>
      <c r="V994">
        <v>25620</v>
      </c>
      <c r="W994" s="1">
        <v>47030</v>
      </c>
      <c r="X994" s="1" t="s">
        <v>55</v>
      </c>
      <c r="Y994" s="1" t="s">
        <v>51</v>
      </c>
      <c r="Z994" s="1" t="s">
        <v>4016</v>
      </c>
      <c r="AA994" s="1" t="s">
        <v>4423</v>
      </c>
      <c r="AB994" s="1" t="s">
        <v>4424</v>
      </c>
      <c r="AC994" s="1" t="s">
        <v>53</v>
      </c>
      <c r="AD994" s="1">
        <v>45859</v>
      </c>
      <c r="AE994" s="1"/>
      <c r="AF994" s="1"/>
      <c r="AG994" s="1">
        <v>45859</v>
      </c>
      <c r="AH994" s="1" t="s">
        <v>4425</v>
      </c>
      <c r="AI994" s="1"/>
      <c r="AJ994" s="31">
        <v>45859</v>
      </c>
      <c r="AK994"/>
      <c r="AL994"/>
      <c r="AM994"/>
      <c r="AN994"/>
      <c r="AO994"/>
      <c r="AP994"/>
    </row>
    <row r="995" spans="1:42" hidden="1">
      <c r="A995" s="1" t="s">
        <v>49</v>
      </c>
      <c r="B995" s="1">
        <v>250705</v>
      </c>
      <c r="D995" s="1" t="s">
        <v>813</v>
      </c>
      <c r="F995"/>
      <c r="G995"/>
      <c r="H995" s="1" t="s">
        <v>4426</v>
      </c>
      <c r="I995" s="1" t="s">
        <v>4427</v>
      </c>
      <c r="J995" s="1" t="s">
        <v>17</v>
      </c>
      <c r="K995" s="1" t="s">
        <v>50</v>
      </c>
      <c r="L995" s="1">
        <v>37021</v>
      </c>
      <c r="M995" s="1">
        <v>24</v>
      </c>
      <c r="N995" s="1">
        <v>1300</v>
      </c>
      <c r="P995" s="1">
        <v>1800</v>
      </c>
      <c r="Q995" s="1"/>
      <c r="R995" s="1">
        <v>500</v>
      </c>
      <c r="S995">
        <v>240000</v>
      </c>
      <c r="T995">
        <v>12036</v>
      </c>
      <c r="U995" t="s">
        <v>814</v>
      </c>
      <c r="V995">
        <v>21960</v>
      </c>
      <c r="W995" s="1">
        <v>46871</v>
      </c>
      <c r="X995" s="1" t="s">
        <v>55</v>
      </c>
      <c r="Y995" s="1" t="s">
        <v>51</v>
      </c>
      <c r="Z995" s="1" t="s">
        <v>52</v>
      </c>
      <c r="AA995" s="1" t="s">
        <v>816</v>
      </c>
      <c r="AB995" s="1" t="s">
        <v>594</v>
      </c>
      <c r="AC995" s="1">
        <v>45886</v>
      </c>
      <c r="AD995" s="1">
        <v>45859</v>
      </c>
      <c r="AE995" s="1"/>
      <c r="AF995" s="1"/>
      <c r="AG995" s="1">
        <v>45859</v>
      </c>
      <c r="AH995" s="1" t="s">
        <v>4425</v>
      </c>
      <c r="AI995" s="1"/>
      <c r="AJ995" s="31">
        <v>45859</v>
      </c>
      <c r="AK995"/>
      <c r="AL995"/>
      <c r="AM995"/>
      <c r="AN995"/>
      <c r="AO995"/>
      <c r="AP995"/>
    </row>
    <row r="996" spans="1:42" hidden="1">
      <c r="A996" s="1" t="s">
        <v>49</v>
      </c>
      <c r="B996" s="1">
        <v>250706</v>
      </c>
      <c r="C996" s="1">
        <v>5706</v>
      </c>
      <c r="D996" s="1" t="s">
        <v>846</v>
      </c>
      <c r="E996" s="1" t="s">
        <v>1234</v>
      </c>
      <c r="F996" t="s">
        <v>1584</v>
      </c>
      <c r="G996" t="s">
        <v>1514</v>
      </c>
      <c r="H996" s="1" t="s">
        <v>4428</v>
      </c>
      <c r="I996" s="1" t="s">
        <v>4429</v>
      </c>
      <c r="J996" s="1" t="s">
        <v>18</v>
      </c>
      <c r="K996" s="1" t="s">
        <v>50</v>
      </c>
      <c r="L996" s="1">
        <v>37967</v>
      </c>
      <c r="M996" s="1">
        <v>21</v>
      </c>
      <c r="N996" s="1">
        <v>1300</v>
      </c>
      <c r="P996" s="1">
        <v>1700</v>
      </c>
      <c r="Q996" s="1"/>
      <c r="R996" s="1">
        <v>400</v>
      </c>
      <c r="S996">
        <v>220000</v>
      </c>
      <c r="T996">
        <v>11033</v>
      </c>
      <c r="U996" t="s">
        <v>814</v>
      </c>
      <c r="V996">
        <v>20130</v>
      </c>
      <c r="W996" s="1">
        <v>46807</v>
      </c>
      <c r="X996" s="1" t="s">
        <v>55</v>
      </c>
      <c r="Y996" s="1" t="s">
        <v>51</v>
      </c>
      <c r="Z996" s="1" t="s">
        <v>3796</v>
      </c>
      <c r="AA996" s="1" t="s">
        <v>3797</v>
      </c>
      <c r="AB996" s="1" t="s">
        <v>3798</v>
      </c>
      <c r="AC996" s="1"/>
      <c r="AD996" s="1">
        <v>45860</v>
      </c>
      <c r="AE996" s="1"/>
      <c r="AF996" s="1"/>
      <c r="AG996" s="1">
        <v>45860</v>
      </c>
      <c r="AH996" s="1" t="s">
        <v>4425</v>
      </c>
      <c r="AI996" s="1"/>
      <c r="AJ996" s="31">
        <v>45860</v>
      </c>
      <c r="AK996"/>
      <c r="AL996"/>
      <c r="AM996"/>
      <c r="AN996"/>
      <c r="AO996"/>
      <c r="AP996"/>
    </row>
    <row r="997" spans="1:42" hidden="1">
      <c r="A997" s="1" t="s">
        <v>2542</v>
      </c>
      <c r="B997" s="1">
        <v>250707</v>
      </c>
      <c r="D997" s="1" t="s">
        <v>846</v>
      </c>
      <c r="F997"/>
      <c r="G997"/>
      <c r="H997" s="1" t="s">
        <v>1615</v>
      </c>
      <c r="I997" s="1" t="s">
        <v>1616</v>
      </c>
      <c r="J997" s="1" t="s">
        <v>18</v>
      </c>
      <c r="K997" s="1" t="s">
        <v>50</v>
      </c>
      <c r="L997" s="1">
        <v>33252</v>
      </c>
      <c r="M997" s="1">
        <v>34</v>
      </c>
      <c r="N997" s="1">
        <v>1300</v>
      </c>
      <c r="P997" s="1">
        <v>1700</v>
      </c>
      <c r="Q997" s="1"/>
      <c r="R997" s="1">
        <v>400</v>
      </c>
      <c r="S997">
        <v>0</v>
      </c>
      <c r="T997" t="s">
        <v>55</v>
      </c>
      <c r="U997" t="s">
        <v>814</v>
      </c>
      <c r="V997">
        <v>0</v>
      </c>
      <c r="W997" s="1">
        <v>47315</v>
      </c>
      <c r="X997" s="1" t="s">
        <v>55</v>
      </c>
      <c r="Y997" s="1" t="s">
        <v>51</v>
      </c>
      <c r="Z997" s="1" t="s">
        <v>4430</v>
      </c>
      <c r="AA997" s="1" t="s">
        <v>4431</v>
      </c>
      <c r="AB997" s="1" t="s">
        <v>4432</v>
      </c>
      <c r="AC997" s="1" t="s">
        <v>53</v>
      </c>
      <c r="AD997" s="1">
        <v>45860</v>
      </c>
      <c r="AE997" s="1">
        <v>45862</v>
      </c>
      <c r="AF997" s="1"/>
      <c r="AG997" s="1">
        <v>45860</v>
      </c>
      <c r="AH997" s="1" t="s">
        <v>4425</v>
      </c>
      <c r="AI997" s="1"/>
      <c r="AJ997" s="31">
        <v>45860</v>
      </c>
      <c r="AK997"/>
      <c r="AL997"/>
      <c r="AM997"/>
      <c r="AN997"/>
      <c r="AO997"/>
      <c r="AP997"/>
    </row>
    <row r="998" spans="1:42">
      <c r="A998" s="1" t="s">
        <v>49</v>
      </c>
      <c r="B998" s="1">
        <v>231115</v>
      </c>
      <c r="C998" s="1">
        <v>242085</v>
      </c>
      <c r="D998" s="1" t="s">
        <v>69</v>
      </c>
      <c r="E998" s="1" t="s">
        <v>306</v>
      </c>
      <c r="F998" t="s">
        <v>390</v>
      </c>
      <c r="G998" t="s">
        <v>1085</v>
      </c>
      <c r="H998" s="1" t="s">
        <v>1604</v>
      </c>
      <c r="I998" s="1" t="s">
        <v>1605</v>
      </c>
      <c r="J998" s="1" t="s">
        <v>18</v>
      </c>
      <c r="K998" s="1" t="s">
        <v>50</v>
      </c>
      <c r="L998" s="1">
        <v>35957</v>
      </c>
      <c r="M998" s="1">
        <v>27</v>
      </c>
      <c r="N998" s="1">
        <v>1300</v>
      </c>
      <c r="P998" s="1">
        <v>1680</v>
      </c>
      <c r="Q998" s="1"/>
      <c r="R998" s="1">
        <v>380</v>
      </c>
      <c r="S998">
        <v>280000</v>
      </c>
      <c r="T998">
        <v>14042</v>
      </c>
      <c r="U998" t="s">
        <v>814</v>
      </c>
      <c r="V998">
        <v>25620</v>
      </c>
      <c r="W998" s="1">
        <v>45976</v>
      </c>
      <c r="X998" s="1" t="s">
        <v>4581</v>
      </c>
      <c r="Y998" s="1" t="s">
        <v>51</v>
      </c>
      <c r="Z998" s="1" t="s">
        <v>470</v>
      </c>
      <c r="AA998" s="1" t="s">
        <v>1707</v>
      </c>
      <c r="AB998" s="1" t="s">
        <v>1708</v>
      </c>
      <c r="AC998" s="1">
        <v>45245</v>
      </c>
      <c r="AD998" s="1">
        <v>45251</v>
      </c>
      <c r="AE998" s="1"/>
      <c r="AF998" s="1"/>
      <c r="AG998" s="1" t="s">
        <v>1709</v>
      </c>
      <c r="AH998" s="1" t="s">
        <v>874</v>
      </c>
      <c r="AI998" s="1"/>
      <c r="AJ998" s="31">
        <v>45251</v>
      </c>
      <c r="AK998"/>
      <c r="AL998"/>
      <c r="AM998"/>
      <c r="AN998"/>
      <c r="AO998" t="s">
        <v>4165</v>
      </c>
      <c r="AP998"/>
    </row>
    <row r="999" spans="1:42" hidden="1">
      <c r="A999" s="1" t="s">
        <v>49</v>
      </c>
      <c r="B999" s="1">
        <v>211217</v>
      </c>
      <c r="C999" s="1">
        <v>232035</v>
      </c>
      <c r="D999" s="1" t="s">
        <v>168</v>
      </c>
      <c r="E999" s="1" t="s">
        <v>309</v>
      </c>
      <c r="F999" t="s">
        <v>365</v>
      </c>
      <c r="G999" t="s">
        <v>2911</v>
      </c>
      <c r="H999" s="1" t="s">
        <v>3173</v>
      </c>
      <c r="I999" s="1" t="s">
        <v>3174</v>
      </c>
      <c r="J999" s="1" t="s">
        <v>18</v>
      </c>
      <c r="K999" s="1" t="s">
        <v>50</v>
      </c>
      <c r="L999" s="1">
        <v>34750</v>
      </c>
      <c r="M999" s="1">
        <v>30</v>
      </c>
      <c r="N999" s="1">
        <v>1400</v>
      </c>
      <c r="P999" s="1">
        <v>2000</v>
      </c>
      <c r="Q999" s="1"/>
      <c r="R999" s="1">
        <v>600</v>
      </c>
      <c r="S999">
        <v>260000</v>
      </c>
      <c r="T999">
        <v>13039</v>
      </c>
      <c r="U999" t="s">
        <v>814</v>
      </c>
      <c r="V999">
        <v>23790</v>
      </c>
      <c r="W999" s="1">
        <v>46733</v>
      </c>
      <c r="X999" s="1" t="s">
        <v>55</v>
      </c>
      <c r="Y999" s="1" t="s">
        <v>51</v>
      </c>
      <c r="Z999" s="1" t="s">
        <v>178</v>
      </c>
      <c r="AA999" s="1" t="s">
        <v>179</v>
      </c>
      <c r="AB999" s="1" t="s">
        <v>4435</v>
      </c>
      <c r="AC999" s="1"/>
      <c r="AD999" s="1">
        <v>45862</v>
      </c>
      <c r="AE999" s="1"/>
      <c r="AF999" s="1"/>
      <c r="AG999" s="1">
        <v>45862</v>
      </c>
      <c r="AH999" s="1" t="s">
        <v>4425</v>
      </c>
      <c r="AI999" s="1"/>
      <c r="AJ999" s="31">
        <v>45862</v>
      </c>
      <c r="AK999"/>
      <c r="AL999"/>
      <c r="AM999"/>
      <c r="AN999"/>
      <c r="AO999"/>
      <c r="AP999"/>
    </row>
    <row r="1000" spans="1:42" hidden="1">
      <c r="A1000" s="1" t="s">
        <v>49</v>
      </c>
      <c r="B1000" s="1">
        <v>240405</v>
      </c>
      <c r="C1000" s="1">
        <v>232135</v>
      </c>
      <c r="D1000" s="1" t="s">
        <v>168</v>
      </c>
      <c r="E1000" s="1" t="s">
        <v>307</v>
      </c>
      <c r="F1000" t="s">
        <v>2251</v>
      </c>
      <c r="G1000" t="s">
        <v>2252</v>
      </c>
      <c r="H1000" s="1" t="s">
        <v>2376</v>
      </c>
      <c r="I1000" s="1" t="s">
        <v>2377</v>
      </c>
      <c r="J1000" s="1" t="s">
        <v>18</v>
      </c>
      <c r="K1000" s="1" t="s">
        <v>50</v>
      </c>
      <c r="L1000" s="1">
        <v>37183</v>
      </c>
      <c r="M1000" s="1">
        <v>24</v>
      </c>
      <c r="N1000" s="1">
        <v>1400</v>
      </c>
      <c r="P1000" s="1">
        <v>2000</v>
      </c>
      <c r="Q1000" s="1"/>
      <c r="R1000" s="1">
        <v>600</v>
      </c>
      <c r="S1000">
        <v>260000</v>
      </c>
      <c r="T1000">
        <v>13039</v>
      </c>
      <c r="U1000" t="s">
        <v>814</v>
      </c>
      <c r="V1000">
        <v>23790</v>
      </c>
      <c r="W1000" s="1">
        <v>46858</v>
      </c>
      <c r="X1000" s="1" t="s">
        <v>55</v>
      </c>
      <c r="Y1000" s="1" t="s">
        <v>51</v>
      </c>
      <c r="Z1000" s="1" t="s">
        <v>4436</v>
      </c>
      <c r="AA1000" s="1" t="s">
        <v>4437</v>
      </c>
      <c r="AB1000" s="1" t="s">
        <v>4438</v>
      </c>
      <c r="AC1000" s="1" t="s">
        <v>53</v>
      </c>
      <c r="AD1000" s="1">
        <v>45867</v>
      </c>
      <c r="AE1000" s="1"/>
      <c r="AF1000" s="1"/>
      <c r="AG1000" s="1">
        <v>45867</v>
      </c>
      <c r="AH1000" s="1" t="s">
        <v>4425</v>
      </c>
      <c r="AI1000" s="1"/>
      <c r="AJ1000" s="31">
        <v>45867</v>
      </c>
      <c r="AK1000"/>
      <c r="AL1000"/>
      <c r="AM1000"/>
      <c r="AN1000"/>
      <c r="AO1000"/>
      <c r="AP1000"/>
    </row>
    <row r="1001" spans="1:42" hidden="1">
      <c r="A1001" s="1" t="s">
        <v>49</v>
      </c>
      <c r="B1001" s="1">
        <v>240909</v>
      </c>
      <c r="D1001" s="1" t="s">
        <v>168</v>
      </c>
      <c r="F1001"/>
      <c r="G1001"/>
      <c r="H1001" s="1" t="s">
        <v>3532</v>
      </c>
      <c r="I1001" s="1" t="s">
        <v>3842</v>
      </c>
      <c r="J1001" s="1" t="s">
        <v>18</v>
      </c>
      <c r="K1001" s="1" t="s">
        <v>50</v>
      </c>
      <c r="L1001" s="1">
        <v>33395</v>
      </c>
      <c r="M1001" s="1">
        <v>34</v>
      </c>
      <c r="N1001" s="1">
        <v>1400</v>
      </c>
      <c r="P1001" s="1">
        <v>2000</v>
      </c>
      <c r="Q1001" s="1"/>
      <c r="R1001" s="1">
        <v>600</v>
      </c>
      <c r="S1001">
        <v>260000</v>
      </c>
      <c r="T1001">
        <v>13039</v>
      </c>
      <c r="U1001" t="s">
        <v>814</v>
      </c>
      <c r="V1001">
        <v>23790</v>
      </c>
      <c r="W1001" s="1">
        <v>46233</v>
      </c>
      <c r="X1001" s="1" t="s">
        <v>55</v>
      </c>
      <c r="Y1001" s="1" t="s">
        <v>51</v>
      </c>
      <c r="Z1001" s="1" t="s">
        <v>178</v>
      </c>
      <c r="AA1001" s="1" t="s">
        <v>179</v>
      </c>
      <c r="AB1001" s="1" t="s">
        <v>180</v>
      </c>
      <c r="AC1001" s="1"/>
      <c r="AD1001" s="1">
        <v>45867</v>
      </c>
      <c r="AE1001" s="1"/>
      <c r="AF1001" s="1"/>
      <c r="AG1001" s="1">
        <v>45867</v>
      </c>
      <c r="AH1001" s="1" t="s">
        <v>4425</v>
      </c>
      <c r="AI1001" s="1"/>
      <c r="AJ1001" s="31">
        <v>45867</v>
      </c>
      <c r="AK1001"/>
      <c r="AL1001"/>
      <c r="AM1001"/>
      <c r="AN1001"/>
      <c r="AO1001"/>
      <c r="AP1001"/>
    </row>
    <row r="1002" spans="1:42" hidden="1">
      <c r="A1002" s="1" t="s">
        <v>49</v>
      </c>
      <c r="B1002" s="1">
        <v>250709</v>
      </c>
      <c r="C1002" s="1">
        <v>232178</v>
      </c>
      <c r="D1002" s="1" t="s">
        <v>83</v>
      </c>
      <c r="E1002" s="1" t="s">
        <v>306</v>
      </c>
      <c r="F1002" t="s">
        <v>365</v>
      </c>
      <c r="G1002" t="s">
        <v>2241</v>
      </c>
      <c r="H1002" s="1" t="s">
        <v>4439</v>
      </c>
      <c r="I1002" s="1" t="s">
        <v>4440</v>
      </c>
      <c r="J1002" s="1" t="s">
        <v>18</v>
      </c>
      <c r="K1002" s="1" t="s">
        <v>50</v>
      </c>
      <c r="L1002" s="1">
        <v>37476</v>
      </c>
      <c r="M1002" s="1">
        <v>23</v>
      </c>
      <c r="N1002" s="1">
        <v>1200</v>
      </c>
      <c r="P1002" s="1">
        <v>1650</v>
      </c>
      <c r="Q1002" s="1"/>
      <c r="R1002" s="1">
        <v>450</v>
      </c>
      <c r="S1002">
        <v>220000</v>
      </c>
      <c r="T1002">
        <v>11033</v>
      </c>
      <c r="U1002" t="s">
        <v>814</v>
      </c>
      <c r="V1002">
        <v>20130</v>
      </c>
      <c r="W1002" s="1">
        <v>46957</v>
      </c>
      <c r="X1002" s="1" t="s">
        <v>55</v>
      </c>
      <c r="Y1002" s="1" t="s">
        <v>51</v>
      </c>
      <c r="Z1002" s="1" t="s">
        <v>86</v>
      </c>
      <c r="AA1002" s="1" t="s">
        <v>4245</v>
      </c>
      <c r="AB1002" s="1" t="s">
        <v>839</v>
      </c>
      <c r="AC1002" s="1">
        <v>45861</v>
      </c>
      <c r="AD1002" s="1">
        <v>45867</v>
      </c>
      <c r="AE1002" s="1"/>
      <c r="AF1002" s="1"/>
      <c r="AG1002" s="1">
        <v>45867</v>
      </c>
      <c r="AH1002" s="1" t="s">
        <v>4425</v>
      </c>
      <c r="AI1002" s="1"/>
      <c r="AJ1002" s="31">
        <v>45867</v>
      </c>
      <c r="AK1002"/>
      <c r="AL1002"/>
      <c r="AM1002"/>
      <c r="AN1002"/>
      <c r="AO1002"/>
      <c r="AP1002"/>
    </row>
    <row r="1003" spans="1:42" hidden="1">
      <c r="A1003" s="1" t="s">
        <v>49</v>
      </c>
      <c r="B1003" s="1">
        <v>250801</v>
      </c>
      <c r="D1003" s="1" t="s">
        <v>548</v>
      </c>
      <c r="F1003"/>
      <c r="G1003"/>
      <c r="H1003" s="1" t="s">
        <v>4441</v>
      </c>
      <c r="I1003" s="1" t="s">
        <v>4442</v>
      </c>
      <c r="J1003" s="1" t="s">
        <v>18</v>
      </c>
      <c r="K1003" s="1" t="s">
        <v>50</v>
      </c>
      <c r="L1003" s="1">
        <v>36557</v>
      </c>
      <c r="M1003" s="1">
        <v>25</v>
      </c>
      <c r="N1003" s="1">
        <v>1400</v>
      </c>
      <c r="P1003" s="1">
        <v>1900</v>
      </c>
      <c r="Q1003" s="1"/>
      <c r="R1003" s="1">
        <v>500</v>
      </c>
      <c r="S1003">
        <v>190000</v>
      </c>
      <c r="T1003">
        <v>9528</v>
      </c>
      <c r="U1003" t="s">
        <v>814</v>
      </c>
      <c r="V1003">
        <v>17385</v>
      </c>
      <c r="W1003" s="1">
        <v>47218</v>
      </c>
      <c r="X1003" s="1" t="s">
        <v>55</v>
      </c>
      <c r="Y1003" s="1" t="s">
        <v>51</v>
      </c>
      <c r="Z1003" s="1" t="s">
        <v>585</v>
      </c>
      <c r="AA1003" s="1" t="s">
        <v>840</v>
      </c>
      <c r="AB1003" s="1" t="s">
        <v>4443</v>
      </c>
      <c r="AC1003" s="1" t="s">
        <v>53</v>
      </c>
      <c r="AD1003" s="1">
        <v>45870</v>
      </c>
      <c r="AE1003" s="1"/>
      <c r="AF1003" s="1"/>
      <c r="AG1003" s="1">
        <v>45870</v>
      </c>
      <c r="AH1003" s="1" t="s">
        <v>4444</v>
      </c>
      <c r="AI1003" s="1"/>
      <c r="AJ1003" s="31">
        <v>45870</v>
      </c>
      <c r="AK1003"/>
      <c r="AL1003"/>
      <c r="AM1003"/>
      <c r="AN1003"/>
      <c r="AO1003"/>
      <c r="AP1003"/>
    </row>
    <row r="1004" spans="1:42" hidden="1">
      <c r="A1004" s="1" t="s">
        <v>49</v>
      </c>
      <c r="B1004" s="1">
        <v>230701</v>
      </c>
      <c r="D1004" s="1" t="s">
        <v>688</v>
      </c>
      <c r="E1004" s="1" t="s">
        <v>851</v>
      </c>
      <c r="F1004" t="s">
        <v>851</v>
      </c>
      <c r="G1004" t="s">
        <v>1183</v>
      </c>
      <c r="H1004" s="1" t="s">
        <v>1333</v>
      </c>
      <c r="I1004" s="1" t="s">
        <v>1334</v>
      </c>
      <c r="J1004" s="1" t="s">
        <v>18</v>
      </c>
      <c r="K1004" s="1" t="s">
        <v>50</v>
      </c>
      <c r="L1004" s="1">
        <v>31876</v>
      </c>
      <c r="M1004" s="1">
        <v>38</v>
      </c>
      <c r="N1004" s="1">
        <v>1400</v>
      </c>
      <c r="P1004" s="1">
        <v>1800</v>
      </c>
      <c r="Q1004" s="1"/>
      <c r="R1004" s="1">
        <v>400</v>
      </c>
      <c r="S1004">
        <v>190000</v>
      </c>
      <c r="T1004">
        <v>9528</v>
      </c>
      <c r="U1004" t="s">
        <v>814</v>
      </c>
      <c r="V1004">
        <v>17385</v>
      </c>
      <c r="W1004" s="1">
        <v>46096</v>
      </c>
      <c r="X1004" s="1" t="s">
        <v>55</v>
      </c>
      <c r="Y1004" s="1" t="s">
        <v>51</v>
      </c>
      <c r="Z1004" s="1" t="s">
        <v>761</v>
      </c>
      <c r="AA1004" s="1" t="s">
        <v>762</v>
      </c>
      <c r="AB1004" s="1" t="s">
        <v>763</v>
      </c>
      <c r="AC1004" s="1"/>
      <c r="AD1004" s="1">
        <v>45870</v>
      </c>
      <c r="AE1004" s="1"/>
      <c r="AF1004" s="1"/>
      <c r="AG1004" s="1">
        <v>45870</v>
      </c>
      <c r="AH1004" s="1" t="s">
        <v>4425</v>
      </c>
      <c r="AI1004" s="1"/>
      <c r="AJ1004" s="31">
        <v>45870</v>
      </c>
      <c r="AK1004"/>
      <c r="AL1004"/>
      <c r="AM1004"/>
      <c r="AN1004"/>
      <c r="AO1004"/>
      <c r="AP1004"/>
    </row>
    <row r="1005" spans="1:42" hidden="1">
      <c r="A1005" s="1" t="s">
        <v>49</v>
      </c>
      <c r="B1005" s="1">
        <v>220211</v>
      </c>
      <c r="D1005" s="1" t="s">
        <v>548</v>
      </c>
      <c r="E1005" s="1" t="s">
        <v>549</v>
      </c>
      <c r="F1005"/>
      <c r="G1005"/>
      <c r="H1005" s="1" t="s">
        <v>196</v>
      </c>
      <c r="I1005" s="1" t="s">
        <v>197</v>
      </c>
      <c r="J1005" s="1" t="s">
        <v>18</v>
      </c>
      <c r="K1005" s="1" t="s">
        <v>50</v>
      </c>
      <c r="L1005" s="1">
        <v>34432</v>
      </c>
      <c r="M1005" s="1">
        <v>31</v>
      </c>
      <c r="N1005" s="1">
        <v>1400</v>
      </c>
      <c r="P1005" s="1">
        <v>1900</v>
      </c>
      <c r="Q1005" s="1"/>
      <c r="R1005" s="1">
        <v>500</v>
      </c>
      <c r="S1005">
        <v>190000</v>
      </c>
      <c r="T1005">
        <v>9528</v>
      </c>
      <c r="U1005" t="s">
        <v>814</v>
      </c>
      <c r="V1005">
        <v>17385</v>
      </c>
      <c r="W1005" s="1">
        <v>46341</v>
      </c>
      <c r="X1005" s="1" t="s">
        <v>55</v>
      </c>
      <c r="Y1005" s="1" t="s">
        <v>51</v>
      </c>
      <c r="Z1005" s="1" t="s">
        <v>4445</v>
      </c>
      <c r="AA1005" s="1" t="s">
        <v>4446</v>
      </c>
      <c r="AB1005" s="1" t="s">
        <v>4447</v>
      </c>
      <c r="AC1005" s="1" t="s">
        <v>53</v>
      </c>
      <c r="AD1005" s="1">
        <v>45873</v>
      </c>
      <c r="AE1005" s="1"/>
      <c r="AF1005" s="1"/>
      <c r="AG1005" s="1">
        <v>45873</v>
      </c>
      <c r="AH1005" s="1" t="s">
        <v>4444</v>
      </c>
      <c r="AI1005" s="1"/>
      <c r="AJ1005" s="31">
        <v>45873</v>
      </c>
      <c r="AK1005"/>
      <c r="AL1005"/>
      <c r="AM1005"/>
      <c r="AN1005"/>
      <c r="AO1005"/>
      <c r="AP1005"/>
    </row>
    <row r="1006" spans="1:42">
      <c r="A1006" s="1" t="s">
        <v>49</v>
      </c>
      <c r="B1006" s="1">
        <v>240108</v>
      </c>
      <c r="C1006" s="1">
        <v>242098</v>
      </c>
      <c r="D1006" s="1" t="s">
        <v>69</v>
      </c>
      <c r="E1006" s="1" t="s">
        <v>306</v>
      </c>
      <c r="F1006" t="s">
        <v>390</v>
      </c>
      <c r="G1006" t="s">
        <v>1085</v>
      </c>
      <c r="H1006" s="1" t="s">
        <v>1568</v>
      </c>
      <c r="I1006" s="1" t="s">
        <v>1569</v>
      </c>
      <c r="J1006" s="1" t="s">
        <v>18</v>
      </c>
      <c r="K1006" s="1" t="s">
        <v>50</v>
      </c>
      <c r="L1006" s="1">
        <v>37106</v>
      </c>
      <c r="M1006" s="1">
        <v>24</v>
      </c>
      <c r="N1006" s="1">
        <v>1300</v>
      </c>
      <c r="P1006" s="1">
        <v>1680</v>
      </c>
      <c r="Q1006" s="1"/>
      <c r="R1006" s="1">
        <v>380</v>
      </c>
      <c r="S1006">
        <v>260000</v>
      </c>
      <c r="T1006">
        <v>13039</v>
      </c>
      <c r="U1006" t="s">
        <v>814</v>
      </c>
      <c r="V1006">
        <v>23790</v>
      </c>
      <c r="W1006" s="1">
        <v>46058</v>
      </c>
      <c r="X1006" s="1">
        <v>63</v>
      </c>
      <c r="Y1006" s="1" t="s">
        <v>51</v>
      </c>
      <c r="Z1006" s="1" t="s">
        <v>586</v>
      </c>
      <c r="AA1006" s="1" t="s">
        <v>1596</v>
      </c>
      <c r="AB1006" s="1" t="s">
        <v>588</v>
      </c>
      <c r="AC1006" s="1">
        <v>45303</v>
      </c>
      <c r="AD1006" s="1">
        <v>45309</v>
      </c>
      <c r="AE1006" s="1"/>
      <c r="AF1006" s="1"/>
      <c r="AG1006" s="1" t="s">
        <v>2012</v>
      </c>
      <c r="AH1006" s="1" t="s">
        <v>1998</v>
      </c>
      <c r="AI1006" s="1"/>
      <c r="AJ1006" s="31">
        <v>45309</v>
      </c>
      <c r="AK1006"/>
      <c r="AL1006"/>
      <c r="AM1006"/>
      <c r="AN1006"/>
      <c r="AO1006"/>
      <c r="AP1006"/>
    </row>
    <row r="1007" spans="1:42">
      <c r="A1007" s="1" t="s">
        <v>49</v>
      </c>
      <c r="B1007" s="1">
        <v>240111</v>
      </c>
      <c r="C1007" s="1">
        <v>242100</v>
      </c>
      <c r="D1007" s="1" t="s">
        <v>69</v>
      </c>
      <c r="E1007" s="1" t="s">
        <v>306</v>
      </c>
      <c r="F1007" t="s">
        <v>390</v>
      </c>
      <c r="G1007" t="s">
        <v>1085</v>
      </c>
      <c r="H1007" s="1" t="s">
        <v>2019</v>
      </c>
      <c r="I1007" s="1" t="s">
        <v>2020</v>
      </c>
      <c r="J1007" s="1" t="s">
        <v>18</v>
      </c>
      <c r="K1007" s="1" t="s">
        <v>50</v>
      </c>
      <c r="L1007" s="1">
        <v>36708</v>
      </c>
      <c r="M1007" s="1">
        <v>25</v>
      </c>
      <c r="N1007" s="1">
        <v>1300</v>
      </c>
      <c r="P1007" s="1">
        <v>1670</v>
      </c>
      <c r="Q1007" s="1"/>
      <c r="R1007" s="1">
        <v>370</v>
      </c>
      <c r="S1007">
        <v>280000</v>
      </c>
      <c r="T1007">
        <v>14042</v>
      </c>
      <c r="U1007" t="s">
        <v>814</v>
      </c>
      <c r="V1007">
        <v>25620</v>
      </c>
      <c r="W1007" s="1">
        <v>46058</v>
      </c>
      <c r="X1007" s="1">
        <v>63</v>
      </c>
      <c r="Y1007" s="1" t="s">
        <v>51</v>
      </c>
      <c r="Z1007" s="1" t="s">
        <v>427</v>
      </c>
      <c r="AA1007" s="1" t="s">
        <v>1724</v>
      </c>
      <c r="AB1007" s="1" t="s">
        <v>2021</v>
      </c>
      <c r="AC1007" s="1">
        <v>45308</v>
      </c>
      <c r="AD1007" s="1">
        <v>45314</v>
      </c>
      <c r="AE1007" s="1"/>
      <c r="AF1007" s="1"/>
      <c r="AG1007" s="1" t="s">
        <v>2170</v>
      </c>
      <c r="AH1007" s="1" t="s">
        <v>2169</v>
      </c>
      <c r="AI1007" s="1"/>
      <c r="AJ1007" s="31">
        <v>45314</v>
      </c>
      <c r="AK1007"/>
      <c r="AL1007"/>
      <c r="AM1007"/>
      <c r="AN1007"/>
      <c r="AO1007"/>
      <c r="AP1007"/>
    </row>
    <row r="1008" spans="1:42">
      <c r="A1008" s="1" t="s">
        <v>49</v>
      </c>
      <c r="B1008" s="1">
        <v>250111</v>
      </c>
      <c r="C1008" s="1">
        <v>242117</v>
      </c>
      <c r="D1008" s="1" t="s">
        <v>69</v>
      </c>
      <c r="E1008" s="1" t="s">
        <v>306</v>
      </c>
      <c r="F1008" t="s">
        <v>390</v>
      </c>
      <c r="G1008" t="s">
        <v>1085</v>
      </c>
      <c r="H1008" s="1" t="s">
        <v>4080</v>
      </c>
      <c r="I1008" s="1" t="s">
        <v>4081</v>
      </c>
      <c r="J1008" s="1" t="s">
        <v>18</v>
      </c>
      <c r="K1008" s="1" t="s">
        <v>50</v>
      </c>
      <c r="L1008" s="1">
        <v>36993</v>
      </c>
      <c r="M1008" s="1">
        <v>24</v>
      </c>
      <c r="N1008" s="1">
        <v>1250</v>
      </c>
      <c r="P1008" s="1">
        <v>1650</v>
      </c>
      <c r="Q1008" s="1"/>
      <c r="R1008" s="1">
        <v>400</v>
      </c>
      <c r="S1008">
        <v>260000</v>
      </c>
      <c r="T1008">
        <v>13039</v>
      </c>
      <c r="U1008" t="s">
        <v>814</v>
      </c>
      <c r="V1008">
        <v>23790</v>
      </c>
      <c r="W1008" s="1">
        <v>46762</v>
      </c>
      <c r="X1008" s="1" t="s">
        <v>55</v>
      </c>
      <c r="Y1008" s="1" t="s">
        <v>51</v>
      </c>
      <c r="Z1008" s="1" t="s">
        <v>586</v>
      </c>
      <c r="AA1008" s="1" t="s">
        <v>1596</v>
      </c>
      <c r="AB1008" s="1" t="s">
        <v>588</v>
      </c>
      <c r="AC1008" s="1"/>
      <c r="AD1008" s="1">
        <v>45673</v>
      </c>
      <c r="AE1008" s="1"/>
      <c r="AF1008" s="1"/>
      <c r="AG1008" s="1">
        <v>45673</v>
      </c>
      <c r="AH1008" s="1" t="s">
        <v>4184</v>
      </c>
      <c r="AI1008" s="1"/>
      <c r="AJ1008" s="31">
        <v>45673</v>
      </c>
      <c r="AK1008"/>
      <c r="AL1008"/>
      <c r="AM1008"/>
      <c r="AN1008"/>
      <c r="AO1008"/>
      <c r="AP1008"/>
    </row>
    <row r="1009" spans="1:42" hidden="1">
      <c r="A1009" s="1" t="s">
        <v>49</v>
      </c>
      <c r="B1009" s="1">
        <v>210501</v>
      </c>
      <c r="C1009" s="1">
        <v>232012</v>
      </c>
      <c r="D1009" s="1" t="s">
        <v>83</v>
      </c>
      <c r="E1009" s="1" t="s">
        <v>307</v>
      </c>
      <c r="F1009" t="s">
        <v>2251</v>
      </c>
      <c r="G1009" t="s">
        <v>2252</v>
      </c>
      <c r="H1009" s="1" t="s">
        <v>125</v>
      </c>
      <c r="I1009" s="1" t="s">
        <v>126</v>
      </c>
      <c r="J1009" s="1" t="s">
        <v>18</v>
      </c>
      <c r="K1009" s="1" t="s">
        <v>50</v>
      </c>
      <c r="L1009" s="1">
        <v>34148</v>
      </c>
      <c r="M1009" s="1">
        <v>32</v>
      </c>
      <c r="N1009" s="1">
        <v>1420</v>
      </c>
      <c r="P1009" s="1">
        <v>1880</v>
      </c>
      <c r="Q1009" s="1" t="s">
        <v>66</v>
      </c>
      <c r="R1009" s="1">
        <v>460</v>
      </c>
      <c r="S1009">
        <v>190000</v>
      </c>
      <c r="T1009">
        <v>9528</v>
      </c>
      <c r="U1009" t="s">
        <v>814</v>
      </c>
      <c r="V1009">
        <v>17385</v>
      </c>
      <c r="W1009" s="1">
        <v>46276</v>
      </c>
      <c r="X1009" s="1" t="s">
        <v>55</v>
      </c>
      <c r="Y1009" s="1" t="s">
        <v>51</v>
      </c>
      <c r="Z1009" s="1" t="s">
        <v>110</v>
      </c>
      <c r="AA1009" s="1" t="s">
        <v>113</v>
      </c>
      <c r="AB1009" s="1" t="s">
        <v>1316</v>
      </c>
      <c r="AC1009" s="1"/>
      <c r="AD1009" s="1">
        <v>45887</v>
      </c>
      <c r="AE1009" s="1"/>
      <c r="AF1009" s="1"/>
      <c r="AG1009" s="1">
        <v>45887</v>
      </c>
      <c r="AH1009" s="1" t="s">
        <v>4444</v>
      </c>
      <c r="AI1009" s="1"/>
      <c r="AJ1009" s="31">
        <v>45887</v>
      </c>
      <c r="AK1009"/>
      <c r="AL1009"/>
      <c r="AM1009"/>
      <c r="AN1009"/>
      <c r="AO1009"/>
      <c r="AP1009"/>
    </row>
    <row r="1010" spans="1:42">
      <c r="A1010" s="1" t="s">
        <v>49</v>
      </c>
      <c r="B1010" s="1">
        <v>250217</v>
      </c>
      <c r="C1010" s="1">
        <v>242125</v>
      </c>
      <c r="D1010" s="1" t="s">
        <v>69</v>
      </c>
      <c r="E1010" s="1" t="s">
        <v>306</v>
      </c>
      <c r="F1010" t="s">
        <v>390</v>
      </c>
      <c r="G1010" t="s">
        <v>1085</v>
      </c>
      <c r="H1010" s="1" t="s">
        <v>4128</v>
      </c>
      <c r="I1010" s="1" t="s">
        <v>4129</v>
      </c>
      <c r="J1010" s="1" t="s">
        <v>18</v>
      </c>
      <c r="K1010" s="1" t="s">
        <v>50</v>
      </c>
      <c r="L1010" s="1">
        <v>37608</v>
      </c>
      <c r="M1010" s="1">
        <v>22</v>
      </c>
      <c r="N1010" s="1">
        <v>1250</v>
      </c>
      <c r="P1010" s="1">
        <v>1650</v>
      </c>
      <c r="Q1010" s="1"/>
      <c r="R1010" s="1">
        <v>400</v>
      </c>
      <c r="S1010">
        <v>260000</v>
      </c>
      <c r="T1010">
        <v>13039</v>
      </c>
      <c r="U1010" t="s">
        <v>814</v>
      </c>
      <c r="V1010">
        <v>23790</v>
      </c>
      <c r="W1010" s="1">
        <v>46789</v>
      </c>
      <c r="X1010" s="1" t="s">
        <v>55</v>
      </c>
      <c r="Y1010" s="1" t="s">
        <v>51</v>
      </c>
      <c r="Z1010" s="1" t="s">
        <v>4146</v>
      </c>
      <c r="AA1010" s="1" t="s">
        <v>4147</v>
      </c>
      <c r="AB1010" s="1" t="s">
        <v>4148</v>
      </c>
      <c r="AC1010" s="1"/>
      <c r="AD1010" s="1">
        <v>45700</v>
      </c>
      <c r="AE1010" s="1"/>
      <c r="AF1010" s="1"/>
      <c r="AG1010" s="1">
        <v>45700</v>
      </c>
      <c r="AH1010" s="1" t="s">
        <v>4186</v>
      </c>
      <c r="AI1010" s="1"/>
      <c r="AJ1010" s="31">
        <v>45700</v>
      </c>
      <c r="AK1010"/>
      <c r="AL1010"/>
      <c r="AM1010"/>
      <c r="AN1010"/>
      <c r="AO1010"/>
      <c r="AP1010"/>
    </row>
    <row r="1011" spans="1:42" hidden="1">
      <c r="A1011" s="1" t="s">
        <v>49</v>
      </c>
      <c r="B1011" s="1">
        <v>230402</v>
      </c>
      <c r="C1011" s="1">
        <v>8210138</v>
      </c>
      <c r="D1011" s="1" t="s">
        <v>815</v>
      </c>
      <c r="E1011" s="1" t="s">
        <v>825</v>
      </c>
      <c r="F1011" t="s">
        <v>825</v>
      </c>
      <c r="G1011"/>
      <c r="H1011" s="1" t="s">
        <v>153</v>
      </c>
      <c r="I1011" s="1" t="s">
        <v>1116</v>
      </c>
      <c r="J1011" s="1" t="s">
        <v>18</v>
      </c>
      <c r="K1011" s="1" t="s">
        <v>50</v>
      </c>
      <c r="L1011" s="1">
        <v>36751</v>
      </c>
      <c r="M1011" s="1">
        <v>25</v>
      </c>
      <c r="N1011" s="1">
        <v>1500</v>
      </c>
      <c r="P1011" s="1">
        <v>2150</v>
      </c>
      <c r="Q1011" s="1"/>
      <c r="R1011" s="1">
        <v>650</v>
      </c>
      <c r="S1011">
        <v>190000</v>
      </c>
      <c r="T1011">
        <v>9528</v>
      </c>
      <c r="U1011" t="s">
        <v>814</v>
      </c>
      <c r="V1011">
        <v>17385</v>
      </c>
      <c r="W1011" s="1">
        <v>46131</v>
      </c>
      <c r="X1011" s="1" t="s">
        <v>55</v>
      </c>
      <c r="Y1011" s="1" t="s">
        <v>51</v>
      </c>
      <c r="Z1011" s="1" t="s">
        <v>982</v>
      </c>
      <c r="AA1011" s="1" t="s">
        <v>983</v>
      </c>
      <c r="AB1011" s="1" t="s">
        <v>990</v>
      </c>
      <c r="AC1011" s="1"/>
      <c r="AD1011" s="1">
        <v>45887</v>
      </c>
      <c r="AE1011" s="1"/>
      <c r="AF1011" s="1"/>
      <c r="AG1011" s="1">
        <v>45887</v>
      </c>
      <c r="AH1011" s="1" t="s">
        <v>3790</v>
      </c>
      <c r="AI1011" s="1"/>
      <c r="AJ1011" s="31">
        <v>45887</v>
      </c>
      <c r="AK1011"/>
      <c r="AL1011"/>
      <c r="AM1011"/>
      <c r="AN1011"/>
      <c r="AO1011"/>
      <c r="AP1011"/>
    </row>
    <row r="1012" spans="1:42" hidden="1">
      <c r="A1012" s="1" t="s">
        <v>49</v>
      </c>
      <c r="B1012" s="1">
        <v>250805</v>
      </c>
      <c r="C1012" s="1">
        <v>8210137</v>
      </c>
      <c r="D1012" s="1" t="s">
        <v>823</v>
      </c>
      <c r="E1012" s="1" t="s">
        <v>824</v>
      </c>
      <c r="F1012" t="s">
        <v>824</v>
      </c>
      <c r="G1012"/>
      <c r="H1012" s="1" t="s">
        <v>4454</v>
      </c>
      <c r="I1012" s="1" t="s">
        <v>4455</v>
      </c>
      <c r="J1012" s="1" t="s">
        <v>18</v>
      </c>
      <c r="K1012" s="1" t="s">
        <v>50</v>
      </c>
      <c r="L1012" s="1">
        <v>35342</v>
      </c>
      <c r="M1012" s="1">
        <v>29</v>
      </c>
      <c r="N1012" s="1">
        <v>1500</v>
      </c>
      <c r="P1012" s="1">
        <v>2150</v>
      </c>
      <c r="Q1012" s="1"/>
      <c r="R1012" s="1">
        <v>650</v>
      </c>
      <c r="S1012">
        <v>190000</v>
      </c>
      <c r="T1012">
        <v>9528</v>
      </c>
      <c r="U1012" t="s">
        <v>814</v>
      </c>
      <c r="V1012">
        <v>17385</v>
      </c>
      <c r="W1012" s="1">
        <v>46114</v>
      </c>
      <c r="X1012" s="1" t="s">
        <v>55</v>
      </c>
      <c r="Y1012" s="1" t="s">
        <v>51</v>
      </c>
      <c r="Z1012" s="1" t="s">
        <v>982</v>
      </c>
      <c r="AA1012" s="1" t="s">
        <v>983</v>
      </c>
      <c r="AB1012" s="1" t="s">
        <v>4456</v>
      </c>
      <c r="AC1012" s="1"/>
      <c r="AD1012" s="1">
        <v>45887</v>
      </c>
      <c r="AE1012" s="1"/>
      <c r="AF1012" s="1"/>
      <c r="AG1012" s="1">
        <v>45887</v>
      </c>
      <c r="AH1012" s="1" t="s">
        <v>3790</v>
      </c>
      <c r="AI1012" s="1"/>
      <c r="AJ1012" s="31">
        <v>45887</v>
      </c>
      <c r="AK1012"/>
      <c r="AL1012"/>
      <c r="AM1012"/>
      <c r="AN1012"/>
      <c r="AO1012"/>
      <c r="AP1012"/>
    </row>
    <row r="1013" spans="1:42" hidden="1">
      <c r="A1013" s="1" t="s">
        <v>49</v>
      </c>
      <c r="B1013" s="1">
        <v>250806</v>
      </c>
      <c r="C1013" s="1">
        <v>5709</v>
      </c>
      <c r="D1013" s="1" t="s">
        <v>846</v>
      </c>
      <c r="E1013" s="1" t="s">
        <v>1232</v>
      </c>
      <c r="F1013" t="s">
        <v>1240</v>
      </c>
      <c r="G1013" t="s">
        <v>1514</v>
      </c>
      <c r="H1013" s="1" t="s">
        <v>4457</v>
      </c>
      <c r="I1013" s="1" t="s">
        <v>4458</v>
      </c>
      <c r="J1013" s="1" t="s">
        <v>18</v>
      </c>
      <c r="K1013" s="1" t="s">
        <v>50</v>
      </c>
      <c r="L1013" s="1">
        <v>32875</v>
      </c>
      <c r="M1013" s="1">
        <v>35</v>
      </c>
      <c r="N1013" s="1">
        <v>1300</v>
      </c>
      <c r="P1013" s="1">
        <v>1700</v>
      </c>
      <c r="Q1013" s="1"/>
      <c r="R1013" s="1">
        <v>400</v>
      </c>
      <c r="S1013">
        <v>170000</v>
      </c>
      <c r="T1013">
        <v>8525</v>
      </c>
      <c r="U1013" t="s">
        <v>814</v>
      </c>
      <c r="V1013">
        <v>15555</v>
      </c>
      <c r="W1013" s="1">
        <v>46597</v>
      </c>
      <c r="X1013" s="1" t="s">
        <v>55</v>
      </c>
      <c r="Y1013" s="1" t="s">
        <v>51</v>
      </c>
      <c r="Z1013" s="1" t="s">
        <v>801</v>
      </c>
      <c r="AA1013" s="1" t="s">
        <v>802</v>
      </c>
      <c r="AB1013" s="1" t="s">
        <v>4459</v>
      </c>
      <c r="AC1013" s="1"/>
      <c r="AD1013" s="1">
        <v>45887</v>
      </c>
      <c r="AE1013" s="1"/>
      <c r="AF1013" s="1"/>
      <c r="AG1013" s="1">
        <v>45887</v>
      </c>
      <c r="AH1013" s="1" t="s">
        <v>3790</v>
      </c>
      <c r="AI1013" s="1"/>
      <c r="AJ1013" s="31">
        <v>45887</v>
      </c>
      <c r="AK1013"/>
      <c r="AL1013"/>
      <c r="AM1013"/>
      <c r="AN1013"/>
      <c r="AO1013"/>
      <c r="AP1013"/>
    </row>
    <row r="1014" spans="1:42" hidden="1">
      <c r="A1014" s="1" t="s">
        <v>49</v>
      </c>
      <c r="B1014" s="1">
        <v>250807</v>
      </c>
      <c r="D1014" s="1" t="s">
        <v>846</v>
      </c>
      <c r="E1014" s="1" t="s">
        <v>1232</v>
      </c>
      <c r="F1014" t="s">
        <v>1240</v>
      </c>
      <c r="G1014" t="s">
        <v>1514</v>
      </c>
      <c r="H1014" s="1" t="s">
        <v>4460</v>
      </c>
      <c r="I1014" s="1" t="s">
        <v>4461</v>
      </c>
      <c r="J1014" s="1" t="s">
        <v>18</v>
      </c>
      <c r="K1014" s="1" t="s">
        <v>50</v>
      </c>
      <c r="L1014" s="1">
        <v>33962</v>
      </c>
      <c r="M1014" s="1">
        <v>32</v>
      </c>
      <c r="N1014" s="1">
        <v>1300</v>
      </c>
      <c r="P1014" s="1">
        <v>1700</v>
      </c>
      <c r="Q1014" s="1"/>
      <c r="R1014" s="1">
        <v>400</v>
      </c>
      <c r="S1014">
        <v>170000</v>
      </c>
      <c r="T1014">
        <v>8525</v>
      </c>
      <c r="U1014" t="s">
        <v>814</v>
      </c>
      <c r="V1014">
        <v>15555</v>
      </c>
      <c r="W1014" s="1">
        <v>46956</v>
      </c>
      <c r="X1014" s="1" t="s">
        <v>55</v>
      </c>
      <c r="Y1014" s="1" t="s">
        <v>51</v>
      </c>
      <c r="Z1014" s="1" t="s">
        <v>652</v>
      </c>
      <c r="AA1014" s="1" t="s">
        <v>659</v>
      </c>
      <c r="AB1014" s="1" t="s">
        <v>4462</v>
      </c>
      <c r="AC1014" s="1"/>
      <c r="AD1014" s="1">
        <v>45890</v>
      </c>
      <c r="AE1014" s="1"/>
      <c r="AF1014" s="1"/>
      <c r="AG1014" s="1">
        <v>45890</v>
      </c>
      <c r="AH1014" s="1" t="s">
        <v>4501</v>
      </c>
      <c r="AI1014" s="1"/>
      <c r="AJ1014" s="31">
        <v>45890</v>
      </c>
      <c r="AK1014"/>
      <c r="AL1014"/>
      <c r="AM1014"/>
      <c r="AN1014"/>
      <c r="AO1014"/>
      <c r="AP1014"/>
    </row>
    <row r="1015" spans="1:42" hidden="1">
      <c r="A1015" s="1" t="s">
        <v>49</v>
      </c>
      <c r="B1015" s="1">
        <v>250808</v>
      </c>
      <c r="D1015" s="1" t="s">
        <v>61</v>
      </c>
      <c r="F1015"/>
      <c r="G1015"/>
      <c r="H1015" s="1" t="s">
        <v>4463</v>
      </c>
      <c r="I1015" s="1" t="s">
        <v>4464</v>
      </c>
      <c r="J1015" s="1" t="s">
        <v>18</v>
      </c>
      <c r="K1015" s="1" t="s">
        <v>50</v>
      </c>
      <c r="L1015" s="1">
        <v>32855</v>
      </c>
      <c r="M1015" s="1">
        <v>35</v>
      </c>
      <c r="N1015" s="1">
        <v>1300</v>
      </c>
      <c r="P1015" s="1">
        <v>1800</v>
      </c>
      <c r="Q1015" s="1"/>
      <c r="R1015" s="1">
        <v>500</v>
      </c>
      <c r="S1015">
        <v>170000</v>
      </c>
      <c r="T1015">
        <v>8525</v>
      </c>
      <c r="U1015" t="s">
        <v>814</v>
      </c>
      <c r="V1015">
        <v>15555</v>
      </c>
      <c r="W1015" s="1">
        <v>46260</v>
      </c>
      <c r="X1015" s="1" t="s">
        <v>55</v>
      </c>
      <c r="Y1015" s="1" t="s">
        <v>51</v>
      </c>
      <c r="Z1015" s="1" t="s">
        <v>4465</v>
      </c>
      <c r="AA1015" s="1" t="s">
        <v>4266</v>
      </c>
      <c r="AB1015" s="1" t="s">
        <v>4466</v>
      </c>
      <c r="AC1015" s="1" t="s">
        <v>53</v>
      </c>
      <c r="AD1015" s="1">
        <v>45890</v>
      </c>
      <c r="AE1015" s="1"/>
      <c r="AF1015" s="1"/>
      <c r="AG1015" s="1">
        <v>45890</v>
      </c>
      <c r="AH1015" s="1" t="s">
        <v>3901</v>
      </c>
      <c r="AI1015" s="1"/>
      <c r="AJ1015" s="31">
        <v>45890</v>
      </c>
      <c r="AK1015"/>
      <c r="AL1015"/>
      <c r="AM1015"/>
      <c r="AN1015"/>
      <c r="AO1015"/>
      <c r="AP1015"/>
    </row>
    <row r="1016" spans="1:42" hidden="1">
      <c r="A1016" s="1" t="s">
        <v>49</v>
      </c>
      <c r="B1016" s="1">
        <v>240801</v>
      </c>
      <c r="C1016" s="1">
        <v>5630</v>
      </c>
      <c r="D1016" s="1" t="s">
        <v>846</v>
      </c>
      <c r="E1016" s="1" t="s">
        <v>3895</v>
      </c>
      <c r="F1016" t="s">
        <v>3896</v>
      </c>
      <c r="G1016" t="s">
        <v>1514</v>
      </c>
      <c r="H1016" s="1" t="s">
        <v>3780</v>
      </c>
      <c r="I1016" s="1" t="s">
        <v>3781</v>
      </c>
      <c r="J1016" s="1" t="s">
        <v>18</v>
      </c>
      <c r="K1016" s="1" t="s">
        <v>50</v>
      </c>
      <c r="L1016" s="1">
        <v>35005</v>
      </c>
      <c r="M1016" s="1">
        <v>30</v>
      </c>
      <c r="N1016" s="1">
        <v>1300</v>
      </c>
      <c r="P1016" s="1">
        <v>1700</v>
      </c>
      <c r="Q1016" s="1"/>
      <c r="R1016" s="1">
        <v>400</v>
      </c>
      <c r="S1016">
        <v>170000</v>
      </c>
      <c r="T1016">
        <v>8525</v>
      </c>
      <c r="U1016" t="s">
        <v>814</v>
      </c>
      <c r="V1016">
        <v>15555</v>
      </c>
      <c r="W1016" s="1">
        <v>46457</v>
      </c>
      <c r="X1016" s="1" t="s">
        <v>55</v>
      </c>
      <c r="Y1016" s="1" t="s">
        <v>51</v>
      </c>
      <c r="Z1016" s="1" t="s">
        <v>652</v>
      </c>
      <c r="AA1016" s="1" t="s">
        <v>653</v>
      </c>
      <c r="AB1016" s="1" t="s">
        <v>654</v>
      </c>
      <c r="AC1016" s="1"/>
      <c r="AD1016" s="1">
        <v>45894</v>
      </c>
      <c r="AE1016" s="1"/>
      <c r="AF1016" s="1"/>
      <c r="AG1016" s="1">
        <v>45894</v>
      </c>
      <c r="AH1016" s="1" t="s">
        <v>4501</v>
      </c>
      <c r="AI1016" s="1"/>
      <c r="AJ1016" s="31">
        <v>45894</v>
      </c>
      <c r="AK1016"/>
      <c r="AL1016"/>
      <c r="AM1016"/>
      <c r="AN1016"/>
      <c r="AO1016"/>
      <c r="AP1016"/>
    </row>
    <row r="1017" spans="1:42" hidden="1">
      <c r="A1017" s="1" t="s">
        <v>49</v>
      </c>
      <c r="B1017" s="1">
        <v>221010</v>
      </c>
      <c r="C1017" s="1">
        <v>5501</v>
      </c>
      <c r="D1017" s="1" t="s">
        <v>846</v>
      </c>
      <c r="E1017" s="1" t="s">
        <v>1585</v>
      </c>
      <c r="F1017" t="s">
        <v>1273</v>
      </c>
      <c r="G1017" t="s">
        <v>1514</v>
      </c>
      <c r="H1017" s="1" t="s">
        <v>778</v>
      </c>
      <c r="I1017" s="1" t="s">
        <v>779</v>
      </c>
      <c r="J1017" s="1" t="s">
        <v>18</v>
      </c>
      <c r="K1017" s="1" t="s">
        <v>50</v>
      </c>
      <c r="L1017" s="1">
        <v>35133</v>
      </c>
      <c r="M1017" s="1">
        <v>29</v>
      </c>
      <c r="N1017" s="1">
        <v>1330</v>
      </c>
      <c r="O1017" s="1" t="s">
        <v>4355</v>
      </c>
      <c r="P1017" s="1">
        <v>1745</v>
      </c>
      <c r="Q1017" s="1" t="s">
        <v>4356</v>
      </c>
      <c r="R1017" s="1">
        <v>415</v>
      </c>
      <c r="S1017">
        <v>170000</v>
      </c>
      <c r="T1017">
        <v>8525</v>
      </c>
      <c r="U1017" t="s">
        <v>814</v>
      </c>
      <c r="V1017">
        <v>15555</v>
      </c>
      <c r="W1017" s="1">
        <v>46900</v>
      </c>
      <c r="X1017" s="1" t="s">
        <v>55</v>
      </c>
      <c r="Y1017" s="1" t="s">
        <v>51</v>
      </c>
      <c r="Z1017" s="1" t="s">
        <v>3528</v>
      </c>
      <c r="AA1017" s="1" t="s">
        <v>3529</v>
      </c>
      <c r="AB1017" s="1" t="s">
        <v>3530</v>
      </c>
      <c r="AC1017" s="1"/>
      <c r="AD1017" s="1">
        <v>45894</v>
      </c>
      <c r="AE1017" s="1"/>
      <c r="AF1017" s="1"/>
      <c r="AG1017" s="1">
        <v>45894</v>
      </c>
      <c r="AH1017" s="1" t="s">
        <v>3901</v>
      </c>
      <c r="AI1017" s="1"/>
      <c r="AJ1017" s="31">
        <v>45894</v>
      </c>
      <c r="AK1017"/>
      <c r="AL1017"/>
      <c r="AM1017"/>
      <c r="AN1017"/>
      <c r="AO1017"/>
      <c r="AP1017"/>
    </row>
    <row r="1018" spans="1:42" hidden="1">
      <c r="A1018" s="1" t="s">
        <v>49</v>
      </c>
      <c r="B1018" s="1">
        <v>250809</v>
      </c>
      <c r="D1018" s="1" t="s">
        <v>168</v>
      </c>
      <c r="F1018"/>
      <c r="G1018"/>
      <c r="H1018" s="1" t="s">
        <v>4467</v>
      </c>
      <c r="I1018" s="1" t="s">
        <v>4468</v>
      </c>
      <c r="J1018" s="1" t="s">
        <v>18</v>
      </c>
      <c r="K1018" s="1" t="s">
        <v>50</v>
      </c>
      <c r="L1018" s="1">
        <v>35968</v>
      </c>
      <c r="M1018" s="1">
        <v>27</v>
      </c>
      <c r="N1018" s="1">
        <v>1400</v>
      </c>
      <c r="P1018" s="1">
        <v>2000</v>
      </c>
      <c r="Q1018" s="1"/>
      <c r="R1018" s="1">
        <v>600</v>
      </c>
      <c r="S1018">
        <v>200000</v>
      </c>
      <c r="T1018">
        <v>10030</v>
      </c>
      <c r="U1018" t="s">
        <v>814</v>
      </c>
      <c r="V1018">
        <v>18300</v>
      </c>
      <c r="W1018" s="1">
        <v>46688</v>
      </c>
      <c r="X1018" s="1" t="s">
        <v>55</v>
      </c>
      <c r="Y1018" s="1" t="s">
        <v>51</v>
      </c>
      <c r="Z1018" s="1" t="s">
        <v>178</v>
      </c>
      <c r="AA1018" s="1" t="s">
        <v>179</v>
      </c>
      <c r="AB1018" s="1" t="s">
        <v>4435</v>
      </c>
      <c r="AC1018" s="1">
        <v>45895</v>
      </c>
      <c r="AD1018" s="1">
        <v>45896</v>
      </c>
      <c r="AE1018" s="1"/>
      <c r="AF1018" s="1"/>
      <c r="AG1018" s="1">
        <v>45896</v>
      </c>
      <c r="AH1018" s="1" t="s">
        <v>3901</v>
      </c>
      <c r="AI1018" s="1"/>
      <c r="AJ1018" s="31">
        <v>45896</v>
      </c>
      <c r="AK1018"/>
      <c r="AL1018"/>
      <c r="AM1018"/>
      <c r="AN1018"/>
      <c r="AO1018"/>
      <c r="AP1018"/>
    </row>
    <row r="1019" spans="1:42">
      <c r="A1019" s="1" t="s">
        <v>49</v>
      </c>
      <c r="B1019" s="1">
        <v>250218</v>
      </c>
      <c r="C1019" s="1">
        <v>242122</v>
      </c>
      <c r="D1019" s="1" t="s">
        <v>69</v>
      </c>
      <c r="E1019" s="1" t="s">
        <v>306</v>
      </c>
      <c r="F1019" t="s">
        <v>390</v>
      </c>
      <c r="G1019" t="s">
        <v>1085</v>
      </c>
      <c r="H1019" s="1" t="s">
        <v>4130</v>
      </c>
      <c r="I1019" s="1" t="s">
        <v>4131</v>
      </c>
      <c r="J1019" s="1" t="s">
        <v>18</v>
      </c>
      <c r="K1019" s="1" t="s">
        <v>50</v>
      </c>
      <c r="L1019" s="1">
        <v>37316</v>
      </c>
      <c r="M1019" s="1">
        <v>23</v>
      </c>
      <c r="N1019" s="1">
        <v>1250</v>
      </c>
      <c r="P1019" s="1">
        <v>1650</v>
      </c>
      <c r="Q1019" s="1"/>
      <c r="R1019" s="1">
        <v>400</v>
      </c>
      <c r="S1019">
        <v>260000</v>
      </c>
      <c r="T1019">
        <v>13039</v>
      </c>
      <c r="U1019" t="s">
        <v>814</v>
      </c>
      <c r="V1019">
        <v>23790</v>
      </c>
      <c r="W1019" s="1">
        <v>46789</v>
      </c>
      <c r="X1019" s="1" t="s">
        <v>55</v>
      </c>
      <c r="Y1019" s="1" t="s">
        <v>51</v>
      </c>
      <c r="Z1019" s="1" t="s">
        <v>485</v>
      </c>
      <c r="AA1019" s="1" t="s">
        <v>486</v>
      </c>
      <c r="AB1019" s="1" t="s">
        <v>3886</v>
      </c>
      <c r="AC1019" s="1"/>
      <c r="AD1019" s="1">
        <v>45700</v>
      </c>
      <c r="AE1019" s="1"/>
      <c r="AF1019" s="1"/>
      <c r="AG1019" s="1">
        <v>45700</v>
      </c>
      <c r="AH1019" s="1" t="s">
        <v>4186</v>
      </c>
      <c r="AI1019" s="1"/>
      <c r="AJ1019" s="31">
        <v>45700</v>
      </c>
      <c r="AK1019"/>
      <c r="AL1019"/>
      <c r="AM1019"/>
      <c r="AN1019"/>
      <c r="AO1019"/>
      <c r="AP1019"/>
    </row>
    <row r="1020" spans="1:42" hidden="1">
      <c r="A1020" s="1" t="s">
        <v>49</v>
      </c>
      <c r="B1020" s="1">
        <v>220317</v>
      </c>
      <c r="C1020" s="1">
        <v>232109</v>
      </c>
      <c r="D1020" s="1" t="s">
        <v>83</v>
      </c>
      <c r="E1020" s="1" t="s">
        <v>307</v>
      </c>
      <c r="F1020" t="s">
        <v>2251</v>
      </c>
      <c r="G1020" t="s">
        <v>2252</v>
      </c>
      <c r="H1020" s="1" t="s">
        <v>235</v>
      </c>
      <c r="I1020" s="1" t="s">
        <v>236</v>
      </c>
      <c r="J1020" s="1" t="s">
        <v>18</v>
      </c>
      <c r="K1020" s="1" t="s">
        <v>50</v>
      </c>
      <c r="L1020" s="1">
        <v>34464</v>
      </c>
      <c r="M1020" s="1">
        <v>31</v>
      </c>
      <c r="N1020" s="1">
        <v>1420</v>
      </c>
      <c r="P1020" s="1">
        <v>1880</v>
      </c>
      <c r="Q1020" s="1"/>
      <c r="R1020" s="1">
        <v>460</v>
      </c>
      <c r="S1020">
        <v>240000</v>
      </c>
      <c r="T1020">
        <v>12036</v>
      </c>
      <c r="U1020" t="s">
        <v>814</v>
      </c>
      <c r="V1020">
        <v>21960</v>
      </c>
      <c r="W1020" s="1">
        <v>46446</v>
      </c>
      <c r="X1020" s="1" t="s">
        <v>55</v>
      </c>
      <c r="Y1020" s="1" t="s">
        <v>51</v>
      </c>
      <c r="Z1020" s="1" t="s">
        <v>110</v>
      </c>
      <c r="AA1020" s="1" t="s">
        <v>113</v>
      </c>
      <c r="AB1020" s="1" t="s">
        <v>3675</v>
      </c>
      <c r="AC1020" s="1"/>
      <c r="AD1020" s="1">
        <v>45901</v>
      </c>
      <c r="AE1020" s="1">
        <v>46006</v>
      </c>
      <c r="AF1020" s="1"/>
      <c r="AG1020" s="1">
        <v>45901</v>
      </c>
      <c r="AH1020" s="1" t="s">
        <v>3901</v>
      </c>
      <c r="AI1020" s="1"/>
      <c r="AJ1020" s="31">
        <v>45901</v>
      </c>
      <c r="AK1020"/>
      <c r="AL1020"/>
      <c r="AM1020"/>
      <c r="AN1020"/>
      <c r="AO1020"/>
      <c r="AP1020"/>
    </row>
    <row r="1021" spans="1:42" hidden="1">
      <c r="A1021" s="1" t="s">
        <v>49</v>
      </c>
      <c r="B1021" s="1">
        <v>250901</v>
      </c>
      <c r="D1021" s="1" t="s">
        <v>168</v>
      </c>
      <c r="F1021"/>
      <c r="G1021"/>
      <c r="H1021" s="1" t="s">
        <v>4469</v>
      </c>
      <c r="I1021" s="1" t="s">
        <v>4470</v>
      </c>
      <c r="J1021" s="1" t="s">
        <v>18</v>
      </c>
      <c r="K1021" s="1" t="s">
        <v>50</v>
      </c>
      <c r="L1021" s="1">
        <v>34422</v>
      </c>
      <c r="M1021" s="1">
        <v>31</v>
      </c>
      <c r="N1021" s="1">
        <v>1400</v>
      </c>
      <c r="P1021" s="1">
        <v>2000</v>
      </c>
      <c r="Q1021" s="1"/>
      <c r="R1021" s="1">
        <v>600</v>
      </c>
      <c r="S1021">
        <v>240000</v>
      </c>
      <c r="T1021">
        <v>12036</v>
      </c>
      <c r="U1021" t="s">
        <v>814</v>
      </c>
      <c r="V1021">
        <v>21960</v>
      </c>
      <c r="W1021" s="1">
        <v>46934</v>
      </c>
      <c r="X1021" s="1" t="s">
        <v>55</v>
      </c>
      <c r="Y1021" s="1" t="s">
        <v>51</v>
      </c>
      <c r="Z1021" s="1" t="s">
        <v>2471</v>
      </c>
      <c r="AA1021" s="1" t="s">
        <v>4471</v>
      </c>
      <c r="AB1021" s="1" t="s">
        <v>4472</v>
      </c>
      <c r="AC1021" s="1" t="s">
        <v>53</v>
      </c>
      <c r="AD1021" s="1">
        <v>45902</v>
      </c>
      <c r="AE1021" s="1"/>
      <c r="AF1021" s="1"/>
      <c r="AG1021" s="1">
        <v>45902</v>
      </c>
      <c r="AH1021" s="1" t="s">
        <v>3901</v>
      </c>
      <c r="AI1021" s="1"/>
      <c r="AJ1021" s="31">
        <v>45902</v>
      </c>
      <c r="AK1021"/>
      <c r="AL1021"/>
      <c r="AM1021"/>
      <c r="AN1021"/>
      <c r="AO1021"/>
      <c r="AP1021"/>
    </row>
    <row r="1022" spans="1:42" hidden="1">
      <c r="A1022" s="1" t="s">
        <v>49</v>
      </c>
      <c r="B1022" s="1">
        <v>250902</v>
      </c>
      <c r="C1022" s="1">
        <v>10768</v>
      </c>
      <c r="D1022" s="1" t="s">
        <v>4502</v>
      </c>
      <c r="E1022" s="1" t="s">
        <v>4321</v>
      </c>
      <c r="F1022" t="s">
        <v>4320</v>
      </c>
      <c r="G1022" t="s">
        <v>4324</v>
      </c>
      <c r="H1022" s="1" t="s">
        <v>4473</v>
      </c>
      <c r="I1022" s="1" t="s">
        <v>4474</v>
      </c>
      <c r="J1022" s="1" t="s">
        <v>18</v>
      </c>
      <c r="K1022" s="1" t="s">
        <v>50</v>
      </c>
      <c r="L1022" s="1">
        <v>33439</v>
      </c>
      <c r="M1022" s="1">
        <v>34</v>
      </c>
      <c r="N1022" s="1">
        <v>1350</v>
      </c>
      <c r="P1022" s="1">
        <v>1850</v>
      </c>
      <c r="Q1022" s="1"/>
      <c r="R1022" s="1">
        <v>500</v>
      </c>
      <c r="S1022">
        <v>240000</v>
      </c>
      <c r="T1022">
        <v>12036</v>
      </c>
      <c r="U1022" t="s">
        <v>814</v>
      </c>
      <c r="V1022">
        <v>21960</v>
      </c>
      <c r="W1022" s="1">
        <v>46607</v>
      </c>
      <c r="X1022" s="1" t="s">
        <v>55</v>
      </c>
      <c r="Y1022" s="1" t="s">
        <v>51</v>
      </c>
      <c r="Z1022" s="1" t="s">
        <v>652</v>
      </c>
      <c r="AA1022" s="1" t="s">
        <v>659</v>
      </c>
      <c r="AB1022" s="1" t="s">
        <v>4462</v>
      </c>
      <c r="AC1022" s="1"/>
      <c r="AD1022" s="1">
        <v>45908</v>
      </c>
      <c r="AE1022" s="1"/>
      <c r="AF1022" s="1"/>
      <c r="AG1022" s="1">
        <v>45908</v>
      </c>
      <c r="AH1022" s="1" t="s">
        <v>3901</v>
      </c>
      <c r="AI1022" s="1"/>
      <c r="AJ1022" s="31">
        <v>45908</v>
      </c>
      <c r="AK1022"/>
      <c r="AL1022"/>
      <c r="AM1022"/>
      <c r="AN1022"/>
      <c r="AO1022"/>
      <c r="AP1022"/>
    </row>
    <row r="1023" spans="1:42" hidden="1">
      <c r="A1023" s="1" t="s">
        <v>2542</v>
      </c>
      <c r="B1023" s="1">
        <v>250903</v>
      </c>
      <c r="D1023" s="1" t="s">
        <v>813</v>
      </c>
      <c r="F1023"/>
      <c r="G1023"/>
      <c r="H1023" s="1" t="s">
        <v>4475</v>
      </c>
      <c r="I1023" s="1" t="s">
        <v>4476</v>
      </c>
      <c r="J1023" s="1" t="s">
        <v>18</v>
      </c>
      <c r="K1023" s="1" t="s">
        <v>50</v>
      </c>
      <c r="L1023" s="1">
        <v>35084</v>
      </c>
      <c r="M1023" s="1">
        <v>29</v>
      </c>
      <c r="N1023" s="1">
        <v>1300</v>
      </c>
      <c r="P1023" s="1">
        <v>1800</v>
      </c>
      <c r="Q1023" s="1"/>
      <c r="R1023" s="1">
        <v>500</v>
      </c>
      <c r="S1023">
        <v>240000</v>
      </c>
      <c r="T1023">
        <v>12036</v>
      </c>
      <c r="U1023" t="s">
        <v>814</v>
      </c>
      <c r="V1023">
        <v>21960</v>
      </c>
      <c r="W1023" s="1">
        <v>46264</v>
      </c>
      <c r="X1023" s="1" t="s">
        <v>55</v>
      </c>
      <c r="Y1023" s="1" t="s">
        <v>51</v>
      </c>
      <c r="Z1023" s="1" t="s">
        <v>4477</v>
      </c>
      <c r="AA1023" s="1" t="s">
        <v>4478</v>
      </c>
      <c r="AB1023" s="1" t="s">
        <v>4479</v>
      </c>
      <c r="AC1023" s="1" t="s">
        <v>53</v>
      </c>
      <c r="AD1023" s="1">
        <v>45915</v>
      </c>
      <c r="AE1023" s="1">
        <v>45960</v>
      </c>
      <c r="AF1023" s="1"/>
      <c r="AG1023" s="1">
        <v>45915</v>
      </c>
      <c r="AH1023" s="1" t="s">
        <v>4501</v>
      </c>
      <c r="AI1023" s="1"/>
      <c r="AJ1023" s="31">
        <v>45915</v>
      </c>
      <c r="AK1023"/>
      <c r="AL1023"/>
      <c r="AM1023"/>
      <c r="AN1023"/>
      <c r="AO1023"/>
      <c r="AP1023"/>
    </row>
    <row r="1024" spans="1:42">
      <c r="A1024" s="1" t="s">
        <v>49</v>
      </c>
      <c r="B1024" s="1">
        <v>250219</v>
      </c>
      <c r="C1024" s="1">
        <v>242123</v>
      </c>
      <c r="D1024" s="1" t="s">
        <v>69</v>
      </c>
      <c r="E1024" s="1" t="s">
        <v>306</v>
      </c>
      <c r="F1024" t="s">
        <v>390</v>
      </c>
      <c r="G1024" t="s">
        <v>1085</v>
      </c>
      <c r="H1024" s="1" t="s">
        <v>4132</v>
      </c>
      <c r="I1024" s="1" t="s">
        <v>4133</v>
      </c>
      <c r="J1024" s="1" t="s">
        <v>18</v>
      </c>
      <c r="K1024" s="1" t="s">
        <v>50</v>
      </c>
      <c r="L1024" s="1">
        <v>37439</v>
      </c>
      <c r="M1024" s="1">
        <v>23</v>
      </c>
      <c r="N1024" s="1">
        <v>1250</v>
      </c>
      <c r="P1024" s="1">
        <v>1650</v>
      </c>
      <c r="Q1024" s="1"/>
      <c r="R1024" s="1">
        <v>400</v>
      </c>
      <c r="S1024">
        <v>240000</v>
      </c>
      <c r="T1024">
        <v>12036</v>
      </c>
      <c r="U1024" t="s">
        <v>814</v>
      </c>
      <c r="V1024">
        <v>21960</v>
      </c>
      <c r="W1024" s="1">
        <v>46789</v>
      </c>
      <c r="X1024" s="1" t="s">
        <v>55</v>
      </c>
      <c r="Y1024" s="1" t="s">
        <v>51</v>
      </c>
      <c r="Z1024" s="1" t="s">
        <v>493</v>
      </c>
      <c r="AA1024" s="1" t="s">
        <v>494</v>
      </c>
      <c r="AB1024" s="1" t="s">
        <v>4152</v>
      </c>
      <c r="AC1024" s="1"/>
      <c r="AD1024" s="1">
        <v>45700</v>
      </c>
      <c r="AE1024" s="1"/>
      <c r="AF1024" s="1"/>
      <c r="AG1024" s="1">
        <v>45700</v>
      </c>
      <c r="AH1024" s="1" t="s">
        <v>4186</v>
      </c>
      <c r="AI1024" s="1"/>
      <c r="AJ1024" s="31">
        <v>45700</v>
      </c>
      <c r="AK1024"/>
      <c r="AL1024"/>
      <c r="AM1024"/>
      <c r="AN1024"/>
      <c r="AO1024"/>
      <c r="AP1024"/>
    </row>
    <row r="1025" spans="1:42">
      <c r="A1025" s="1" t="s">
        <v>49</v>
      </c>
      <c r="B1025" s="1">
        <v>250802</v>
      </c>
      <c r="C1025" s="1">
        <v>242135</v>
      </c>
      <c r="D1025" s="1" t="s">
        <v>69</v>
      </c>
      <c r="E1025" s="1" t="s">
        <v>306</v>
      </c>
      <c r="F1025" t="s">
        <v>390</v>
      </c>
      <c r="G1025" t="s">
        <v>1085</v>
      </c>
      <c r="H1025" s="1" t="s">
        <v>4448</v>
      </c>
      <c r="I1025" s="1" t="s">
        <v>4449</v>
      </c>
      <c r="J1025" s="1" t="s">
        <v>18</v>
      </c>
      <c r="K1025" s="1" t="s">
        <v>50</v>
      </c>
      <c r="L1025" s="1">
        <v>37487</v>
      </c>
      <c r="M1025" s="1">
        <v>23</v>
      </c>
      <c r="N1025" s="1">
        <v>1200</v>
      </c>
      <c r="P1025" s="1">
        <v>1650</v>
      </c>
      <c r="Q1025" s="1"/>
      <c r="R1025" s="1">
        <v>450</v>
      </c>
      <c r="S1025">
        <v>160000</v>
      </c>
      <c r="T1025">
        <v>8024</v>
      </c>
      <c r="U1025" t="s">
        <v>814</v>
      </c>
      <c r="V1025">
        <v>14640</v>
      </c>
      <c r="W1025" s="1">
        <v>46964</v>
      </c>
      <c r="X1025" s="1" t="s">
        <v>55</v>
      </c>
      <c r="Y1025" s="1" t="s">
        <v>51</v>
      </c>
      <c r="Z1025" s="1" t="s">
        <v>72</v>
      </c>
      <c r="AA1025" s="1" t="s">
        <v>73</v>
      </c>
      <c r="AB1025" s="1" t="s">
        <v>74</v>
      </c>
      <c r="AC1025" s="1"/>
      <c r="AD1025" s="1">
        <v>45873</v>
      </c>
      <c r="AE1025" s="1"/>
      <c r="AF1025" s="1"/>
      <c r="AG1025" s="1">
        <v>45873</v>
      </c>
      <c r="AH1025" s="1" t="s">
        <v>4444</v>
      </c>
      <c r="AI1025" s="1"/>
      <c r="AJ1025" s="31">
        <v>45873</v>
      </c>
      <c r="AK1025"/>
      <c r="AL1025"/>
      <c r="AM1025"/>
      <c r="AN1025"/>
      <c r="AO1025"/>
      <c r="AP1025"/>
    </row>
    <row r="1026" spans="1:42">
      <c r="A1026" s="1" t="s">
        <v>49</v>
      </c>
      <c r="B1026" s="1">
        <v>231216</v>
      </c>
      <c r="C1026" s="1">
        <v>242092</v>
      </c>
      <c r="D1026" s="1" t="s">
        <v>69</v>
      </c>
      <c r="E1026" s="1" t="s">
        <v>310</v>
      </c>
      <c r="F1026" t="s">
        <v>744</v>
      </c>
      <c r="G1026" t="s">
        <v>1093</v>
      </c>
      <c r="H1026" s="1" t="s">
        <v>1727</v>
      </c>
      <c r="I1026" s="1" t="s">
        <v>1728</v>
      </c>
      <c r="J1026" s="1" t="s">
        <v>18</v>
      </c>
      <c r="K1026" s="1" t="s">
        <v>50</v>
      </c>
      <c r="L1026" s="1">
        <v>35325</v>
      </c>
      <c r="M1026" s="1">
        <v>29</v>
      </c>
      <c r="N1026" s="1">
        <v>1300</v>
      </c>
      <c r="P1026" s="1">
        <v>1700</v>
      </c>
      <c r="Q1026" s="1"/>
      <c r="R1026" s="1">
        <v>400</v>
      </c>
      <c r="S1026">
        <v>280000</v>
      </c>
      <c r="T1026">
        <v>14042</v>
      </c>
      <c r="U1026" t="s">
        <v>814</v>
      </c>
      <c r="V1026">
        <v>25620</v>
      </c>
      <c r="W1026" s="1">
        <v>45997</v>
      </c>
      <c r="X1026" s="1">
        <v>2</v>
      </c>
      <c r="Y1026" s="1" t="s">
        <v>51</v>
      </c>
      <c r="Z1026" s="1" t="s">
        <v>427</v>
      </c>
      <c r="AA1026" s="1" t="s">
        <v>1724</v>
      </c>
      <c r="AB1026" s="1" t="s">
        <v>462</v>
      </c>
      <c r="AC1026" s="1"/>
      <c r="AD1026" s="1">
        <v>45272</v>
      </c>
      <c r="AE1026" s="1"/>
      <c r="AF1026" s="1"/>
      <c r="AG1026" s="1" t="s">
        <v>1725</v>
      </c>
      <c r="AH1026" s="1" t="s">
        <v>1729</v>
      </c>
      <c r="AI1026" s="1"/>
      <c r="AJ1026" s="31">
        <v>45272</v>
      </c>
      <c r="AK1026"/>
      <c r="AL1026"/>
      <c r="AM1026"/>
      <c r="AN1026"/>
      <c r="AO1026"/>
      <c r="AP1026"/>
    </row>
    <row r="1027" spans="1:42" hidden="1">
      <c r="A1027" s="1" t="s">
        <v>2542</v>
      </c>
      <c r="B1027" s="1">
        <v>251001</v>
      </c>
      <c r="D1027" s="1" t="s">
        <v>846</v>
      </c>
      <c r="F1027"/>
      <c r="G1027"/>
      <c r="H1027" s="1" t="s">
        <v>4506</v>
      </c>
      <c r="I1027" s="1" t="s">
        <v>4507</v>
      </c>
      <c r="J1027" s="1" t="s">
        <v>18</v>
      </c>
      <c r="K1027" s="1" t="s">
        <v>50</v>
      </c>
      <c r="L1027" s="1">
        <v>36500</v>
      </c>
      <c r="M1027" s="1">
        <v>25</v>
      </c>
      <c r="N1027" s="1">
        <v>1300</v>
      </c>
      <c r="P1027" s="1">
        <v>1700</v>
      </c>
      <c r="Q1027" s="1"/>
      <c r="R1027" s="1">
        <v>400</v>
      </c>
      <c r="S1027">
        <v>0</v>
      </c>
      <c r="T1027" t="s">
        <v>55</v>
      </c>
      <c r="U1027" t="s">
        <v>814</v>
      </c>
      <c r="V1027">
        <v>0</v>
      </c>
      <c r="W1027" s="1">
        <v>46989</v>
      </c>
      <c r="X1027" s="1" t="s">
        <v>55</v>
      </c>
      <c r="Y1027" s="1" t="s">
        <v>51</v>
      </c>
      <c r="Z1027" s="1" t="s">
        <v>901</v>
      </c>
      <c r="AA1027" s="1" t="s">
        <v>902</v>
      </c>
      <c r="AB1027" s="1" t="s">
        <v>1097</v>
      </c>
      <c r="AC1027" s="1"/>
      <c r="AD1027" s="1">
        <v>45931</v>
      </c>
      <c r="AE1027" s="1">
        <v>45938</v>
      </c>
      <c r="AF1027" s="1"/>
      <c r="AG1027" s="1"/>
      <c r="AH1027" s="1"/>
      <c r="AI1027" s="1"/>
      <c r="AJ1027" s="31">
        <v>45931</v>
      </c>
      <c r="AK1027"/>
      <c r="AL1027"/>
      <c r="AM1027"/>
      <c r="AN1027"/>
      <c r="AO1027"/>
      <c r="AP1027"/>
    </row>
    <row r="1028" spans="1:42" hidden="1">
      <c r="A1028" s="1" t="s">
        <v>49</v>
      </c>
      <c r="B1028" s="1">
        <v>251002</v>
      </c>
      <c r="D1028" s="1" t="s">
        <v>1990</v>
      </c>
      <c r="F1028"/>
      <c r="G1028"/>
      <c r="H1028" s="1" t="s">
        <v>4508</v>
      </c>
      <c r="I1028" s="1" t="s">
        <v>4509</v>
      </c>
      <c r="J1028" s="1" t="s">
        <v>18</v>
      </c>
      <c r="K1028" s="1" t="s">
        <v>50</v>
      </c>
      <c r="L1028" s="1">
        <v>34513</v>
      </c>
      <c r="M1028" s="1">
        <v>31</v>
      </c>
      <c r="N1028" s="1">
        <v>1300</v>
      </c>
      <c r="P1028" s="1">
        <v>1750</v>
      </c>
      <c r="Q1028" s="1"/>
      <c r="R1028" s="1">
        <v>450</v>
      </c>
      <c r="S1028">
        <v>240000</v>
      </c>
      <c r="T1028">
        <v>12036</v>
      </c>
      <c r="U1028" t="s">
        <v>814</v>
      </c>
      <c r="V1028">
        <v>21960</v>
      </c>
      <c r="W1028" s="1">
        <v>46192</v>
      </c>
      <c r="X1028" s="1" t="s">
        <v>55</v>
      </c>
      <c r="Y1028" s="1" t="s">
        <v>51</v>
      </c>
      <c r="Z1028" s="1" t="s">
        <v>493</v>
      </c>
      <c r="AA1028" s="1" t="s">
        <v>4510</v>
      </c>
      <c r="AB1028" s="1" t="s">
        <v>4511</v>
      </c>
      <c r="AC1028" s="1"/>
      <c r="AD1028" s="1">
        <v>45937</v>
      </c>
      <c r="AE1028" s="1"/>
      <c r="AF1028" s="1"/>
      <c r="AG1028" s="1">
        <v>45937</v>
      </c>
      <c r="AH1028" s="1" t="s">
        <v>4512</v>
      </c>
      <c r="AI1028" s="1"/>
      <c r="AJ1028" s="31">
        <v>45937</v>
      </c>
      <c r="AK1028"/>
      <c r="AL1028"/>
      <c r="AM1028"/>
      <c r="AN1028"/>
      <c r="AO1028"/>
      <c r="AP1028"/>
    </row>
    <row r="1029" spans="1:42" hidden="1">
      <c r="A1029" s="1" t="s">
        <v>49</v>
      </c>
      <c r="B1029" s="1">
        <v>251003</v>
      </c>
      <c r="C1029" s="1">
        <v>10778</v>
      </c>
      <c r="D1029" s="1" t="s">
        <v>4513</v>
      </c>
      <c r="F1029" t="s">
        <v>4514</v>
      </c>
      <c r="G1029" t="s">
        <v>4324</v>
      </c>
      <c r="H1029" s="1" t="s">
        <v>4515</v>
      </c>
      <c r="I1029" s="1" t="s">
        <v>4516</v>
      </c>
      <c r="J1029" s="1" t="s">
        <v>18</v>
      </c>
      <c r="K1029" s="1" t="s">
        <v>50</v>
      </c>
      <c r="L1029" s="1">
        <v>34144</v>
      </c>
      <c r="M1029" s="1">
        <v>32</v>
      </c>
      <c r="N1029" s="1">
        <v>1350</v>
      </c>
      <c r="P1029" s="1">
        <v>1850</v>
      </c>
      <c r="Q1029" s="1"/>
      <c r="R1029" s="1">
        <v>500</v>
      </c>
      <c r="S1029">
        <v>240000</v>
      </c>
      <c r="T1029">
        <v>12036</v>
      </c>
      <c r="U1029" t="s">
        <v>814</v>
      </c>
      <c r="V1029">
        <v>21960</v>
      </c>
      <c r="W1029" s="1">
        <v>46557</v>
      </c>
      <c r="X1029" s="1" t="s">
        <v>55</v>
      </c>
      <c r="Y1029" s="1" t="s">
        <v>51</v>
      </c>
      <c r="Z1029" s="1" t="s">
        <v>4517</v>
      </c>
      <c r="AA1029" s="1" t="s">
        <v>4518</v>
      </c>
      <c r="AB1029" s="1" t="s">
        <v>4519</v>
      </c>
      <c r="AC1029" s="1"/>
      <c r="AD1029" s="1">
        <v>45937</v>
      </c>
      <c r="AE1029" s="1"/>
      <c r="AF1029" s="1"/>
      <c r="AG1029" s="1">
        <v>45937</v>
      </c>
      <c r="AH1029" s="1" t="s">
        <v>4512</v>
      </c>
      <c r="AI1029" s="1"/>
      <c r="AJ1029" s="31">
        <v>45937</v>
      </c>
      <c r="AK1029"/>
      <c r="AL1029"/>
      <c r="AM1029"/>
      <c r="AN1029"/>
      <c r="AO1029"/>
      <c r="AP1029"/>
    </row>
    <row r="1030" spans="1:42" hidden="1">
      <c r="A1030" s="1" t="s">
        <v>2542</v>
      </c>
      <c r="B1030" s="1">
        <v>241201</v>
      </c>
      <c r="D1030" s="1" t="s">
        <v>846</v>
      </c>
      <c r="F1030"/>
      <c r="G1030"/>
      <c r="H1030" s="1" t="s">
        <v>3979</v>
      </c>
      <c r="I1030" s="1" t="s">
        <v>3980</v>
      </c>
      <c r="J1030" s="1" t="s">
        <v>18</v>
      </c>
      <c r="K1030" s="1" t="s">
        <v>50</v>
      </c>
      <c r="L1030" s="1">
        <v>36127</v>
      </c>
      <c r="M1030" s="1">
        <v>27</v>
      </c>
      <c r="N1030" s="1">
        <v>1300</v>
      </c>
      <c r="P1030" s="1">
        <v>1700</v>
      </c>
      <c r="Q1030" s="1"/>
      <c r="R1030" s="1">
        <v>400</v>
      </c>
      <c r="S1030">
        <v>240000</v>
      </c>
      <c r="T1030">
        <v>12036</v>
      </c>
      <c r="U1030" t="s">
        <v>814</v>
      </c>
      <c r="V1030">
        <v>21960</v>
      </c>
      <c r="W1030" s="1">
        <v>46900</v>
      </c>
      <c r="X1030" s="1" t="s">
        <v>55</v>
      </c>
      <c r="Y1030" s="1" t="s">
        <v>51</v>
      </c>
      <c r="Z1030" s="1" t="s">
        <v>4171</v>
      </c>
      <c r="AA1030" s="1" t="s">
        <v>4520</v>
      </c>
      <c r="AB1030" s="1" t="s">
        <v>4521</v>
      </c>
      <c r="AC1030" s="1" t="s">
        <v>53</v>
      </c>
      <c r="AD1030" s="1">
        <v>45943</v>
      </c>
      <c r="AE1030" s="1">
        <v>45978</v>
      </c>
      <c r="AF1030" s="1"/>
      <c r="AG1030" s="1">
        <v>45943</v>
      </c>
      <c r="AH1030" s="1" t="s">
        <v>4512</v>
      </c>
      <c r="AI1030" s="1"/>
      <c r="AJ1030" s="31">
        <v>45943</v>
      </c>
      <c r="AK1030"/>
      <c r="AL1030"/>
      <c r="AM1030"/>
      <c r="AN1030"/>
      <c r="AO1030"/>
      <c r="AP1030"/>
    </row>
    <row r="1031" spans="1:42" hidden="1">
      <c r="A1031" s="1" t="s">
        <v>49</v>
      </c>
      <c r="B1031" s="1">
        <v>251004</v>
      </c>
      <c r="D1031" s="1" t="s">
        <v>414</v>
      </c>
      <c r="F1031"/>
      <c r="G1031"/>
      <c r="H1031" s="1" t="s">
        <v>4522</v>
      </c>
      <c r="I1031" s="1" t="s">
        <v>4523</v>
      </c>
      <c r="J1031" s="1" t="s">
        <v>18</v>
      </c>
      <c r="K1031" s="1" t="s">
        <v>50</v>
      </c>
      <c r="L1031" s="1">
        <v>34380</v>
      </c>
      <c r="M1031" s="1">
        <v>31</v>
      </c>
      <c r="N1031" s="1">
        <v>1300</v>
      </c>
      <c r="P1031" s="1">
        <v>1650</v>
      </c>
      <c r="Q1031" s="1"/>
      <c r="R1031" s="1">
        <v>350</v>
      </c>
      <c r="S1031">
        <v>240000</v>
      </c>
      <c r="T1031">
        <v>12036</v>
      </c>
      <c r="U1031" t="s">
        <v>814</v>
      </c>
      <c r="V1031">
        <v>21960</v>
      </c>
      <c r="W1031" s="1">
        <v>47262</v>
      </c>
      <c r="X1031" s="1" t="s">
        <v>55</v>
      </c>
      <c r="Y1031" s="1" t="s">
        <v>51</v>
      </c>
      <c r="Z1031" s="1" t="s">
        <v>2188</v>
      </c>
      <c r="AA1031" s="1" t="s">
        <v>2189</v>
      </c>
      <c r="AB1031" s="1" t="s">
        <v>2190</v>
      </c>
      <c r="AC1031" s="1"/>
      <c r="AD1031" s="1">
        <v>45943</v>
      </c>
      <c r="AE1031" s="1"/>
      <c r="AF1031" s="1"/>
      <c r="AG1031" s="1">
        <v>45943</v>
      </c>
      <c r="AH1031" s="1" t="s">
        <v>4512</v>
      </c>
      <c r="AI1031" s="1"/>
      <c r="AJ1031" s="31">
        <v>45943</v>
      </c>
      <c r="AK1031"/>
      <c r="AL1031"/>
      <c r="AM1031"/>
      <c r="AN1031"/>
      <c r="AO1031"/>
      <c r="AP1031"/>
    </row>
    <row r="1032" spans="1:42" hidden="1">
      <c r="A1032" s="1" t="s">
        <v>49</v>
      </c>
      <c r="B1032" s="1">
        <v>251005</v>
      </c>
      <c r="C1032" s="1">
        <v>232180</v>
      </c>
      <c r="D1032" s="1" t="s">
        <v>83</v>
      </c>
      <c r="E1032" s="1" t="s">
        <v>307</v>
      </c>
      <c r="F1032" t="s">
        <v>2251</v>
      </c>
      <c r="G1032" t="s">
        <v>2252</v>
      </c>
      <c r="H1032" s="1" t="s">
        <v>4524</v>
      </c>
      <c r="I1032" s="1" t="s">
        <v>4525</v>
      </c>
      <c r="J1032" s="1" t="s">
        <v>18</v>
      </c>
      <c r="K1032" s="1" t="s">
        <v>50</v>
      </c>
      <c r="L1032" s="1">
        <v>37765</v>
      </c>
      <c r="M1032" s="1">
        <v>22</v>
      </c>
      <c r="N1032" s="1">
        <v>1200</v>
      </c>
      <c r="P1032" s="1">
        <v>1650</v>
      </c>
      <c r="Q1032" s="1"/>
      <c r="R1032" s="1">
        <v>450</v>
      </c>
      <c r="S1032">
        <v>220000</v>
      </c>
      <c r="T1032">
        <v>11033</v>
      </c>
      <c r="U1032" t="s">
        <v>814</v>
      </c>
      <c r="V1032">
        <v>20130</v>
      </c>
      <c r="W1032" s="1">
        <v>47032</v>
      </c>
      <c r="X1032" s="1" t="s">
        <v>55</v>
      </c>
      <c r="Y1032" s="1" t="s">
        <v>51</v>
      </c>
      <c r="Z1032" s="1" t="s">
        <v>110</v>
      </c>
      <c r="AA1032" s="1" t="s">
        <v>131</v>
      </c>
      <c r="AB1032" s="1" t="s">
        <v>1870</v>
      </c>
      <c r="AC1032" s="1"/>
      <c r="AD1032" s="1">
        <v>45943</v>
      </c>
      <c r="AE1032" s="1"/>
      <c r="AF1032" s="1"/>
      <c r="AG1032" s="1">
        <v>45943</v>
      </c>
      <c r="AH1032" s="1" t="s">
        <v>3537</v>
      </c>
      <c r="AI1032" s="1"/>
      <c r="AJ1032" s="31">
        <v>45943</v>
      </c>
      <c r="AK1032"/>
      <c r="AL1032"/>
      <c r="AM1032"/>
      <c r="AN1032"/>
      <c r="AO1032"/>
      <c r="AP1032"/>
    </row>
    <row r="1033" spans="1:42" hidden="1">
      <c r="A1033" s="1" t="s">
        <v>49</v>
      </c>
      <c r="B1033" s="1">
        <v>251006</v>
      </c>
      <c r="C1033" s="1">
        <v>232179</v>
      </c>
      <c r="D1033" s="1" t="s">
        <v>83</v>
      </c>
      <c r="E1033" s="1" t="s">
        <v>307</v>
      </c>
      <c r="F1033" t="s">
        <v>2251</v>
      </c>
      <c r="G1033" t="s">
        <v>2252</v>
      </c>
      <c r="H1033" s="1" t="s">
        <v>4526</v>
      </c>
      <c r="I1033" s="1" t="s">
        <v>4527</v>
      </c>
      <c r="J1033" s="1" t="s">
        <v>18</v>
      </c>
      <c r="K1033" s="1" t="s">
        <v>50</v>
      </c>
      <c r="L1033" s="1">
        <v>37715</v>
      </c>
      <c r="M1033" s="1">
        <v>22</v>
      </c>
      <c r="N1033" s="1">
        <v>1200</v>
      </c>
      <c r="P1033" s="1">
        <v>1650</v>
      </c>
      <c r="Q1033" s="1"/>
      <c r="R1033" s="1">
        <v>450</v>
      </c>
      <c r="S1033">
        <v>220000</v>
      </c>
      <c r="T1033">
        <v>11033</v>
      </c>
      <c r="U1033" t="s">
        <v>814</v>
      </c>
      <c r="V1033">
        <v>20130</v>
      </c>
      <c r="W1033" s="1">
        <v>47032</v>
      </c>
      <c r="X1033" s="1" t="s">
        <v>55</v>
      </c>
      <c r="Y1033" s="1" t="s">
        <v>51</v>
      </c>
      <c r="Z1033" s="1" t="s">
        <v>110</v>
      </c>
      <c r="AA1033" s="1" t="s">
        <v>131</v>
      </c>
      <c r="AB1033" s="1" t="s">
        <v>1870</v>
      </c>
      <c r="AC1033" s="1"/>
      <c r="AD1033" s="1">
        <v>45943</v>
      </c>
      <c r="AE1033" s="1"/>
      <c r="AF1033" s="1"/>
      <c r="AG1033" s="1">
        <v>45943</v>
      </c>
      <c r="AH1033" s="1" t="s">
        <v>3537</v>
      </c>
      <c r="AI1033" s="1"/>
      <c r="AJ1033" s="31">
        <v>45943</v>
      </c>
      <c r="AK1033"/>
      <c r="AL1033"/>
      <c r="AM1033"/>
      <c r="AN1033"/>
      <c r="AO1033"/>
      <c r="AP1033"/>
    </row>
    <row r="1034" spans="1:42" hidden="1">
      <c r="A1034" s="1" t="s">
        <v>49</v>
      </c>
      <c r="B1034" s="1">
        <v>251007</v>
      </c>
      <c r="C1034" s="1">
        <v>10779</v>
      </c>
      <c r="D1034" s="1" t="s">
        <v>4513</v>
      </c>
      <c r="F1034" t="s">
        <v>4514</v>
      </c>
      <c r="G1034" t="s">
        <v>4324</v>
      </c>
      <c r="H1034" s="1" t="s">
        <v>4528</v>
      </c>
      <c r="I1034" s="1" t="s">
        <v>4529</v>
      </c>
      <c r="J1034" s="1" t="s">
        <v>17</v>
      </c>
      <c r="K1034" s="1" t="s">
        <v>50</v>
      </c>
      <c r="L1034" s="1">
        <v>36333</v>
      </c>
      <c r="M1034" s="1">
        <v>26</v>
      </c>
      <c r="N1034" s="1">
        <v>1350</v>
      </c>
      <c r="P1034" s="1">
        <v>1850</v>
      </c>
      <c r="Q1034" s="1"/>
      <c r="R1034" s="1">
        <v>500</v>
      </c>
      <c r="S1034">
        <v>240000</v>
      </c>
      <c r="T1034">
        <v>12036</v>
      </c>
      <c r="U1034" t="s">
        <v>814</v>
      </c>
      <c r="V1034">
        <v>21960</v>
      </c>
      <c r="W1034" s="1">
        <v>46887</v>
      </c>
      <c r="X1034" s="1" t="s">
        <v>55</v>
      </c>
      <c r="Y1034" s="1" t="s">
        <v>51</v>
      </c>
      <c r="Z1034" s="1" t="s">
        <v>4530</v>
      </c>
      <c r="AA1034" s="1" t="s">
        <v>4531</v>
      </c>
      <c r="AB1034" s="1" t="s">
        <v>4532</v>
      </c>
      <c r="AC1034" s="1"/>
      <c r="AD1034" s="1">
        <v>45944</v>
      </c>
      <c r="AE1034" s="1"/>
      <c r="AF1034" s="1"/>
      <c r="AG1034" s="1">
        <v>45944</v>
      </c>
      <c r="AH1034" s="1" t="s">
        <v>1545</v>
      </c>
      <c r="AI1034" s="1"/>
      <c r="AJ1034" s="31">
        <v>45944</v>
      </c>
      <c r="AK1034"/>
      <c r="AL1034"/>
      <c r="AM1034"/>
      <c r="AN1034"/>
      <c r="AO1034"/>
      <c r="AP1034"/>
    </row>
    <row r="1035" spans="1:42" hidden="1">
      <c r="A1035" s="1" t="s">
        <v>49</v>
      </c>
      <c r="B1035" s="1">
        <v>251008</v>
      </c>
      <c r="D1035" s="1" t="s">
        <v>813</v>
      </c>
      <c r="F1035"/>
      <c r="G1035"/>
      <c r="H1035" s="1" t="s">
        <v>4533</v>
      </c>
      <c r="I1035" s="1" t="s">
        <v>4534</v>
      </c>
      <c r="J1035" s="1" t="s">
        <v>17</v>
      </c>
      <c r="K1035" s="1" t="s">
        <v>50</v>
      </c>
      <c r="L1035" s="1">
        <v>36263</v>
      </c>
      <c r="M1035" s="1">
        <v>26</v>
      </c>
      <c r="N1035" s="1">
        <v>1300</v>
      </c>
      <c r="P1035" s="1">
        <v>1800</v>
      </c>
      <c r="Q1035" s="1"/>
      <c r="R1035" s="1">
        <v>500</v>
      </c>
      <c r="S1035">
        <v>240000</v>
      </c>
      <c r="T1035">
        <v>12036</v>
      </c>
      <c r="U1035" t="s">
        <v>814</v>
      </c>
      <c r="V1035">
        <v>21960</v>
      </c>
      <c r="W1035" s="1">
        <v>46276</v>
      </c>
      <c r="X1035" s="1" t="s">
        <v>55</v>
      </c>
      <c r="Y1035" s="1" t="s">
        <v>51</v>
      </c>
      <c r="Z1035" s="1" t="s">
        <v>52</v>
      </c>
      <c r="AA1035" s="1" t="s">
        <v>816</v>
      </c>
      <c r="AB1035" s="1" t="s">
        <v>1329</v>
      </c>
      <c r="AC1035" s="1"/>
      <c r="AD1035" s="1">
        <v>45945</v>
      </c>
      <c r="AE1035" s="1"/>
      <c r="AF1035" s="1"/>
      <c r="AG1035" s="1">
        <v>45945</v>
      </c>
      <c r="AH1035" s="1" t="s">
        <v>4512</v>
      </c>
      <c r="AI1035" s="1"/>
      <c r="AJ1035" s="31">
        <v>45945</v>
      </c>
      <c r="AK1035"/>
      <c r="AL1035"/>
      <c r="AM1035"/>
      <c r="AN1035"/>
      <c r="AO1035"/>
      <c r="AP1035"/>
    </row>
    <row r="1036" spans="1:42" hidden="1">
      <c r="A1036" s="1" t="s">
        <v>49</v>
      </c>
      <c r="B1036" s="1">
        <v>251009</v>
      </c>
      <c r="D1036" s="1" t="s">
        <v>871</v>
      </c>
      <c r="F1036"/>
      <c r="G1036"/>
      <c r="H1036" s="1" t="s">
        <v>1877</v>
      </c>
      <c r="I1036" s="1" t="s">
        <v>4535</v>
      </c>
      <c r="J1036" s="1" t="s">
        <v>18</v>
      </c>
      <c r="K1036" s="1" t="s">
        <v>50</v>
      </c>
      <c r="L1036" s="1">
        <v>34197</v>
      </c>
      <c r="M1036" s="1">
        <v>32</v>
      </c>
      <c r="N1036" s="1">
        <v>1300</v>
      </c>
      <c r="P1036" s="1">
        <v>1700</v>
      </c>
      <c r="Q1036" s="1"/>
      <c r="R1036" s="1">
        <v>400</v>
      </c>
      <c r="S1036">
        <v>240000</v>
      </c>
      <c r="T1036">
        <v>12036</v>
      </c>
      <c r="U1036" t="s">
        <v>814</v>
      </c>
      <c r="V1036">
        <v>21960</v>
      </c>
      <c r="W1036" s="1">
        <v>46802</v>
      </c>
      <c r="X1036" s="1" t="s">
        <v>55</v>
      </c>
      <c r="Y1036" s="1" t="s">
        <v>51</v>
      </c>
      <c r="Z1036" s="1" t="s">
        <v>652</v>
      </c>
      <c r="AA1036" s="1" t="s">
        <v>659</v>
      </c>
      <c r="AB1036" s="1" t="s">
        <v>661</v>
      </c>
      <c r="AC1036" s="1">
        <v>45950</v>
      </c>
      <c r="AD1036" s="1">
        <v>45951</v>
      </c>
      <c r="AE1036" s="1"/>
      <c r="AF1036" s="1"/>
      <c r="AG1036" s="1">
        <v>45951</v>
      </c>
      <c r="AH1036" s="1" t="s">
        <v>4536</v>
      </c>
      <c r="AI1036" s="1"/>
      <c r="AJ1036" s="31">
        <v>45951</v>
      </c>
      <c r="AK1036"/>
      <c r="AL1036"/>
      <c r="AM1036"/>
      <c r="AN1036"/>
      <c r="AO1036"/>
      <c r="AP1036"/>
    </row>
    <row r="1037" spans="1:42">
      <c r="A1037" s="1" t="s">
        <v>49</v>
      </c>
      <c r="B1037" s="1">
        <v>240312</v>
      </c>
      <c r="C1037" s="1">
        <v>242107</v>
      </c>
      <c r="D1037" s="1" t="s">
        <v>69</v>
      </c>
      <c r="E1037" s="1" t="s">
        <v>310</v>
      </c>
      <c r="F1037" t="s">
        <v>744</v>
      </c>
      <c r="G1037" t="s">
        <v>1093</v>
      </c>
      <c r="H1037" s="1" t="s">
        <v>2210</v>
      </c>
      <c r="I1037" s="1" t="s">
        <v>2211</v>
      </c>
      <c r="J1037" s="1" t="s">
        <v>18</v>
      </c>
      <c r="K1037" s="1" t="s">
        <v>50</v>
      </c>
      <c r="L1037" s="1">
        <v>36872</v>
      </c>
      <c r="M1037" s="1">
        <v>24</v>
      </c>
      <c r="N1037" s="1">
        <v>1300</v>
      </c>
      <c r="P1037" s="1">
        <v>1660</v>
      </c>
      <c r="Q1037" s="1"/>
      <c r="R1037" s="1">
        <v>360</v>
      </c>
      <c r="S1037">
        <v>280000</v>
      </c>
      <c r="T1037">
        <v>14042</v>
      </c>
      <c r="U1037" t="s">
        <v>814</v>
      </c>
      <c r="V1037">
        <v>25620</v>
      </c>
      <c r="W1037" s="1">
        <v>46106</v>
      </c>
      <c r="X1037" s="1" t="s">
        <v>55</v>
      </c>
      <c r="Y1037" s="1" t="s">
        <v>51</v>
      </c>
      <c r="Z1037" s="1" t="s">
        <v>72</v>
      </c>
      <c r="AA1037" s="1" t="s">
        <v>2311</v>
      </c>
      <c r="AB1037" s="1" t="s">
        <v>2312</v>
      </c>
      <c r="AC1037" s="1"/>
      <c r="AD1037" s="1">
        <v>45363</v>
      </c>
      <c r="AE1037" s="1"/>
      <c r="AF1037" s="1"/>
      <c r="AG1037" s="1" t="s">
        <v>2313</v>
      </c>
      <c r="AH1037" s="1" t="s">
        <v>2294</v>
      </c>
      <c r="AI1037" s="1"/>
      <c r="AJ1037" s="31">
        <v>45363</v>
      </c>
      <c r="AK1037"/>
      <c r="AL1037"/>
      <c r="AM1037"/>
      <c r="AN1037"/>
      <c r="AO1037" t="s">
        <v>4165</v>
      </c>
      <c r="AP1037"/>
    </row>
    <row r="1038" spans="1:42" hidden="1">
      <c r="A1038" s="1" t="s">
        <v>49</v>
      </c>
      <c r="B1038" s="1">
        <v>210405</v>
      </c>
      <c r="C1038" s="1">
        <v>8210009</v>
      </c>
      <c r="D1038" s="1" t="s">
        <v>815</v>
      </c>
      <c r="E1038" s="1" t="s">
        <v>825</v>
      </c>
      <c r="F1038" t="s">
        <v>825</v>
      </c>
      <c r="G1038"/>
      <c r="H1038" s="1" t="s">
        <v>451</v>
      </c>
      <c r="I1038" s="1" t="s">
        <v>452</v>
      </c>
      <c r="J1038" s="1" t="s">
        <v>18</v>
      </c>
      <c r="K1038" s="1" t="s">
        <v>50</v>
      </c>
      <c r="L1038" s="1">
        <v>33072</v>
      </c>
      <c r="M1038" s="1">
        <v>35</v>
      </c>
      <c r="N1038" s="1">
        <v>1550</v>
      </c>
      <c r="P1038" s="1">
        <v>2150</v>
      </c>
      <c r="Q1038" s="1"/>
      <c r="R1038" s="1">
        <v>600</v>
      </c>
      <c r="S1038">
        <v>280000</v>
      </c>
      <c r="T1038">
        <v>14042</v>
      </c>
      <c r="U1038" t="s">
        <v>814</v>
      </c>
      <c r="V1038">
        <v>25620</v>
      </c>
      <c r="W1038" s="1">
        <v>46545</v>
      </c>
      <c r="X1038" s="1" t="s">
        <v>55</v>
      </c>
      <c r="Y1038" s="1" t="s">
        <v>51</v>
      </c>
      <c r="Z1038" s="1" t="s">
        <v>2265</v>
      </c>
      <c r="AA1038" s="1" t="s">
        <v>2266</v>
      </c>
      <c r="AB1038" s="1" t="s">
        <v>3879</v>
      </c>
      <c r="AC1038" s="1" t="s">
        <v>53</v>
      </c>
      <c r="AD1038" s="1">
        <v>45952</v>
      </c>
      <c r="AE1038" s="1"/>
      <c r="AF1038" s="1"/>
      <c r="AG1038" s="1">
        <v>45952</v>
      </c>
      <c r="AH1038" s="1" t="s">
        <v>4539</v>
      </c>
      <c r="AI1038" s="1"/>
      <c r="AJ1038" s="31">
        <v>45952</v>
      </c>
      <c r="AK1038"/>
      <c r="AL1038"/>
      <c r="AM1038"/>
      <c r="AN1038"/>
      <c r="AO1038"/>
      <c r="AP1038"/>
    </row>
    <row r="1039" spans="1:42" hidden="1">
      <c r="A1039" s="1" t="s">
        <v>49</v>
      </c>
      <c r="B1039" s="1">
        <v>251011</v>
      </c>
      <c r="D1039" s="1" t="s">
        <v>871</v>
      </c>
      <c r="F1039"/>
      <c r="G1039"/>
      <c r="H1039" s="1" t="s">
        <v>4540</v>
      </c>
      <c r="I1039" s="1" t="s">
        <v>4541</v>
      </c>
      <c r="J1039" s="1" t="s">
        <v>18</v>
      </c>
      <c r="K1039" s="1" t="s">
        <v>50</v>
      </c>
      <c r="L1039" s="1">
        <v>35109</v>
      </c>
      <c r="M1039" s="1">
        <v>29</v>
      </c>
      <c r="N1039" s="1">
        <v>1300</v>
      </c>
      <c r="P1039" s="1">
        <v>1700</v>
      </c>
      <c r="Q1039" s="1"/>
      <c r="R1039" s="1">
        <v>400</v>
      </c>
      <c r="S1039">
        <v>240000</v>
      </c>
      <c r="T1039">
        <v>12036</v>
      </c>
      <c r="U1039" t="s">
        <v>814</v>
      </c>
      <c r="V1039">
        <v>21960</v>
      </c>
      <c r="W1039" s="1">
        <v>47587</v>
      </c>
      <c r="X1039" s="1" t="s">
        <v>55</v>
      </c>
      <c r="Y1039" s="1" t="s">
        <v>51</v>
      </c>
      <c r="Z1039" s="1" t="s">
        <v>652</v>
      </c>
      <c r="AA1039" s="1" t="s">
        <v>659</v>
      </c>
      <c r="AB1039" s="1" t="s">
        <v>661</v>
      </c>
      <c r="AC1039" s="1">
        <v>45952</v>
      </c>
      <c r="AD1039" s="1">
        <v>45957</v>
      </c>
      <c r="AE1039" s="1"/>
      <c r="AF1039" s="1"/>
      <c r="AG1039" s="1">
        <v>45957</v>
      </c>
      <c r="AH1039" s="1" t="s">
        <v>4539</v>
      </c>
      <c r="AI1039" s="1"/>
      <c r="AJ1039" s="31">
        <v>45957</v>
      </c>
      <c r="AK1039"/>
      <c r="AL1039"/>
      <c r="AM1039"/>
      <c r="AN1039"/>
      <c r="AO1039"/>
      <c r="AP1039"/>
    </row>
    <row r="1040" spans="1:42" hidden="1">
      <c r="A1040" s="1" t="s">
        <v>49</v>
      </c>
      <c r="B1040" s="1">
        <v>251101</v>
      </c>
      <c r="D1040" s="1" t="s">
        <v>813</v>
      </c>
      <c r="F1040"/>
      <c r="G1040"/>
      <c r="H1040" s="1" t="s">
        <v>4542</v>
      </c>
      <c r="I1040" s="1" t="s">
        <v>4543</v>
      </c>
      <c r="J1040" s="1" t="s">
        <v>18</v>
      </c>
      <c r="K1040" s="1" t="s">
        <v>50</v>
      </c>
      <c r="L1040" s="1">
        <v>37307</v>
      </c>
      <c r="M1040" s="1">
        <v>23</v>
      </c>
      <c r="N1040" s="1">
        <v>1300</v>
      </c>
      <c r="P1040" s="1">
        <v>1800</v>
      </c>
      <c r="Q1040" s="1"/>
      <c r="R1040" s="1">
        <v>500</v>
      </c>
      <c r="S1040">
        <v>220000</v>
      </c>
      <c r="T1040">
        <v>11033</v>
      </c>
      <c r="U1040" t="s">
        <v>814</v>
      </c>
      <c r="V1040">
        <v>20130</v>
      </c>
      <c r="W1040" s="1">
        <v>46808</v>
      </c>
      <c r="X1040" s="1" t="s">
        <v>55</v>
      </c>
      <c r="Y1040" s="1" t="s">
        <v>51</v>
      </c>
      <c r="Z1040" s="1" t="s">
        <v>52</v>
      </c>
      <c r="AA1040" s="1" t="s">
        <v>816</v>
      </c>
      <c r="AB1040" s="1" t="s">
        <v>124</v>
      </c>
      <c r="AC1040" s="1"/>
      <c r="AD1040" s="1">
        <v>45964</v>
      </c>
      <c r="AE1040" s="1"/>
      <c r="AF1040" s="1"/>
      <c r="AG1040" s="1">
        <v>45964</v>
      </c>
      <c r="AH1040" s="1" t="s">
        <v>4544</v>
      </c>
      <c r="AI1040" s="1"/>
      <c r="AJ1040" s="31">
        <v>45964</v>
      </c>
      <c r="AK1040"/>
      <c r="AL1040"/>
      <c r="AM1040"/>
      <c r="AN1040"/>
      <c r="AO1040"/>
      <c r="AP1040"/>
    </row>
    <row r="1041" spans="1:42" hidden="1">
      <c r="A1041" s="1" t="s">
        <v>49</v>
      </c>
      <c r="B1041" s="1">
        <v>251102</v>
      </c>
      <c r="D1041" s="1" t="s">
        <v>813</v>
      </c>
      <c r="F1041"/>
      <c r="G1041"/>
      <c r="H1041" s="1" t="s">
        <v>4545</v>
      </c>
      <c r="I1041" s="1" t="s">
        <v>4546</v>
      </c>
      <c r="J1041" s="1" t="s">
        <v>18</v>
      </c>
      <c r="K1041" s="1" t="s">
        <v>50</v>
      </c>
      <c r="L1041" s="1">
        <v>35373</v>
      </c>
      <c r="M1041" s="1">
        <v>29</v>
      </c>
      <c r="N1041" s="1">
        <v>1300</v>
      </c>
      <c r="P1041" s="1">
        <v>1800</v>
      </c>
      <c r="Q1041" s="1"/>
      <c r="R1041" s="1">
        <v>500</v>
      </c>
      <c r="S1041">
        <v>220000</v>
      </c>
      <c r="T1041">
        <v>11033</v>
      </c>
      <c r="U1041" t="s">
        <v>814</v>
      </c>
      <c r="V1041">
        <v>20130</v>
      </c>
      <c r="W1041" s="1">
        <v>46861</v>
      </c>
      <c r="X1041" s="1" t="s">
        <v>55</v>
      </c>
      <c r="Y1041" s="1" t="s">
        <v>51</v>
      </c>
      <c r="Z1041" s="1" t="s">
        <v>52</v>
      </c>
      <c r="AA1041" s="1" t="s">
        <v>1384</v>
      </c>
      <c r="AB1041" s="1" t="s">
        <v>1385</v>
      </c>
      <c r="AC1041" s="1"/>
      <c r="AD1041" s="1">
        <v>45964</v>
      </c>
      <c r="AE1041" s="1"/>
      <c r="AF1041" s="1"/>
      <c r="AG1041" s="1">
        <v>45964</v>
      </c>
      <c r="AH1041" s="1" t="s">
        <v>4544</v>
      </c>
      <c r="AI1041" s="1"/>
      <c r="AJ1041" s="31">
        <v>45964</v>
      </c>
      <c r="AK1041"/>
      <c r="AL1041"/>
      <c r="AM1041"/>
      <c r="AN1041"/>
      <c r="AO1041"/>
      <c r="AP1041"/>
    </row>
    <row r="1042" spans="1:42">
      <c r="A1042" s="1" t="s">
        <v>49</v>
      </c>
      <c r="B1042" s="1">
        <v>241003</v>
      </c>
      <c r="C1042" s="1">
        <v>242112</v>
      </c>
      <c r="D1042" s="1" t="s">
        <v>69</v>
      </c>
      <c r="E1042" s="1" t="s">
        <v>310</v>
      </c>
      <c r="F1042" t="s">
        <v>744</v>
      </c>
      <c r="G1042" t="s">
        <v>1093</v>
      </c>
      <c r="H1042" s="1" t="s">
        <v>3888</v>
      </c>
      <c r="I1042" s="1" t="s">
        <v>3889</v>
      </c>
      <c r="J1042" s="1" t="s">
        <v>18</v>
      </c>
      <c r="K1042" s="1" t="s">
        <v>50</v>
      </c>
      <c r="L1042" s="1">
        <v>36589</v>
      </c>
      <c r="M1042" s="1">
        <v>25</v>
      </c>
      <c r="N1042" s="1">
        <v>1250</v>
      </c>
      <c r="P1042" s="1">
        <v>1660</v>
      </c>
      <c r="Q1042" s="1"/>
      <c r="R1042" s="1">
        <v>410</v>
      </c>
      <c r="S1042">
        <v>260000</v>
      </c>
      <c r="T1042">
        <v>13039</v>
      </c>
      <c r="U1042" t="s">
        <v>814</v>
      </c>
      <c r="V1042">
        <v>23790</v>
      </c>
      <c r="W1042" s="1">
        <v>46317</v>
      </c>
      <c r="X1042" s="1" t="s">
        <v>55</v>
      </c>
      <c r="Y1042" s="1" t="s">
        <v>51</v>
      </c>
      <c r="Z1042" s="1" t="s">
        <v>620</v>
      </c>
      <c r="AA1042" s="1" t="s">
        <v>621</v>
      </c>
      <c r="AB1042" s="1" t="s">
        <v>622</v>
      </c>
      <c r="AC1042" s="1"/>
      <c r="AD1042" s="1">
        <v>45566</v>
      </c>
      <c r="AE1042" s="1"/>
      <c r="AF1042" s="1"/>
      <c r="AG1042" s="1">
        <v>45566</v>
      </c>
      <c r="AH1042" s="1" t="s">
        <v>3952</v>
      </c>
      <c r="AI1042" s="1"/>
      <c r="AJ1042" s="31">
        <v>45566</v>
      </c>
      <c r="AK1042"/>
      <c r="AL1042"/>
      <c r="AM1042"/>
      <c r="AN1042"/>
      <c r="AO1042"/>
      <c r="AP1042"/>
    </row>
    <row r="1043" spans="1:42" hidden="1">
      <c r="A1043" s="1" t="s">
        <v>2542</v>
      </c>
      <c r="B1043" s="1">
        <v>251104</v>
      </c>
      <c r="D1043" s="1" t="s">
        <v>815</v>
      </c>
      <c r="F1043"/>
      <c r="G1043"/>
      <c r="H1043" s="1" t="s">
        <v>4553</v>
      </c>
      <c r="I1043" s="1" t="s">
        <v>4554</v>
      </c>
      <c r="J1043" s="1" t="s">
        <v>18</v>
      </c>
      <c r="K1043" s="1" t="s">
        <v>50</v>
      </c>
      <c r="L1043" s="1">
        <v>35039</v>
      </c>
      <c r="M1043" s="1">
        <v>29</v>
      </c>
      <c r="N1043" s="1">
        <v>1500</v>
      </c>
      <c r="P1043" s="1">
        <v>2150</v>
      </c>
      <c r="Q1043" s="1"/>
      <c r="R1043" s="1">
        <v>650</v>
      </c>
      <c r="S1043">
        <v>0</v>
      </c>
      <c r="T1043" t="s">
        <v>55</v>
      </c>
      <c r="U1043" t="s">
        <v>814</v>
      </c>
      <c r="V1043">
        <v>0</v>
      </c>
      <c r="W1043" s="1">
        <v>46535</v>
      </c>
      <c r="X1043" s="1" t="s">
        <v>55</v>
      </c>
      <c r="Y1043" s="1" t="s">
        <v>51</v>
      </c>
      <c r="Z1043" s="1" t="s">
        <v>4555</v>
      </c>
      <c r="AA1043" s="1" t="s">
        <v>4556</v>
      </c>
      <c r="AB1043" s="1"/>
      <c r="AC1043" s="1"/>
      <c r="AD1043" s="1">
        <v>45964</v>
      </c>
      <c r="AE1043" s="1">
        <v>45968</v>
      </c>
      <c r="AF1043" s="1"/>
      <c r="AG1043" s="1"/>
      <c r="AH1043" s="1"/>
      <c r="AI1043" s="1"/>
      <c r="AJ1043" s="31">
        <v>45964</v>
      </c>
      <c r="AK1043"/>
      <c r="AL1043"/>
      <c r="AM1043"/>
      <c r="AN1043"/>
      <c r="AO1043"/>
      <c r="AP1043"/>
    </row>
    <row r="1044" spans="1:42" hidden="1">
      <c r="A1044" s="1" t="s">
        <v>49</v>
      </c>
      <c r="B1044" s="1">
        <v>220107</v>
      </c>
      <c r="C1044" s="1">
        <v>8210028</v>
      </c>
      <c r="D1044" s="1" t="s">
        <v>815</v>
      </c>
      <c r="E1044" s="1" t="s">
        <v>833</v>
      </c>
      <c r="F1044" t="s">
        <v>833</v>
      </c>
      <c r="G1044"/>
      <c r="H1044" s="1" t="s">
        <v>535</v>
      </c>
      <c r="I1044" s="1" t="s">
        <v>536</v>
      </c>
      <c r="J1044" s="1" t="s">
        <v>18</v>
      </c>
      <c r="K1044" s="1" t="s">
        <v>50</v>
      </c>
      <c r="L1044" s="1">
        <v>33552</v>
      </c>
      <c r="M1044" s="1">
        <v>34</v>
      </c>
      <c r="N1044" s="1">
        <v>1500</v>
      </c>
      <c r="P1044" s="1">
        <v>2150</v>
      </c>
      <c r="Q1044" s="1"/>
      <c r="R1044" s="1">
        <v>650</v>
      </c>
      <c r="S1044">
        <v>240000</v>
      </c>
      <c r="T1044">
        <v>12036</v>
      </c>
      <c r="U1044" t="s">
        <v>814</v>
      </c>
      <c r="V1044">
        <v>21960</v>
      </c>
      <c r="W1044" s="1">
        <v>46189</v>
      </c>
      <c r="X1044" s="1" t="s">
        <v>55</v>
      </c>
      <c r="Y1044" s="1" t="s">
        <v>51</v>
      </c>
      <c r="Z1044" s="1" t="s">
        <v>745</v>
      </c>
      <c r="AA1044" s="1" t="s">
        <v>4557</v>
      </c>
      <c r="AB1044" s="1" t="s">
        <v>4558</v>
      </c>
      <c r="AC1044" s="1" t="s">
        <v>53</v>
      </c>
      <c r="AD1044" s="1">
        <v>45966</v>
      </c>
      <c r="AE1044" s="1"/>
      <c r="AF1044" s="1"/>
      <c r="AG1044" s="1">
        <v>45966</v>
      </c>
      <c r="AH1044" s="1" t="s">
        <v>787</v>
      </c>
      <c r="AI1044" s="1"/>
      <c r="AJ1044" s="31">
        <v>45966</v>
      </c>
      <c r="AK1044"/>
      <c r="AL1044"/>
      <c r="AM1044"/>
      <c r="AN1044"/>
      <c r="AO1044"/>
      <c r="AP1044"/>
    </row>
    <row r="1045" spans="1:42">
      <c r="A1045" s="1" t="s">
        <v>49</v>
      </c>
      <c r="B1045" s="1">
        <v>250110</v>
      </c>
      <c r="C1045" s="1">
        <v>242118</v>
      </c>
      <c r="D1045" s="1" t="s">
        <v>69</v>
      </c>
      <c r="E1045" s="1" t="s">
        <v>310</v>
      </c>
      <c r="F1045" t="s">
        <v>744</v>
      </c>
      <c r="G1045" t="s">
        <v>1093</v>
      </c>
      <c r="H1045" s="1" t="s">
        <v>4078</v>
      </c>
      <c r="I1045" s="1" t="s">
        <v>4079</v>
      </c>
      <c r="J1045" s="1" t="s">
        <v>18</v>
      </c>
      <c r="K1045" s="1" t="s">
        <v>50</v>
      </c>
      <c r="L1045" s="1">
        <v>37056</v>
      </c>
      <c r="M1045" s="1">
        <v>24</v>
      </c>
      <c r="N1045" s="1">
        <v>1260</v>
      </c>
      <c r="P1045" s="1">
        <v>1660</v>
      </c>
      <c r="Q1045" s="1"/>
      <c r="R1045" s="1">
        <v>400</v>
      </c>
      <c r="S1045">
        <v>260000</v>
      </c>
      <c r="T1045">
        <v>13039</v>
      </c>
      <c r="U1045" t="s">
        <v>814</v>
      </c>
      <c r="V1045">
        <v>23790</v>
      </c>
      <c r="W1045" s="1">
        <v>46762</v>
      </c>
      <c r="X1045" s="1" t="s">
        <v>55</v>
      </c>
      <c r="Y1045" s="1" t="s">
        <v>51</v>
      </c>
      <c r="Z1045" s="1" t="s">
        <v>72</v>
      </c>
      <c r="AA1045" s="1" t="s">
        <v>508</v>
      </c>
      <c r="AB1045" s="1" t="s">
        <v>509</v>
      </c>
      <c r="AC1045" s="1"/>
      <c r="AD1045" s="1">
        <v>45673</v>
      </c>
      <c r="AE1045" s="1"/>
      <c r="AF1045" s="1"/>
      <c r="AG1045" s="1">
        <v>45673</v>
      </c>
      <c r="AH1045" s="1" t="s">
        <v>4184</v>
      </c>
      <c r="AI1045" s="1"/>
      <c r="AJ1045" s="31">
        <v>45673</v>
      </c>
      <c r="AK1045"/>
      <c r="AL1045"/>
      <c r="AM1045"/>
      <c r="AN1045"/>
      <c r="AO1045" t="s">
        <v>4164</v>
      </c>
      <c r="AP1045"/>
    </row>
    <row r="1046" spans="1:42">
      <c r="A1046" s="1" t="s">
        <v>49</v>
      </c>
      <c r="B1046" s="1">
        <v>240305</v>
      </c>
      <c r="C1046" s="1">
        <v>222066</v>
      </c>
      <c r="D1046" s="1" t="s">
        <v>62</v>
      </c>
      <c r="E1046" s="1" t="s">
        <v>3945</v>
      </c>
      <c r="F1046" t="s">
        <v>2418</v>
      </c>
      <c r="G1046" t="s">
        <v>3946</v>
      </c>
      <c r="H1046" s="1" t="s">
        <v>2301</v>
      </c>
      <c r="I1046" s="1" t="s">
        <v>2195</v>
      </c>
      <c r="J1046" s="1" t="s">
        <v>18</v>
      </c>
      <c r="K1046" s="1" t="s">
        <v>50</v>
      </c>
      <c r="L1046" s="1">
        <v>37573</v>
      </c>
      <c r="M1046" s="1">
        <v>23</v>
      </c>
      <c r="N1046" s="1">
        <v>1300</v>
      </c>
      <c r="P1046" s="1">
        <v>1670</v>
      </c>
      <c r="Q1046" s="1"/>
      <c r="R1046" s="1">
        <v>370</v>
      </c>
      <c r="S1046">
        <v>220000</v>
      </c>
      <c r="T1046">
        <v>11033</v>
      </c>
      <c r="U1046" t="s">
        <v>814</v>
      </c>
      <c r="V1046">
        <v>20130</v>
      </c>
      <c r="W1046" s="1">
        <v>46106</v>
      </c>
      <c r="X1046" s="1" t="s">
        <v>55</v>
      </c>
      <c r="Y1046" s="1" t="s">
        <v>51</v>
      </c>
      <c r="Z1046" s="1" t="s">
        <v>203</v>
      </c>
      <c r="AA1046" s="1" t="s">
        <v>2302</v>
      </c>
      <c r="AB1046" s="1" t="s">
        <v>2303</v>
      </c>
      <c r="AC1046" s="1"/>
      <c r="AD1046" s="1">
        <v>45359</v>
      </c>
      <c r="AE1046" s="1"/>
      <c r="AF1046" s="1"/>
      <c r="AG1046" s="1" t="s">
        <v>2304</v>
      </c>
      <c r="AH1046" s="1" t="s">
        <v>2294</v>
      </c>
      <c r="AI1046" s="1"/>
      <c r="AJ1046" s="31">
        <v>45359</v>
      </c>
      <c r="AK1046"/>
      <c r="AL1046"/>
      <c r="AM1046"/>
      <c r="AN1046"/>
      <c r="AO1046" t="s">
        <v>4178</v>
      </c>
      <c r="AP1046"/>
    </row>
    <row r="1047" spans="1:42">
      <c r="A1047" s="1" t="s">
        <v>49</v>
      </c>
      <c r="B1047" s="1">
        <v>240315</v>
      </c>
      <c r="C1047" s="1">
        <v>222068</v>
      </c>
      <c r="D1047" s="1" t="s">
        <v>62</v>
      </c>
      <c r="E1047" s="1" t="s">
        <v>3945</v>
      </c>
      <c r="F1047" t="s">
        <v>2418</v>
      </c>
      <c r="G1047" t="s">
        <v>3946</v>
      </c>
      <c r="H1047" s="1" t="s">
        <v>2216</v>
      </c>
      <c r="I1047" s="1" t="s">
        <v>2217</v>
      </c>
      <c r="J1047" s="1" t="s">
        <v>18</v>
      </c>
      <c r="K1047" s="1" t="s">
        <v>50</v>
      </c>
      <c r="L1047" s="1">
        <v>36294</v>
      </c>
      <c r="M1047" s="1">
        <v>26</v>
      </c>
      <c r="N1047" s="1">
        <v>1300</v>
      </c>
      <c r="P1047" s="1">
        <v>1670</v>
      </c>
      <c r="Q1047" s="1"/>
      <c r="R1047" s="1">
        <v>370</v>
      </c>
      <c r="S1047">
        <v>240000</v>
      </c>
      <c r="T1047">
        <v>12036</v>
      </c>
      <c r="U1047" t="s">
        <v>814</v>
      </c>
      <c r="V1047">
        <v>21960</v>
      </c>
      <c r="W1047" s="1">
        <v>46106</v>
      </c>
      <c r="X1047" s="1" t="s">
        <v>55</v>
      </c>
      <c r="Y1047" s="1" t="s">
        <v>51</v>
      </c>
      <c r="Z1047" s="1" t="s">
        <v>182</v>
      </c>
      <c r="AA1047" s="1" t="s">
        <v>2317</v>
      </c>
      <c r="AB1047" s="1" t="s">
        <v>2318</v>
      </c>
      <c r="AC1047" s="1"/>
      <c r="AD1047" s="1">
        <v>45365</v>
      </c>
      <c r="AE1047" s="1"/>
      <c r="AF1047" s="1"/>
      <c r="AG1047" s="1" t="s">
        <v>2319</v>
      </c>
      <c r="AH1047" s="1" t="s">
        <v>2294</v>
      </c>
      <c r="AI1047" s="1"/>
      <c r="AJ1047" s="31">
        <v>45365</v>
      </c>
      <c r="AK1047"/>
      <c r="AL1047"/>
      <c r="AM1047"/>
      <c r="AN1047"/>
      <c r="AO1047"/>
      <c r="AP1047"/>
    </row>
    <row r="1048" spans="1:42" hidden="1">
      <c r="A1048" s="1" t="s">
        <v>49</v>
      </c>
      <c r="B1048" s="1">
        <v>251108</v>
      </c>
      <c r="C1048" s="1">
        <v>232181</v>
      </c>
      <c r="D1048" s="1" t="s">
        <v>83</v>
      </c>
      <c r="E1048" s="1" t="s">
        <v>306</v>
      </c>
      <c r="F1048" t="s">
        <v>365</v>
      </c>
      <c r="G1048" t="s">
        <v>2241</v>
      </c>
      <c r="H1048" s="1" t="s">
        <v>4566</v>
      </c>
      <c r="I1048" s="1" t="s">
        <v>4567</v>
      </c>
      <c r="J1048" s="1" t="s">
        <v>18</v>
      </c>
      <c r="K1048" s="1" t="s">
        <v>50</v>
      </c>
      <c r="L1048" s="1">
        <v>37440</v>
      </c>
      <c r="M1048" s="1">
        <v>23</v>
      </c>
      <c r="N1048" s="1">
        <v>1200</v>
      </c>
      <c r="P1048" s="1">
        <v>1650</v>
      </c>
      <c r="Q1048" s="1"/>
      <c r="R1048" s="1">
        <v>450</v>
      </c>
      <c r="S1048">
        <v>190000</v>
      </c>
      <c r="T1048">
        <v>9528</v>
      </c>
      <c r="U1048" t="s">
        <v>814</v>
      </c>
      <c r="V1048">
        <v>17385</v>
      </c>
      <c r="W1048" s="1">
        <v>47061</v>
      </c>
      <c r="X1048" s="1" t="s">
        <v>55</v>
      </c>
      <c r="Y1048" s="1" t="s">
        <v>51</v>
      </c>
      <c r="Z1048" s="1" t="s">
        <v>110</v>
      </c>
      <c r="AA1048" s="1" t="s">
        <v>113</v>
      </c>
      <c r="AB1048" s="1" t="s">
        <v>4568</v>
      </c>
      <c r="AC1048" s="1"/>
      <c r="AD1048" s="1">
        <v>45973</v>
      </c>
      <c r="AE1048" s="1"/>
      <c r="AF1048" s="1"/>
      <c r="AG1048" s="1">
        <v>45973</v>
      </c>
      <c r="AH1048" s="1" t="s">
        <v>3566</v>
      </c>
      <c r="AI1048" s="1"/>
      <c r="AJ1048" s="31">
        <v>45973</v>
      </c>
      <c r="AK1048"/>
      <c r="AL1048"/>
      <c r="AM1048"/>
      <c r="AN1048"/>
      <c r="AO1048"/>
      <c r="AP1048"/>
    </row>
    <row r="1049" spans="1:42" hidden="1">
      <c r="A1049" s="1" t="s">
        <v>49</v>
      </c>
      <c r="B1049" s="1">
        <v>251109</v>
      </c>
      <c r="C1049" s="1">
        <v>232182</v>
      </c>
      <c r="D1049" s="1" t="s">
        <v>83</v>
      </c>
      <c r="E1049" s="1" t="s">
        <v>306</v>
      </c>
      <c r="F1049" t="s">
        <v>365</v>
      </c>
      <c r="G1049" t="s">
        <v>2241</v>
      </c>
      <c r="H1049" s="1" t="s">
        <v>4569</v>
      </c>
      <c r="I1049" s="1" t="s">
        <v>4570</v>
      </c>
      <c r="J1049" s="1" t="s">
        <v>18</v>
      </c>
      <c r="K1049" s="1" t="s">
        <v>50</v>
      </c>
      <c r="L1049" s="1">
        <v>37386</v>
      </c>
      <c r="M1049" s="1">
        <v>23</v>
      </c>
      <c r="N1049" s="1">
        <v>1200</v>
      </c>
      <c r="P1049" s="1">
        <v>1650</v>
      </c>
      <c r="Q1049" s="1"/>
      <c r="R1049" s="1">
        <v>450</v>
      </c>
      <c r="S1049">
        <v>190000</v>
      </c>
      <c r="T1049">
        <v>9528</v>
      </c>
      <c r="U1049" t="s">
        <v>814</v>
      </c>
      <c r="V1049">
        <v>17385</v>
      </c>
      <c r="W1049" s="1">
        <v>47061</v>
      </c>
      <c r="X1049" s="1" t="s">
        <v>55</v>
      </c>
      <c r="Y1049" s="1" t="s">
        <v>51</v>
      </c>
      <c r="Z1049" s="1" t="s">
        <v>110</v>
      </c>
      <c r="AA1049" s="1" t="s">
        <v>131</v>
      </c>
      <c r="AB1049" s="1" t="s">
        <v>4571</v>
      </c>
      <c r="AC1049" s="1"/>
      <c r="AD1049" s="1">
        <v>45973</v>
      </c>
      <c r="AE1049" s="1"/>
      <c r="AF1049" s="1"/>
      <c r="AG1049" s="1">
        <v>45973</v>
      </c>
      <c r="AH1049" s="1" t="s">
        <v>3566</v>
      </c>
      <c r="AI1049" s="1"/>
      <c r="AJ1049" s="31">
        <v>45973</v>
      </c>
      <c r="AK1049"/>
      <c r="AL1049"/>
      <c r="AM1049"/>
      <c r="AN1049"/>
      <c r="AO1049"/>
      <c r="AP1049"/>
    </row>
    <row r="1050" spans="1:42" hidden="1">
      <c r="A1050" s="1" t="s">
        <v>49</v>
      </c>
      <c r="B1050" s="1">
        <v>251110</v>
      </c>
      <c r="D1050" s="1" t="s">
        <v>4513</v>
      </c>
      <c r="F1050"/>
      <c r="G1050"/>
      <c r="H1050" s="1" t="s">
        <v>4572</v>
      </c>
      <c r="I1050" s="1" t="s">
        <v>4573</v>
      </c>
      <c r="J1050" s="1" t="s">
        <v>17</v>
      </c>
      <c r="K1050" s="1" t="s">
        <v>50</v>
      </c>
      <c r="L1050" s="1">
        <v>33654</v>
      </c>
      <c r="M1050" s="1">
        <v>33</v>
      </c>
      <c r="N1050" s="1">
        <v>1350</v>
      </c>
      <c r="P1050" s="1">
        <v>1850</v>
      </c>
      <c r="Q1050" s="1"/>
      <c r="R1050" s="1">
        <v>500</v>
      </c>
      <c r="S1050">
        <v>220000</v>
      </c>
      <c r="T1050">
        <v>11033</v>
      </c>
      <c r="U1050" t="s">
        <v>814</v>
      </c>
      <c r="V1050">
        <v>20130</v>
      </c>
      <c r="W1050" s="1">
        <v>46702</v>
      </c>
      <c r="X1050" s="1" t="s">
        <v>55</v>
      </c>
      <c r="Y1050" s="1" t="s">
        <v>51</v>
      </c>
      <c r="Z1050" s="1" t="s">
        <v>4574</v>
      </c>
      <c r="AA1050" s="1" t="s">
        <v>4575</v>
      </c>
      <c r="AB1050" s="1" t="s">
        <v>4576</v>
      </c>
      <c r="AC1050" s="1"/>
      <c r="AD1050" s="1">
        <v>45979</v>
      </c>
      <c r="AE1050" s="1"/>
      <c r="AF1050" s="1"/>
      <c r="AG1050" s="1">
        <v>45979</v>
      </c>
      <c r="AH1050" s="1" t="s">
        <v>3566</v>
      </c>
      <c r="AI1050" s="1"/>
      <c r="AJ1050" s="31">
        <v>45979</v>
      </c>
      <c r="AK1050"/>
      <c r="AL1050"/>
      <c r="AM1050"/>
      <c r="AN1050"/>
      <c r="AO1050"/>
      <c r="AP1050"/>
    </row>
    <row r="1051" spans="1:42" hidden="1">
      <c r="A1051" s="1" t="s">
        <v>49</v>
      </c>
      <c r="B1051" s="1">
        <v>251201</v>
      </c>
      <c r="D1051" s="1" t="s">
        <v>846</v>
      </c>
      <c r="F1051"/>
      <c r="G1051"/>
      <c r="H1051" s="1" t="s">
        <v>4577</v>
      </c>
      <c r="I1051" s="1" t="s">
        <v>4578</v>
      </c>
      <c r="J1051" s="1" t="s">
        <v>18</v>
      </c>
      <c r="K1051" s="1" t="s">
        <v>50</v>
      </c>
      <c r="L1051" s="1">
        <v>33919</v>
      </c>
      <c r="M1051" s="1">
        <v>33</v>
      </c>
      <c r="N1051" s="1">
        <v>1300</v>
      </c>
      <c r="P1051" s="1">
        <v>1700</v>
      </c>
      <c r="Q1051" s="1"/>
      <c r="R1051" s="1">
        <v>400</v>
      </c>
      <c r="S1051">
        <v>0</v>
      </c>
      <c r="T1051" t="s">
        <v>55</v>
      </c>
      <c r="U1051" t="s">
        <v>814</v>
      </c>
      <c r="V1051">
        <v>0</v>
      </c>
      <c r="W1051" s="1">
        <v>46845</v>
      </c>
      <c r="X1051" s="1" t="s">
        <v>55</v>
      </c>
      <c r="Y1051" s="1" t="s">
        <v>51</v>
      </c>
      <c r="Z1051" s="1"/>
      <c r="AA1051" s="1"/>
      <c r="AB1051" s="1"/>
      <c r="AC1051" s="1"/>
      <c r="AD1051" s="1">
        <v>45993</v>
      </c>
      <c r="AE1051" s="1"/>
      <c r="AF1051" s="1"/>
      <c r="AG1051" s="1"/>
      <c r="AH1051" s="1"/>
      <c r="AI1051" s="1"/>
      <c r="AJ1051" s="31">
        <v>45993</v>
      </c>
      <c r="AK1051"/>
      <c r="AL1051"/>
      <c r="AM1051"/>
      <c r="AN1051"/>
      <c r="AO1051"/>
      <c r="AP1051"/>
    </row>
    <row r="1052" spans="1:42" hidden="1">
      <c r="A1052" s="1" t="s">
        <v>4482</v>
      </c>
      <c r="B1052" s="1">
        <v>221002</v>
      </c>
      <c r="C1052" s="1">
        <v>6547</v>
      </c>
      <c r="D1052" s="1" t="s">
        <v>688</v>
      </c>
      <c r="E1052" s="1" t="s">
        <v>851</v>
      </c>
      <c r="F1052" t="s">
        <v>851</v>
      </c>
      <c r="G1052" t="s">
        <v>1183</v>
      </c>
      <c r="H1052" s="1" t="s">
        <v>766</v>
      </c>
      <c r="I1052" s="1" t="s">
        <v>767</v>
      </c>
      <c r="J1052" s="1" t="s">
        <v>18</v>
      </c>
      <c r="K1052" s="1" t="s">
        <v>50</v>
      </c>
      <c r="L1052" s="1">
        <v>31801</v>
      </c>
      <c r="M1052" s="1">
        <v>38</v>
      </c>
      <c r="Q1052" s="1"/>
      <c r="R1052" s="1">
        <v>0</v>
      </c>
      <c r="S1052">
        <v>0</v>
      </c>
      <c r="T1052" t="s">
        <v>55</v>
      </c>
      <c r="U1052" t="s">
        <v>814</v>
      </c>
      <c r="V1052">
        <v>0</v>
      </c>
      <c r="W1052" s="1"/>
      <c r="X1052" s="1" t="s">
        <v>55</v>
      </c>
      <c r="Y1052" s="1" t="s">
        <v>51</v>
      </c>
      <c r="Z1052" s="1"/>
      <c r="AA1052" s="1"/>
      <c r="AB1052" s="1"/>
      <c r="AC1052" s="1"/>
      <c r="AE1052" s="1"/>
      <c r="AF1052" s="1"/>
      <c r="AG1052" s="1"/>
      <c r="AH1052" s="1"/>
      <c r="AI1052" s="1"/>
      <c r="AJ1052" s="31">
        <v>0</v>
      </c>
      <c r="AK1052"/>
      <c r="AL1052"/>
      <c r="AM1052"/>
      <c r="AN1052"/>
      <c r="AO1052"/>
      <c r="AP1052"/>
    </row>
    <row r="1053" spans="1:42" hidden="1">
      <c r="A1053" s="1" t="s">
        <v>4482</v>
      </c>
      <c r="D1053" s="1" t="s">
        <v>447</v>
      </c>
      <c r="F1053"/>
      <c r="G1053"/>
      <c r="H1053" s="1" t="s">
        <v>4588</v>
      </c>
      <c r="I1053" s="1" t="s">
        <v>4589</v>
      </c>
      <c r="J1053" s="1" t="s">
        <v>18</v>
      </c>
      <c r="K1053" s="1" t="s">
        <v>50</v>
      </c>
      <c r="L1053" s="1">
        <v>38134</v>
      </c>
      <c r="M1053" s="1">
        <v>21</v>
      </c>
      <c r="Q1053" s="1"/>
      <c r="R1053" s="1">
        <v>0</v>
      </c>
      <c r="S1053">
        <v>0</v>
      </c>
      <c r="T1053" t="s">
        <v>55</v>
      </c>
      <c r="U1053" t="s">
        <v>814</v>
      </c>
      <c r="V1053">
        <v>0</v>
      </c>
      <c r="W1053" s="1">
        <v>47089</v>
      </c>
      <c r="X1053" s="1" t="s">
        <v>55</v>
      </c>
      <c r="Y1053" s="1" t="s">
        <v>51</v>
      </c>
      <c r="Z1053" s="1"/>
      <c r="AA1053" s="1"/>
      <c r="AB1053" s="1"/>
      <c r="AC1053" s="1"/>
      <c r="AE1053" s="1"/>
      <c r="AF1053" s="1"/>
      <c r="AG1053" s="1"/>
      <c r="AH1053" s="1"/>
      <c r="AI1053" s="1"/>
      <c r="AJ1053" s="31">
        <v>0</v>
      </c>
      <c r="AK1053"/>
      <c r="AL1053"/>
      <c r="AM1053"/>
      <c r="AN1053"/>
      <c r="AO1053"/>
      <c r="AP1053"/>
    </row>
    <row r="1054" spans="1:42" hidden="1">
      <c r="A1054" s="1" t="s">
        <v>4482</v>
      </c>
      <c r="D1054" s="1" t="s">
        <v>447</v>
      </c>
      <c r="F1054"/>
      <c r="G1054"/>
      <c r="H1054" s="1" t="s">
        <v>4590</v>
      </c>
      <c r="I1054" s="1" t="s">
        <v>4591</v>
      </c>
      <c r="J1054" s="1" t="s">
        <v>18</v>
      </c>
      <c r="K1054" s="1" t="s">
        <v>50</v>
      </c>
      <c r="L1054" s="1">
        <v>38180</v>
      </c>
      <c r="M1054" s="1">
        <v>21</v>
      </c>
      <c r="Q1054" s="1"/>
      <c r="R1054" s="1">
        <v>0</v>
      </c>
      <c r="S1054">
        <v>0</v>
      </c>
      <c r="T1054" t="s">
        <v>55</v>
      </c>
      <c r="U1054" t="s">
        <v>814</v>
      </c>
      <c r="V1054">
        <v>0</v>
      </c>
      <c r="W1054" s="1">
        <v>47089</v>
      </c>
      <c r="X1054" s="1" t="s">
        <v>55</v>
      </c>
      <c r="Y1054" s="1" t="s">
        <v>51</v>
      </c>
      <c r="Z1054" s="1"/>
      <c r="AA1054" s="1"/>
      <c r="AB1054" s="1"/>
      <c r="AC1054" s="1"/>
      <c r="AE1054" s="1"/>
      <c r="AF1054" s="1"/>
      <c r="AG1054" s="1"/>
      <c r="AH1054" s="1"/>
      <c r="AI1054" s="1"/>
      <c r="AJ1054" s="31">
        <v>0</v>
      </c>
      <c r="AK1054"/>
      <c r="AL1054"/>
      <c r="AM1054"/>
      <c r="AN1054"/>
      <c r="AO1054"/>
      <c r="AP1054"/>
    </row>
    <row r="1055" spans="1:42" hidden="1">
      <c r="A1055" s="1" t="s">
        <v>4482</v>
      </c>
      <c r="D1055" s="1" t="s">
        <v>447</v>
      </c>
      <c r="F1055"/>
      <c r="G1055"/>
      <c r="H1055" s="1" t="s">
        <v>4592</v>
      </c>
      <c r="I1055" s="1" t="s">
        <v>4593</v>
      </c>
      <c r="J1055" s="1" t="s">
        <v>18</v>
      </c>
      <c r="K1055" s="1" t="s">
        <v>50</v>
      </c>
      <c r="L1055" s="1">
        <v>36764</v>
      </c>
      <c r="M1055" s="1">
        <v>25</v>
      </c>
      <c r="Q1055" s="1"/>
      <c r="R1055" s="1">
        <v>0</v>
      </c>
      <c r="S1055">
        <v>0</v>
      </c>
      <c r="T1055" t="s">
        <v>55</v>
      </c>
      <c r="U1055" t="s">
        <v>814</v>
      </c>
      <c r="V1055">
        <v>0</v>
      </c>
      <c r="W1055" s="1">
        <v>47089</v>
      </c>
      <c r="X1055" s="1" t="s">
        <v>55</v>
      </c>
      <c r="Y1055" s="1" t="s">
        <v>51</v>
      </c>
      <c r="Z1055" s="1"/>
      <c r="AA1055" s="1"/>
      <c r="AB1055" s="1"/>
      <c r="AC1055" s="1"/>
      <c r="AE1055" s="1"/>
      <c r="AF1055" s="1"/>
      <c r="AG1055" s="1"/>
      <c r="AH1055" s="1"/>
      <c r="AI1055" s="1"/>
      <c r="AJ1055" s="31">
        <v>0</v>
      </c>
      <c r="AK1055"/>
      <c r="AL1055"/>
      <c r="AM1055"/>
      <c r="AN1055"/>
      <c r="AO1055"/>
      <c r="AP1055"/>
    </row>
    <row r="1056" spans="1:42" hidden="1">
      <c r="F1056"/>
      <c r="G1056"/>
      <c r="M1056" s="1">
        <v>125</v>
      </c>
      <c r="Q1056" s="1"/>
      <c r="R1056" s="1">
        <v>0</v>
      </c>
      <c r="S1056"/>
      <c r="T1056" t="s">
        <v>55</v>
      </c>
      <c r="U1056" t="s">
        <v>814</v>
      </c>
      <c r="V1056" t="s">
        <v>814</v>
      </c>
      <c r="W1056" s="1"/>
      <c r="X1056" s="1" t="s">
        <v>55</v>
      </c>
      <c r="Y1056" s="1"/>
      <c r="Z1056" s="1"/>
      <c r="AA1056" s="1"/>
      <c r="AB1056" s="1"/>
      <c r="AC1056" s="1"/>
      <c r="AE1056" s="1"/>
      <c r="AF1056" s="1"/>
      <c r="AG1056" s="1"/>
      <c r="AH1056" s="1"/>
      <c r="AI1056" s="1"/>
      <c r="AJ1056" s="31">
        <v>0</v>
      </c>
      <c r="AK1056"/>
      <c r="AL1056"/>
      <c r="AM1056"/>
      <c r="AN1056"/>
      <c r="AO1056"/>
      <c r="AP1056"/>
    </row>
    <row r="1057" spans="6:42" hidden="1">
      <c r="F1057"/>
      <c r="G1057"/>
      <c r="M1057" s="1">
        <v>125</v>
      </c>
      <c r="Q1057" s="1"/>
      <c r="R1057" s="1">
        <v>0</v>
      </c>
      <c r="S1057"/>
      <c r="T1057" t="s">
        <v>55</v>
      </c>
      <c r="U1057" t="s">
        <v>814</v>
      </c>
      <c r="V1057" t="s">
        <v>814</v>
      </c>
      <c r="W1057" s="1"/>
      <c r="X1057" s="1" t="s">
        <v>55</v>
      </c>
      <c r="Y1057" s="1"/>
      <c r="Z1057" s="1"/>
      <c r="AA1057" s="1"/>
      <c r="AB1057" s="1"/>
      <c r="AC1057" s="1"/>
      <c r="AE1057" s="1"/>
      <c r="AF1057" s="1"/>
      <c r="AG1057" s="1"/>
      <c r="AH1057" s="1"/>
      <c r="AI1057" s="1"/>
      <c r="AJ1057" s="31">
        <v>0</v>
      </c>
      <c r="AK1057"/>
      <c r="AL1057"/>
      <c r="AM1057"/>
      <c r="AN1057"/>
      <c r="AO1057"/>
      <c r="AP1057"/>
    </row>
    <row r="1058" spans="6:42" hidden="1">
      <c r="F1058"/>
      <c r="G1058"/>
      <c r="M1058" s="1">
        <v>125</v>
      </c>
      <c r="Q1058" s="1"/>
      <c r="R1058" s="1">
        <v>0</v>
      </c>
      <c r="S1058"/>
      <c r="T1058" t="s">
        <v>55</v>
      </c>
      <c r="U1058" t="s">
        <v>814</v>
      </c>
      <c r="V1058" t="s">
        <v>814</v>
      </c>
      <c r="W1058" s="1"/>
      <c r="X1058" s="1" t="s">
        <v>55</v>
      </c>
      <c r="Y1058" s="1"/>
      <c r="Z1058" s="1"/>
      <c r="AA1058" s="1"/>
      <c r="AB1058" s="1"/>
      <c r="AC1058" s="1"/>
      <c r="AE1058" s="1"/>
      <c r="AF1058" s="1"/>
      <c r="AG1058" s="1"/>
      <c r="AH1058" s="1"/>
      <c r="AI1058" s="1"/>
      <c r="AJ1058" s="31">
        <v>0</v>
      </c>
      <c r="AK1058"/>
      <c r="AL1058"/>
      <c r="AM1058"/>
      <c r="AN1058"/>
      <c r="AO1058"/>
      <c r="AP1058"/>
    </row>
    <row r="1059" spans="6:42" hidden="1">
      <c r="F1059"/>
      <c r="G1059"/>
      <c r="M1059" s="1">
        <v>125</v>
      </c>
      <c r="Q1059" s="1"/>
      <c r="R1059" s="1">
        <v>0</v>
      </c>
      <c r="S1059"/>
      <c r="T1059" t="s">
        <v>55</v>
      </c>
      <c r="U1059" t="s">
        <v>814</v>
      </c>
      <c r="V1059" t="s">
        <v>814</v>
      </c>
      <c r="W1059" s="1"/>
      <c r="X1059" s="1" t="s">
        <v>55</v>
      </c>
      <c r="Y1059" s="1"/>
      <c r="Z1059" s="1"/>
      <c r="AA1059" s="1"/>
      <c r="AB1059" s="1"/>
      <c r="AC1059" s="1"/>
      <c r="AE1059" s="1"/>
      <c r="AF1059" s="1"/>
      <c r="AG1059" s="1"/>
      <c r="AH1059" s="1"/>
      <c r="AI1059" s="1"/>
      <c r="AJ1059" s="31">
        <v>0</v>
      </c>
      <c r="AK1059"/>
      <c r="AL1059"/>
      <c r="AM1059"/>
      <c r="AN1059"/>
      <c r="AO1059"/>
      <c r="AP1059"/>
    </row>
    <row r="1060" spans="6:42" hidden="1">
      <c r="F1060"/>
      <c r="G1060"/>
      <c r="M1060" s="1">
        <v>125</v>
      </c>
      <c r="Q1060" s="1"/>
      <c r="R1060" s="1">
        <v>0</v>
      </c>
      <c r="S1060"/>
      <c r="T1060" t="s">
        <v>55</v>
      </c>
      <c r="U1060" t="s">
        <v>814</v>
      </c>
      <c r="V1060" t="s">
        <v>814</v>
      </c>
      <c r="W1060" s="1"/>
      <c r="X1060" s="1" t="s">
        <v>55</v>
      </c>
      <c r="Y1060" s="1"/>
      <c r="Z1060" s="1"/>
      <c r="AA1060" s="1"/>
      <c r="AB1060" s="1"/>
      <c r="AC1060" s="1"/>
      <c r="AE1060" s="1"/>
      <c r="AF1060" s="1"/>
      <c r="AG1060" s="1"/>
      <c r="AH1060" s="1"/>
      <c r="AI1060" s="1"/>
      <c r="AJ1060" s="31">
        <v>0</v>
      </c>
      <c r="AK1060"/>
      <c r="AL1060"/>
      <c r="AM1060"/>
      <c r="AN1060"/>
      <c r="AO1060"/>
      <c r="AP1060"/>
    </row>
    <row r="1061" spans="6:42" hidden="1">
      <c r="F1061"/>
      <c r="G1061"/>
      <c r="M1061" s="1">
        <v>125</v>
      </c>
      <c r="Q1061" s="1"/>
      <c r="R1061" s="1">
        <v>0</v>
      </c>
      <c r="S1061"/>
      <c r="T1061" t="s">
        <v>55</v>
      </c>
      <c r="U1061" t="s">
        <v>814</v>
      </c>
      <c r="V1061" t="s">
        <v>814</v>
      </c>
      <c r="W1061" s="1"/>
      <c r="X1061" s="1" t="s">
        <v>55</v>
      </c>
      <c r="Y1061" s="1"/>
      <c r="Z1061" s="1"/>
      <c r="AA1061" s="1"/>
      <c r="AB1061" s="1"/>
      <c r="AC1061" s="1"/>
      <c r="AE1061" s="1"/>
      <c r="AF1061" s="1"/>
      <c r="AG1061" s="1"/>
      <c r="AH1061" s="1"/>
      <c r="AI1061" s="1"/>
      <c r="AJ1061" s="31">
        <v>0</v>
      </c>
      <c r="AK1061"/>
      <c r="AL1061"/>
      <c r="AM1061"/>
      <c r="AN1061"/>
      <c r="AO1061"/>
      <c r="AP1061"/>
    </row>
    <row r="1062" spans="6:42" hidden="1">
      <c r="F1062"/>
      <c r="G1062"/>
      <c r="M1062" s="1">
        <v>125</v>
      </c>
      <c r="Q1062" s="1"/>
      <c r="R1062" s="1">
        <v>0</v>
      </c>
      <c r="S1062"/>
      <c r="T1062" t="s">
        <v>55</v>
      </c>
      <c r="U1062" t="s">
        <v>814</v>
      </c>
      <c r="V1062" t="s">
        <v>814</v>
      </c>
      <c r="W1062" s="1"/>
      <c r="X1062" s="1" t="s">
        <v>55</v>
      </c>
      <c r="Y1062" s="1"/>
      <c r="Z1062" s="1"/>
      <c r="AA1062" s="1"/>
      <c r="AB1062" s="1"/>
      <c r="AC1062" s="1"/>
      <c r="AE1062" s="1"/>
      <c r="AF1062" s="1"/>
      <c r="AG1062" s="1"/>
      <c r="AH1062" s="1"/>
      <c r="AI1062" s="1"/>
      <c r="AJ1062" s="31">
        <v>0</v>
      </c>
      <c r="AK1062"/>
      <c r="AL1062"/>
      <c r="AM1062"/>
      <c r="AN1062"/>
      <c r="AO1062"/>
      <c r="AP1062"/>
    </row>
    <row r="1063" spans="6:42" hidden="1">
      <c r="F1063"/>
      <c r="G1063"/>
      <c r="M1063" s="1">
        <v>125</v>
      </c>
      <c r="Q1063" s="1"/>
      <c r="R1063" s="1">
        <v>0</v>
      </c>
      <c r="S1063"/>
      <c r="T1063" t="s">
        <v>55</v>
      </c>
      <c r="U1063" t="s">
        <v>814</v>
      </c>
      <c r="V1063" t="s">
        <v>814</v>
      </c>
      <c r="W1063" s="1"/>
      <c r="X1063" s="1" t="s">
        <v>55</v>
      </c>
      <c r="Y1063" s="1"/>
      <c r="Z1063" s="1"/>
      <c r="AA1063" s="1"/>
      <c r="AB1063" s="1"/>
      <c r="AC1063" s="1"/>
      <c r="AE1063" s="1"/>
      <c r="AF1063" s="1"/>
      <c r="AG1063" s="1"/>
      <c r="AH1063" s="1"/>
      <c r="AI1063" s="1"/>
      <c r="AJ1063" s="31">
        <v>0</v>
      </c>
      <c r="AK1063"/>
      <c r="AL1063"/>
      <c r="AM1063"/>
      <c r="AN1063"/>
      <c r="AO1063"/>
      <c r="AP1063"/>
    </row>
    <row r="1064" spans="6:42" hidden="1">
      <c r="F1064"/>
      <c r="G1064"/>
      <c r="M1064" s="1">
        <v>125</v>
      </c>
      <c r="Q1064" s="1"/>
      <c r="R1064" s="1">
        <v>0</v>
      </c>
      <c r="S1064"/>
      <c r="T1064" t="s">
        <v>55</v>
      </c>
      <c r="U1064" t="s">
        <v>814</v>
      </c>
      <c r="V1064" t="s">
        <v>814</v>
      </c>
      <c r="W1064" s="1"/>
      <c r="X1064" s="1" t="s">
        <v>55</v>
      </c>
      <c r="Y1064" s="1"/>
      <c r="Z1064" s="1"/>
      <c r="AA1064" s="1"/>
      <c r="AB1064" s="1"/>
      <c r="AC1064" s="1"/>
      <c r="AE1064" s="1"/>
      <c r="AF1064" s="1"/>
      <c r="AG1064" s="1"/>
      <c r="AH1064" s="1"/>
      <c r="AI1064" s="1"/>
      <c r="AJ1064" s="31">
        <v>0</v>
      </c>
      <c r="AK1064"/>
      <c r="AL1064"/>
      <c r="AM1064"/>
      <c r="AN1064"/>
      <c r="AO1064"/>
      <c r="AP1064"/>
    </row>
    <row r="1065" spans="6:42" hidden="1">
      <c r="F1065"/>
      <c r="G1065"/>
      <c r="M1065" s="1">
        <v>125</v>
      </c>
      <c r="Q1065" s="1"/>
      <c r="R1065" s="1">
        <v>0</v>
      </c>
      <c r="S1065"/>
      <c r="T1065" t="s">
        <v>55</v>
      </c>
      <c r="U1065" t="s">
        <v>814</v>
      </c>
      <c r="V1065" t="s">
        <v>814</v>
      </c>
      <c r="W1065" s="1"/>
      <c r="X1065" s="1" t="s">
        <v>55</v>
      </c>
      <c r="Y1065" s="1"/>
      <c r="Z1065" s="1"/>
      <c r="AA1065" s="1"/>
      <c r="AB1065" s="1"/>
      <c r="AC1065" s="1"/>
      <c r="AE1065" s="1"/>
      <c r="AF1065" s="1"/>
      <c r="AG1065" s="1"/>
      <c r="AH1065" s="1"/>
      <c r="AI1065" s="1"/>
      <c r="AJ1065" s="31">
        <v>0</v>
      </c>
      <c r="AK1065"/>
      <c r="AL1065"/>
      <c r="AM1065"/>
      <c r="AN1065"/>
      <c r="AO1065"/>
      <c r="AP1065"/>
    </row>
    <row r="1066" spans="6:42" hidden="1">
      <c r="F1066"/>
      <c r="G1066"/>
      <c r="M1066" s="1">
        <v>125</v>
      </c>
      <c r="Q1066" s="1"/>
      <c r="R1066" s="1">
        <v>0</v>
      </c>
      <c r="S1066"/>
      <c r="T1066" t="s">
        <v>55</v>
      </c>
      <c r="U1066" t="s">
        <v>814</v>
      </c>
      <c r="V1066" t="s">
        <v>814</v>
      </c>
      <c r="W1066" s="1"/>
      <c r="X1066" s="1" t="s">
        <v>55</v>
      </c>
      <c r="Y1066" s="1"/>
      <c r="Z1066" s="1"/>
      <c r="AA1066" s="1"/>
      <c r="AB1066" s="1"/>
      <c r="AC1066" s="1"/>
      <c r="AE1066" s="1"/>
      <c r="AF1066" s="1"/>
      <c r="AG1066" s="1"/>
      <c r="AH1066" s="1"/>
      <c r="AI1066" s="1"/>
      <c r="AJ1066" s="31">
        <v>0</v>
      </c>
      <c r="AK1066"/>
      <c r="AL1066"/>
      <c r="AM1066"/>
      <c r="AN1066"/>
      <c r="AO1066"/>
      <c r="AP1066"/>
    </row>
  </sheetData>
  <phoneticPr fontId="1"/>
  <pageMargins left="0.11811023622047245" right="0.11811023622047245" top="0.74803149606299213" bottom="0.74803149606299213" header="0.31496062992125984" footer="0.31496062992125984"/>
  <pageSetup paperSize="9" scale="44" fitToHeight="0" orientation="landscape" r:id="rId1"/>
  <colBreaks count="1" manualBreakCount="1">
    <brk id="30" max="1048575" man="1"/>
  </colBreak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96CAB-EE57-4150-AF56-AF0A665FEA1C}">
  <sheetPr codeName="Hoja2">
    <tabColor theme="1"/>
  </sheetPr>
  <dimension ref="A1:AR1150"/>
  <sheetViews>
    <sheetView workbookViewId="0">
      <selection activeCell="B2" sqref="B2"/>
    </sheetView>
  </sheetViews>
  <sheetFormatPr defaultColWidth="11.02734375" defaultRowHeight="15"/>
  <cols>
    <col min="1" max="1" width="37.125" customWidth="1"/>
    <col min="2" max="2" width="31.609375" customWidth="1"/>
    <col min="6" max="6" width="22.8671875" bestFit="1" customWidth="1"/>
    <col min="7" max="7" width="48.42578125" customWidth="1"/>
    <col min="8" max="8" width="24.078125" customWidth="1"/>
    <col min="11" max="11" width="18.0234375" customWidth="1"/>
    <col min="14" max="14" width="15.6015625" style="31" bestFit="1" customWidth="1"/>
    <col min="25" max="25" width="15.6015625" style="31" bestFit="1" customWidth="1"/>
    <col min="31" max="34" width="15.6015625" style="31" bestFit="1" customWidth="1"/>
  </cols>
  <sheetData>
    <row r="1" spans="1:44">
      <c r="B1" t="s">
        <v>305</v>
      </c>
      <c r="C1" t="str" cm="1">
        <f t="array" ref="C1:AR1066">DBGenzai[#All]</f>
        <v>現在</v>
      </c>
      <c r="D1" t="str">
        <v>社員№</v>
      </c>
      <c r="E1" t="str">
        <v>派遣先ID</v>
      </c>
      <c r="F1" t="str">
        <v>派遣先</v>
      </c>
      <c r="G1" t="str">
        <v>配属先</v>
      </c>
      <c r="H1" t="str">
        <v>配属ライン</v>
      </c>
      <c r="I1" t="str">
        <v>仕事内容</v>
      </c>
      <c r="J1" t="str">
        <v>氏名</v>
      </c>
      <c r="K1" t="str">
        <v>カナ</v>
      </c>
      <c r="L1" t="str">
        <v>性別</v>
      </c>
      <c r="M1" t="str">
        <v>国籍</v>
      </c>
      <c r="N1" s="31" t="str">
        <v>生年月日</v>
      </c>
      <c r="O1" t="str">
        <v>年齢</v>
      </c>
      <c r="P1" t="str">
        <v>時給</v>
      </c>
      <c r="Q1" t="str">
        <v>時給改定</v>
      </c>
      <c r="R1" t="str">
        <v>請求単価</v>
      </c>
      <c r="S1" t="str">
        <v>請求改定</v>
      </c>
      <c r="T1" t="str">
        <v>差額利益</v>
      </c>
      <c r="U1" t="str">
        <v>標準報酬</v>
      </c>
      <c r="V1" t="str">
        <v>健康保険</v>
      </c>
      <c r="W1" t="str">
        <v>介護保険</v>
      </c>
      <c r="X1" t="str">
        <v>厚生年金</v>
      </c>
      <c r="Y1" s="31" t="str">
        <v>ビザ期限</v>
      </c>
      <c r="Z1" t="str">
        <v>ｱﾗｰﾄ(ﾋﾞｻﾞ更新)</v>
      </c>
      <c r="AA1" t="str">
        <v>ビザ種類</v>
      </c>
      <c r="AB1" t="str">
        <v>〒</v>
      </c>
      <c r="AC1" t="str">
        <v>住所</v>
      </c>
      <c r="AD1" t="str">
        <v>ｱﾊﾟｰﾄ</v>
      </c>
      <c r="AE1" s="31" t="str">
        <v>入居</v>
      </c>
      <c r="AF1" s="31" t="str">
        <v>入社日</v>
      </c>
      <c r="AG1" s="31" t="str">
        <v>退社日</v>
      </c>
      <c r="AH1" s="31" t="str">
        <v>退去</v>
      </c>
      <c r="AI1" t="str">
        <v>社保加入</v>
      </c>
      <c r="AJ1" t="str">
        <v>入社依頼</v>
      </c>
      <c r="AK1" t="str">
        <v>備考</v>
      </c>
      <c r="AL1" t="str">
        <v>現入社</v>
      </c>
      <c r="AM1" t="str">
        <v>免許種類</v>
      </c>
      <c r="AN1" t="str">
        <v>免許期限</v>
      </c>
      <c r="AO1" t="str">
        <v>通勤方法</v>
      </c>
      <c r="AP1" t="str">
        <v>任意保険期限</v>
      </c>
      <c r="AQ1" t="str">
        <v>日本語検定</v>
      </c>
      <c r="AR1" t="str">
        <v>キャリアアップ5年目</v>
      </c>
    </row>
    <row r="2" spans="1:44">
      <c r="A2" t="str">
        <f>H2&amp;COUNTIF($H$2:H2,H2)</f>
        <v>01</v>
      </c>
      <c r="B2" t="str">
        <f>F2&amp;COUNTIF($F$2:F2,F2)</f>
        <v>ピーエムアイ1</v>
      </c>
      <c r="C2" t="str">
        <v>退社</v>
      </c>
      <c r="D2">
        <v>200805</v>
      </c>
      <c r="E2">
        <v>0</v>
      </c>
      <c r="F2" t="str">
        <v>ピーエムアイ</v>
      </c>
      <c r="G2">
        <v>0</v>
      </c>
      <c r="H2">
        <v>0</v>
      </c>
      <c r="I2">
        <v>0</v>
      </c>
      <c r="J2" t="str">
        <v>VI THI HUE</v>
      </c>
      <c r="K2" t="str">
        <v>ヴィ　ティ　フェ</v>
      </c>
      <c r="L2" t="str">
        <v>女</v>
      </c>
      <c r="M2" t="str">
        <v>ﾍﾞﾄﾅﾑ</v>
      </c>
      <c r="N2" s="31">
        <v>34359</v>
      </c>
      <c r="O2">
        <v>31</v>
      </c>
      <c r="P2">
        <v>1300</v>
      </c>
      <c r="Q2" t="str">
        <v>2020/11/21 1200⇒1250　2021/2/21　1250⇒1300</v>
      </c>
      <c r="R2">
        <v>1750</v>
      </c>
      <c r="S2">
        <v>0</v>
      </c>
      <c r="T2">
        <v>450</v>
      </c>
      <c r="U2">
        <v>0</v>
      </c>
      <c r="V2" t="str">
        <v/>
      </c>
      <c r="W2" t="str">
        <v>0</v>
      </c>
      <c r="X2" t="str">
        <v/>
      </c>
      <c r="Y2" s="31">
        <v>44697</v>
      </c>
      <c r="Z2" t="str">
        <v/>
      </c>
      <c r="AA2" t="str">
        <v>技術・人文知識・国際業務</v>
      </c>
      <c r="AB2" t="str">
        <v>471-0805</v>
      </c>
      <c r="AC2" t="str">
        <v>愛知県豊田市美里2‐6‐9</v>
      </c>
      <c r="AD2" t="str">
        <v>ﾚｼﾞｪﾝﾄﾞK204</v>
      </c>
      <c r="AE2" s="31">
        <v>44060</v>
      </c>
      <c r="AF2" s="31">
        <v>44061</v>
      </c>
      <c r="AG2" s="31">
        <v>44317</v>
      </c>
      <c r="AH2" s="31">
        <v>0</v>
      </c>
      <c r="AI2" t="str">
        <v>OK</v>
      </c>
      <c r="AJ2">
        <v>0</v>
      </c>
      <c r="AK2">
        <v>0</v>
      </c>
      <c r="AL2">
        <v>44061</v>
      </c>
      <c r="AM2">
        <v>0</v>
      </c>
      <c r="AN2">
        <v>45447</v>
      </c>
      <c r="AO2">
        <v>0</v>
      </c>
      <c r="AP2">
        <v>45528</v>
      </c>
      <c r="AQ2">
        <v>0</v>
      </c>
      <c r="AR2">
        <v>0</v>
      </c>
    </row>
    <row r="3" spans="1:44">
      <c r="A3" t="str">
        <f>H3&amp;COUNTIF($H$2:H3,H3)</f>
        <v>02</v>
      </c>
      <c r="B3" t="str">
        <f>F3&amp;COUNTIF($F$2:F3,F3)</f>
        <v>ピーエムアイ2</v>
      </c>
      <c r="C3" t="str">
        <v>退社</v>
      </c>
      <c r="D3">
        <v>200801</v>
      </c>
      <c r="E3">
        <v>0</v>
      </c>
      <c r="F3" t="str">
        <v>ピーエムアイ</v>
      </c>
      <c r="G3">
        <v>0</v>
      </c>
      <c r="H3">
        <v>0</v>
      </c>
      <c r="I3">
        <v>0</v>
      </c>
      <c r="J3" t="str">
        <v>NGUYEN QUANG THANG</v>
      </c>
      <c r="K3" t="str">
        <v>グエン　クアン　タン</v>
      </c>
      <c r="L3" t="str">
        <v>男</v>
      </c>
      <c r="M3" t="str">
        <v>ﾍﾞﾄﾅﾑ</v>
      </c>
      <c r="N3" s="31">
        <v>32431</v>
      </c>
      <c r="O3">
        <v>37</v>
      </c>
      <c r="P3">
        <v>1250</v>
      </c>
      <c r="Q3" t="str">
        <v>2020/11/21 1200⇒1250　2021/2/21　1250⇒1300</v>
      </c>
      <c r="R3">
        <v>1750</v>
      </c>
      <c r="S3" t="str">
        <v>2021/2/21~　1750⇒1800</v>
      </c>
      <c r="T3">
        <v>500</v>
      </c>
      <c r="U3">
        <v>0</v>
      </c>
      <c r="V3" t="str">
        <v/>
      </c>
      <c r="W3" t="str">
        <v>0</v>
      </c>
      <c r="X3" t="str">
        <v/>
      </c>
      <c r="Y3" s="31">
        <v>44848</v>
      </c>
      <c r="Z3" t="str">
        <v/>
      </c>
      <c r="AA3" t="str">
        <v>技術・人文知識・国際業務</v>
      </c>
      <c r="AB3" t="str">
        <v>471-0805</v>
      </c>
      <c r="AC3" t="str">
        <v>愛知県豊田市美里2‐6‐9</v>
      </c>
      <c r="AD3" t="str">
        <v>ﾚｼﾞｪﾝﾄﾞK301</v>
      </c>
      <c r="AE3" s="31">
        <v>44060</v>
      </c>
      <c r="AF3" s="31">
        <v>44064</v>
      </c>
      <c r="AG3" s="31">
        <v>44286</v>
      </c>
      <c r="AH3" s="31">
        <v>44289</v>
      </c>
      <c r="AI3" t="str">
        <v>OK</v>
      </c>
      <c r="AJ3">
        <v>0</v>
      </c>
      <c r="AK3">
        <v>0</v>
      </c>
      <c r="AL3">
        <v>44064</v>
      </c>
      <c r="AM3">
        <v>0</v>
      </c>
      <c r="AN3">
        <v>0</v>
      </c>
      <c r="AO3">
        <v>0</v>
      </c>
      <c r="AP3">
        <v>0</v>
      </c>
      <c r="AQ3">
        <v>0</v>
      </c>
      <c r="AR3">
        <v>0</v>
      </c>
    </row>
    <row r="4" spans="1:44">
      <c r="A4" t="str">
        <f>H4&amp;COUNTIF($H$2:H4,H4)</f>
        <v>03</v>
      </c>
      <c r="B4" t="str">
        <f>F4&amp;COUNTIF($F$2:F4,F4)</f>
        <v>ピーエムアイ3</v>
      </c>
      <c r="C4" t="str">
        <v>退社</v>
      </c>
      <c r="D4">
        <v>200802</v>
      </c>
      <c r="E4">
        <v>0</v>
      </c>
      <c r="F4" t="str">
        <v>ピーエムアイ</v>
      </c>
      <c r="G4">
        <v>0</v>
      </c>
      <c r="H4">
        <v>0</v>
      </c>
      <c r="I4">
        <v>0</v>
      </c>
      <c r="J4" t="str">
        <v>NGUYEN HUY HOANG</v>
      </c>
      <c r="K4" t="str">
        <v>グエン　フイ　ホアン</v>
      </c>
      <c r="L4" t="str">
        <v>男</v>
      </c>
      <c r="M4" t="str">
        <v>ﾍﾞﾄﾅﾑ</v>
      </c>
      <c r="N4" s="31">
        <v>34212</v>
      </c>
      <c r="O4">
        <v>32</v>
      </c>
      <c r="P4">
        <v>1200</v>
      </c>
      <c r="Q4">
        <v>0</v>
      </c>
      <c r="R4">
        <v>1750</v>
      </c>
      <c r="S4">
        <v>550</v>
      </c>
      <c r="T4">
        <v>550</v>
      </c>
      <c r="U4">
        <v>0</v>
      </c>
      <c r="V4" t="str">
        <v/>
      </c>
      <c r="W4" t="str">
        <v>0</v>
      </c>
      <c r="X4" t="str">
        <v/>
      </c>
      <c r="Y4" s="31">
        <v>44332</v>
      </c>
      <c r="Z4" t="str">
        <v/>
      </c>
      <c r="AA4" t="str">
        <v>技術・人文知識・国際業務</v>
      </c>
      <c r="AB4" t="str">
        <v>471-0805</v>
      </c>
      <c r="AC4" t="str">
        <v>愛知県豊田市美里2‐6‐9</v>
      </c>
      <c r="AD4" t="str">
        <v>ﾚｼﾞｪﾝﾄﾞK301</v>
      </c>
      <c r="AE4" s="31">
        <v>44062</v>
      </c>
      <c r="AF4" s="31">
        <v>44064</v>
      </c>
      <c r="AG4" s="31">
        <v>44092</v>
      </c>
      <c r="AH4" s="31">
        <v>44093</v>
      </c>
      <c r="AI4">
        <v>0</v>
      </c>
      <c r="AJ4">
        <v>0</v>
      </c>
      <c r="AK4">
        <v>0</v>
      </c>
      <c r="AL4">
        <v>44064</v>
      </c>
      <c r="AM4">
        <v>0</v>
      </c>
      <c r="AN4">
        <v>0</v>
      </c>
      <c r="AO4">
        <v>0</v>
      </c>
      <c r="AP4">
        <v>0</v>
      </c>
      <c r="AQ4">
        <v>0</v>
      </c>
      <c r="AR4">
        <v>0</v>
      </c>
    </row>
    <row r="5" spans="1:44">
      <c r="A5" t="str">
        <f>H5&amp;COUNTIF($H$2:H5,H5)</f>
        <v>04</v>
      </c>
      <c r="B5" t="str">
        <f>F5&amp;COUNTIF($F$2:F5,F5)</f>
        <v>コーリツ 州の崎1</v>
      </c>
      <c r="C5" t="str">
        <v>退社</v>
      </c>
      <c r="D5">
        <v>200803</v>
      </c>
      <c r="E5">
        <v>8210005</v>
      </c>
      <c r="F5" t="str">
        <v>コーリツ 州の崎</v>
      </c>
      <c r="G5" t="str">
        <v>州の埼工場　製造２課２工区３班</v>
      </c>
      <c r="H5">
        <v>0</v>
      </c>
      <c r="I5">
        <v>0</v>
      </c>
      <c r="J5" t="str">
        <v>NGUYEN QUANG HUNG</v>
      </c>
      <c r="K5" t="str">
        <v>グエン　クアン　フン</v>
      </c>
      <c r="L5" t="str">
        <v>男</v>
      </c>
      <c r="M5" t="str">
        <v>ﾍﾞﾄﾅﾑ</v>
      </c>
      <c r="N5" s="31">
        <v>34939</v>
      </c>
      <c r="O5">
        <v>30</v>
      </c>
      <c r="P5">
        <v>1400</v>
      </c>
      <c r="Q5" t="str">
        <v>2020/11/21 1200⇒1250　2021/2/22PMI⇒ｺｰﾘﾂ移動</v>
      </c>
      <c r="R5">
        <v>1990</v>
      </c>
      <c r="S5">
        <v>0</v>
      </c>
      <c r="T5">
        <v>590</v>
      </c>
      <c r="U5">
        <v>0</v>
      </c>
      <c r="V5" t="str">
        <v/>
      </c>
      <c r="W5" t="str">
        <v>0</v>
      </c>
      <c r="X5" t="str">
        <v/>
      </c>
      <c r="Y5" s="31">
        <v>44988</v>
      </c>
      <c r="Z5" t="str">
        <v/>
      </c>
      <c r="AA5" t="str">
        <v>技術・人文知識・国際業務</v>
      </c>
      <c r="AB5" t="str">
        <v>475-0074</v>
      </c>
      <c r="AC5" t="str">
        <v>愛知県半田市長根町3丁目1番　</v>
      </c>
      <c r="AD5" t="str">
        <v>県営長根住宅5棟303号</v>
      </c>
      <c r="AE5" s="31" t="str">
        <v>個人</v>
      </c>
      <c r="AF5" s="31">
        <v>44064</v>
      </c>
      <c r="AG5" s="31">
        <v>44923</v>
      </c>
      <c r="AH5" s="31">
        <v>44619</v>
      </c>
      <c r="AI5" t="str">
        <v>OK</v>
      </c>
      <c r="AJ5" t="str">
        <v>OK</v>
      </c>
      <c r="AK5" t="str">
        <v>2/27ｼｬﾙﾏﾝ苗代102号から自分のアパートに移動</v>
      </c>
      <c r="AL5">
        <v>44064</v>
      </c>
      <c r="AM5">
        <v>0</v>
      </c>
      <c r="AN5">
        <v>0</v>
      </c>
      <c r="AO5">
        <v>0</v>
      </c>
      <c r="AP5">
        <v>0</v>
      </c>
      <c r="AQ5">
        <v>0</v>
      </c>
      <c r="AR5">
        <v>0</v>
      </c>
    </row>
    <row r="6" spans="1:44">
      <c r="A6" t="str">
        <f>H6&amp;COUNTIF($H$2:H6,H6)</f>
        <v>05</v>
      </c>
      <c r="B6" t="str">
        <f>F6&amp;COUNTIF($F$2:F6,F6)</f>
        <v>ピーエムアイ4</v>
      </c>
      <c r="C6" t="str">
        <v>退社</v>
      </c>
      <c r="D6">
        <v>200804</v>
      </c>
      <c r="E6">
        <v>0</v>
      </c>
      <c r="F6" t="str">
        <v>ピーエムアイ</v>
      </c>
      <c r="G6">
        <v>0</v>
      </c>
      <c r="H6">
        <v>0</v>
      </c>
      <c r="I6">
        <v>0</v>
      </c>
      <c r="J6" t="str">
        <v>DANG ANH DUNG</v>
      </c>
      <c r="K6" t="str">
        <v>ダン　アン　ズン</v>
      </c>
      <c r="L6" t="str">
        <v>男</v>
      </c>
      <c r="M6" t="str">
        <v>ﾍﾞﾄﾅﾑ</v>
      </c>
      <c r="N6" s="31">
        <v>33172</v>
      </c>
      <c r="O6">
        <v>35</v>
      </c>
      <c r="P6">
        <v>1300</v>
      </c>
      <c r="Q6" t="str">
        <v>2020/11/21 1200⇒1250　2021/2/21　1250⇒1300</v>
      </c>
      <c r="R6">
        <v>1750</v>
      </c>
      <c r="S6" t="str">
        <v>2021/2/21~　1750⇒1800</v>
      </c>
      <c r="T6">
        <v>450</v>
      </c>
      <c r="U6">
        <v>0</v>
      </c>
      <c r="V6" t="str">
        <v/>
      </c>
      <c r="W6" t="str">
        <v>0</v>
      </c>
      <c r="X6" t="str">
        <v/>
      </c>
      <c r="Y6" s="31">
        <v>44528</v>
      </c>
      <c r="Z6" t="str">
        <v/>
      </c>
      <c r="AA6" t="str">
        <v>技術・人文知識・国際業務</v>
      </c>
      <c r="AB6" t="str">
        <v>471-0805</v>
      </c>
      <c r="AC6" t="str">
        <v>愛知県豊田市美里2‐6‐9</v>
      </c>
      <c r="AD6" t="str">
        <v>ﾚｼﾞｪﾝﾄﾞK204</v>
      </c>
      <c r="AE6" s="31">
        <v>44060</v>
      </c>
      <c r="AF6" s="31">
        <v>44064</v>
      </c>
      <c r="AG6" s="31">
        <v>44317</v>
      </c>
      <c r="AH6" s="31">
        <v>0</v>
      </c>
      <c r="AI6" t="str">
        <v>OK</v>
      </c>
      <c r="AJ6">
        <v>0</v>
      </c>
      <c r="AK6">
        <v>0</v>
      </c>
      <c r="AL6">
        <v>44064</v>
      </c>
      <c r="AM6">
        <v>0</v>
      </c>
      <c r="AN6">
        <v>0</v>
      </c>
      <c r="AO6">
        <v>0</v>
      </c>
      <c r="AP6">
        <v>0</v>
      </c>
      <c r="AQ6">
        <v>0</v>
      </c>
      <c r="AR6">
        <v>0</v>
      </c>
    </row>
    <row r="7" spans="1:44">
      <c r="A7" t="str">
        <f>H7&amp;COUNTIF($H$2:H7,H7)</f>
        <v>成型ライン1</v>
      </c>
      <c r="B7" t="str">
        <f>F7&amp;COUNTIF($F$2:F7,F7)</f>
        <v>ピーエムアイ5</v>
      </c>
      <c r="C7" t="str">
        <v>退社</v>
      </c>
      <c r="D7">
        <v>200806</v>
      </c>
      <c r="E7">
        <v>45</v>
      </c>
      <c r="F7" t="str">
        <v>ピーエムアイ</v>
      </c>
      <c r="G7" t="str">
        <v>製造1</v>
      </c>
      <c r="H7" t="str">
        <v>成型ライン</v>
      </c>
      <c r="I7" t="str">
        <v>プラスチック製品の製造におけるすべての行為</v>
      </c>
      <c r="J7" t="str">
        <v>HOANG ANH DAC</v>
      </c>
      <c r="K7" t="str">
        <v>ホアン　アン　ダック</v>
      </c>
      <c r="L7" t="str">
        <v>男</v>
      </c>
      <c r="M7" t="str">
        <v>ﾍﾞﾄﾅﾑ</v>
      </c>
      <c r="N7" s="31">
        <v>33037</v>
      </c>
      <c r="O7">
        <v>35</v>
      </c>
      <c r="P7">
        <v>1450</v>
      </c>
      <c r="Q7">
        <v>0</v>
      </c>
      <c r="R7">
        <v>1950</v>
      </c>
      <c r="S7" t="str">
        <v>2021/2/21~　1800⇒1850</v>
      </c>
      <c r="T7">
        <v>500</v>
      </c>
      <c r="U7">
        <v>320000</v>
      </c>
      <c r="V7">
        <v>16048</v>
      </c>
      <c r="W7" t="str">
        <v>0</v>
      </c>
      <c r="X7">
        <v>29280</v>
      </c>
      <c r="Y7" s="31">
        <v>45606</v>
      </c>
      <c r="Z7" t="str">
        <v/>
      </c>
      <c r="AA7" t="str">
        <v>技術・人文知識・国際業務</v>
      </c>
      <c r="AB7" t="str">
        <v>471-0805</v>
      </c>
      <c r="AC7" t="str">
        <v>愛知県豊田市松平志賀町柿谷下28番地</v>
      </c>
      <c r="AD7" t="str">
        <v>市営Ｂ102号</v>
      </c>
      <c r="AE7" s="31" t="str">
        <v>個人</v>
      </c>
      <c r="AF7" s="31">
        <v>44064</v>
      </c>
      <c r="AG7" s="31">
        <v>45398</v>
      </c>
      <c r="AH7" s="31">
        <v>0</v>
      </c>
      <c r="AI7" t="str">
        <v>OK</v>
      </c>
      <c r="AJ7" t="str">
        <v>OK</v>
      </c>
      <c r="AK7">
        <v>0</v>
      </c>
      <c r="AL7">
        <v>44064</v>
      </c>
      <c r="AM7">
        <v>0</v>
      </c>
      <c r="AN7">
        <v>0</v>
      </c>
      <c r="AO7">
        <v>0</v>
      </c>
      <c r="AP7">
        <v>0</v>
      </c>
      <c r="AQ7">
        <v>0</v>
      </c>
      <c r="AR7">
        <v>0</v>
      </c>
    </row>
    <row r="8" spans="1:44">
      <c r="A8" t="str">
        <f>H8&amp;COUNTIF($H$2:H8,H8)</f>
        <v>成型ライン2</v>
      </c>
      <c r="B8" t="str">
        <f>F8&amp;COUNTIF($F$2:F8,F8)</f>
        <v>ピーエムアイ6</v>
      </c>
      <c r="C8" t="str">
        <v>在職中</v>
      </c>
      <c r="D8">
        <v>200901</v>
      </c>
      <c r="E8">
        <v>46</v>
      </c>
      <c r="F8" t="str">
        <v>ピーエムアイ</v>
      </c>
      <c r="G8" t="str">
        <v>製造1</v>
      </c>
      <c r="H8" t="str">
        <v>成型ライン</v>
      </c>
      <c r="I8" t="str">
        <v>プラスチック製品の製造におけるすべての行為</v>
      </c>
      <c r="J8" t="str">
        <v>VU VAN THANG</v>
      </c>
      <c r="K8" t="str">
        <v>ヴ　ヴァン　タン</v>
      </c>
      <c r="L8" t="str">
        <v>男</v>
      </c>
      <c r="M8" t="str">
        <v>ﾍﾞﾄﾅﾑ</v>
      </c>
      <c r="N8" s="31">
        <v>34765</v>
      </c>
      <c r="O8">
        <v>30</v>
      </c>
      <c r="P8">
        <v>1350</v>
      </c>
      <c r="Q8" t="str">
        <v>2021/2/21⇒1300</v>
      </c>
      <c r="R8">
        <v>1800</v>
      </c>
      <c r="S8">
        <v>0</v>
      </c>
      <c r="T8">
        <v>450</v>
      </c>
      <c r="U8">
        <v>240000</v>
      </c>
      <c r="V8">
        <v>12036</v>
      </c>
      <c r="W8" t="str">
        <v>0</v>
      </c>
      <c r="X8">
        <v>21960</v>
      </c>
      <c r="Y8" s="31">
        <v>47364</v>
      </c>
      <c r="Z8" t="str">
        <v/>
      </c>
      <c r="AA8" t="str">
        <v>技術・人文知識・国際業務</v>
      </c>
      <c r="AB8" t="str">
        <v>471-0805</v>
      </c>
      <c r="AC8" t="str">
        <v>愛知県豊田市美里2-6-9</v>
      </c>
      <c r="AD8" t="str">
        <v>ﾚｼﾞｪﾝﾄﾞK203</v>
      </c>
      <c r="AE8" s="31">
        <v>44136</v>
      </c>
      <c r="AF8" s="31">
        <v>44083</v>
      </c>
      <c r="AG8" s="31">
        <v>0</v>
      </c>
      <c r="AH8" s="31">
        <v>0</v>
      </c>
      <c r="AI8" t="str">
        <v>OK</v>
      </c>
      <c r="AJ8" t="str">
        <v>OK</v>
      </c>
      <c r="AK8">
        <v>0</v>
      </c>
      <c r="AL8">
        <v>44083</v>
      </c>
      <c r="AM8">
        <v>0</v>
      </c>
      <c r="AN8">
        <v>0</v>
      </c>
      <c r="AO8">
        <v>0</v>
      </c>
      <c r="AP8">
        <v>0</v>
      </c>
      <c r="AQ8">
        <v>0</v>
      </c>
      <c r="AR8">
        <v>0</v>
      </c>
    </row>
    <row r="9" spans="1:44">
      <c r="A9" t="str">
        <f>H9&amp;COUNTIF($H$2:H9,H9)</f>
        <v>06</v>
      </c>
      <c r="B9" t="str">
        <f>F9&amp;COUNTIF($F$2:F9,F9)</f>
        <v>ピーエムアイ7</v>
      </c>
      <c r="C9" t="str">
        <v>退社</v>
      </c>
      <c r="D9">
        <v>200902</v>
      </c>
      <c r="E9">
        <v>0</v>
      </c>
      <c r="F9" t="str">
        <v>ピーエムアイ</v>
      </c>
      <c r="G9">
        <v>0</v>
      </c>
      <c r="H9">
        <v>0</v>
      </c>
      <c r="I9">
        <v>0</v>
      </c>
      <c r="J9" t="str">
        <v>TRINH VAN HIEP</v>
      </c>
      <c r="K9" t="str">
        <v>チン　ヴァン　ヒエップ</v>
      </c>
      <c r="L9" t="str">
        <v>男</v>
      </c>
      <c r="M9" t="str">
        <v>ﾍﾞﾄﾅﾑ</v>
      </c>
      <c r="N9" s="31">
        <v>33125</v>
      </c>
      <c r="O9">
        <v>35</v>
      </c>
      <c r="P9">
        <v>1350</v>
      </c>
      <c r="Q9" t="str">
        <v>2020/12/21 1200⇒1250　2021/3/21　1250→1300</v>
      </c>
      <c r="R9">
        <v>1800</v>
      </c>
      <c r="S9" t="str">
        <v>2021/2/21~　1750⇒1800</v>
      </c>
      <c r="T9">
        <v>450</v>
      </c>
      <c r="U9">
        <v>0</v>
      </c>
      <c r="V9" t="str">
        <v/>
      </c>
      <c r="W9" t="str">
        <v>0</v>
      </c>
      <c r="X9" t="str">
        <v/>
      </c>
      <c r="Y9" s="31">
        <v>450</v>
      </c>
      <c r="Z9" t="str">
        <v/>
      </c>
      <c r="AA9" t="str">
        <v>技術・人文知識・国際業務</v>
      </c>
      <c r="AB9" t="str">
        <v>471-0805</v>
      </c>
      <c r="AC9" t="str">
        <v>愛知県豊田市美里2‐6‐9</v>
      </c>
      <c r="AD9" t="str">
        <v>ﾚｼﾞｪﾝﾄﾞK301</v>
      </c>
      <c r="AE9" s="31">
        <v>44094</v>
      </c>
      <c r="AF9" s="31">
        <v>44095</v>
      </c>
      <c r="AG9" s="31">
        <v>44540</v>
      </c>
      <c r="AH9" s="31">
        <v>0</v>
      </c>
      <c r="AI9">
        <v>44166</v>
      </c>
      <c r="AJ9">
        <v>0</v>
      </c>
      <c r="AK9">
        <v>0</v>
      </c>
      <c r="AL9">
        <v>44095</v>
      </c>
      <c r="AM9">
        <v>0</v>
      </c>
      <c r="AN9">
        <v>0</v>
      </c>
      <c r="AO9">
        <v>0</v>
      </c>
      <c r="AP9">
        <v>0</v>
      </c>
      <c r="AQ9">
        <v>0</v>
      </c>
      <c r="AR9">
        <v>0</v>
      </c>
    </row>
    <row r="10" spans="1:44">
      <c r="A10" t="str">
        <f>H10&amp;COUNTIF($H$2:H10,H10)</f>
        <v>07</v>
      </c>
      <c r="B10" t="str">
        <f>F10&amp;COUNTIF($F$2:F10,F10)</f>
        <v>三幸技研1</v>
      </c>
      <c r="C10" t="str">
        <v>退社</v>
      </c>
      <c r="D10">
        <v>201001</v>
      </c>
      <c r="E10">
        <v>108</v>
      </c>
      <c r="F10" t="str">
        <v>三幸技研</v>
      </c>
      <c r="G10">
        <v>0</v>
      </c>
      <c r="H10">
        <v>0</v>
      </c>
      <c r="I10">
        <v>0</v>
      </c>
      <c r="J10" t="str">
        <v>PHAM BA BACH</v>
      </c>
      <c r="K10" t="str">
        <v>ファン　バ　バック</v>
      </c>
      <c r="L10" t="str">
        <v>男</v>
      </c>
      <c r="M10" t="str">
        <v>ﾍﾞﾄﾅﾑ</v>
      </c>
      <c r="N10" s="31">
        <v>33380</v>
      </c>
      <c r="O10">
        <v>34</v>
      </c>
      <c r="P10">
        <v>1350</v>
      </c>
      <c r="Q10" t="str">
        <v>2021/2/21　1250⇒1300　2022/6/21　1300円⇒1350円</v>
      </c>
      <c r="R10">
        <v>1750</v>
      </c>
      <c r="S10">
        <v>0</v>
      </c>
      <c r="T10">
        <v>400</v>
      </c>
      <c r="U10">
        <v>220000</v>
      </c>
      <c r="V10">
        <v>11033</v>
      </c>
      <c r="W10" t="str">
        <v>0</v>
      </c>
      <c r="X10">
        <v>20130</v>
      </c>
      <c r="Y10" s="31">
        <v>45541</v>
      </c>
      <c r="Z10" t="str">
        <v/>
      </c>
      <c r="AA10" t="str">
        <v>技術・人文知識・国際業務</v>
      </c>
      <c r="AB10" t="str">
        <v>474-0052</v>
      </c>
      <c r="AC10" t="str">
        <v>愛知県大府市長草町新池8</v>
      </c>
      <c r="AD10" t="str">
        <v>ﾋﾞﾚｯｼﾞﾊｳｽ長草5号棟104</v>
      </c>
      <c r="AE10" s="31" t="str">
        <v>個人</v>
      </c>
      <c r="AF10" s="31">
        <v>44130</v>
      </c>
      <c r="AG10" s="31">
        <v>45226</v>
      </c>
      <c r="AH10" s="31">
        <v>0</v>
      </c>
      <c r="AI10">
        <v>44197</v>
      </c>
      <c r="AJ10" t="str">
        <v>OK</v>
      </c>
      <c r="AK10" t="str">
        <v>2022/7/2~個人のアパートに移動</v>
      </c>
      <c r="AL10">
        <v>44130</v>
      </c>
      <c r="AM10">
        <v>0</v>
      </c>
      <c r="AN10">
        <v>0</v>
      </c>
      <c r="AO10">
        <v>0</v>
      </c>
      <c r="AP10">
        <v>0</v>
      </c>
      <c r="AQ10">
        <v>0</v>
      </c>
      <c r="AR10">
        <v>0</v>
      </c>
    </row>
    <row r="11" spans="1:44">
      <c r="A11" t="str">
        <f>H11&amp;COUNTIF($H$2:H11,H11)</f>
        <v>第7工場1</v>
      </c>
      <c r="B11" t="str">
        <f>F11&amp;COUNTIF($F$2:F11,F11)</f>
        <v>オーツカ1</v>
      </c>
      <c r="C11" t="str">
        <v>退社</v>
      </c>
      <c r="D11">
        <v>201002</v>
      </c>
      <c r="E11">
        <v>9330002</v>
      </c>
      <c r="F11" t="str">
        <v>オーツカ</v>
      </c>
      <c r="G11" t="str">
        <v>製造部関ヶ原第三製造課</v>
      </c>
      <c r="H11" t="str">
        <v>第7工場</v>
      </c>
      <c r="I11" t="str">
        <v>製造及び検索、それに付随する業務。</v>
      </c>
      <c r="J11" t="str">
        <v>安慶名　エジソン</v>
      </c>
      <c r="K11" t="str">
        <v>アゲナ　エジソン</v>
      </c>
      <c r="L11" t="str">
        <v>男</v>
      </c>
      <c r="M11" t="str">
        <v>ﾌﾞﾗｼﾞﾙ</v>
      </c>
      <c r="N11" s="31">
        <v>24193</v>
      </c>
      <c r="O11">
        <v>59</v>
      </c>
      <c r="P11">
        <v>1400</v>
      </c>
      <c r="Q11" t="str">
        <v>2021/7/21　1300⇒1350</v>
      </c>
      <c r="R11">
        <v>1872</v>
      </c>
      <c r="S11">
        <v>0</v>
      </c>
      <c r="T11">
        <v>472</v>
      </c>
      <c r="U11">
        <v>320000</v>
      </c>
      <c r="V11">
        <v>16048</v>
      </c>
      <c r="W11">
        <v>2544</v>
      </c>
      <c r="X11">
        <v>29280</v>
      </c>
      <c r="Y11" s="31" t="str">
        <v>永住者</v>
      </c>
      <c r="Z11" t="str">
        <v/>
      </c>
      <c r="AA11" t="str">
        <v>永住者</v>
      </c>
      <c r="AB11" t="str">
        <v>503-0034</v>
      </c>
      <c r="AC11" t="str">
        <v>岐阜県大垣市荒尾町1510</v>
      </c>
      <c r="AD11" t="str">
        <v>ｼﾃｨｺｰﾌﾟUSA1 402</v>
      </c>
      <c r="AE11" s="31" t="str">
        <v>個人</v>
      </c>
      <c r="AF11" s="31">
        <v>44130</v>
      </c>
      <c r="AG11" s="31">
        <v>45615</v>
      </c>
      <c r="AH11" s="31">
        <v>0</v>
      </c>
      <c r="AI11">
        <v>44166</v>
      </c>
      <c r="AJ11" t="str">
        <v>OK</v>
      </c>
      <c r="AK11">
        <v>0</v>
      </c>
      <c r="AL11">
        <v>44130</v>
      </c>
      <c r="AM11">
        <v>0</v>
      </c>
      <c r="AN11">
        <v>0</v>
      </c>
      <c r="AO11">
        <v>0</v>
      </c>
      <c r="AP11">
        <v>0</v>
      </c>
      <c r="AQ11">
        <v>0</v>
      </c>
      <c r="AR11">
        <v>0</v>
      </c>
    </row>
    <row r="12" spans="1:44">
      <c r="A12" t="str">
        <f>H12&amp;COUNTIF($H$2:H12,H12)</f>
        <v>08</v>
      </c>
      <c r="B12" t="str">
        <f>F12&amp;COUNTIF($F$2:F12,F12)</f>
        <v>オーツカ2</v>
      </c>
      <c r="C12" t="str">
        <v>退社</v>
      </c>
      <c r="D12">
        <v>201003</v>
      </c>
      <c r="E12">
        <v>0</v>
      </c>
      <c r="F12" t="str">
        <v>オーツカ</v>
      </c>
      <c r="G12">
        <v>0</v>
      </c>
      <c r="H12">
        <v>0</v>
      </c>
      <c r="I12">
        <v>0</v>
      </c>
      <c r="J12" t="str">
        <v>ヌクイ　アキラ</v>
      </c>
      <c r="K12" t="str">
        <v>ヌクイ　アキラ</v>
      </c>
      <c r="L12" t="str">
        <v>男</v>
      </c>
      <c r="M12" t="str">
        <v>ﾌﾞﾗｼﾞﾙ</v>
      </c>
      <c r="N12" s="31">
        <v>26893</v>
      </c>
      <c r="O12">
        <v>52</v>
      </c>
      <c r="P12">
        <v>1350</v>
      </c>
      <c r="Q12">
        <v>0</v>
      </c>
      <c r="R12">
        <v>1872</v>
      </c>
      <c r="S12">
        <v>0</v>
      </c>
      <c r="T12">
        <v>522</v>
      </c>
      <c r="U12">
        <v>0</v>
      </c>
      <c r="V12" t="str">
        <v/>
      </c>
      <c r="W12" t="str">
        <v>0</v>
      </c>
      <c r="X12" t="str">
        <v/>
      </c>
      <c r="Y12" s="31" t="str">
        <v>永住者</v>
      </c>
      <c r="Z12" t="str">
        <v/>
      </c>
      <c r="AA12" t="str">
        <v>永住者.</v>
      </c>
      <c r="AB12" t="str">
        <v>503-0936</v>
      </c>
      <c r="AC12" t="str">
        <v>岐阜県大垣市内原1-468</v>
      </c>
      <c r="AD12" t="str">
        <v>4F-2</v>
      </c>
      <c r="AE12" s="31" t="str">
        <v>個人</v>
      </c>
      <c r="AF12" s="31">
        <v>44130</v>
      </c>
      <c r="AG12" s="31">
        <v>44469</v>
      </c>
      <c r="AH12" s="31">
        <v>0</v>
      </c>
      <c r="AI12" t="str">
        <v>OK</v>
      </c>
      <c r="AJ12">
        <v>0</v>
      </c>
      <c r="AK12">
        <v>0</v>
      </c>
      <c r="AL12">
        <v>44130</v>
      </c>
      <c r="AM12">
        <v>0</v>
      </c>
      <c r="AN12">
        <v>0</v>
      </c>
      <c r="AO12">
        <v>0</v>
      </c>
      <c r="AP12">
        <v>0</v>
      </c>
      <c r="AQ12">
        <v>0</v>
      </c>
      <c r="AR12">
        <v>0</v>
      </c>
    </row>
    <row r="13" spans="1:44">
      <c r="A13" t="str">
        <f>H13&amp;COUNTIF($H$2:H13,H13)</f>
        <v>09</v>
      </c>
      <c r="B13" t="str">
        <f>F13&amp;COUNTIF($F$2:F13,F13)</f>
        <v>高雄工業 本社1</v>
      </c>
      <c r="C13" t="str">
        <v>退社</v>
      </c>
      <c r="D13">
        <v>201101</v>
      </c>
      <c r="E13">
        <v>0</v>
      </c>
      <c r="F13" t="str">
        <v>高雄工業 本社</v>
      </c>
      <c r="G13" t="str">
        <v>高雄工業株式会社 愛知事業所本社工場製作課</v>
      </c>
      <c r="H13">
        <v>0</v>
      </c>
      <c r="I13">
        <v>0</v>
      </c>
      <c r="J13" t="str">
        <v>加藤　佑樹</v>
      </c>
      <c r="K13" t="str">
        <v>カトウ　ユウキ</v>
      </c>
      <c r="L13" t="str">
        <v>男</v>
      </c>
      <c r="M13" t="str">
        <v>日本</v>
      </c>
      <c r="N13" s="31">
        <v>30431</v>
      </c>
      <c r="O13">
        <v>42</v>
      </c>
      <c r="P13">
        <v>1200</v>
      </c>
      <c r="Q13" t="str">
        <v>入社3か月後50円UP</v>
      </c>
      <c r="R13">
        <v>1700</v>
      </c>
      <c r="S13">
        <v>500</v>
      </c>
      <c r="T13">
        <v>500</v>
      </c>
      <c r="U13">
        <v>0</v>
      </c>
      <c r="V13" t="str">
        <v/>
      </c>
      <c r="W13" t="str">
        <v>0</v>
      </c>
      <c r="X13" t="str">
        <v/>
      </c>
      <c r="Y13" s="31" t="str">
        <v>　</v>
      </c>
      <c r="Z13" t="str">
        <v/>
      </c>
      <c r="AA13">
        <v>0</v>
      </c>
      <c r="AB13" t="str">
        <v>498-0822</v>
      </c>
      <c r="AC13" t="str">
        <v>三重県桑名郡木曽岬町見入流作5</v>
      </c>
      <c r="AD13">
        <v>0</v>
      </c>
      <c r="AE13" s="31" t="str">
        <v>個人</v>
      </c>
      <c r="AF13" s="31">
        <v>44144</v>
      </c>
      <c r="AG13" s="31">
        <v>44211</v>
      </c>
      <c r="AH13" s="31">
        <v>0</v>
      </c>
      <c r="AI13" t="str">
        <v>1/1予定</v>
      </c>
      <c r="AJ13">
        <v>0</v>
      </c>
      <c r="AK13">
        <v>0</v>
      </c>
      <c r="AL13">
        <v>44144</v>
      </c>
      <c r="AM13">
        <v>0</v>
      </c>
      <c r="AN13">
        <v>0</v>
      </c>
      <c r="AO13">
        <v>0</v>
      </c>
      <c r="AP13">
        <v>0</v>
      </c>
      <c r="AQ13">
        <v>0</v>
      </c>
      <c r="AR13">
        <v>0</v>
      </c>
    </row>
    <row r="14" spans="1:44">
      <c r="A14" t="str">
        <f>H14&amp;COUNTIF($H$2:H14,H14)</f>
        <v>010</v>
      </c>
      <c r="B14" t="str">
        <f>F14&amp;COUNTIF($F$2:F14,F14)</f>
        <v>高雄工業 海南第一1</v>
      </c>
      <c r="C14" t="str">
        <v>退社</v>
      </c>
      <c r="D14">
        <v>201102</v>
      </c>
      <c r="E14">
        <v>0</v>
      </c>
      <c r="F14" t="str">
        <v>高雄工業 海南第一</v>
      </c>
      <c r="G14" t="str">
        <v>高雄工業株式会社 愛知事業所海南第一工場製作1課</v>
      </c>
      <c r="H14">
        <v>0</v>
      </c>
      <c r="I14">
        <v>0</v>
      </c>
      <c r="J14" t="str">
        <v>エガミ　アンドレ</v>
      </c>
      <c r="K14" t="str">
        <v>エガミ　アンドレ</v>
      </c>
      <c r="L14" t="str">
        <v>男</v>
      </c>
      <c r="M14" t="str">
        <v>ﾌﾞﾗｼﾞﾙ</v>
      </c>
      <c r="N14" s="31">
        <v>29783</v>
      </c>
      <c r="O14">
        <v>44</v>
      </c>
      <c r="P14">
        <v>1300</v>
      </c>
      <c r="Q14">
        <v>0</v>
      </c>
      <c r="R14">
        <v>1650</v>
      </c>
      <c r="S14">
        <v>0</v>
      </c>
      <c r="T14">
        <v>350</v>
      </c>
      <c r="U14">
        <v>0</v>
      </c>
      <c r="V14" t="str">
        <v/>
      </c>
      <c r="W14" t="str">
        <v>0</v>
      </c>
      <c r="X14" t="str">
        <v/>
      </c>
      <c r="Y14" s="31" t="str">
        <v>定住者</v>
      </c>
      <c r="Z14" t="str">
        <v/>
      </c>
      <c r="AA14" t="str">
        <v>定住者</v>
      </c>
      <c r="AB14" t="str">
        <v>498-0031</v>
      </c>
      <c r="AC14" t="str">
        <v>愛知県弥富市平島町中新田194-１</v>
      </c>
      <c r="AD14" t="str">
        <v>ｺﾝﾂｪﾙﾊｳｽⅡC棟203</v>
      </c>
      <c r="AE14" s="31">
        <v>44144</v>
      </c>
      <c r="AF14" s="31">
        <v>44146</v>
      </c>
      <c r="AG14" s="31">
        <v>44316</v>
      </c>
      <c r="AH14" s="31">
        <v>44317</v>
      </c>
      <c r="AI14">
        <v>44197</v>
      </c>
      <c r="AJ14">
        <v>0</v>
      </c>
      <c r="AK14">
        <v>0</v>
      </c>
      <c r="AL14">
        <v>44146</v>
      </c>
      <c r="AM14">
        <v>0</v>
      </c>
      <c r="AN14">
        <v>0</v>
      </c>
      <c r="AO14">
        <v>0</v>
      </c>
      <c r="AP14">
        <v>0</v>
      </c>
      <c r="AQ14">
        <v>0</v>
      </c>
      <c r="AR14">
        <v>0</v>
      </c>
    </row>
    <row r="15" spans="1:44">
      <c r="A15" t="str">
        <f>H15&amp;COUNTIF($H$2:H15,H15)</f>
        <v>011</v>
      </c>
      <c r="B15" t="str">
        <f>F15&amp;COUNTIF($F$2:F15,F15)</f>
        <v>高雄工業 海南第一2</v>
      </c>
      <c r="C15" t="str">
        <v>退社</v>
      </c>
      <c r="D15">
        <v>201103</v>
      </c>
      <c r="E15">
        <v>0</v>
      </c>
      <c r="F15" t="str">
        <v>高雄工業 海南第一</v>
      </c>
      <c r="G15" t="str">
        <v>高雄工業株式会社 愛知事業所海南第一工場製作1課</v>
      </c>
      <c r="H15">
        <v>0</v>
      </c>
      <c r="I15">
        <v>0</v>
      </c>
      <c r="J15" t="str">
        <v>LUONG KHAC SINH</v>
      </c>
      <c r="K15" t="str">
        <v>ルウン　カック　シン</v>
      </c>
      <c r="L15" t="str">
        <v>男</v>
      </c>
      <c r="M15" t="str">
        <v>ﾍﾞﾄﾅﾑ</v>
      </c>
      <c r="N15" s="31">
        <v>30103</v>
      </c>
      <c r="O15">
        <v>43</v>
      </c>
      <c r="P15">
        <v>1200</v>
      </c>
      <c r="Q15">
        <v>0</v>
      </c>
      <c r="R15">
        <v>1600</v>
      </c>
      <c r="S15">
        <v>400</v>
      </c>
      <c r="T15">
        <v>400</v>
      </c>
      <c r="U15">
        <v>0</v>
      </c>
      <c r="V15" t="str">
        <v/>
      </c>
      <c r="W15" t="str">
        <v>0</v>
      </c>
      <c r="X15" t="str">
        <v/>
      </c>
      <c r="Y15" s="31">
        <v>45014</v>
      </c>
      <c r="Z15" t="str">
        <v/>
      </c>
      <c r="AA15" t="str">
        <v>技術・人文知識・国際業務</v>
      </c>
      <c r="AB15" t="str">
        <v>497-0040</v>
      </c>
      <c r="AC15" t="str">
        <v>愛知県海部郡蟹江町城1-198</v>
      </c>
      <c r="AD15" t="str">
        <v>ﾒｿﾞﾝｶｰｽﾙ101</v>
      </c>
      <c r="AE15" s="31" t="str">
        <v>個人</v>
      </c>
      <c r="AF15" s="31">
        <v>44151</v>
      </c>
      <c r="AG15" s="31">
        <v>44164</v>
      </c>
      <c r="AH15" s="31">
        <v>0</v>
      </c>
      <c r="AI15" t="str">
        <v>1/1予定</v>
      </c>
      <c r="AJ15">
        <v>0</v>
      </c>
      <c r="AK15">
        <v>0</v>
      </c>
      <c r="AL15">
        <v>44151</v>
      </c>
      <c r="AM15">
        <v>0</v>
      </c>
      <c r="AN15">
        <v>0</v>
      </c>
      <c r="AO15">
        <v>0</v>
      </c>
      <c r="AP15">
        <v>0</v>
      </c>
      <c r="AQ15">
        <v>0</v>
      </c>
      <c r="AR15">
        <v>0</v>
      </c>
    </row>
    <row r="16" spans="1:44">
      <c r="A16" t="str">
        <f>H16&amp;COUNTIF($H$2:H16,H16)</f>
        <v>旋盤ライン1</v>
      </c>
      <c r="B16" t="str">
        <f>F16&amp;COUNTIF($F$2:F16,F16)</f>
        <v>川原鉄工所1</v>
      </c>
      <c r="C16" t="str">
        <v>退社</v>
      </c>
      <c r="D16">
        <v>201104</v>
      </c>
      <c r="E16">
        <v>0</v>
      </c>
      <c r="F16" t="str">
        <v>川原鉄工所</v>
      </c>
      <c r="G16" t="str">
        <v>製造部</v>
      </c>
      <c r="H16" t="str">
        <v>旋盤ライン</v>
      </c>
      <c r="I16" t="str">
        <v>ATミッション部品をはじめとする、各種自動車部品の製造</v>
      </c>
      <c r="J16" t="str">
        <v>NGUYEN VAN SON</v>
      </c>
      <c r="K16" t="str">
        <v>グエン　ヴァン　ソン</v>
      </c>
      <c r="L16" t="str">
        <v>男</v>
      </c>
      <c r="M16" t="str">
        <v>ﾍﾞﾄﾅﾑ</v>
      </c>
      <c r="N16" s="31">
        <v>34711</v>
      </c>
      <c r="O16">
        <v>30</v>
      </c>
      <c r="P16">
        <v>1200</v>
      </c>
      <c r="Q16" t="str">
        <v>入社3か月後50円UP</v>
      </c>
      <c r="R16">
        <v>1600</v>
      </c>
      <c r="S16">
        <v>400</v>
      </c>
      <c r="T16">
        <v>400</v>
      </c>
      <c r="U16">
        <v>0</v>
      </c>
      <c r="V16" t="str">
        <v/>
      </c>
      <c r="W16" t="str">
        <v>0</v>
      </c>
      <c r="X16" t="str">
        <v/>
      </c>
      <c r="Y16" s="31">
        <v>44370</v>
      </c>
      <c r="Z16" t="str">
        <v/>
      </c>
      <c r="AA16" t="str">
        <v>技術・人文知識・国際業務</v>
      </c>
      <c r="AB16" t="str">
        <v>455-0046</v>
      </c>
      <c r="AC16" t="str">
        <v>愛知県名古屋市港区大手町2丁目31</v>
      </c>
      <c r="AD16" t="str">
        <v>ﾀﾞｲｺｰﾏﾝｼｮﾝ302</v>
      </c>
      <c r="AE16" s="31">
        <v>44152</v>
      </c>
      <c r="AF16" s="31">
        <v>44153</v>
      </c>
      <c r="AG16" s="31">
        <v>44175</v>
      </c>
      <c r="AH16" s="31">
        <v>44206</v>
      </c>
      <c r="AI16" t="str">
        <v>注意</v>
      </c>
      <c r="AJ16">
        <v>0</v>
      </c>
      <c r="AK16">
        <v>0</v>
      </c>
      <c r="AL16">
        <v>44153</v>
      </c>
      <c r="AM16">
        <v>0</v>
      </c>
      <c r="AN16">
        <v>0</v>
      </c>
      <c r="AO16">
        <v>0</v>
      </c>
      <c r="AP16">
        <v>0</v>
      </c>
      <c r="AQ16">
        <v>0</v>
      </c>
      <c r="AR16">
        <v>0</v>
      </c>
    </row>
    <row r="17" spans="1:44">
      <c r="A17" t="str">
        <f>H17&amp;COUNTIF($H$2:H17,H17)</f>
        <v>旋盤ライン2</v>
      </c>
      <c r="B17" t="str">
        <f>F17&amp;COUNTIF($F$2:F17,F17)</f>
        <v>川原鉄工所2</v>
      </c>
      <c r="C17" t="str">
        <v>退社</v>
      </c>
      <c r="D17">
        <v>201105</v>
      </c>
      <c r="E17">
        <v>0</v>
      </c>
      <c r="F17" t="str">
        <v>川原鉄工所</v>
      </c>
      <c r="G17" t="str">
        <v>製造部</v>
      </c>
      <c r="H17" t="str">
        <v>旋盤ライン</v>
      </c>
      <c r="I17" t="str">
        <v>ATミッション部品をはじめとする、各種自動車部品の製造</v>
      </c>
      <c r="J17" t="str">
        <v>BUI VAN LUAN</v>
      </c>
      <c r="K17" t="str">
        <v>ブイ　ヴァン　ルアン</v>
      </c>
      <c r="L17" t="str">
        <v>男</v>
      </c>
      <c r="M17" t="str">
        <v>ﾍﾞﾄﾅﾑ</v>
      </c>
      <c r="N17" s="31">
        <v>33794</v>
      </c>
      <c r="O17">
        <v>33</v>
      </c>
      <c r="P17">
        <v>1250</v>
      </c>
      <c r="Q17">
        <v>0</v>
      </c>
      <c r="R17">
        <v>1650</v>
      </c>
      <c r="S17" t="str">
        <v>9/21　1600円→1650円</v>
      </c>
      <c r="T17">
        <v>400</v>
      </c>
      <c r="U17">
        <v>0</v>
      </c>
      <c r="V17" t="str">
        <v/>
      </c>
      <c r="W17" t="str">
        <v>0</v>
      </c>
      <c r="X17" t="str">
        <v/>
      </c>
      <c r="Y17" s="31">
        <v>45197</v>
      </c>
      <c r="Z17" t="str">
        <v/>
      </c>
      <c r="AA17" t="str">
        <v>技術・人文知識・国際業務</v>
      </c>
      <c r="AB17" t="str">
        <v>455-0832</v>
      </c>
      <c r="AC17" t="str">
        <v>愛知県名古屋市港区宝神2-1107</v>
      </c>
      <c r="AD17" t="str">
        <v>第18和興ﾏﾝｼｮﾝ北館202</v>
      </c>
      <c r="AE17" s="31">
        <v>44153</v>
      </c>
      <c r="AF17" s="31">
        <v>44154</v>
      </c>
      <c r="AG17" s="31">
        <v>44464</v>
      </c>
      <c r="AH17" s="31">
        <v>44464</v>
      </c>
      <c r="AI17">
        <v>44197</v>
      </c>
      <c r="AJ17">
        <v>0</v>
      </c>
      <c r="AK17">
        <v>0</v>
      </c>
      <c r="AL17">
        <v>44154</v>
      </c>
      <c r="AM17">
        <v>0</v>
      </c>
      <c r="AN17">
        <v>0</v>
      </c>
      <c r="AO17">
        <v>0</v>
      </c>
      <c r="AP17">
        <v>0</v>
      </c>
      <c r="AQ17">
        <v>0</v>
      </c>
      <c r="AR17">
        <v>0</v>
      </c>
    </row>
    <row r="18" spans="1:44">
      <c r="A18" t="str">
        <f>H18&amp;COUNTIF($H$2:H18,H18)</f>
        <v>Aライン1</v>
      </c>
      <c r="B18" t="str">
        <f>F18&amp;COUNTIF($F$2:F18,F18)</f>
        <v>高雄工業 本社2</v>
      </c>
      <c r="C18" t="str">
        <v>在職中</v>
      </c>
      <c r="D18">
        <v>231103</v>
      </c>
      <c r="E18">
        <v>212045</v>
      </c>
      <c r="F18" t="str">
        <v>高雄工業 本社</v>
      </c>
      <c r="G18" t="str">
        <v>高雄工業株式会社 愛知事業所本社工場製作課</v>
      </c>
      <c r="H18" t="str">
        <v>Aライン</v>
      </c>
      <c r="I18" t="str">
        <v>CVJ部品長軸品と短軸品の転造加工。</v>
      </c>
      <c r="J18" t="str">
        <v>LOC TRUNG THIEN</v>
      </c>
      <c r="K18" t="str">
        <v>ロック　チュン　ティエン</v>
      </c>
      <c r="L18" t="str">
        <v>男</v>
      </c>
      <c r="M18" t="str">
        <v>ﾍﾞﾄﾅﾑ</v>
      </c>
      <c r="N18" s="31">
        <v>36831</v>
      </c>
      <c r="O18">
        <v>25</v>
      </c>
      <c r="P18">
        <v>1300</v>
      </c>
      <c r="Q18">
        <v>0</v>
      </c>
      <c r="R18">
        <v>1680</v>
      </c>
      <c r="S18">
        <v>0</v>
      </c>
      <c r="T18">
        <v>380</v>
      </c>
      <c r="U18">
        <v>240000</v>
      </c>
      <c r="V18">
        <v>12036</v>
      </c>
      <c r="W18" t="str">
        <v>0</v>
      </c>
      <c r="X18">
        <v>21960</v>
      </c>
      <c r="Y18" s="31">
        <v>47058</v>
      </c>
      <c r="Z18" t="str">
        <v/>
      </c>
      <c r="AA18" t="str">
        <v>技術・人文知識・国際業務</v>
      </c>
      <c r="AB18" t="str">
        <v>498-0034</v>
      </c>
      <c r="AC18" t="str">
        <v>愛知県弥富市平島東2-18</v>
      </c>
      <c r="AD18" t="str">
        <v>ｸﾞﾗﾝﾂｺｰﾄ402</v>
      </c>
      <c r="AE18" s="31">
        <v>45226</v>
      </c>
      <c r="AF18" s="31">
        <v>45231</v>
      </c>
      <c r="AG18" s="31">
        <v>0</v>
      </c>
      <c r="AH18" s="31">
        <v>0</v>
      </c>
      <c r="AI18" t="str">
        <v>23.11.1</v>
      </c>
      <c r="AJ18" t="str">
        <v>11/20林</v>
      </c>
      <c r="AK18">
        <v>0</v>
      </c>
      <c r="AL18">
        <v>45231</v>
      </c>
      <c r="AM18">
        <v>0</v>
      </c>
      <c r="AN18">
        <v>0</v>
      </c>
      <c r="AO18">
        <v>0</v>
      </c>
      <c r="AP18">
        <v>0</v>
      </c>
      <c r="AQ18" t="str">
        <v>JLPT-N4</v>
      </c>
      <c r="AR18">
        <v>0</v>
      </c>
    </row>
    <row r="19" spans="1:44">
      <c r="A19" t="str">
        <f>H19&amp;COUNTIF($H$2:H19,H19)</f>
        <v>旋盤ライン3</v>
      </c>
      <c r="B19" t="str">
        <f>F19&amp;COUNTIF($F$2:F19,F19)</f>
        <v>川原鉄工所3</v>
      </c>
      <c r="C19" t="str">
        <v>退社</v>
      </c>
      <c r="D19">
        <v>201201</v>
      </c>
      <c r="E19">
        <v>0</v>
      </c>
      <c r="F19" t="str">
        <v>川原鉄工所</v>
      </c>
      <c r="G19" t="str">
        <v>製造部</v>
      </c>
      <c r="H19" t="str">
        <v>旋盤ライン</v>
      </c>
      <c r="I19" t="str">
        <v>ATミッション部品をはじめとする、各種自動車部品の製造</v>
      </c>
      <c r="J19" t="str">
        <v>近藤　満博</v>
      </c>
      <c r="K19" t="str">
        <v>コンドウ　ミツヒロ</v>
      </c>
      <c r="L19" t="str">
        <v>男</v>
      </c>
      <c r="M19" t="str">
        <v>日本</v>
      </c>
      <c r="N19" s="31">
        <v>25491</v>
      </c>
      <c r="O19">
        <v>56</v>
      </c>
      <c r="P19">
        <v>1200</v>
      </c>
      <c r="Q19" t="str">
        <v>入社3か月後50円UP(予定)</v>
      </c>
      <c r="R19">
        <v>1650</v>
      </c>
      <c r="S19">
        <v>0</v>
      </c>
      <c r="T19">
        <v>450</v>
      </c>
      <c r="U19">
        <v>0</v>
      </c>
      <c r="V19" t="str">
        <v/>
      </c>
      <c r="W19" t="str">
        <v>0</v>
      </c>
      <c r="X19" t="str">
        <v/>
      </c>
      <c r="Y19" s="31">
        <v>0</v>
      </c>
      <c r="Z19" t="str">
        <v/>
      </c>
      <c r="AA19">
        <v>0</v>
      </c>
      <c r="AB19" t="str">
        <v>498-0017</v>
      </c>
      <c r="AC19" t="str">
        <v>愛知県名古屋市港区油屋3-28-3</v>
      </c>
      <c r="AD19" t="str">
        <v>ｴｽﾎﾟｱｸｲﾝｽﾞｺｰﾄ20Ｃ</v>
      </c>
      <c r="AE19" s="31">
        <v>44165</v>
      </c>
      <c r="AF19" s="31">
        <v>44166</v>
      </c>
      <c r="AG19" s="31">
        <v>44573</v>
      </c>
      <c r="AH19" s="31">
        <v>0</v>
      </c>
      <c r="AI19">
        <v>44287</v>
      </c>
      <c r="AJ19">
        <v>0</v>
      </c>
      <c r="AK19">
        <v>0</v>
      </c>
      <c r="AL19">
        <v>44166</v>
      </c>
      <c r="AM19">
        <v>0</v>
      </c>
      <c r="AN19">
        <v>0</v>
      </c>
      <c r="AO19">
        <v>0</v>
      </c>
      <c r="AP19">
        <v>0</v>
      </c>
      <c r="AQ19">
        <v>0</v>
      </c>
      <c r="AR19">
        <v>0</v>
      </c>
    </row>
    <row r="20" spans="1:44">
      <c r="A20" t="str">
        <f>H20&amp;COUNTIF($H$2:H20,H20)</f>
        <v>乙川工場製造3課6工区9班1</v>
      </c>
      <c r="B20" t="str">
        <f>F20&amp;COUNTIF($F$2:F20,F20)</f>
        <v>コーリツ 乙川1</v>
      </c>
      <c r="C20" t="str">
        <v>退社</v>
      </c>
      <c r="D20">
        <v>201202</v>
      </c>
      <c r="E20">
        <v>8210023</v>
      </c>
      <c r="F20" t="str">
        <v>コーリツ 乙川</v>
      </c>
      <c r="G20" t="str">
        <v>乙川工場製造3課6工区9班</v>
      </c>
      <c r="H20" t="str">
        <v>乙川工場製造3課6工区9班</v>
      </c>
      <c r="I20">
        <v>0</v>
      </c>
      <c r="J20" t="str">
        <v>BUI VIET THANH</v>
      </c>
      <c r="K20" t="str">
        <v>ブイ　ヴィエット　タイン</v>
      </c>
      <c r="L20" t="str">
        <v>男</v>
      </c>
      <c r="M20" t="str">
        <v>ﾍﾞﾄﾅﾑ</v>
      </c>
      <c r="N20" s="31">
        <v>35115</v>
      </c>
      <c r="O20">
        <v>29</v>
      </c>
      <c r="P20">
        <v>1400</v>
      </c>
      <c r="Q20" t="str">
        <v>7/14トゥアン</v>
      </c>
      <c r="R20">
        <v>1990</v>
      </c>
      <c r="S20" t="str">
        <v>9/21　1600円→1650円</v>
      </c>
      <c r="T20">
        <v>590</v>
      </c>
      <c r="U20">
        <v>380000</v>
      </c>
      <c r="V20">
        <v>19057</v>
      </c>
      <c r="W20" t="str">
        <v>0</v>
      </c>
      <c r="X20">
        <v>34770</v>
      </c>
      <c r="Y20" s="31">
        <v>46659</v>
      </c>
      <c r="Z20" t="str">
        <v/>
      </c>
      <c r="AA20" t="str">
        <v>技術・人文知識・国際業務</v>
      </c>
      <c r="AB20" t="str">
        <v>475-0817</v>
      </c>
      <c r="AC20" t="str">
        <v>愛知県半田市東洋町2丁目46番地</v>
      </c>
      <c r="AD20" t="str">
        <v>県営半田住宅3棟301号</v>
      </c>
      <c r="AE20" s="31">
        <v>44164</v>
      </c>
      <c r="AF20" s="31">
        <v>44166</v>
      </c>
      <c r="AG20" s="31">
        <v>45701</v>
      </c>
      <c r="AH20" s="31">
        <v>0</v>
      </c>
      <c r="AI20">
        <v>44228</v>
      </c>
      <c r="AJ20" t="str">
        <v>OK</v>
      </c>
      <c r="AK20" t="str">
        <v>2022/02/05レジデンス住吉102～スカイレジデンス302に移動</v>
      </c>
      <c r="AL20">
        <v>44166</v>
      </c>
      <c r="AM20" t="str">
        <v>原付</v>
      </c>
      <c r="AN20" t="str">
        <v>2026/020</v>
      </c>
      <c r="AO20" t="str">
        <v>原付</v>
      </c>
      <c r="AP20">
        <v>46590</v>
      </c>
      <c r="AQ20">
        <v>0</v>
      </c>
      <c r="AR20">
        <v>0</v>
      </c>
    </row>
    <row r="21" spans="1:44">
      <c r="A21" t="str">
        <f>H21&amp;COUNTIF($H$2:H21,H21)</f>
        <v>012</v>
      </c>
      <c r="B21" t="str">
        <f>F21&amp;COUNTIF($F$2:F21,F21)</f>
        <v>オーツカ3</v>
      </c>
      <c r="C21" t="str">
        <v>退社</v>
      </c>
      <c r="D21">
        <v>201203</v>
      </c>
      <c r="E21">
        <v>0</v>
      </c>
      <c r="F21" t="str">
        <v>オーツカ</v>
      </c>
      <c r="G21">
        <v>0</v>
      </c>
      <c r="H21">
        <v>0</v>
      </c>
      <c r="I21">
        <v>0</v>
      </c>
      <c r="J21" t="str">
        <v>アレックス　フェルナンド</v>
      </c>
      <c r="K21" t="str">
        <v>アレックス　フェルナンド</v>
      </c>
      <c r="L21" t="str">
        <v>男</v>
      </c>
      <c r="M21" t="str">
        <v>ﾌﾞﾗｼﾞﾙ</v>
      </c>
      <c r="N21" s="31">
        <v>27276</v>
      </c>
      <c r="O21">
        <v>51</v>
      </c>
      <c r="P21">
        <v>1300</v>
      </c>
      <c r="Q21">
        <v>0</v>
      </c>
      <c r="R21">
        <v>1872</v>
      </c>
      <c r="S21">
        <v>572</v>
      </c>
      <c r="T21">
        <v>572</v>
      </c>
      <c r="U21">
        <v>0</v>
      </c>
      <c r="V21" t="str">
        <v/>
      </c>
      <c r="W21" t="str">
        <v>0</v>
      </c>
      <c r="X21" t="str">
        <v/>
      </c>
      <c r="Y21" s="31">
        <v>45436</v>
      </c>
      <c r="Z21" t="str">
        <v/>
      </c>
      <c r="AA21" t="str">
        <v>定住者</v>
      </c>
      <c r="AB21" t="str">
        <v>503-0993</v>
      </c>
      <c r="AC21" t="str">
        <v>岐阜県大垣市荒川町303番地1</v>
      </c>
      <c r="AD21" t="str">
        <v>ﾒｿﾞﾝT&amp;T202</v>
      </c>
      <c r="AE21" s="31" t="str">
        <v>個人</v>
      </c>
      <c r="AF21" s="31">
        <v>44166</v>
      </c>
      <c r="AG21" s="31">
        <v>44424</v>
      </c>
      <c r="AH21" s="31">
        <v>0</v>
      </c>
      <c r="AI21">
        <v>44228</v>
      </c>
      <c r="AJ21">
        <v>0</v>
      </c>
      <c r="AK21">
        <v>0</v>
      </c>
      <c r="AL21">
        <v>44166</v>
      </c>
      <c r="AM21">
        <v>0</v>
      </c>
      <c r="AN21">
        <v>0</v>
      </c>
      <c r="AO21">
        <v>0</v>
      </c>
      <c r="AP21">
        <v>0</v>
      </c>
      <c r="AQ21">
        <v>0</v>
      </c>
      <c r="AR21">
        <v>0</v>
      </c>
    </row>
    <row r="22" spans="1:44">
      <c r="A22" t="str">
        <f>H22&amp;COUNTIF($H$2:H22,H22)</f>
        <v>旋盤ライン4</v>
      </c>
      <c r="B22" t="str">
        <f>F22&amp;COUNTIF($F$2:F22,F22)</f>
        <v>川原鉄工所4</v>
      </c>
      <c r="C22" t="str">
        <v>退社</v>
      </c>
      <c r="D22">
        <v>201204</v>
      </c>
      <c r="E22">
        <v>0</v>
      </c>
      <c r="F22" t="str">
        <v>川原鉄工所</v>
      </c>
      <c r="G22" t="str">
        <v>製造部</v>
      </c>
      <c r="H22" t="str">
        <v>旋盤ライン</v>
      </c>
      <c r="I22" t="str">
        <v>ATミッション部品をはじめとする、各種自動車部品の製造</v>
      </c>
      <c r="J22" t="str">
        <v>VU NGOC TAN</v>
      </c>
      <c r="K22" t="str">
        <v>ヴー　ゴック　タン</v>
      </c>
      <c r="L22" t="str">
        <v>男</v>
      </c>
      <c r="M22" t="str">
        <v>ﾍﾞﾄﾅﾑ</v>
      </c>
      <c r="N22" s="31">
        <v>33003</v>
      </c>
      <c r="O22">
        <v>35</v>
      </c>
      <c r="P22">
        <v>1300</v>
      </c>
      <c r="Q22">
        <v>0.5</v>
      </c>
      <c r="R22">
        <v>1650</v>
      </c>
      <c r="S22" t="str">
        <v>9/21　1600円→1650円</v>
      </c>
      <c r="T22">
        <v>350</v>
      </c>
      <c r="U22">
        <v>300000</v>
      </c>
      <c r="V22">
        <v>15045</v>
      </c>
      <c r="W22" t="str">
        <v>0</v>
      </c>
      <c r="X22">
        <v>27450</v>
      </c>
      <c r="Y22" s="31">
        <v>47139</v>
      </c>
      <c r="Z22" t="str">
        <v/>
      </c>
      <c r="AA22" t="str">
        <v>技術・人文知識・国際業務</v>
      </c>
      <c r="AB22" t="str">
        <v>455-0068</v>
      </c>
      <c r="AC22" t="str">
        <v>愛知県名古屋市港区土古町2丁目23番地</v>
      </c>
      <c r="AD22" t="str">
        <v>新土古荘1棟202号</v>
      </c>
      <c r="AE22" s="31" t="str">
        <v>個人</v>
      </c>
      <c r="AF22" s="31">
        <v>44166</v>
      </c>
      <c r="AG22" s="31">
        <v>45408</v>
      </c>
      <c r="AH22" s="31">
        <v>0</v>
      </c>
      <c r="AI22">
        <v>44228</v>
      </c>
      <c r="AJ22" t="str">
        <v>OK</v>
      </c>
      <c r="AK22">
        <v>0</v>
      </c>
      <c r="AL22">
        <v>44166</v>
      </c>
      <c r="AM22">
        <v>0</v>
      </c>
      <c r="AN22">
        <v>0</v>
      </c>
      <c r="AO22">
        <v>0</v>
      </c>
      <c r="AP22">
        <v>0</v>
      </c>
      <c r="AQ22">
        <v>0</v>
      </c>
      <c r="AR22">
        <v>0</v>
      </c>
    </row>
    <row r="23" spans="1:44">
      <c r="A23" t="str">
        <f>H23&amp;COUNTIF($H$2:H23,H23)</f>
        <v>013</v>
      </c>
      <c r="B23" t="str">
        <f>F23&amp;COUNTIF($F$2:F23,F23)</f>
        <v>高雄工業 海南第一3</v>
      </c>
      <c r="C23" t="str">
        <v>退社</v>
      </c>
      <c r="D23">
        <v>201205</v>
      </c>
      <c r="E23">
        <v>0</v>
      </c>
      <c r="F23" t="str">
        <v>高雄工業 海南第一</v>
      </c>
      <c r="G23" t="str">
        <v>高雄工業株式会社 愛知事業所海南第一工場製作1課</v>
      </c>
      <c r="H23">
        <v>0</v>
      </c>
      <c r="I23">
        <v>0</v>
      </c>
      <c r="J23" t="str">
        <v>NGUYEN PHI THAO</v>
      </c>
      <c r="K23" t="str">
        <v>グエン　フィ　タオ</v>
      </c>
      <c r="L23" t="str">
        <v>男</v>
      </c>
      <c r="M23" t="str">
        <v>ﾍﾞﾄﾅﾑ</v>
      </c>
      <c r="N23" s="31">
        <v>34020</v>
      </c>
      <c r="O23">
        <v>32</v>
      </c>
      <c r="P23">
        <v>1250</v>
      </c>
      <c r="Q23">
        <v>0</v>
      </c>
      <c r="R23">
        <v>1600</v>
      </c>
      <c r="S23">
        <v>0</v>
      </c>
      <c r="T23">
        <v>350</v>
      </c>
      <c r="U23">
        <v>0</v>
      </c>
      <c r="V23" t="str">
        <v/>
      </c>
      <c r="W23" t="str">
        <v>0</v>
      </c>
      <c r="X23" t="str">
        <v/>
      </c>
      <c r="Y23" s="31">
        <v>44734</v>
      </c>
      <c r="Z23" t="str">
        <v/>
      </c>
      <c r="AA23" t="str">
        <v>技術・人文知識・国際業務</v>
      </c>
      <c r="AB23" t="str">
        <v>498-0021</v>
      </c>
      <c r="AC23" t="str">
        <v>愛知県弥富市鯏浦町浦六1-1</v>
      </c>
      <c r="AD23" t="str">
        <v>ｸﾞﾘｰﾝﾊｲﾂA棟201</v>
      </c>
      <c r="AE23" s="31">
        <v>44166</v>
      </c>
      <c r="AF23" s="31">
        <v>44167</v>
      </c>
      <c r="AG23" s="31">
        <v>44463</v>
      </c>
      <c r="AH23" s="31">
        <v>44464</v>
      </c>
      <c r="AI23">
        <v>44197</v>
      </c>
      <c r="AJ23">
        <v>0</v>
      </c>
      <c r="AK23">
        <v>0</v>
      </c>
      <c r="AL23">
        <v>44167</v>
      </c>
      <c r="AM23">
        <v>0</v>
      </c>
      <c r="AN23">
        <v>0</v>
      </c>
      <c r="AO23">
        <v>0</v>
      </c>
      <c r="AP23">
        <v>0</v>
      </c>
      <c r="AQ23">
        <v>0</v>
      </c>
      <c r="AR23">
        <v>0</v>
      </c>
    </row>
    <row r="24" spans="1:44">
      <c r="A24" t="str">
        <f>H24&amp;COUNTIF($H$2:H24,H24)</f>
        <v>旋盤ライン5</v>
      </c>
      <c r="B24" t="str">
        <f>F24&amp;COUNTIF($F$2:F24,F24)</f>
        <v>川原鉄工所5</v>
      </c>
      <c r="C24" t="str">
        <v>退社</v>
      </c>
      <c r="D24">
        <v>201209</v>
      </c>
      <c r="E24">
        <v>0</v>
      </c>
      <c r="F24" t="str">
        <v>川原鉄工所</v>
      </c>
      <c r="G24" t="str">
        <v>製造部</v>
      </c>
      <c r="H24" t="str">
        <v>旋盤ライン</v>
      </c>
      <c r="I24" t="str">
        <v>ATミッション部品をはじめとする、各種自動車部品の製造</v>
      </c>
      <c r="J24" t="str">
        <v>HOANG VAN TUC</v>
      </c>
      <c r="K24" t="str">
        <v>ホアン　ヴァン　トック</v>
      </c>
      <c r="L24" t="str">
        <v>男</v>
      </c>
      <c r="M24" t="str">
        <v>ﾍﾞﾄﾅﾑ</v>
      </c>
      <c r="N24" s="31">
        <v>34529</v>
      </c>
      <c r="O24">
        <v>31</v>
      </c>
      <c r="P24">
        <v>1200</v>
      </c>
      <c r="Q24">
        <v>0</v>
      </c>
      <c r="R24">
        <v>1600</v>
      </c>
      <c r="S24">
        <v>400</v>
      </c>
      <c r="T24">
        <v>400</v>
      </c>
      <c r="U24">
        <v>0</v>
      </c>
      <c r="V24" t="str">
        <v/>
      </c>
      <c r="W24" t="str">
        <v>0</v>
      </c>
      <c r="X24" t="str">
        <v/>
      </c>
      <c r="Y24" s="31">
        <v>44518</v>
      </c>
      <c r="Z24" t="str">
        <v/>
      </c>
      <c r="AA24" t="str">
        <v>技術・人文知識・国際業務</v>
      </c>
      <c r="AB24" t="str">
        <v>455-0046</v>
      </c>
      <c r="AC24" t="str">
        <v>愛知県名古屋市港区大手町2丁目31</v>
      </c>
      <c r="AD24" t="str">
        <v>ﾀﾞｲｺｰﾏﾝｼｮﾝ302</v>
      </c>
      <c r="AE24" s="31">
        <v>44175</v>
      </c>
      <c r="AF24" s="31">
        <v>44175</v>
      </c>
      <c r="AG24" s="31">
        <v>44187</v>
      </c>
      <c r="AH24" s="31">
        <v>44219</v>
      </c>
      <c r="AI24">
        <v>0</v>
      </c>
      <c r="AJ24">
        <v>0</v>
      </c>
      <c r="AK24">
        <v>0</v>
      </c>
      <c r="AL24">
        <v>44175</v>
      </c>
      <c r="AM24">
        <v>0</v>
      </c>
      <c r="AN24">
        <v>0</v>
      </c>
      <c r="AO24">
        <v>0</v>
      </c>
      <c r="AP24">
        <v>0</v>
      </c>
      <c r="AQ24">
        <v>0</v>
      </c>
      <c r="AR24">
        <v>0</v>
      </c>
    </row>
    <row r="25" spans="1:44">
      <c r="A25" t="str">
        <f>H25&amp;COUNTIF($H$2:H25,H25)</f>
        <v>014</v>
      </c>
      <c r="B25" t="str">
        <f>F25&amp;COUNTIF($F$2:F25,F25)</f>
        <v>高雄工業 本社3</v>
      </c>
      <c r="C25" t="str">
        <v>退社</v>
      </c>
      <c r="D25">
        <v>201210</v>
      </c>
      <c r="E25">
        <v>0</v>
      </c>
      <c r="F25" t="str">
        <v>高雄工業 本社</v>
      </c>
      <c r="G25" t="str">
        <v>高雄工業株式会社 愛知事業所本社工場製作課</v>
      </c>
      <c r="H25">
        <v>0</v>
      </c>
      <c r="I25">
        <v>0</v>
      </c>
      <c r="J25" t="str">
        <v>鈴木 マルシオ</v>
      </c>
      <c r="K25" t="str">
        <v>スズキ　マルシオ</v>
      </c>
      <c r="L25" t="str">
        <v>男</v>
      </c>
      <c r="M25" t="str">
        <v>ﾌﾞﾗｼﾞﾙ</v>
      </c>
      <c r="N25" s="31">
        <v>25114</v>
      </c>
      <c r="O25">
        <v>57</v>
      </c>
      <c r="P25">
        <v>1200</v>
      </c>
      <c r="Q25">
        <v>0</v>
      </c>
      <c r="R25">
        <v>1650</v>
      </c>
      <c r="S25">
        <v>450</v>
      </c>
      <c r="T25">
        <v>450</v>
      </c>
      <c r="U25">
        <v>0</v>
      </c>
      <c r="V25" t="str">
        <v/>
      </c>
      <c r="W25" t="str">
        <v>0</v>
      </c>
      <c r="X25" t="str">
        <v/>
      </c>
      <c r="Y25" s="31">
        <v>45322</v>
      </c>
      <c r="Z25" t="str">
        <v/>
      </c>
      <c r="AA25" t="str">
        <v>永住者</v>
      </c>
      <c r="AB25" t="str">
        <v>455-0008</v>
      </c>
      <c r="AC25" t="str">
        <v>愛知県名古屋市港区九番町1-1-1</v>
      </c>
      <c r="AD25" t="str">
        <v>九番団地1棟611</v>
      </c>
      <c r="AE25" s="31" t="str">
        <v>個人</v>
      </c>
      <c r="AF25" s="31">
        <v>44179</v>
      </c>
      <c r="AG25" s="31">
        <v>44180</v>
      </c>
      <c r="AH25" s="31">
        <v>0</v>
      </c>
      <c r="AI25" t="str">
        <v>12/14予定</v>
      </c>
      <c r="AJ25">
        <v>0</v>
      </c>
      <c r="AK25">
        <v>0</v>
      </c>
      <c r="AL25">
        <v>44179</v>
      </c>
      <c r="AM25">
        <v>0</v>
      </c>
      <c r="AN25">
        <v>0</v>
      </c>
      <c r="AO25">
        <v>0</v>
      </c>
      <c r="AP25">
        <v>0</v>
      </c>
      <c r="AQ25">
        <v>0</v>
      </c>
      <c r="AR25">
        <v>0</v>
      </c>
    </row>
    <row r="26" spans="1:44">
      <c r="A26" t="str">
        <f>H26&amp;COUNTIF($H$2:H26,H26)</f>
        <v>015</v>
      </c>
      <c r="B26" t="str">
        <f>F26&amp;COUNTIF($F$2:F26,F26)</f>
        <v>高雄工業 海南第一4</v>
      </c>
      <c r="C26" t="str">
        <v>退社</v>
      </c>
      <c r="D26">
        <v>201206</v>
      </c>
      <c r="E26">
        <v>0</v>
      </c>
      <c r="F26" t="str">
        <v>高雄工業 海南第一</v>
      </c>
      <c r="G26" t="str">
        <v>高雄工業株式会社 愛知事業所海南第一工場製作1課</v>
      </c>
      <c r="H26">
        <v>0</v>
      </c>
      <c r="I26">
        <v>0</v>
      </c>
      <c r="J26" t="str">
        <v>DINH TAN LEN</v>
      </c>
      <c r="K26" t="str">
        <v>ディン　タン　レン</v>
      </c>
      <c r="L26" t="str">
        <v>男</v>
      </c>
      <c r="M26" t="str">
        <v>ﾍﾞﾄﾅﾑ</v>
      </c>
      <c r="N26" s="31">
        <v>34801</v>
      </c>
      <c r="O26">
        <v>30</v>
      </c>
      <c r="P26">
        <v>1250</v>
      </c>
      <c r="Q26">
        <v>0</v>
      </c>
      <c r="R26">
        <v>1600</v>
      </c>
      <c r="S26">
        <v>0</v>
      </c>
      <c r="T26">
        <v>350</v>
      </c>
      <c r="U26">
        <v>0</v>
      </c>
      <c r="V26" t="str">
        <v/>
      </c>
      <c r="W26" t="str">
        <v>0</v>
      </c>
      <c r="X26" t="str">
        <v/>
      </c>
      <c r="Y26" s="31">
        <v>45162</v>
      </c>
      <c r="Z26" t="str">
        <v/>
      </c>
      <c r="AA26" t="str">
        <v>技術・人文知識・国際業務</v>
      </c>
      <c r="AB26" t="str">
        <v>498-0021</v>
      </c>
      <c r="AC26" t="str">
        <v>愛知県弥富市鯏浦町浦六1-1</v>
      </c>
      <c r="AD26" t="str">
        <v>ｸﾞﾘｰﾝﾊｲﾂA棟201</v>
      </c>
      <c r="AE26" s="31">
        <v>44186</v>
      </c>
      <c r="AF26" s="31">
        <v>44187</v>
      </c>
      <c r="AG26" s="31">
        <v>44456</v>
      </c>
      <c r="AH26" s="31">
        <v>44456</v>
      </c>
      <c r="AI26">
        <v>44228</v>
      </c>
      <c r="AJ26">
        <v>0</v>
      </c>
      <c r="AK26">
        <v>0</v>
      </c>
      <c r="AL26">
        <v>44187</v>
      </c>
      <c r="AM26">
        <v>0</v>
      </c>
      <c r="AN26">
        <v>0</v>
      </c>
      <c r="AO26">
        <v>0</v>
      </c>
      <c r="AP26">
        <v>0</v>
      </c>
      <c r="AQ26">
        <v>0</v>
      </c>
      <c r="AR26">
        <v>0</v>
      </c>
    </row>
    <row r="27" spans="1:44">
      <c r="A27" t="str">
        <f>H27&amp;COUNTIF($H$2:H27,H27)</f>
        <v>長軸バリ取り1</v>
      </c>
      <c r="B27" t="str">
        <f>F27&amp;COUNTIF($F$2:F27,F27)</f>
        <v>高雄工業 静岡1</v>
      </c>
      <c r="C27" t="str">
        <v>退社</v>
      </c>
      <c r="D27">
        <v>201207</v>
      </c>
      <c r="E27">
        <v>242001</v>
      </c>
      <c r="F27" t="str">
        <v>高雄工業 静岡</v>
      </c>
      <c r="G27" t="str">
        <v>高雄工業株式会社 静岡事業所第二工場製作課</v>
      </c>
      <c r="H27" t="str">
        <v>長軸バリ取り</v>
      </c>
      <c r="I27">
        <v>0</v>
      </c>
      <c r="J27" t="str">
        <v>LE XUAN HUNG</v>
      </c>
      <c r="K27" t="str">
        <v>レ　スアン　フン</v>
      </c>
      <c r="L27" t="str">
        <v>男</v>
      </c>
      <c r="M27" t="str">
        <v>ﾍﾞﾄﾅﾑ</v>
      </c>
      <c r="N27" s="31">
        <v>32467</v>
      </c>
      <c r="O27">
        <v>37</v>
      </c>
      <c r="P27">
        <v>1410</v>
      </c>
      <c r="Q27" t="str">
        <v>6/16~ \1200⇒\1250</v>
      </c>
      <c r="R27">
        <v>1780</v>
      </c>
      <c r="S27" t="str">
        <v>9/16~ 1600円→1750円</v>
      </c>
      <c r="T27">
        <v>370</v>
      </c>
      <c r="U27">
        <v>0</v>
      </c>
      <c r="V27" t="str">
        <v/>
      </c>
      <c r="W27" t="str">
        <v>0</v>
      </c>
      <c r="X27" t="str">
        <v/>
      </c>
      <c r="Y27" s="31">
        <v>45167</v>
      </c>
      <c r="Z27" t="str">
        <v/>
      </c>
      <c r="AA27" t="str">
        <v>技術・人文知識・国際業務</v>
      </c>
      <c r="AB27" t="str">
        <v>437-0061</v>
      </c>
      <c r="AC27" t="str">
        <v>静岡県袋井市久能1289-1</v>
      </c>
      <c r="AD27" t="str">
        <v>ｱｳﾛｰﾗⅡ101号</v>
      </c>
      <c r="AE27" s="31">
        <v>44186</v>
      </c>
      <c r="AF27" s="31">
        <v>44189</v>
      </c>
      <c r="AG27" s="31">
        <v>44875</v>
      </c>
      <c r="AH27" s="31">
        <v>0</v>
      </c>
      <c r="AI27">
        <v>44228</v>
      </c>
      <c r="AJ27" t="str">
        <v>OK</v>
      </c>
      <c r="AK27">
        <v>0</v>
      </c>
      <c r="AL27">
        <v>44189</v>
      </c>
      <c r="AM27">
        <v>0</v>
      </c>
      <c r="AN27">
        <v>0</v>
      </c>
      <c r="AO27">
        <v>0</v>
      </c>
      <c r="AP27">
        <v>0</v>
      </c>
      <c r="AQ27">
        <v>0</v>
      </c>
      <c r="AR27">
        <v>0</v>
      </c>
    </row>
    <row r="28" spans="1:44">
      <c r="A28" t="str">
        <f>H28&amp;COUNTIF($H$2:H28,H28)</f>
        <v>転造1</v>
      </c>
      <c r="B28" t="str">
        <f>F28&amp;COUNTIF($F$2:F28,F28)</f>
        <v>高雄工業 静岡2</v>
      </c>
      <c r="C28" t="str">
        <v>退社</v>
      </c>
      <c r="D28">
        <v>201208</v>
      </c>
      <c r="E28">
        <v>242002</v>
      </c>
      <c r="F28" t="str">
        <v>高雄工業 静岡</v>
      </c>
      <c r="G28" t="str">
        <v>高雄工業株式会社 静岡事業所第一工場製作課</v>
      </c>
      <c r="H28" t="str">
        <v>転造</v>
      </c>
      <c r="I28" t="str">
        <v>ＣＶＪ短軸等速ジョイント旋削加工・ＮＣプログラム修正</v>
      </c>
      <c r="J28" t="str">
        <v>DO VAN NGHIEP</v>
      </c>
      <c r="K28" t="str">
        <v>ドー　ヴァン　ギエップ</v>
      </c>
      <c r="L28" t="str">
        <v>男</v>
      </c>
      <c r="M28" t="str">
        <v>ﾍﾞﾄﾅﾑ</v>
      </c>
      <c r="N28" s="31">
        <v>30917</v>
      </c>
      <c r="O28">
        <v>41</v>
      </c>
      <c r="P28">
        <v>1400</v>
      </c>
      <c r="Q28" t="str">
        <v>6/16~ \1200⇒\1250</v>
      </c>
      <c r="R28">
        <v>1790</v>
      </c>
      <c r="S28" t="str">
        <v>9/16~ 1600円→1750円</v>
      </c>
      <c r="T28">
        <v>390</v>
      </c>
      <c r="U28">
        <v>320000</v>
      </c>
      <c r="V28">
        <v>16048</v>
      </c>
      <c r="W28">
        <v>2544</v>
      </c>
      <c r="X28">
        <v>29280</v>
      </c>
      <c r="Y28" s="31">
        <v>45258</v>
      </c>
      <c r="Z28" t="str">
        <v/>
      </c>
      <c r="AA28" t="str">
        <v>技術・人文知識・国際業務</v>
      </c>
      <c r="AB28" t="str">
        <v>437-0017</v>
      </c>
      <c r="AC28" t="str">
        <v>静岡県袋井市鷲巣950-1</v>
      </c>
      <c r="AD28" t="str">
        <v>ﾚｵﾊﾟﾚｽわしず103</v>
      </c>
      <c r="AE28" s="31" t="str">
        <v>個人</v>
      </c>
      <c r="AF28" s="31">
        <v>44189</v>
      </c>
      <c r="AG28" s="31">
        <v>45114</v>
      </c>
      <c r="AH28" s="31">
        <v>0</v>
      </c>
      <c r="AI28">
        <v>44228</v>
      </c>
      <c r="AJ28" t="str">
        <v>OK</v>
      </c>
      <c r="AK28">
        <v>0</v>
      </c>
      <c r="AL28">
        <v>44189</v>
      </c>
      <c r="AM28">
        <v>0</v>
      </c>
      <c r="AN28">
        <v>0</v>
      </c>
      <c r="AO28">
        <v>0</v>
      </c>
      <c r="AP28">
        <v>0</v>
      </c>
      <c r="AQ28">
        <v>0</v>
      </c>
      <c r="AR28">
        <v>0</v>
      </c>
    </row>
    <row r="29" spans="1:44">
      <c r="A29" t="str">
        <f>H29&amp;COUNTIF($H$2:H29,H29)</f>
        <v>016</v>
      </c>
      <c r="B29" t="str">
        <f>F29&amp;COUNTIF($F$2:F29,F29)</f>
        <v>高雄工業 本社4</v>
      </c>
      <c r="C29" t="str">
        <v>退社</v>
      </c>
      <c r="D29">
        <v>210101</v>
      </c>
      <c r="E29">
        <v>0</v>
      </c>
      <c r="F29" t="str">
        <v>高雄工業 本社</v>
      </c>
      <c r="G29" t="str">
        <v>高雄工業株式会社 愛知事業所本社工場製作課</v>
      </c>
      <c r="H29">
        <v>0</v>
      </c>
      <c r="I29">
        <v>0</v>
      </c>
      <c r="J29" t="str">
        <v>DAO HOANG ANH</v>
      </c>
      <c r="K29" t="str">
        <v>ダオ　ホアン　アン</v>
      </c>
      <c r="L29" t="str">
        <v>男</v>
      </c>
      <c r="M29" t="str">
        <v>ﾍﾞﾄﾅﾑ</v>
      </c>
      <c r="N29" s="31">
        <v>34673</v>
      </c>
      <c r="O29">
        <v>30</v>
      </c>
      <c r="P29">
        <v>1300</v>
      </c>
      <c r="Q29">
        <v>0</v>
      </c>
      <c r="R29">
        <v>1600</v>
      </c>
      <c r="S29">
        <v>0</v>
      </c>
      <c r="T29">
        <v>300</v>
      </c>
      <c r="U29">
        <v>0</v>
      </c>
      <c r="V29" t="str">
        <v/>
      </c>
      <c r="W29" t="str">
        <v>0</v>
      </c>
      <c r="X29" t="str">
        <v/>
      </c>
      <c r="Y29" s="31">
        <v>45157</v>
      </c>
      <c r="Z29" t="str">
        <v/>
      </c>
      <c r="AA29" t="str">
        <v>技術・人文知識・国際業務</v>
      </c>
      <c r="AB29" t="str">
        <v>498-0031</v>
      </c>
      <c r="AC29" t="str">
        <v>愛知県弥富市平島町北広畑10-1</v>
      </c>
      <c r="AD29" t="str">
        <v>ﾚﾌﾞﾗﾝｶﾐｰﾘｱA201</v>
      </c>
      <c r="AE29" s="31">
        <v>44193</v>
      </c>
      <c r="AF29" s="31">
        <v>44201</v>
      </c>
      <c r="AG29" s="31">
        <v>44415</v>
      </c>
      <c r="AH29" s="31">
        <v>0</v>
      </c>
      <c r="AI29">
        <v>44256</v>
      </c>
      <c r="AJ29">
        <v>0</v>
      </c>
      <c r="AK29">
        <v>0</v>
      </c>
      <c r="AL29">
        <v>44201</v>
      </c>
      <c r="AM29">
        <v>0</v>
      </c>
      <c r="AN29">
        <v>0</v>
      </c>
      <c r="AO29">
        <v>0</v>
      </c>
      <c r="AP29">
        <v>0</v>
      </c>
      <c r="AQ29">
        <v>0</v>
      </c>
      <c r="AR29">
        <v>0</v>
      </c>
    </row>
    <row r="30" spans="1:44">
      <c r="A30" t="str">
        <f>H30&amp;COUNTIF($H$2:H30,H30)</f>
        <v>Fライン1</v>
      </c>
      <c r="B30" t="str">
        <f>F30&amp;COUNTIF($F$2:F30,F30)</f>
        <v>高雄工業 本社5</v>
      </c>
      <c r="C30" t="str">
        <v>退社</v>
      </c>
      <c r="D30">
        <v>210102</v>
      </c>
      <c r="E30">
        <v>212004</v>
      </c>
      <c r="F30" t="str">
        <v>高雄工業 本社</v>
      </c>
      <c r="G30" t="str">
        <v>高雄工業株式会社 愛知事業所本社工場製作課</v>
      </c>
      <c r="H30" t="str">
        <v>Fライン</v>
      </c>
      <c r="I30">
        <v>0</v>
      </c>
      <c r="J30" t="str">
        <v>NGUYEN DUC HUNG</v>
      </c>
      <c r="K30" t="str">
        <v>グエン　ドック　フン</v>
      </c>
      <c r="L30" t="str">
        <v>男</v>
      </c>
      <c r="M30" t="str">
        <v>ﾍﾞﾄﾅﾑ</v>
      </c>
      <c r="N30" s="31">
        <v>34018</v>
      </c>
      <c r="O30">
        <v>32</v>
      </c>
      <c r="P30">
        <v>1400</v>
      </c>
      <c r="Q30">
        <v>0</v>
      </c>
      <c r="R30">
        <v>1770</v>
      </c>
      <c r="S30" t="str">
        <v>9/16~ 1600円→1750円</v>
      </c>
      <c r="T30">
        <v>370</v>
      </c>
      <c r="U30">
        <v>0</v>
      </c>
      <c r="V30" t="str">
        <v/>
      </c>
      <c r="W30" t="str">
        <v>0</v>
      </c>
      <c r="X30" t="str">
        <v/>
      </c>
      <c r="Y30" s="31">
        <v>45157</v>
      </c>
      <c r="Z30" t="str">
        <v/>
      </c>
      <c r="AA30" t="str">
        <v>技術・人文知識・国際業務</v>
      </c>
      <c r="AB30" t="str">
        <v>498-0031</v>
      </c>
      <c r="AC30" t="str">
        <v>愛知県弥富市平島町中新田196-1</v>
      </c>
      <c r="AD30" t="str">
        <v>ｺﾝﾂｪﾙﾊｳｽⅡC棟203</v>
      </c>
      <c r="AE30" s="31">
        <v>44193</v>
      </c>
      <c r="AF30" s="31">
        <v>44201</v>
      </c>
      <c r="AG30" s="31">
        <v>44860</v>
      </c>
      <c r="AH30" s="31">
        <v>0</v>
      </c>
      <c r="AI30">
        <v>44256</v>
      </c>
      <c r="AJ30" t="str">
        <v>OK</v>
      </c>
      <c r="AK30">
        <v>0</v>
      </c>
      <c r="AL30">
        <v>44201</v>
      </c>
      <c r="AM30">
        <v>0</v>
      </c>
      <c r="AN30">
        <v>0</v>
      </c>
      <c r="AO30">
        <v>0</v>
      </c>
      <c r="AP30">
        <v>0</v>
      </c>
      <c r="AQ30">
        <v>0</v>
      </c>
      <c r="AR30">
        <v>0</v>
      </c>
    </row>
    <row r="31" spans="1:44">
      <c r="A31" t="str">
        <f>H31&amp;COUNTIF($H$2:H31,H31)</f>
        <v>017</v>
      </c>
      <c r="B31" t="str">
        <f>F31&amp;COUNTIF($F$2:F31,F31)</f>
        <v>高雄工業 岡山1</v>
      </c>
      <c r="C31" t="str">
        <v>退社</v>
      </c>
      <c r="D31">
        <v>210103</v>
      </c>
      <c r="E31">
        <v>0</v>
      </c>
      <c r="F31" t="str">
        <v>高雄工業 岡山</v>
      </c>
      <c r="G31">
        <v>0</v>
      </c>
      <c r="H31">
        <v>0</v>
      </c>
      <c r="I31">
        <v>0</v>
      </c>
      <c r="J31" t="str">
        <v>TRAN XUAN THE</v>
      </c>
      <c r="K31" t="str">
        <v>ツアン　ヅアン　テェ</v>
      </c>
      <c r="L31" t="str">
        <v>男</v>
      </c>
      <c r="M31" t="str">
        <v>ﾍﾞﾄﾅﾑ</v>
      </c>
      <c r="N31" s="31">
        <v>33850</v>
      </c>
      <c r="O31">
        <v>33</v>
      </c>
      <c r="P31">
        <v>1250</v>
      </c>
      <c r="Q31">
        <v>0</v>
      </c>
      <c r="R31">
        <v>1750</v>
      </c>
      <c r="S31">
        <v>0</v>
      </c>
      <c r="T31">
        <v>500</v>
      </c>
      <c r="U31">
        <v>0</v>
      </c>
      <c r="V31" t="str">
        <v/>
      </c>
      <c r="W31" t="str">
        <v>0</v>
      </c>
      <c r="X31" t="str">
        <v/>
      </c>
      <c r="Y31" s="31">
        <v>45178</v>
      </c>
      <c r="Z31" t="str">
        <v/>
      </c>
      <c r="AA31" t="str">
        <v>技術・人文知識・国際業務</v>
      </c>
      <c r="AB31" t="str">
        <v>709-2107</v>
      </c>
      <c r="AC31" t="str">
        <v>岡山県岡山市北区御津矢原312-2</v>
      </c>
      <c r="AD31" t="str">
        <v>中須賀ｺｰﾎﾟⅠ102</v>
      </c>
      <c r="AE31" s="31">
        <v>44443</v>
      </c>
      <c r="AF31" s="31">
        <v>44201</v>
      </c>
      <c r="AG31" s="31">
        <v>44499</v>
      </c>
      <c r="AH31" s="31">
        <v>0</v>
      </c>
      <c r="AI31">
        <v>44256</v>
      </c>
      <c r="AJ31">
        <v>0</v>
      </c>
      <c r="AK31">
        <v>0</v>
      </c>
      <c r="AL31">
        <v>44201</v>
      </c>
      <c r="AM31">
        <v>0</v>
      </c>
      <c r="AN31">
        <v>0</v>
      </c>
      <c r="AO31">
        <v>0</v>
      </c>
      <c r="AP31">
        <v>0</v>
      </c>
      <c r="AQ31">
        <v>0</v>
      </c>
      <c r="AR31">
        <v>0</v>
      </c>
    </row>
    <row r="32" spans="1:44">
      <c r="A32" t="str">
        <f>H32&amp;COUNTIF($H$2:H32,H32)</f>
        <v>018</v>
      </c>
      <c r="B32" t="str">
        <f>F32&amp;COUNTIF($F$2:F32,F32)</f>
        <v>高雄工業 海南第一5</v>
      </c>
      <c r="C32" t="str">
        <v>退社</v>
      </c>
      <c r="D32">
        <v>210104</v>
      </c>
      <c r="E32">
        <v>0</v>
      </c>
      <c r="F32" t="str">
        <v>高雄工業 海南第一</v>
      </c>
      <c r="G32" t="str">
        <v>高雄工業株式会社 愛知事業所海南第一工場製作1課</v>
      </c>
      <c r="H32">
        <v>0</v>
      </c>
      <c r="I32">
        <v>0</v>
      </c>
      <c r="J32" t="str">
        <v>米須　ジョン</v>
      </c>
      <c r="K32" t="str">
        <v>コメス　ジョン</v>
      </c>
      <c r="L32" t="str">
        <v>男</v>
      </c>
      <c r="M32" t="str">
        <v>ﾌﾞﾗｼﾞﾙ</v>
      </c>
      <c r="N32" s="31">
        <v>23635</v>
      </c>
      <c r="O32">
        <v>61</v>
      </c>
      <c r="P32">
        <v>1300</v>
      </c>
      <c r="Q32" t="str">
        <v>3か月後継続なら時給見直</v>
      </c>
      <c r="R32">
        <v>1650</v>
      </c>
      <c r="S32">
        <v>0</v>
      </c>
      <c r="T32">
        <v>350</v>
      </c>
      <c r="U32">
        <v>0</v>
      </c>
      <c r="V32" t="str">
        <v/>
      </c>
      <c r="W32" t="str">
        <v>0</v>
      </c>
      <c r="X32" t="str">
        <v/>
      </c>
      <c r="Y32" s="31">
        <v>45873</v>
      </c>
      <c r="Z32" t="str">
        <v/>
      </c>
      <c r="AA32" t="str">
        <v>日本人の配偶者</v>
      </c>
      <c r="AB32" t="str">
        <v>498-0031</v>
      </c>
      <c r="AC32" t="str">
        <v>愛知県弥富市平島町中新田194-1</v>
      </c>
      <c r="AD32" t="str">
        <v>ｺﾝﾂｪﾙﾊｳｽⅡD棟202</v>
      </c>
      <c r="AE32" s="31">
        <v>44194</v>
      </c>
      <c r="AF32" s="31">
        <v>44201</v>
      </c>
      <c r="AG32" s="31">
        <v>44274</v>
      </c>
      <c r="AH32" s="31">
        <v>44276</v>
      </c>
      <c r="AI32">
        <v>44287</v>
      </c>
      <c r="AJ32">
        <v>0</v>
      </c>
      <c r="AK32">
        <v>0</v>
      </c>
      <c r="AL32">
        <v>44201</v>
      </c>
      <c r="AM32">
        <v>0</v>
      </c>
      <c r="AN32">
        <v>0</v>
      </c>
      <c r="AO32">
        <v>0</v>
      </c>
      <c r="AP32">
        <v>0</v>
      </c>
      <c r="AQ32">
        <v>0</v>
      </c>
      <c r="AR32">
        <v>0</v>
      </c>
    </row>
    <row r="33" spans="1:44">
      <c r="A33" t="str">
        <f>H33&amp;COUNTIF($H$2:H33,H33)</f>
        <v>旋盤ライン6</v>
      </c>
      <c r="B33" t="str">
        <f>F33&amp;COUNTIF($F$2:F33,F33)</f>
        <v>川原鉄工所6</v>
      </c>
      <c r="C33" t="str">
        <v>退社</v>
      </c>
      <c r="D33">
        <v>210105</v>
      </c>
      <c r="E33">
        <v>0</v>
      </c>
      <c r="F33" t="str">
        <v>川原鉄工所</v>
      </c>
      <c r="G33" t="str">
        <v>製造部</v>
      </c>
      <c r="H33" t="str">
        <v>旋盤ライン</v>
      </c>
      <c r="I33" t="str">
        <v>ATミッション部品をはじめとする、各種自動車部品の製造</v>
      </c>
      <c r="J33" t="str">
        <v>PHAM CONG HA</v>
      </c>
      <c r="K33" t="str">
        <v>ファム　コン　ハー</v>
      </c>
      <c r="L33" t="str">
        <v>男</v>
      </c>
      <c r="M33" t="str">
        <v>ﾍﾞﾄﾅﾑ</v>
      </c>
      <c r="N33" s="31">
        <v>35053</v>
      </c>
      <c r="O33">
        <v>29</v>
      </c>
      <c r="P33">
        <v>1250</v>
      </c>
      <c r="Q33">
        <v>0</v>
      </c>
      <c r="R33">
        <v>1600</v>
      </c>
      <c r="S33">
        <v>0</v>
      </c>
      <c r="T33">
        <v>350</v>
      </c>
      <c r="U33">
        <v>0</v>
      </c>
      <c r="V33" t="str">
        <v/>
      </c>
      <c r="W33" t="str">
        <v>0</v>
      </c>
      <c r="X33" t="str">
        <v/>
      </c>
      <c r="Y33" s="31">
        <v>44990</v>
      </c>
      <c r="Z33" t="str">
        <v/>
      </c>
      <c r="AA33" t="str">
        <v>技術・人文知識・国際業務</v>
      </c>
      <c r="AB33" t="str">
        <v>455-0046</v>
      </c>
      <c r="AC33" t="str">
        <v>愛知県名古屋市港区大手町2丁目31</v>
      </c>
      <c r="AD33" t="str">
        <v>ﾀﾞｲｺｰﾏﾝｼｮﾝ302</v>
      </c>
      <c r="AE33" s="31">
        <v>44201</v>
      </c>
      <c r="AF33" s="31">
        <v>44202</v>
      </c>
      <c r="AG33" s="31">
        <v>44309</v>
      </c>
      <c r="AH33" s="31">
        <v>0</v>
      </c>
      <c r="AI33">
        <v>44256</v>
      </c>
      <c r="AJ33">
        <v>0</v>
      </c>
      <c r="AK33">
        <v>0</v>
      </c>
      <c r="AL33">
        <v>44202</v>
      </c>
      <c r="AM33">
        <v>0</v>
      </c>
      <c r="AN33">
        <v>0</v>
      </c>
      <c r="AO33">
        <v>0</v>
      </c>
      <c r="AP33">
        <v>0</v>
      </c>
      <c r="AQ33">
        <v>0</v>
      </c>
      <c r="AR33">
        <v>0</v>
      </c>
    </row>
    <row r="34" spans="1:44">
      <c r="A34" t="str">
        <f>H34&amp;COUNTIF($H$2:H34,H34)</f>
        <v>州の崎工場製造2課2工区3班1</v>
      </c>
      <c r="B34" t="str">
        <f>F34&amp;COUNTIF($F$2:F34,F34)</f>
        <v>コーリツ 州の崎2</v>
      </c>
      <c r="C34" t="str">
        <v>在職中</v>
      </c>
      <c r="D34">
        <v>210106</v>
      </c>
      <c r="E34">
        <v>8210004</v>
      </c>
      <c r="F34" t="str">
        <v>コーリツ 州の崎</v>
      </c>
      <c r="G34" t="str">
        <v>州の崎工場製造2課2工区3班</v>
      </c>
      <c r="H34" t="str">
        <v>州の崎工場製造2課2工区3班</v>
      </c>
      <c r="I34">
        <v>0</v>
      </c>
      <c r="J34" t="str">
        <v xml:space="preserve">NGUYEN DUC THANH </v>
      </c>
      <c r="K34" t="str">
        <v>グエン　ドウック　タイン</v>
      </c>
      <c r="L34" t="str">
        <v>男</v>
      </c>
      <c r="M34" t="str">
        <v>ﾍﾞﾄﾅﾑ</v>
      </c>
      <c r="N34" s="31">
        <v>32739</v>
      </c>
      <c r="O34">
        <v>36</v>
      </c>
      <c r="P34">
        <v>1555</v>
      </c>
      <c r="Q34" t="str">
        <v>2022/4/1～　1400円⇒1430円</v>
      </c>
      <c r="R34">
        <v>2225</v>
      </c>
      <c r="S34">
        <v>0</v>
      </c>
      <c r="T34">
        <v>670</v>
      </c>
      <c r="U34">
        <v>320000</v>
      </c>
      <c r="V34">
        <v>16048</v>
      </c>
      <c r="W34" t="str">
        <v>0</v>
      </c>
      <c r="X34">
        <v>29280</v>
      </c>
      <c r="Y34" s="31">
        <v>47564</v>
      </c>
      <c r="Z34" t="str">
        <v/>
      </c>
      <c r="AA34" t="str">
        <v>技術・人文知識・国際業務</v>
      </c>
      <c r="AB34" t="str">
        <v>475-0074</v>
      </c>
      <c r="AC34" t="str">
        <v>愛知県半田市長根町3丁目1番　</v>
      </c>
      <c r="AD34" t="str">
        <v>県営長根住宅7棟406号</v>
      </c>
      <c r="AE34" s="31" t="str">
        <v>個人</v>
      </c>
      <c r="AF34" s="31">
        <v>44202</v>
      </c>
      <c r="AG34" s="31">
        <v>0</v>
      </c>
      <c r="AH34" s="31">
        <v>0</v>
      </c>
      <c r="AI34">
        <v>44197</v>
      </c>
      <c r="AJ34" t="str">
        <v>OK</v>
      </c>
      <c r="AK34">
        <v>0</v>
      </c>
      <c r="AL34">
        <v>44202</v>
      </c>
      <c r="AM34" t="str">
        <v>原付</v>
      </c>
      <c r="AN34">
        <v>45554</v>
      </c>
      <c r="AO34" t="str">
        <v>原付</v>
      </c>
      <c r="AP34">
        <v>46368</v>
      </c>
      <c r="AQ34">
        <v>0</v>
      </c>
      <c r="AR34">
        <v>0</v>
      </c>
    </row>
    <row r="35" spans="1:44">
      <c r="A35" t="str">
        <f>H35&amp;COUNTIF($H$2:H35,H35)</f>
        <v>019</v>
      </c>
      <c r="B35" t="str">
        <f>F35&amp;COUNTIF($F$2:F35,F35)</f>
        <v>コーリツ 乙川2</v>
      </c>
      <c r="C35" t="str">
        <v>退社</v>
      </c>
      <c r="D35">
        <v>210107</v>
      </c>
      <c r="E35">
        <v>8210003</v>
      </c>
      <c r="F35" t="str">
        <v>コーリツ 乙川</v>
      </c>
      <c r="G35" t="str">
        <v>乙川第２工場　製造３課６工区９班</v>
      </c>
      <c r="H35">
        <v>0</v>
      </c>
      <c r="I35">
        <v>0</v>
      </c>
      <c r="J35" t="str">
        <v>PHAM VAN DUNG</v>
      </c>
      <c r="K35" t="str">
        <v>ファム　ヴァン　ズン</v>
      </c>
      <c r="L35" t="str">
        <v>男</v>
      </c>
      <c r="M35" t="str">
        <v>ﾍﾞﾄﾅﾑ</v>
      </c>
      <c r="N35" s="31">
        <v>33227</v>
      </c>
      <c r="O35">
        <v>34</v>
      </c>
      <c r="P35">
        <v>1430</v>
      </c>
      <c r="Q35" t="str">
        <v>2022/4/1～　1400円⇒1430円</v>
      </c>
      <c r="R35">
        <v>2020</v>
      </c>
      <c r="S35">
        <v>0</v>
      </c>
      <c r="T35">
        <v>590</v>
      </c>
      <c r="U35">
        <v>0</v>
      </c>
      <c r="V35" t="str">
        <v/>
      </c>
      <c r="W35" t="str">
        <v>0</v>
      </c>
      <c r="X35" t="str">
        <v/>
      </c>
      <c r="Y35" s="31">
        <v>45443</v>
      </c>
      <c r="Z35" t="str">
        <v/>
      </c>
      <c r="AA35" t="str">
        <v>技術・人文知識・国際業務</v>
      </c>
      <c r="AB35" t="str">
        <v>475-0828</v>
      </c>
      <c r="AC35" t="str">
        <v>愛知県半田市瑞穂町4丁目1-19</v>
      </c>
      <c r="AD35" t="str">
        <v>大松ﾊﾟｻｰｼﾞｭⅡ102号</v>
      </c>
      <c r="AE35" s="31">
        <v>44255</v>
      </c>
      <c r="AF35" s="31">
        <v>44202</v>
      </c>
      <c r="AG35" s="31">
        <v>44911</v>
      </c>
      <c r="AH35" s="31">
        <v>0</v>
      </c>
      <c r="AI35">
        <v>44197</v>
      </c>
      <c r="AJ35" t="str">
        <v>OK</v>
      </c>
      <c r="AK35">
        <v>0</v>
      </c>
      <c r="AL35">
        <v>44202</v>
      </c>
      <c r="AM35">
        <v>0</v>
      </c>
      <c r="AN35">
        <v>0</v>
      </c>
      <c r="AO35">
        <v>0</v>
      </c>
      <c r="AP35">
        <v>0</v>
      </c>
      <c r="AQ35">
        <v>0</v>
      </c>
      <c r="AR35">
        <v>0</v>
      </c>
    </row>
    <row r="36" spans="1:44">
      <c r="A36" t="str">
        <f>H36&amp;COUNTIF($H$2:H36,H36)</f>
        <v>乙川工場製造3課6工区9班2</v>
      </c>
      <c r="B36" t="str">
        <f>F36&amp;COUNTIF($F$2:F36,F36)</f>
        <v>コーリツ 乙川3</v>
      </c>
      <c r="C36" t="str">
        <v>退社</v>
      </c>
      <c r="D36">
        <v>210108</v>
      </c>
      <c r="E36">
        <v>8210001</v>
      </c>
      <c r="F36" t="str">
        <v>コーリツ 乙川</v>
      </c>
      <c r="G36" t="str">
        <v>乙川工場製造3課6工区9班</v>
      </c>
      <c r="H36" t="str">
        <v>乙川工場製造3課6工区9班</v>
      </c>
      <c r="I36">
        <v>0</v>
      </c>
      <c r="J36" t="str">
        <v>NGUYEN DINH TRONG</v>
      </c>
      <c r="K36" t="str">
        <v>グェン　ヂィン　チョン</v>
      </c>
      <c r="L36" t="str">
        <v>男</v>
      </c>
      <c r="M36" t="str">
        <v>ﾍﾞﾄﾅﾑ</v>
      </c>
      <c r="N36" s="31">
        <v>33896</v>
      </c>
      <c r="O36">
        <v>33</v>
      </c>
      <c r="P36">
        <v>1430</v>
      </c>
      <c r="Q36" t="str">
        <v>2022/4/1～　1400円⇒1430円</v>
      </c>
      <c r="R36">
        <v>2020</v>
      </c>
      <c r="S36">
        <v>0</v>
      </c>
      <c r="T36">
        <v>590</v>
      </c>
      <c r="U36">
        <v>360000</v>
      </c>
      <c r="V36">
        <v>18054</v>
      </c>
      <c r="W36" t="str">
        <v>0</v>
      </c>
      <c r="X36">
        <v>32940</v>
      </c>
      <c r="Y36" s="31">
        <v>47267</v>
      </c>
      <c r="Z36" t="str">
        <v/>
      </c>
      <c r="AA36" t="str">
        <v>技術・人文知識・国際業務</v>
      </c>
      <c r="AB36" t="str">
        <v>475-0074</v>
      </c>
      <c r="AC36" t="str">
        <v>愛知県半田市長根町3丁目1番　</v>
      </c>
      <c r="AD36" t="str">
        <v>県営長根住宅6棟301号</v>
      </c>
      <c r="AE36" s="31" t="str">
        <v>個人</v>
      </c>
      <c r="AF36" s="31">
        <v>44202</v>
      </c>
      <c r="AG36" s="31">
        <v>45470</v>
      </c>
      <c r="AH36" s="31">
        <v>0</v>
      </c>
      <c r="AI36">
        <v>44197</v>
      </c>
      <c r="AJ36" t="str">
        <v>OK</v>
      </c>
      <c r="AK36">
        <v>0</v>
      </c>
      <c r="AL36">
        <v>44202</v>
      </c>
      <c r="AM36">
        <v>0</v>
      </c>
      <c r="AN36">
        <v>0</v>
      </c>
      <c r="AO36">
        <v>0</v>
      </c>
      <c r="AP36">
        <v>0</v>
      </c>
      <c r="AQ36">
        <v>0</v>
      </c>
      <c r="AR36">
        <v>0</v>
      </c>
    </row>
    <row r="37" spans="1:44">
      <c r="A37" t="str">
        <f>H37&amp;COUNTIF($H$2:H37,H37)</f>
        <v>020</v>
      </c>
      <c r="B37" t="str">
        <f>F37&amp;COUNTIF($F$2:F37,F37)</f>
        <v>コーリツ 乙川4</v>
      </c>
      <c r="C37" t="str">
        <v>退社</v>
      </c>
      <c r="D37">
        <v>210109</v>
      </c>
      <c r="E37">
        <v>8210002</v>
      </c>
      <c r="F37" t="str">
        <v>コーリツ 乙川</v>
      </c>
      <c r="G37" t="str">
        <v>乙川第２工場　製造３課６工区８班</v>
      </c>
      <c r="H37">
        <v>0</v>
      </c>
      <c r="I37">
        <v>0</v>
      </c>
      <c r="J37" t="str">
        <v>NGUYEN HUY DUC</v>
      </c>
      <c r="K37" t="str">
        <v>グエン　フィー　ドウク</v>
      </c>
      <c r="L37" t="str">
        <v>男</v>
      </c>
      <c r="M37" t="str">
        <v>ﾍﾞﾄﾅﾑ</v>
      </c>
      <c r="N37" s="31">
        <v>33410</v>
      </c>
      <c r="O37">
        <v>34</v>
      </c>
      <c r="P37">
        <v>1460</v>
      </c>
      <c r="Q37" t="str">
        <v>2022/4/1～　1400円⇒1460円</v>
      </c>
      <c r="R37">
        <v>2050</v>
      </c>
      <c r="S37">
        <v>0</v>
      </c>
      <c r="T37">
        <v>590</v>
      </c>
      <c r="U37">
        <v>0</v>
      </c>
      <c r="V37" t="str">
        <v/>
      </c>
      <c r="W37" t="str">
        <v>0</v>
      </c>
      <c r="X37" t="str">
        <v/>
      </c>
      <c r="Y37" s="31">
        <v>45822</v>
      </c>
      <c r="Z37" t="str">
        <v/>
      </c>
      <c r="AA37" t="str">
        <v>技術・人文知識・国際業務</v>
      </c>
      <c r="AB37" t="str">
        <v>475-0828</v>
      </c>
      <c r="AC37" t="str">
        <v>愛知県半田市瑞穂町9丁目6-9</v>
      </c>
      <c r="AD37" t="str">
        <v>ｽｲｶｲﾚｼﾞﾃﾞﾝｽ302</v>
      </c>
      <c r="AE37" s="31">
        <v>44682</v>
      </c>
      <c r="AF37" s="31">
        <v>44202</v>
      </c>
      <c r="AG37" s="31">
        <v>44803</v>
      </c>
      <c r="AH37" s="31">
        <v>0</v>
      </c>
      <c r="AI37">
        <v>44197</v>
      </c>
      <c r="AJ37" t="str">
        <v>OK</v>
      </c>
      <c r="AK37">
        <v>0</v>
      </c>
      <c r="AL37">
        <v>44202</v>
      </c>
      <c r="AM37">
        <v>0</v>
      </c>
      <c r="AN37">
        <v>0</v>
      </c>
      <c r="AO37">
        <v>0</v>
      </c>
      <c r="AP37">
        <v>0</v>
      </c>
      <c r="AQ37">
        <v>0</v>
      </c>
      <c r="AR37">
        <v>0</v>
      </c>
    </row>
    <row r="38" spans="1:44">
      <c r="A38" t="str">
        <f>H38&amp;COUNTIF($H$2:H38,H38)</f>
        <v>HUB1</v>
      </c>
      <c r="B38" t="str">
        <f>F38&amp;COUNTIF($F$2:F38,F38)</f>
        <v>高雄工業 海南第一6</v>
      </c>
      <c r="C38" t="str">
        <v>退社</v>
      </c>
      <c r="D38">
        <v>210110</v>
      </c>
      <c r="E38">
        <v>222008</v>
      </c>
      <c r="F38" t="str">
        <v>高雄工業 海南第一</v>
      </c>
      <c r="G38" t="str">
        <v>高雄工業株式会社 愛知事業所海南第一工場製作1課</v>
      </c>
      <c r="H38" t="str">
        <v>HUB</v>
      </c>
      <c r="I38" t="str">
        <v>ハブ加工 機械オペレーター、NCプログラム修正</v>
      </c>
      <c r="J38" t="str">
        <v>PHAM NGOC LAM</v>
      </c>
      <c r="K38" t="str">
        <v>ファム　ゴック　ラム</v>
      </c>
      <c r="L38" t="str">
        <v>男</v>
      </c>
      <c r="M38" t="str">
        <v>ﾍﾞﾄﾅﾑ</v>
      </c>
      <c r="N38" s="31">
        <v>34363</v>
      </c>
      <c r="O38">
        <v>31</v>
      </c>
      <c r="P38">
        <v>1410</v>
      </c>
      <c r="Q38" t="str">
        <v>6/16~ \1200⇒\1250</v>
      </c>
      <c r="R38">
        <v>1820</v>
      </c>
      <c r="S38" t="str">
        <v>9/16~ 1600円→1750円</v>
      </c>
      <c r="T38">
        <v>410</v>
      </c>
      <c r="U38">
        <v>320000</v>
      </c>
      <c r="V38">
        <v>16048</v>
      </c>
      <c r="W38" t="str">
        <v>0</v>
      </c>
      <c r="X38">
        <v>29280</v>
      </c>
      <c r="Y38" s="31">
        <v>46696</v>
      </c>
      <c r="Z38" t="str">
        <v/>
      </c>
      <c r="AA38" t="str">
        <v>技術・人文知識・国際業務</v>
      </c>
      <c r="AB38" t="str">
        <v>498-0017</v>
      </c>
      <c r="AC38" t="str">
        <v>愛知県弥富市前ヶ須町勘助走34-1</v>
      </c>
      <c r="AD38" t="str">
        <v>ｱﾄﾚB棟101</v>
      </c>
      <c r="AE38" s="31">
        <v>45291</v>
      </c>
      <c r="AF38" s="31">
        <v>44204</v>
      </c>
      <c r="AG38" s="31">
        <v>45845</v>
      </c>
      <c r="AH38" s="31">
        <v>0</v>
      </c>
      <c r="AI38">
        <v>44256</v>
      </c>
      <c r="AJ38" t="str">
        <v>OK</v>
      </c>
      <c r="AK38">
        <v>0</v>
      </c>
      <c r="AL38">
        <v>44204</v>
      </c>
      <c r="AM38">
        <v>0</v>
      </c>
      <c r="AN38">
        <v>0</v>
      </c>
      <c r="AO38">
        <v>0</v>
      </c>
      <c r="AP38">
        <v>0</v>
      </c>
      <c r="AQ38" t="str">
        <v>JLPT-N4</v>
      </c>
      <c r="AR38">
        <v>0</v>
      </c>
    </row>
    <row r="39" spans="1:44">
      <c r="A39" t="str">
        <f>H39&amp;COUNTIF($H$2:H39,H39)</f>
        <v>021</v>
      </c>
      <c r="B39" t="str">
        <f>F39&amp;COUNTIF($F$2:F39,F39)</f>
        <v>高雄工業 静岡3</v>
      </c>
      <c r="C39" t="str">
        <v>退社</v>
      </c>
      <c r="D39">
        <v>210111</v>
      </c>
      <c r="E39">
        <v>0</v>
      </c>
      <c r="F39" t="str">
        <v>高雄工業 静岡</v>
      </c>
      <c r="G39">
        <v>0</v>
      </c>
      <c r="H39">
        <v>0</v>
      </c>
      <c r="I39">
        <v>0</v>
      </c>
      <c r="J39" t="str">
        <v>LUU THANH DAT</v>
      </c>
      <c r="K39" t="str">
        <v>リュ　タン　ダット</v>
      </c>
      <c r="L39" t="str">
        <v>男</v>
      </c>
      <c r="M39" t="str">
        <v>ﾍﾞﾄﾅﾑ</v>
      </c>
      <c r="N39" s="31">
        <v>35358</v>
      </c>
      <c r="O39">
        <v>29</v>
      </c>
      <c r="P39">
        <v>1200</v>
      </c>
      <c r="Q39">
        <v>0</v>
      </c>
      <c r="R39">
        <v>1600</v>
      </c>
      <c r="S39">
        <v>0</v>
      </c>
      <c r="T39">
        <v>400</v>
      </c>
      <c r="U39">
        <v>0</v>
      </c>
      <c r="V39" t="str">
        <v/>
      </c>
      <c r="W39" t="str">
        <v>0</v>
      </c>
      <c r="X39" t="str">
        <v/>
      </c>
      <c r="Y39" s="31">
        <v>45267</v>
      </c>
      <c r="Z39" t="str">
        <v/>
      </c>
      <c r="AA39" t="str">
        <v>技術・人文知識・国際業務</v>
      </c>
      <c r="AB39" t="str">
        <v>437-0016</v>
      </c>
      <c r="AC39" t="str">
        <v>静岡県袋井市葵町2丁目5番地1</v>
      </c>
      <c r="AD39" t="str">
        <v>ｼｬﾝﾄﾞﾌﾙｰﾙ103</v>
      </c>
      <c r="AE39" s="31">
        <v>44202</v>
      </c>
      <c r="AF39" s="31">
        <v>44207</v>
      </c>
      <c r="AG39" s="31">
        <v>44295</v>
      </c>
      <c r="AH39" s="31">
        <v>44296</v>
      </c>
      <c r="AI39">
        <v>44256</v>
      </c>
      <c r="AJ39">
        <v>0</v>
      </c>
      <c r="AK39">
        <v>0</v>
      </c>
      <c r="AL39">
        <v>44207</v>
      </c>
      <c r="AM39">
        <v>0</v>
      </c>
      <c r="AN39">
        <v>0</v>
      </c>
      <c r="AO39">
        <v>0</v>
      </c>
      <c r="AP39">
        <v>0</v>
      </c>
      <c r="AQ39">
        <v>0</v>
      </c>
      <c r="AR39">
        <v>0</v>
      </c>
    </row>
    <row r="40" spans="1:44">
      <c r="A40" t="str">
        <f>H40&amp;COUNTIF($H$2:H40,H40)</f>
        <v>022</v>
      </c>
      <c r="B40" t="str">
        <f>F40&amp;COUNTIF($F$2:F40,F40)</f>
        <v>高雄工業 静岡4</v>
      </c>
      <c r="C40" t="str">
        <v>退社</v>
      </c>
      <c r="D40">
        <v>210113</v>
      </c>
      <c r="E40">
        <v>242004</v>
      </c>
      <c r="F40" t="str">
        <v>高雄工業 静岡</v>
      </c>
      <c r="G40" t="str">
        <v>高雄工業株式会社 静岡事業所第一工場製作課</v>
      </c>
      <c r="H40">
        <v>0</v>
      </c>
      <c r="I40">
        <v>0</v>
      </c>
      <c r="J40" t="str">
        <v>PHAN MINH KHANH</v>
      </c>
      <c r="K40" t="str">
        <v>ファン　ミン　カン</v>
      </c>
      <c r="L40" t="str">
        <v>男</v>
      </c>
      <c r="M40" t="str">
        <v>ﾍﾞﾄﾅﾑ</v>
      </c>
      <c r="N40" s="31">
        <v>35776</v>
      </c>
      <c r="O40">
        <v>27</v>
      </c>
      <c r="P40">
        <v>1400</v>
      </c>
      <c r="Q40" t="str">
        <v>6/16~ \1200⇒\1250</v>
      </c>
      <c r="R40">
        <v>1770</v>
      </c>
      <c r="S40" t="str">
        <v>9/16~ 1600円→1750円</v>
      </c>
      <c r="T40">
        <v>370</v>
      </c>
      <c r="U40">
        <v>0</v>
      </c>
      <c r="V40" t="str">
        <v/>
      </c>
      <c r="W40" t="str">
        <v>0</v>
      </c>
      <c r="X40" t="str">
        <v/>
      </c>
      <c r="Y40" s="31">
        <v>45085</v>
      </c>
      <c r="Z40" t="str">
        <v/>
      </c>
      <c r="AA40" t="str">
        <v>技術・人文知識・国際業務</v>
      </c>
      <c r="AB40" t="str">
        <v>437-0061</v>
      </c>
      <c r="AC40" t="str">
        <v>静岡県袋井市久能1744番地1</v>
      </c>
      <c r="AD40" t="str">
        <v>ｱﾙｺ･ﾊﾞﾚｰﾉ205</v>
      </c>
      <c r="AE40" s="31">
        <v>44202</v>
      </c>
      <c r="AF40" s="31">
        <v>44207</v>
      </c>
      <c r="AG40" s="31">
        <v>44783</v>
      </c>
      <c r="AH40" s="31">
        <v>0</v>
      </c>
      <c r="AI40">
        <v>44256</v>
      </c>
      <c r="AJ40" t="str">
        <v>OK</v>
      </c>
      <c r="AK40">
        <v>0</v>
      </c>
      <c r="AL40">
        <v>44207</v>
      </c>
      <c r="AM40">
        <v>0</v>
      </c>
      <c r="AN40">
        <v>0</v>
      </c>
      <c r="AO40">
        <v>0</v>
      </c>
      <c r="AP40">
        <v>0</v>
      </c>
      <c r="AQ40">
        <v>0</v>
      </c>
      <c r="AR40">
        <v>0</v>
      </c>
    </row>
    <row r="41" spans="1:44">
      <c r="A41" t="str">
        <f>H41&amp;COUNTIF($H$2:H41,H41)</f>
        <v>023</v>
      </c>
      <c r="B41" t="str">
        <f>F41&amp;COUNTIF($F$2:F41,F41)</f>
        <v>高雄工業 静岡5</v>
      </c>
      <c r="C41" t="str">
        <v>退社</v>
      </c>
      <c r="D41">
        <v>210114</v>
      </c>
      <c r="E41">
        <v>242003</v>
      </c>
      <c r="F41" t="str">
        <v>高雄工業 静岡</v>
      </c>
      <c r="G41" t="str">
        <v>高雄工業株式会社 静岡事業所第一工場製作課</v>
      </c>
      <c r="H41">
        <v>0</v>
      </c>
      <c r="I41">
        <v>0</v>
      </c>
      <c r="J41" t="str">
        <v>TRAN VAN TUNG</v>
      </c>
      <c r="K41" t="str">
        <v>チャン　ヴァン　トゥン</v>
      </c>
      <c r="L41" t="str">
        <v>男</v>
      </c>
      <c r="M41" t="str">
        <v>ﾍﾞﾄﾅﾑ</v>
      </c>
      <c r="N41" s="31">
        <v>35489</v>
      </c>
      <c r="O41">
        <v>28</v>
      </c>
      <c r="P41">
        <v>1400</v>
      </c>
      <c r="Q41" t="str">
        <v>6/16~ \1200⇒\1250</v>
      </c>
      <c r="R41">
        <v>1770</v>
      </c>
      <c r="S41" t="str">
        <v>9/16~ 1600円→1750円</v>
      </c>
      <c r="T41">
        <v>370</v>
      </c>
      <c r="U41">
        <v>0</v>
      </c>
      <c r="V41" t="str">
        <v/>
      </c>
      <c r="W41" t="str">
        <v>0</v>
      </c>
      <c r="X41" t="str">
        <v/>
      </c>
      <c r="Y41" s="31">
        <v>45167</v>
      </c>
      <c r="Z41" t="str">
        <v/>
      </c>
      <c r="AA41" t="str">
        <v>技術・人文知識・国際業務</v>
      </c>
      <c r="AB41" t="str">
        <v>437-0061</v>
      </c>
      <c r="AC41" t="str">
        <v>静岡県袋井市久能1744番地1</v>
      </c>
      <c r="AD41" t="str">
        <v>ｱﾙｺ･ﾊﾞﾚｰﾉ205</v>
      </c>
      <c r="AE41" s="31">
        <v>44202</v>
      </c>
      <c r="AF41" s="31">
        <v>44207</v>
      </c>
      <c r="AG41" s="31">
        <v>44854</v>
      </c>
      <c r="AH41" s="31">
        <v>0</v>
      </c>
      <c r="AI41">
        <v>44256</v>
      </c>
      <c r="AJ41" t="str">
        <v>OK</v>
      </c>
      <c r="AK41">
        <v>0</v>
      </c>
      <c r="AL41">
        <v>44207</v>
      </c>
      <c r="AM41">
        <v>0</v>
      </c>
      <c r="AN41">
        <v>0</v>
      </c>
      <c r="AO41">
        <v>0</v>
      </c>
      <c r="AP41">
        <v>0</v>
      </c>
      <c r="AQ41">
        <v>0</v>
      </c>
      <c r="AR41">
        <v>0</v>
      </c>
    </row>
    <row r="42" spans="1:44">
      <c r="A42" t="str">
        <f>H42&amp;COUNTIF($H$2:H42,H42)</f>
        <v>024</v>
      </c>
      <c r="B42" t="str">
        <f>F42&amp;COUNTIF($F$2:F42,F42)</f>
        <v>高雄工業 静岡6</v>
      </c>
      <c r="C42" t="str">
        <v>退社</v>
      </c>
      <c r="D42">
        <v>210115</v>
      </c>
      <c r="E42">
        <v>0</v>
      </c>
      <c r="F42" t="str">
        <v>高雄工業 静岡</v>
      </c>
      <c r="G42">
        <v>0</v>
      </c>
      <c r="H42">
        <v>0</v>
      </c>
      <c r="I42">
        <v>0</v>
      </c>
      <c r="J42" t="str">
        <v>武藤　ジュニオル　カズミ</v>
      </c>
      <c r="K42" t="str">
        <v>ムトウ　ジュニオル　カズミ</v>
      </c>
      <c r="L42" t="str">
        <v>男</v>
      </c>
      <c r="M42" t="str">
        <v>ﾌﾞﾗｼﾞﾙ</v>
      </c>
      <c r="N42" s="31">
        <v>22373</v>
      </c>
      <c r="O42">
        <v>64</v>
      </c>
      <c r="P42">
        <v>1250</v>
      </c>
      <c r="Q42">
        <v>0</v>
      </c>
      <c r="R42">
        <v>1650</v>
      </c>
      <c r="S42">
        <v>400</v>
      </c>
      <c r="T42">
        <v>400</v>
      </c>
      <c r="U42">
        <v>0</v>
      </c>
      <c r="V42" t="str">
        <v/>
      </c>
      <c r="W42" t="str">
        <v>0</v>
      </c>
      <c r="X42" t="str">
        <v/>
      </c>
      <c r="Y42" s="31">
        <v>45277</v>
      </c>
      <c r="Z42" t="str">
        <v/>
      </c>
      <c r="AA42" t="str">
        <v>日本人の配偶者</v>
      </c>
      <c r="AB42" t="str">
        <v>437-0066</v>
      </c>
      <c r="AC42" t="str">
        <v>静岡県袋井市山科3388-1</v>
      </c>
      <c r="AD42" t="str">
        <v>鶴松203</v>
      </c>
      <c r="AE42" s="31">
        <v>44204</v>
      </c>
      <c r="AF42" s="31">
        <v>44207</v>
      </c>
      <c r="AG42" s="31">
        <v>44252</v>
      </c>
      <c r="AH42" s="31">
        <v>44254</v>
      </c>
      <c r="AI42">
        <v>44207</v>
      </c>
      <c r="AJ42">
        <v>0</v>
      </c>
      <c r="AK42">
        <v>0</v>
      </c>
      <c r="AL42">
        <v>44207</v>
      </c>
      <c r="AM42">
        <v>0</v>
      </c>
      <c r="AN42">
        <v>0</v>
      </c>
      <c r="AO42">
        <v>0</v>
      </c>
      <c r="AP42">
        <v>0</v>
      </c>
      <c r="AQ42">
        <v>0</v>
      </c>
      <c r="AR42">
        <v>0</v>
      </c>
    </row>
    <row r="43" spans="1:44">
      <c r="A43" t="str">
        <f>H43&amp;COUNTIF($H$2:H43,H43)</f>
        <v>Fライン2</v>
      </c>
      <c r="B43" t="str">
        <f>F43&amp;COUNTIF($F$2:F43,F43)</f>
        <v>高雄工業 本社6</v>
      </c>
      <c r="C43" t="str">
        <v>在職中</v>
      </c>
      <c r="D43">
        <v>220503</v>
      </c>
      <c r="E43">
        <v>212027</v>
      </c>
      <c r="F43" t="str">
        <v>高雄工業 本社</v>
      </c>
      <c r="G43" t="str">
        <v>高雄工業株式会社 愛知事業所本社工場製作課</v>
      </c>
      <c r="H43" t="str">
        <v>Fライン</v>
      </c>
      <c r="I43" t="str">
        <v>CVJ部品短軸品の施削加工、NCプログラム修正</v>
      </c>
      <c r="J43" t="str">
        <v>HA VIET THUY</v>
      </c>
      <c r="K43" t="str">
        <v>ハー　ヴィエット　トウイ</v>
      </c>
      <c r="L43" t="str">
        <v>男</v>
      </c>
      <c r="M43" t="str">
        <v>ﾍﾞﾄﾅﾑ</v>
      </c>
      <c r="N43" s="31">
        <v>34820</v>
      </c>
      <c r="O43">
        <v>30</v>
      </c>
      <c r="P43">
        <v>1310</v>
      </c>
      <c r="Q43">
        <v>0</v>
      </c>
      <c r="R43">
        <v>1710</v>
      </c>
      <c r="S43">
        <v>0</v>
      </c>
      <c r="T43">
        <v>400</v>
      </c>
      <c r="U43">
        <v>240000</v>
      </c>
      <c r="V43">
        <v>12036</v>
      </c>
      <c r="W43" t="str">
        <v>0</v>
      </c>
      <c r="X43">
        <v>21960</v>
      </c>
      <c r="Y43" s="31">
        <v>46536</v>
      </c>
      <c r="Z43" t="str">
        <v/>
      </c>
      <c r="AA43" t="str">
        <v>技術・人文知識・国際業務</v>
      </c>
      <c r="AB43" t="str">
        <v>498-0017</v>
      </c>
      <c r="AC43" t="str">
        <v>愛知県弥富市前ヶ須町西勘助207</v>
      </c>
      <c r="AD43" t="str">
        <v>CASA弥冨B203</v>
      </c>
      <c r="AE43" s="31">
        <v>44678</v>
      </c>
      <c r="AF43" s="31">
        <v>44690</v>
      </c>
      <c r="AG43" s="31">
        <v>0</v>
      </c>
      <c r="AH43" s="31">
        <v>0</v>
      </c>
      <c r="AI43" t="str">
        <v>22.07.01</v>
      </c>
      <c r="AJ43" t="str">
        <v>5/17原</v>
      </c>
      <c r="AK43">
        <v>0</v>
      </c>
      <c r="AL43">
        <v>44690</v>
      </c>
      <c r="AM43">
        <v>0</v>
      </c>
      <c r="AN43">
        <v>0</v>
      </c>
      <c r="AO43">
        <v>0</v>
      </c>
      <c r="AP43">
        <v>0</v>
      </c>
      <c r="AQ43" t="str">
        <v>JLPT-N4</v>
      </c>
      <c r="AR43">
        <v>0</v>
      </c>
    </row>
    <row r="44" spans="1:44">
      <c r="A44" t="str">
        <f>H44&amp;COUNTIF($H$2:H44,H44)</f>
        <v>旋盤ライン7</v>
      </c>
      <c r="B44" t="str">
        <f>F44&amp;COUNTIF($F$2:F44,F44)</f>
        <v>川原鉄工所7</v>
      </c>
      <c r="C44" t="str">
        <v>退社</v>
      </c>
      <c r="D44">
        <v>210116</v>
      </c>
      <c r="E44">
        <v>0</v>
      </c>
      <c r="F44" t="str">
        <v>川原鉄工所</v>
      </c>
      <c r="G44" t="str">
        <v>製造部</v>
      </c>
      <c r="H44" t="str">
        <v>旋盤ライン</v>
      </c>
      <c r="I44" t="str">
        <v>ATミッション部品をはじめとする、各種自動車部品の製造</v>
      </c>
      <c r="J44" t="str">
        <v>平野　チョウシロウ</v>
      </c>
      <c r="K44" t="str">
        <v>ヒラノ　チョウシロウ</v>
      </c>
      <c r="L44" t="str">
        <v>男</v>
      </c>
      <c r="M44" t="str">
        <v>ﾌﾞﾗｼﾞﾙ</v>
      </c>
      <c r="N44" s="31">
        <v>16690</v>
      </c>
      <c r="O44">
        <v>80</v>
      </c>
      <c r="P44">
        <v>1250</v>
      </c>
      <c r="Q44">
        <v>0</v>
      </c>
      <c r="R44">
        <v>1650</v>
      </c>
      <c r="S44">
        <v>0</v>
      </c>
      <c r="T44">
        <v>400</v>
      </c>
      <c r="U44">
        <v>0</v>
      </c>
      <c r="V44" t="str">
        <v/>
      </c>
      <c r="W44" t="str">
        <v>0</v>
      </c>
      <c r="X44" t="str">
        <v>0</v>
      </c>
      <c r="Y44" s="31">
        <v>46869</v>
      </c>
      <c r="Z44" t="str">
        <v/>
      </c>
      <c r="AA44" t="str">
        <v>永住者</v>
      </c>
      <c r="AB44" t="str">
        <v>455-0078</v>
      </c>
      <c r="AC44" t="str">
        <v>愛知県名古屋市港区丸池町1-1-1</v>
      </c>
      <c r="AD44" t="str">
        <v>丸池荘2棟1111号</v>
      </c>
      <c r="AE44" s="31" t="str">
        <v>個人</v>
      </c>
      <c r="AF44" s="31">
        <v>44214</v>
      </c>
      <c r="AG44" s="31">
        <v>45638</v>
      </c>
      <c r="AH44" s="31">
        <v>0</v>
      </c>
      <c r="AI44" t="str">
        <v>不要</v>
      </c>
      <c r="AJ44" t="str">
        <v>OK</v>
      </c>
      <c r="AK44">
        <v>0</v>
      </c>
      <c r="AL44">
        <v>44214</v>
      </c>
      <c r="AM44">
        <v>0</v>
      </c>
      <c r="AN44">
        <v>0</v>
      </c>
      <c r="AO44">
        <v>0</v>
      </c>
      <c r="AP44">
        <v>0</v>
      </c>
      <c r="AQ44">
        <v>0</v>
      </c>
      <c r="AR44">
        <v>0</v>
      </c>
    </row>
    <row r="45" spans="1:44">
      <c r="A45" t="str">
        <f>H45&amp;COUNTIF($H$2:H45,H45)</f>
        <v>1次旋係1</v>
      </c>
      <c r="B45" t="str">
        <f>F45&amp;COUNTIF($F$2:F45,F45)</f>
        <v>高雄工業 岡山2</v>
      </c>
      <c r="C45" t="str">
        <v>在職中</v>
      </c>
      <c r="D45">
        <v>210117</v>
      </c>
      <c r="E45">
        <v>232002</v>
      </c>
      <c r="F45" t="str">
        <v>高雄工業 岡山</v>
      </c>
      <c r="G45" t="str">
        <v>高雄工業株式会社 岡山事業所HUB工場製作1課</v>
      </c>
      <c r="H45" t="str">
        <v>1次旋係</v>
      </c>
      <c r="I45" t="str">
        <v>ハブ加工 自動機の操作、ＮＣプログラム修正</v>
      </c>
      <c r="J45" t="str">
        <v>NGUYEN TUAN ANH</v>
      </c>
      <c r="K45" t="str">
        <v>グエン　トゥアン　アイン</v>
      </c>
      <c r="L45" t="str">
        <v>男</v>
      </c>
      <c r="M45" t="str">
        <v>ﾍﾞﾄﾅﾑ</v>
      </c>
      <c r="N45" s="31">
        <v>33588</v>
      </c>
      <c r="O45">
        <v>33</v>
      </c>
      <c r="P45">
        <v>1410</v>
      </c>
      <c r="Q45" t="str">
        <v>6/16~ \1200⇒\1250</v>
      </c>
      <c r="R45">
        <v>1870</v>
      </c>
      <c r="S45" t="str">
        <v>9/16~ 1600円→1750円</v>
      </c>
      <c r="T45">
        <v>460</v>
      </c>
      <c r="U45">
        <v>280000</v>
      </c>
      <c r="V45">
        <v>14042</v>
      </c>
      <c r="W45" t="str">
        <v>0</v>
      </c>
      <c r="X45">
        <v>25620</v>
      </c>
      <c r="Y45" s="31">
        <v>46402</v>
      </c>
      <c r="Z45" t="str">
        <v/>
      </c>
      <c r="AA45" t="str">
        <v>技術・人文知識・国際業務</v>
      </c>
      <c r="AB45" t="str">
        <v>709-2133</v>
      </c>
      <c r="AC45" t="str">
        <v>岡山県岡山市北区御津金川373番地1</v>
      </c>
      <c r="AD45" t="str">
        <v>ﾆｭｰｴﾙﾃﾞｨﾑ小西A101</v>
      </c>
      <c r="AE45" s="31">
        <v>44212</v>
      </c>
      <c r="AF45" s="31">
        <v>44221</v>
      </c>
      <c r="AG45" s="31">
        <v>0</v>
      </c>
      <c r="AH45" s="31">
        <v>0</v>
      </c>
      <c r="AI45">
        <v>44287</v>
      </c>
      <c r="AJ45" t="str">
        <v>OK</v>
      </c>
      <c r="AK45">
        <v>0</v>
      </c>
      <c r="AL45">
        <v>44221</v>
      </c>
      <c r="AM45">
        <v>0</v>
      </c>
      <c r="AN45">
        <v>0</v>
      </c>
      <c r="AO45">
        <v>0</v>
      </c>
      <c r="AP45">
        <v>0</v>
      </c>
      <c r="AQ45">
        <v>0</v>
      </c>
      <c r="AR45">
        <v>0</v>
      </c>
    </row>
    <row r="46" spans="1:44">
      <c r="A46" t="str">
        <f>H46&amp;COUNTIF($H$2:H46,H46)</f>
        <v>1次旋係2</v>
      </c>
      <c r="B46" t="str">
        <f>F46&amp;COUNTIF($F$2:F46,F46)</f>
        <v>高雄工業 岡山3</v>
      </c>
      <c r="C46" t="str">
        <v>退社</v>
      </c>
      <c r="D46">
        <v>210118</v>
      </c>
      <c r="E46">
        <v>232003</v>
      </c>
      <c r="F46" t="str">
        <v>高雄工業 岡山</v>
      </c>
      <c r="G46" t="str">
        <v>高雄工業株式会社 岡山事業所HUB工場製作1課</v>
      </c>
      <c r="H46" t="str">
        <v>1次旋係</v>
      </c>
      <c r="I46" t="str">
        <v>ハブ加工 自動機の操作、ＮＣプログラム修正</v>
      </c>
      <c r="J46" t="str">
        <v>PHAM CONG THANH</v>
      </c>
      <c r="K46" t="str">
        <v>ファム　コン　タイン</v>
      </c>
      <c r="L46" t="str">
        <v>男</v>
      </c>
      <c r="M46" t="str">
        <v>ﾍﾞﾄﾅﾑ</v>
      </c>
      <c r="N46" s="31">
        <v>33963</v>
      </c>
      <c r="O46">
        <v>32</v>
      </c>
      <c r="P46">
        <v>1410</v>
      </c>
      <c r="Q46" t="str">
        <v>6/16~ \1200⇒\1250</v>
      </c>
      <c r="R46">
        <v>1870</v>
      </c>
      <c r="S46" t="str">
        <v>9/16~ 1600円→1750円</v>
      </c>
      <c r="T46">
        <v>460</v>
      </c>
      <c r="U46">
        <v>260000</v>
      </c>
      <c r="V46">
        <v>13039</v>
      </c>
      <c r="W46" t="str">
        <v>0</v>
      </c>
      <c r="X46">
        <v>23790</v>
      </c>
      <c r="Y46" s="31">
        <v>46399</v>
      </c>
      <c r="Z46" t="str">
        <v/>
      </c>
      <c r="AA46" t="str">
        <v>技術・人文知識・国際業務</v>
      </c>
      <c r="AB46" t="str">
        <v>709-2133</v>
      </c>
      <c r="AC46" t="str">
        <v>岡山県岡山市北区御津金川373番地1</v>
      </c>
      <c r="AD46" t="str">
        <v>ﾆｭｰｴﾙﾃﾞｨﾑ小西A101</v>
      </c>
      <c r="AE46" s="31">
        <v>44212</v>
      </c>
      <c r="AF46" s="31">
        <v>44221</v>
      </c>
      <c r="AG46" s="31">
        <v>45654</v>
      </c>
      <c r="AH46" s="31">
        <v>0</v>
      </c>
      <c r="AI46">
        <v>44287</v>
      </c>
      <c r="AJ46" t="str">
        <v>OK</v>
      </c>
      <c r="AK46">
        <v>0</v>
      </c>
      <c r="AL46">
        <v>44221</v>
      </c>
      <c r="AM46">
        <v>0</v>
      </c>
      <c r="AN46">
        <v>0</v>
      </c>
      <c r="AO46">
        <v>0</v>
      </c>
      <c r="AP46">
        <v>0</v>
      </c>
      <c r="AQ46">
        <v>0</v>
      </c>
      <c r="AR46">
        <v>0</v>
      </c>
    </row>
    <row r="47" spans="1:44">
      <c r="A47" t="str">
        <f>H47&amp;COUNTIF($H$2:H47,H47)</f>
        <v>025</v>
      </c>
      <c r="B47" t="str">
        <f>F47&amp;COUNTIF($F$2:F47,F47)</f>
        <v>PATEC1</v>
      </c>
      <c r="C47" t="str">
        <v>退社</v>
      </c>
      <c r="D47">
        <v>210119</v>
      </c>
      <c r="E47">
        <v>0</v>
      </c>
      <c r="F47" t="str">
        <v>PATEC</v>
      </c>
      <c r="G47" t="str">
        <v>製造部機械加工課</v>
      </c>
      <c r="H47">
        <v>0</v>
      </c>
      <c r="I47">
        <v>0</v>
      </c>
      <c r="J47" t="str">
        <v>KIEU TRUNG HIEU</v>
      </c>
      <c r="K47" t="str">
        <v>キエウ　チュン　ヒエウ</v>
      </c>
      <c r="L47" t="str">
        <v>男</v>
      </c>
      <c r="M47" t="str">
        <v>ﾍﾞﾄﾅﾑ</v>
      </c>
      <c r="N47" s="31">
        <v>30753</v>
      </c>
      <c r="O47">
        <v>41</v>
      </c>
      <c r="P47">
        <v>1500</v>
      </c>
      <c r="Q47" t="str">
        <v>3/21～　\1400⇒\1500</v>
      </c>
      <c r="R47">
        <v>2000</v>
      </c>
      <c r="S47" t="str">
        <v>9/16~ 1600円→1750円</v>
      </c>
      <c r="T47">
        <v>500</v>
      </c>
      <c r="U47">
        <v>320000</v>
      </c>
      <c r="V47">
        <v>16048</v>
      </c>
      <c r="W47">
        <v>2544</v>
      </c>
      <c r="X47">
        <v>29280</v>
      </c>
      <c r="Y47" s="31">
        <v>46056</v>
      </c>
      <c r="Z47" t="str">
        <v/>
      </c>
      <c r="AA47" t="str">
        <v>技術・人文知識・国際業務</v>
      </c>
      <c r="AB47" t="str">
        <v>747-0834</v>
      </c>
      <c r="AC47" t="str">
        <v>山口県防府市大字田島531-1</v>
      </c>
      <c r="AD47" t="str">
        <v>ﾛｼﾞｭﾏﾝ千希A202号</v>
      </c>
      <c r="AE47" s="31">
        <v>44212</v>
      </c>
      <c r="AF47" s="31">
        <v>44221</v>
      </c>
      <c r="AG47" s="31">
        <v>45473</v>
      </c>
      <c r="AH47" s="31">
        <v>0</v>
      </c>
      <c r="AI47">
        <v>44228</v>
      </c>
      <c r="AJ47" t="str">
        <v>OK</v>
      </c>
      <c r="AK47" t="str">
        <v>2021/1/25~2021/10/22高雄工業岡山所属　2021/10/25～PATECへ異動</v>
      </c>
      <c r="AL47">
        <v>44221</v>
      </c>
      <c r="AM47">
        <v>0</v>
      </c>
      <c r="AN47">
        <v>0</v>
      </c>
      <c r="AO47">
        <v>0</v>
      </c>
      <c r="AP47">
        <v>0</v>
      </c>
      <c r="AQ47">
        <v>0</v>
      </c>
      <c r="AR47">
        <v>0</v>
      </c>
    </row>
    <row r="48" spans="1:44">
      <c r="A48" t="str">
        <f>H48&amp;COUNTIF($H$2:H48,H48)</f>
        <v>一次旋係1</v>
      </c>
      <c r="B48" t="str">
        <f>F48&amp;COUNTIF($F$2:F48,F48)</f>
        <v>高雄工業 岡山4</v>
      </c>
      <c r="C48" t="str">
        <v>退社</v>
      </c>
      <c r="D48">
        <v>210120</v>
      </c>
      <c r="E48">
        <v>232004</v>
      </c>
      <c r="F48" t="str">
        <v>高雄工業 岡山</v>
      </c>
      <c r="G48" t="str">
        <v>高雄工業株式会社 岡山事業所HUB工場製作1課</v>
      </c>
      <c r="H48" t="str">
        <v>一次旋係</v>
      </c>
      <c r="I48" t="str">
        <v>ハブ加工・自動機の操作・ＮＣプログラム修正</v>
      </c>
      <c r="J48" t="str">
        <v>LE VAN QUAN</v>
      </c>
      <c r="K48" t="str">
        <v>レー　ヴァン　クアン</v>
      </c>
      <c r="L48" t="str">
        <v>男</v>
      </c>
      <c r="M48" t="str">
        <v>ﾍﾞﾄﾅﾑ</v>
      </c>
      <c r="N48" s="31">
        <v>34065</v>
      </c>
      <c r="O48">
        <v>32</v>
      </c>
      <c r="P48">
        <v>1410</v>
      </c>
      <c r="Q48" t="str">
        <v>6/16~ \1200⇒\1250</v>
      </c>
      <c r="R48">
        <v>1810</v>
      </c>
      <c r="S48" t="str">
        <v>9/16~ 1600円→1750円</v>
      </c>
      <c r="T48">
        <v>400</v>
      </c>
      <c r="U48">
        <v>300000</v>
      </c>
      <c r="V48">
        <v>15045</v>
      </c>
      <c r="W48" t="str">
        <v>0</v>
      </c>
      <c r="X48">
        <v>27450</v>
      </c>
      <c r="Y48" s="31">
        <v>46062</v>
      </c>
      <c r="Z48" t="str">
        <v/>
      </c>
      <c r="AA48" t="str">
        <v>技術・人文知識・国際業務</v>
      </c>
      <c r="AB48" t="str">
        <v>709-2107</v>
      </c>
      <c r="AC48" t="str">
        <v>岡山県岡山市北区御津矢原370</v>
      </c>
      <c r="AD48" t="str">
        <v>成広ｺｰﾎﾟⅠ103</v>
      </c>
      <c r="AE48" s="31">
        <v>45012</v>
      </c>
      <c r="AF48" s="31">
        <v>44221</v>
      </c>
      <c r="AG48" s="31">
        <v>45257</v>
      </c>
      <c r="AH48" s="31">
        <v>0</v>
      </c>
      <c r="AI48">
        <v>44287</v>
      </c>
      <c r="AJ48" t="str">
        <v>OK</v>
      </c>
      <c r="AK48">
        <v>0</v>
      </c>
      <c r="AL48">
        <v>44221</v>
      </c>
      <c r="AM48">
        <v>0</v>
      </c>
      <c r="AN48">
        <v>0</v>
      </c>
      <c r="AO48">
        <v>0</v>
      </c>
      <c r="AP48">
        <v>0</v>
      </c>
      <c r="AQ48">
        <v>0</v>
      </c>
      <c r="AR48">
        <v>0</v>
      </c>
    </row>
    <row r="49" spans="1:44">
      <c r="A49" t="str">
        <f>H49&amp;COUNTIF($H$2:H49,H49)</f>
        <v>Aライン2</v>
      </c>
      <c r="B49" t="str">
        <f>F49&amp;COUNTIF($F$2:F49,F49)</f>
        <v>高雄工業 本社7</v>
      </c>
      <c r="C49" t="str">
        <v>退社</v>
      </c>
      <c r="D49">
        <v>210121</v>
      </c>
      <c r="E49">
        <v>212006</v>
      </c>
      <c r="F49" t="str">
        <v>高雄工業 本社</v>
      </c>
      <c r="G49" t="str">
        <v>高雄工業株式会社 愛知事業所本社工場製作課</v>
      </c>
      <c r="H49" t="str">
        <v>Aライン</v>
      </c>
      <c r="I49" t="str">
        <v>CVJメス型番の施削加工</v>
      </c>
      <c r="J49" t="str">
        <v>NGUYEN VAN THIEN</v>
      </c>
      <c r="K49" t="str">
        <v>グエン　ヴァン　ティエン</v>
      </c>
      <c r="L49" t="str">
        <v>男</v>
      </c>
      <c r="M49" t="str">
        <v>ﾍﾞﾄﾅﾑ</v>
      </c>
      <c r="N49" s="31">
        <v>34904</v>
      </c>
      <c r="O49">
        <v>30</v>
      </c>
      <c r="P49">
        <v>1400</v>
      </c>
      <c r="Q49" t="str">
        <v>6/16~ \1200⇒\1250</v>
      </c>
      <c r="R49">
        <v>1800</v>
      </c>
      <c r="S49" t="str">
        <v>9/16~ 1600円→1750円</v>
      </c>
      <c r="T49">
        <v>400</v>
      </c>
      <c r="U49">
        <v>260000</v>
      </c>
      <c r="V49">
        <v>13039</v>
      </c>
      <c r="W49" t="str">
        <v>0</v>
      </c>
      <c r="X49">
        <v>23790</v>
      </c>
      <c r="Y49" s="31">
        <v>46210</v>
      </c>
      <c r="Z49" t="str">
        <v/>
      </c>
      <c r="AA49" t="str">
        <v>技術・人文知識・国際業務</v>
      </c>
      <c r="AB49" t="str">
        <v>498-0017</v>
      </c>
      <c r="AC49" t="str">
        <v>愛知県弥富市前ヶ須町西勘助207</v>
      </c>
      <c r="AD49" t="str">
        <v>CASA弥冨A203</v>
      </c>
      <c r="AE49" s="31">
        <v>44983</v>
      </c>
      <c r="AF49" s="31">
        <v>44222</v>
      </c>
      <c r="AG49" s="31">
        <v>45309</v>
      </c>
      <c r="AH49" s="31">
        <v>0</v>
      </c>
      <c r="AI49">
        <v>44287</v>
      </c>
      <c r="AJ49" t="str">
        <v>OK</v>
      </c>
      <c r="AK49">
        <v>0</v>
      </c>
      <c r="AL49">
        <v>44222</v>
      </c>
      <c r="AM49">
        <v>0</v>
      </c>
      <c r="AN49">
        <v>0</v>
      </c>
      <c r="AO49">
        <v>0</v>
      </c>
      <c r="AP49">
        <v>0</v>
      </c>
      <c r="AQ49">
        <v>0</v>
      </c>
      <c r="AR49">
        <v>0</v>
      </c>
    </row>
    <row r="50" spans="1:44">
      <c r="A50" t="str">
        <f>H50&amp;COUNTIF($H$2:H50,H50)</f>
        <v>HUB_第11</v>
      </c>
      <c r="B50" t="str">
        <f>F50&amp;COUNTIF($F$2:F50,F50)</f>
        <v>高雄工業 海南第一7</v>
      </c>
      <c r="C50" t="str">
        <v>退社</v>
      </c>
      <c r="D50">
        <v>210201</v>
      </c>
      <c r="E50">
        <v>222009</v>
      </c>
      <c r="F50" t="str">
        <v>高雄工業 海南第一</v>
      </c>
      <c r="G50" t="str">
        <v>高雄工業株式会社 愛知事業所海南第一工場製作1課</v>
      </c>
      <c r="H50" t="str">
        <v>HUB_第1</v>
      </c>
      <c r="I50" t="str">
        <v>ハブ加工　自動ラインの機械オペレーター、NCプログラム修正</v>
      </c>
      <c r="J50" t="str">
        <v>LE VAN THUONG</v>
      </c>
      <c r="K50" t="str">
        <v>レー　ヴァン　トゥオン</v>
      </c>
      <c r="L50" t="str">
        <v>男</v>
      </c>
      <c r="M50" t="str">
        <v>ﾍﾞﾄﾅﾑ</v>
      </c>
      <c r="N50" s="31">
        <v>33480</v>
      </c>
      <c r="O50">
        <v>34</v>
      </c>
      <c r="P50">
        <v>1470</v>
      </c>
      <c r="Q50" t="str">
        <v>4/16~ 1200⇒1260へ</v>
      </c>
      <c r="R50">
        <v>1830</v>
      </c>
      <c r="S50" t="str">
        <v>9/16~ 1610円→1760円</v>
      </c>
      <c r="T50">
        <v>360</v>
      </c>
      <c r="U50">
        <v>280000</v>
      </c>
      <c r="V50">
        <v>14042</v>
      </c>
      <c r="W50" t="str">
        <v>0</v>
      </c>
      <c r="X50">
        <v>25620</v>
      </c>
      <c r="Y50" s="31">
        <v>45566</v>
      </c>
      <c r="Z50" t="str">
        <v/>
      </c>
      <c r="AA50" t="str">
        <v>技術・人文知識・国際業務</v>
      </c>
      <c r="AB50" t="str">
        <v>498-0006</v>
      </c>
      <c r="AC50" t="str">
        <v>愛知県弥富市佐古木3丁目289-2</v>
      </c>
      <c r="AD50" t="str">
        <v>ﾄﾞﾐｰﾙ佐古木 105</v>
      </c>
      <c r="AE50" s="31" t="str">
        <v>個人</v>
      </c>
      <c r="AF50" s="31">
        <v>44228</v>
      </c>
      <c r="AG50" s="31">
        <v>45443</v>
      </c>
      <c r="AH50" s="31">
        <v>0</v>
      </c>
      <c r="AI50">
        <v>44287</v>
      </c>
      <c r="AJ50" t="str">
        <v>OK</v>
      </c>
      <c r="AK50">
        <v>0</v>
      </c>
      <c r="AL50">
        <v>44228</v>
      </c>
      <c r="AM50">
        <v>0</v>
      </c>
      <c r="AN50">
        <v>0</v>
      </c>
      <c r="AO50">
        <v>0</v>
      </c>
      <c r="AP50">
        <v>0</v>
      </c>
      <c r="AQ50">
        <v>0</v>
      </c>
      <c r="AR50">
        <v>0</v>
      </c>
    </row>
    <row r="51" spans="1:44">
      <c r="A51" t="str">
        <f>H51&amp;COUNTIF($H$2:H51,H51)</f>
        <v>H_2次旋1</v>
      </c>
      <c r="B51" t="str">
        <f>F51&amp;COUNTIF($F$2:F51,F51)</f>
        <v>高雄工業 海南第一8</v>
      </c>
      <c r="C51" t="str">
        <v>退社</v>
      </c>
      <c r="D51">
        <v>210202</v>
      </c>
      <c r="E51">
        <v>222010</v>
      </c>
      <c r="F51" t="str">
        <v>高雄工業 海南第一</v>
      </c>
      <c r="G51" t="str">
        <v>高雄工業株式会社 愛知事業所海南第一工場製作1課</v>
      </c>
      <c r="H51" t="str">
        <v>H_2次旋</v>
      </c>
      <c r="I51" t="str">
        <v>ハブ加工品の2次施削、手動機械オペレーターNCプログラム修正</v>
      </c>
      <c r="J51" t="str">
        <v>PHAM NGOC TUNG</v>
      </c>
      <c r="K51" t="str">
        <v>ファム　ゴック　トゥン</v>
      </c>
      <c r="L51" t="str">
        <v>男</v>
      </c>
      <c r="M51" t="str">
        <v>ﾍﾞﾄﾅﾑ</v>
      </c>
      <c r="N51" s="31">
        <v>33501</v>
      </c>
      <c r="O51">
        <v>34</v>
      </c>
      <c r="P51">
        <v>1400</v>
      </c>
      <c r="Q51" t="str">
        <v>6/16~ \1200⇒\1250</v>
      </c>
      <c r="R51">
        <v>1780</v>
      </c>
      <c r="S51" t="str">
        <v>9/16~ 1600円→1750円</v>
      </c>
      <c r="T51">
        <v>380</v>
      </c>
      <c r="U51">
        <v>220000</v>
      </c>
      <c r="V51">
        <v>11033</v>
      </c>
      <c r="W51" t="str">
        <v>0</v>
      </c>
      <c r="X51">
        <v>20130</v>
      </c>
      <c r="Y51" s="31">
        <v>45702</v>
      </c>
      <c r="Z51" t="str">
        <v/>
      </c>
      <c r="AA51" t="str">
        <v>技術・人文知識・国際業務</v>
      </c>
      <c r="AB51" t="str">
        <v>498-0017</v>
      </c>
      <c r="AC51" t="str">
        <v>愛知県弥富市前ケ須町西勘助207番地</v>
      </c>
      <c r="AD51" t="str">
        <v>CASA弥富A202</v>
      </c>
      <c r="AE51" s="31" t="str">
        <v>個人</v>
      </c>
      <c r="AF51" s="31">
        <v>44228</v>
      </c>
      <c r="AG51" s="31">
        <v>45288</v>
      </c>
      <c r="AH51" s="31">
        <v>0</v>
      </c>
      <c r="AI51">
        <v>44287</v>
      </c>
      <c r="AJ51" t="str">
        <v>OK</v>
      </c>
      <c r="AK51">
        <v>0</v>
      </c>
      <c r="AL51">
        <v>44228</v>
      </c>
      <c r="AM51">
        <v>0</v>
      </c>
      <c r="AN51">
        <v>0</v>
      </c>
      <c r="AO51">
        <v>0</v>
      </c>
      <c r="AP51">
        <v>0</v>
      </c>
      <c r="AQ51">
        <v>0</v>
      </c>
      <c r="AR51">
        <v>0</v>
      </c>
    </row>
    <row r="52" spans="1:44">
      <c r="A52" t="str">
        <f>H52&amp;COUNTIF($H$2:H52,H52)</f>
        <v>Gライン1</v>
      </c>
      <c r="B52" t="str">
        <f>F52&amp;COUNTIF($F$2:F52,F52)</f>
        <v>高雄工業 本社8</v>
      </c>
      <c r="C52" t="str">
        <v>退社</v>
      </c>
      <c r="D52">
        <v>210203</v>
      </c>
      <c r="E52">
        <v>212007</v>
      </c>
      <c r="F52" t="str">
        <v>高雄工業 本社</v>
      </c>
      <c r="G52" t="str">
        <v>高雄工業株式会社 愛知事業所本社工場製作課</v>
      </c>
      <c r="H52" t="str">
        <v>Gライン</v>
      </c>
      <c r="I52">
        <v>0</v>
      </c>
      <c r="J52" t="str">
        <v>LUONG QUANG QUAN</v>
      </c>
      <c r="K52" t="str">
        <v>ルォン　クァン　クァン</v>
      </c>
      <c r="L52" t="str">
        <v>男</v>
      </c>
      <c r="M52" t="str">
        <v>ﾍﾞﾄﾅﾑ</v>
      </c>
      <c r="N52" s="31">
        <v>35412</v>
      </c>
      <c r="O52">
        <v>28</v>
      </c>
      <c r="P52">
        <v>1400</v>
      </c>
      <c r="Q52">
        <v>0</v>
      </c>
      <c r="R52">
        <v>1780</v>
      </c>
      <c r="S52" t="str">
        <v>9/16~ 1600円→1750円</v>
      </c>
      <c r="T52">
        <v>380</v>
      </c>
      <c r="U52">
        <v>0</v>
      </c>
      <c r="V52" t="str">
        <v/>
      </c>
      <c r="W52" t="str">
        <v>0</v>
      </c>
      <c r="X52" t="str">
        <v/>
      </c>
      <c r="Y52" s="31">
        <v>45734</v>
      </c>
      <c r="Z52" t="str">
        <v/>
      </c>
      <c r="AA52" t="str">
        <v>技術・人文知識・国際業務</v>
      </c>
      <c r="AB52" t="str">
        <v>498-0017</v>
      </c>
      <c r="AC52" t="str">
        <v>愛知県弥富市前ヶ須町南本田522-１</v>
      </c>
      <c r="AD52" t="str">
        <v>ﾐﾉﾔ弥冨ﾊｲﾂ502</v>
      </c>
      <c r="AE52" s="31">
        <v>44223</v>
      </c>
      <c r="AF52" s="31">
        <v>44229</v>
      </c>
      <c r="AG52" s="31">
        <v>44923</v>
      </c>
      <c r="AH52" s="31">
        <v>0</v>
      </c>
      <c r="AI52">
        <v>44287</v>
      </c>
      <c r="AJ52" t="str">
        <v>OK</v>
      </c>
      <c r="AK52">
        <v>0</v>
      </c>
      <c r="AL52">
        <v>44229</v>
      </c>
      <c r="AM52">
        <v>0</v>
      </c>
      <c r="AN52">
        <v>0</v>
      </c>
      <c r="AO52">
        <v>0</v>
      </c>
      <c r="AP52">
        <v>0</v>
      </c>
      <c r="AQ52">
        <v>0</v>
      </c>
      <c r="AR52">
        <v>0</v>
      </c>
    </row>
    <row r="53" spans="1:44">
      <c r="A53" t="str">
        <f>H53&amp;COUNTIF($H$2:H53,H53)</f>
        <v>026</v>
      </c>
      <c r="B53" t="str">
        <f>F53&amp;COUNTIF($F$2:F53,F53)</f>
        <v>オーツカ4</v>
      </c>
      <c r="C53" t="str">
        <v>退社</v>
      </c>
      <c r="D53">
        <v>210204</v>
      </c>
      <c r="E53">
        <v>0</v>
      </c>
      <c r="F53" t="str">
        <v>オーツカ</v>
      </c>
      <c r="G53">
        <v>0</v>
      </c>
      <c r="H53">
        <v>0</v>
      </c>
      <c r="I53">
        <v>0</v>
      </c>
      <c r="J53" t="str">
        <v>近藤　ヨシオ</v>
      </c>
      <c r="K53" t="str">
        <v>コンドウ　ヨシオ</v>
      </c>
      <c r="L53" t="str">
        <v>男</v>
      </c>
      <c r="M53" t="str">
        <v>ﾌﾞﾗｼﾞﾙ</v>
      </c>
      <c r="N53" s="31">
        <v>23316</v>
      </c>
      <c r="O53">
        <v>62</v>
      </c>
      <c r="P53">
        <v>1300</v>
      </c>
      <c r="Q53">
        <v>0</v>
      </c>
      <c r="R53">
        <v>1872</v>
      </c>
      <c r="S53">
        <v>0</v>
      </c>
      <c r="T53">
        <v>572</v>
      </c>
      <c r="U53">
        <v>0</v>
      </c>
      <c r="V53" t="str">
        <v/>
      </c>
      <c r="W53" t="str">
        <v>0</v>
      </c>
      <c r="X53" t="str">
        <v/>
      </c>
      <c r="Y53" s="31">
        <v>44505</v>
      </c>
      <c r="Z53" t="str">
        <v/>
      </c>
      <c r="AA53" t="str">
        <v>日本人の配偶者</v>
      </c>
      <c r="AB53" t="str">
        <v>503-0973</v>
      </c>
      <c r="AC53" t="str">
        <v>岐阜県大垣市木戸町292番地</v>
      </c>
      <c r="AD53" t="str">
        <v>K HOUSE206</v>
      </c>
      <c r="AE53" s="31" t="str">
        <v>個人</v>
      </c>
      <c r="AF53" s="31">
        <v>44229</v>
      </c>
      <c r="AG53" s="31">
        <v>44265</v>
      </c>
      <c r="AH53" s="31">
        <v>0</v>
      </c>
      <c r="AI53">
        <v>44287</v>
      </c>
      <c r="AJ53">
        <v>0</v>
      </c>
      <c r="AK53">
        <v>0</v>
      </c>
      <c r="AL53">
        <v>44229</v>
      </c>
      <c r="AM53">
        <v>0</v>
      </c>
      <c r="AN53">
        <v>0</v>
      </c>
      <c r="AO53">
        <v>0</v>
      </c>
      <c r="AP53">
        <v>0</v>
      </c>
      <c r="AQ53">
        <v>0</v>
      </c>
      <c r="AR53">
        <v>0</v>
      </c>
    </row>
    <row r="54" spans="1:44">
      <c r="A54" t="str">
        <f>H54&amp;COUNTIF($H$2:H54,H54)</f>
        <v>ト精密1</v>
      </c>
      <c r="B54" t="str">
        <f>F54&amp;COUNTIF($F$2:F54,F54)</f>
        <v>高雄工業 海南第二1</v>
      </c>
      <c r="C54" t="str">
        <v>退社</v>
      </c>
      <c r="D54">
        <v>210206</v>
      </c>
      <c r="E54">
        <v>222011</v>
      </c>
      <c r="F54" t="str">
        <v>高雄工業 海南第二</v>
      </c>
      <c r="G54" t="str">
        <v>高雄工業株式会社 愛知事業所海南第二工場製作課</v>
      </c>
      <c r="H54" t="str">
        <v>ト精密</v>
      </c>
      <c r="I54">
        <v>0</v>
      </c>
      <c r="J54" t="str">
        <v>TRAN VAN TUE</v>
      </c>
      <c r="K54" t="str">
        <v>チャン　ヴァン　トゥエ</v>
      </c>
      <c r="L54" t="str">
        <v>男</v>
      </c>
      <c r="M54" t="str">
        <v>ﾍﾞﾄﾅﾑ</v>
      </c>
      <c r="N54" s="31">
        <v>35024</v>
      </c>
      <c r="O54">
        <v>30</v>
      </c>
      <c r="P54">
        <v>1400</v>
      </c>
      <c r="Q54" t="str">
        <v>6/16~ \1200⇒\1250</v>
      </c>
      <c r="R54">
        <v>1770</v>
      </c>
      <c r="S54" t="str">
        <v>9/16~ 1600円→1750円</v>
      </c>
      <c r="T54">
        <v>370</v>
      </c>
      <c r="U54">
        <v>300000</v>
      </c>
      <c r="V54">
        <v>15045</v>
      </c>
      <c r="W54" t="str">
        <v>0</v>
      </c>
      <c r="X54">
        <v>27450</v>
      </c>
      <c r="Y54" s="31">
        <v>45227</v>
      </c>
      <c r="Z54" t="str">
        <v/>
      </c>
      <c r="AA54" t="str">
        <v>技術・人文知識・国際業務</v>
      </c>
      <c r="AB54" t="str">
        <v>498-0017</v>
      </c>
      <c r="AC54" t="str">
        <v>愛知県弥富市前ヶ須町東勘助138</v>
      </c>
      <c r="AD54" t="str">
        <v>安井ﾋﾞﾙ5D</v>
      </c>
      <c r="AE54" s="31">
        <v>44233</v>
      </c>
      <c r="AF54" s="31">
        <v>44235</v>
      </c>
      <c r="AG54" s="31">
        <v>45042</v>
      </c>
      <c r="AH54" s="31">
        <v>0</v>
      </c>
      <c r="AI54">
        <v>44287</v>
      </c>
      <c r="AJ54" t="str">
        <v>OK</v>
      </c>
      <c r="AK54">
        <v>0</v>
      </c>
      <c r="AL54">
        <v>44235</v>
      </c>
      <c r="AM54">
        <v>0</v>
      </c>
      <c r="AN54">
        <v>0</v>
      </c>
      <c r="AO54">
        <v>0</v>
      </c>
      <c r="AP54">
        <v>0</v>
      </c>
      <c r="AQ54">
        <v>0</v>
      </c>
      <c r="AR54">
        <v>0</v>
      </c>
    </row>
    <row r="55" spans="1:44">
      <c r="A55" t="str">
        <f>H55&amp;COUNTIF($H$2:H55,H55)</f>
        <v>HUB2</v>
      </c>
      <c r="B55" t="str">
        <f>F55&amp;COUNTIF($F$2:F55,F55)</f>
        <v>高雄工業 海南第一9</v>
      </c>
      <c r="C55" t="str">
        <v>退社</v>
      </c>
      <c r="D55">
        <v>210205</v>
      </c>
      <c r="E55">
        <v>222012</v>
      </c>
      <c r="F55" t="str">
        <v>高雄工業 海南第一</v>
      </c>
      <c r="G55" t="str">
        <v>高雄工業株式会社 愛知事業所海南第一工場製作1課</v>
      </c>
      <c r="H55" t="str">
        <v>HUB</v>
      </c>
      <c r="I55" t="str">
        <v>ハブ加工 機械オペレーター、NCプログラム修正</v>
      </c>
      <c r="J55" t="str">
        <v>HOANG VAN VU</v>
      </c>
      <c r="K55" t="str">
        <v>ホアン　ヴァン　ヴー</v>
      </c>
      <c r="L55" t="str">
        <v>男</v>
      </c>
      <c r="M55" t="str">
        <v>ﾍﾞﾄﾅﾑ</v>
      </c>
      <c r="N55" s="31">
        <v>34482</v>
      </c>
      <c r="O55">
        <v>31</v>
      </c>
      <c r="P55">
        <v>1410</v>
      </c>
      <c r="Q55" t="str">
        <v>6/16~ \1200⇒\1250</v>
      </c>
      <c r="R55">
        <v>1830</v>
      </c>
      <c r="S55" t="str">
        <v>9/16~ 1600円→1750円</v>
      </c>
      <c r="T55">
        <v>420</v>
      </c>
      <c r="U55">
        <v>340000</v>
      </c>
      <c r="V55">
        <v>17051</v>
      </c>
      <c r="W55" t="str">
        <v>0</v>
      </c>
      <c r="X55">
        <v>31110</v>
      </c>
      <c r="Y55" s="31">
        <v>46693</v>
      </c>
      <c r="Z55" t="str">
        <v/>
      </c>
      <c r="AA55" t="str">
        <v>技術・人文知識・国際業務</v>
      </c>
      <c r="AB55" t="str">
        <v>498-0031</v>
      </c>
      <c r="AC55" t="str">
        <v>愛知県弥富市平島町甲新田72-4</v>
      </c>
      <c r="AD55" t="str">
        <v>EAST COURT Y･M202</v>
      </c>
      <c r="AE55" s="31">
        <v>44226</v>
      </c>
      <c r="AF55" s="31">
        <v>44235</v>
      </c>
      <c r="AG55" s="31">
        <v>45896</v>
      </c>
      <c r="AH55" s="31">
        <v>0</v>
      </c>
      <c r="AI55">
        <v>44287</v>
      </c>
      <c r="AJ55" t="str">
        <v>OK</v>
      </c>
      <c r="AK55">
        <v>0</v>
      </c>
      <c r="AL55">
        <v>44235</v>
      </c>
      <c r="AM55">
        <v>0</v>
      </c>
      <c r="AN55">
        <v>0</v>
      </c>
      <c r="AO55">
        <v>0</v>
      </c>
      <c r="AP55">
        <v>0</v>
      </c>
      <c r="AQ55">
        <v>0</v>
      </c>
      <c r="AR55">
        <v>0</v>
      </c>
    </row>
    <row r="56" spans="1:44">
      <c r="A56" t="str">
        <f>H56&amp;COUNTIF($H$2:H56,H56)</f>
        <v>027</v>
      </c>
      <c r="B56" t="str">
        <f>F56&amp;COUNTIF($F$2:F56,F56)</f>
        <v>高雄工業 海南第一10</v>
      </c>
      <c r="C56" t="str">
        <v>退社</v>
      </c>
      <c r="D56">
        <v>210211</v>
      </c>
      <c r="E56">
        <v>0</v>
      </c>
      <c r="F56" t="str">
        <v>高雄工業 海南第一</v>
      </c>
      <c r="G56" t="str">
        <v>高雄工業株式会社 愛知事業所海南第一工場製作1課</v>
      </c>
      <c r="H56">
        <v>0</v>
      </c>
      <c r="I56">
        <v>0</v>
      </c>
      <c r="J56" t="str">
        <v>幸埼　ノルベルト</v>
      </c>
      <c r="K56" t="str">
        <v>コサキ　ノルベルト</v>
      </c>
      <c r="L56" t="str">
        <v>男</v>
      </c>
      <c r="M56" t="str">
        <v>ﾌﾞﾗｼﾞﾙ</v>
      </c>
      <c r="N56" s="31">
        <v>28594</v>
      </c>
      <c r="O56">
        <v>47</v>
      </c>
      <c r="P56">
        <v>1300</v>
      </c>
      <c r="Q56">
        <v>0</v>
      </c>
      <c r="R56">
        <v>1650</v>
      </c>
      <c r="S56">
        <v>350</v>
      </c>
      <c r="T56">
        <v>350</v>
      </c>
      <c r="U56">
        <v>0</v>
      </c>
      <c r="V56" t="str">
        <v/>
      </c>
      <c r="W56" t="str">
        <v>0</v>
      </c>
      <c r="X56" t="str">
        <v/>
      </c>
      <c r="Y56" s="31">
        <v>45120</v>
      </c>
      <c r="Z56" t="str">
        <v/>
      </c>
      <c r="AA56" t="str">
        <v>定住者</v>
      </c>
      <c r="AB56" t="str">
        <v>498-0031</v>
      </c>
      <c r="AC56" t="str">
        <v>愛知県弥富市平島町中新田196-1</v>
      </c>
      <c r="AD56" t="str">
        <v>ｺﾝﾂｪﾙﾊｳｽB棟106</v>
      </c>
      <c r="AE56" s="31">
        <v>44236</v>
      </c>
      <c r="AF56" s="31">
        <v>44236</v>
      </c>
      <c r="AG56" s="31">
        <v>44238</v>
      </c>
      <c r="AH56" s="31">
        <v>0</v>
      </c>
      <c r="AI56">
        <v>44236</v>
      </c>
      <c r="AJ56">
        <v>0</v>
      </c>
      <c r="AK56">
        <v>0</v>
      </c>
      <c r="AL56">
        <v>44236</v>
      </c>
      <c r="AM56">
        <v>0</v>
      </c>
      <c r="AN56">
        <v>0</v>
      </c>
      <c r="AO56">
        <v>0</v>
      </c>
      <c r="AP56">
        <v>0</v>
      </c>
      <c r="AQ56">
        <v>0</v>
      </c>
      <c r="AR56">
        <v>0</v>
      </c>
    </row>
    <row r="57" spans="1:44">
      <c r="A57" t="str">
        <f>H57&amp;COUNTIF($H$2:H57,H57)</f>
        <v>Fライン3</v>
      </c>
      <c r="B57" t="str">
        <f>F57&amp;COUNTIF($F$2:F57,F57)</f>
        <v>高雄工業 本社9</v>
      </c>
      <c r="C57" t="str">
        <v>在職中</v>
      </c>
      <c r="D57">
        <v>221102</v>
      </c>
      <c r="E57">
        <v>212032</v>
      </c>
      <c r="F57" t="str">
        <v>高雄工業 本社</v>
      </c>
      <c r="G57" t="str">
        <v>高雄工業株式会社 愛知事業所本社工場製作課</v>
      </c>
      <c r="H57" t="str">
        <v>Fライン</v>
      </c>
      <c r="I57" t="str">
        <v>CVJ部品短軸品の施削加工、NCプログラム修正</v>
      </c>
      <c r="J57" t="str">
        <v>NGUYEN QUOC DAT</v>
      </c>
      <c r="K57" t="str">
        <v>グエン　クオック　ダット</v>
      </c>
      <c r="L57" t="str">
        <v>男</v>
      </c>
      <c r="M57" t="str">
        <v>ﾍﾞﾄﾅﾑ</v>
      </c>
      <c r="N57" s="31">
        <v>34790</v>
      </c>
      <c r="O57">
        <v>30</v>
      </c>
      <c r="P57">
        <v>1310</v>
      </c>
      <c r="Q57">
        <v>0</v>
      </c>
      <c r="R57">
        <v>1710</v>
      </c>
      <c r="S57">
        <v>0</v>
      </c>
      <c r="T57">
        <v>400</v>
      </c>
      <c r="U57">
        <v>240000</v>
      </c>
      <c r="V57">
        <v>12036</v>
      </c>
      <c r="W57" t="str">
        <v>0</v>
      </c>
      <c r="X57">
        <v>21960</v>
      </c>
      <c r="Y57" s="31">
        <v>46536</v>
      </c>
      <c r="Z57" t="str">
        <v/>
      </c>
      <c r="AA57" t="str">
        <v>技術・人文知識・国際業務</v>
      </c>
      <c r="AB57" t="str">
        <v>498-0025</v>
      </c>
      <c r="AC57" t="str">
        <v>愛知県弥富市前ヶ須町西勘助207</v>
      </c>
      <c r="AD57" t="str">
        <v>CASA弥冨A203</v>
      </c>
      <c r="AE57" s="31">
        <v>44869</v>
      </c>
      <c r="AF57" s="31">
        <v>44874</v>
      </c>
      <c r="AG57" s="31">
        <v>45989</v>
      </c>
      <c r="AH57" s="31">
        <v>0</v>
      </c>
      <c r="AI57" t="str">
        <v>22.12.1</v>
      </c>
      <c r="AJ57" t="str">
        <v>11/14林</v>
      </c>
      <c r="AK57">
        <v>0</v>
      </c>
      <c r="AL57">
        <v>44874</v>
      </c>
      <c r="AM57">
        <v>0</v>
      </c>
      <c r="AN57">
        <v>0</v>
      </c>
      <c r="AO57">
        <v>0</v>
      </c>
      <c r="AP57">
        <v>0</v>
      </c>
      <c r="AQ57" t="str">
        <v>JLPT-N3</v>
      </c>
      <c r="AR57">
        <v>0</v>
      </c>
    </row>
    <row r="58" spans="1:44">
      <c r="A58" t="str">
        <f>H58&amp;COUNTIF($H$2:H58,H58)</f>
        <v>Aライン3</v>
      </c>
      <c r="B58" t="str">
        <f>F58&amp;COUNTIF($F$2:F58,F58)</f>
        <v>高雄工業 本社10</v>
      </c>
      <c r="C58" t="str">
        <v>退社</v>
      </c>
      <c r="D58">
        <v>210208</v>
      </c>
      <c r="E58">
        <v>212008</v>
      </c>
      <c r="F58" t="str">
        <v>高雄工業 本社</v>
      </c>
      <c r="G58" t="str">
        <v>高雄工業株式会社 愛知事業所本社工場製作課</v>
      </c>
      <c r="H58" t="str">
        <v>Aライン</v>
      </c>
      <c r="I58" t="str">
        <v>CVJ部品短軸品の施削加工、NCプログラム修正</v>
      </c>
      <c r="J58" t="str">
        <v>MAI VAN DO</v>
      </c>
      <c r="K58" t="str">
        <v>マイ　ヴァン　ドー</v>
      </c>
      <c r="L58" t="str">
        <v>男</v>
      </c>
      <c r="M58" t="str">
        <v>ﾍﾞﾄﾅﾑ</v>
      </c>
      <c r="N58" s="31">
        <v>33087</v>
      </c>
      <c r="O58">
        <v>35</v>
      </c>
      <c r="P58">
        <v>1410</v>
      </c>
      <c r="Q58">
        <v>0</v>
      </c>
      <c r="R58">
        <v>1840</v>
      </c>
      <c r="S58" t="str">
        <v>9/16~ 1600円→1750円</v>
      </c>
      <c r="T58">
        <v>430</v>
      </c>
      <c r="U58">
        <v>300000</v>
      </c>
      <c r="V58">
        <v>15045</v>
      </c>
      <c r="W58" t="str">
        <v>0</v>
      </c>
      <c r="X58">
        <v>27450</v>
      </c>
      <c r="Y58" s="31">
        <v>46696</v>
      </c>
      <c r="Z58" t="str">
        <v/>
      </c>
      <c r="AA58" t="str">
        <v>技術・人文知識・国際業務</v>
      </c>
      <c r="AB58" t="str">
        <v>498-0031</v>
      </c>
      <c r="AC58" t="str">
        <v>愛知県弥富市平島町中新田128</v>
      </c>
      <c r="AD58" t="str">
        <v>ﾊｲﾂ大富B棟1</v>
      </c>
      <c r="AE58" s="31">
        <v>44232</v>
      </c>
      <c r="AF58" s="31">
        <v>44243</v>
      </c>
      <c r="AG58" s="31">
        <v>45813</v>
      </c>
      <c r="AH58" s="31">
        <v>0</v>
      </c>
      <c r="AI58">
        <v>44287</v>
      </c>
      <c r="AJ58" t="str">
        <v>OK</v>
      </c>
      <c r="AK58">
        <v>0</v>
      </c>
      <c r="AL58">
        <v>44243</v>
      </c>
      <c r="AM58">
        <v>0</v>
      </c>
      <c r="AN58">
        <v>0</v>
      </c>
      <c r="AO58">
        <v>0</v>
      </c>
      <c r="AP58">
        <v>0</v>
      </c>
      <c r="AQ58">
        <v>0</v>
      </c>
      <c r="AR58">
        <v>0</v>
      </c>
    </row>
    <row r="59" spans="1:44">
      <c r="A59" t="str">
        <f>H59&amp;COUNTIF($H$2:H59,H59)</f>
        <v>本社工場製造1課2工区2班1</v>
      </c>
      <c r="B59" t="str">
        <f>F59&amp;COUNTIF($F$2:F59,F59)</f>
        <v>コーリツ 本社1</v>
      </c>
      <c r="C59" t="str">
        <v>退社</v>
      </c>
      <c r="D59">
        <v>210210</v>
      </c>
      <c r="E59">
        <v>8210083</v>
      </c>
      <c r="F59" t="str">
        <v>コーリツ 本社</v>
      </c>
      <c r="G59" t="str">
        <v>本社工場製造1課2工区2班</v>
      </c>
      <c r="H59" t="str">
        <v>本社工場製造1課2工区2班</v>
      </c>
      <c r="I59">
        <v>0</v>
      </c>
      <c r="J59" t="str">
        <v>HA MANH QUAN</v>
      </c>
      <c r="K59" t="str">
        <v>ハー　マイン　クアン</v>
      </c>
      <c r="L59" t="str">
        <v>男</v>
      </c>
      <c r="M59" t="str">
        <v>ﾍﾞﾄﾅﾑ</v>
      </c>
      <c r="N59" s="31">
        <v>34707</v>
      </c>
      <c r="O59">
        <v>30</v>
      </c>
      <c r="P59">
        <v>1500</v>
      </c>
      <c r="Q59" t="str">
        <v>6/16~ \1200⇒\1250</v>
      </c>
      <c r="R59">
        <v>2150</v>
      </c>
      <c r="S59">
        <v>0</v>
      </c>
      <c r="T59">
        <v>650</v>
      </c>
      <c r="U59">
        <v>320000</v>
      </c>
      <c r="V59">
        <v>16048</v>
      </c>
      <c r="W59" t="str">
        <v>0</v>
      </c>
      <c r="X59">
        <v>29280</v>
      </c>
      <c r="Y59" s="31">
        <v>46809</v>
      </c>
      <c r="Z59" t="str">
        <v/>
      </c>
      <c r="AA59" t="str">
        <v>技術・人文知識・国際業務</v>
      </c>
      <c r="AB59" t="str">
        <v>475-0074</v>
      </c>
      <c r="AC59" t="str">
        <v>愛知県半田市長根町3丁目1番　</v>
      </c>
      <c r="AD59" t="str">
        <v>県営長根住宅11棟308</v>
      </c>
      <c r="AE59" s="31" t="str">
        <v>個人</v>
      </c>
      <c r="AF59" s="31">
        <v>44251</v>
      </c>
      <c r="AG59" s="31">
        <v>45768</v>
      </c>
      <c r="AH59" s="31">
        <v>0</v>
      </c>
      <c r="AI59">
        <v>44317</v>
      </c>
      <c r="AJ59" t="str">
        <v>OK</v>
      </c>
      <c r="AK59" t="str">
        <v>2021/8/31高雄工業本社退社⇒2021/9/2～2023/11/10三幸技研⇒2023/11/13～コーリツに異動</v>
      </c>
      <c r="AL59">
        <v>44251</v>
      </c>
      <c r="AM59" t="str">
        <v>原付</v>
      </c>
      <c r="AN59">
        <v>46061</v>
      </c>
      <c r="AO59" t="str">
        <v>原付</v>
      </c>
      <c r="AP59">
        <v>45747</v>
      </c>
      <c r="AQ59">
        <v>0</v>
      </c>
      <c r="AR59">
        <v>0</v>
      </c>
    </row>
    <row r="60" spans="1:44">
      <c r="A60" t="str">
        <f>H60&amp;COUNTIF($H$2:H60,H60)</f>
        <v>州の崎工場製造3課5工区6班1</v>
      </c>
      <c r="B60" t="str">
        <f>F60&amp;COUNTIF($F$2:F60,F60)</f>
        <v>コーリツ 州の崎3</v>
      </c>
      <c r="C60" t="str">
        <v>退社</v>
      </c>
      <c r="D60">
        <v>210301</v>
      </c>
      <c r="E60">
        <v>8210067</v>
      </c>
      <c r="F60" t="str">
        <v>コーリツ 州の崎</v>
      </c>
      <c r="G60" t="str">
        <v>州の崎工場製造3課5工区6班</v>
      </c>
      <c r="H60" t="str">
        <v>州の崎工場製造3課5工区6班</v>
      </c>
      <c r="I60">
        <v>0</v>
      </c>
      <c r="J60" t="str">
        <v>BUI VAN DUY</v>
      </c>
      <c r="K60" t="str">
        <v>ブイ　ヴァン　ズイ</v>
      </c>
      <c r="L60" t="str">
        <v>男</v>
      </c>
      <c r="M60" t="str">
        <v>ﾍﾞﾄﾅﾑ</v>
      </c>
      <c r="N60" s="31">
        <v>34922</v>
      </c>
      <c r="O60">
        <v>30</v>
      </c>
      <c r="P60">
        <v>1400</v>
      </c>
      <c r="Q60" t="str">
        <v>6/16~ \1200⇒\1250 　　9/21~1350円へ</v>
      </c>
      <c r="R60">
        <v>1990</v>
      </c>
      <c r="S60">
        <v>0</v>
      </c>
      <c r="T60">
        <v>590</v>
      </c>
      <c r="U60">
        <v>360000</v>
      </c>
      <c r="V60">
        <v>18054</v>
      </c>
      <c r="W60" t="str">
        <v>0</v>
      </c>
      <c r="X60">
        <v>32940</v>
      </c>
      <c r="Y60" s="31">
        <v>46650</v>
      </c>
      <c r="Z60" t="str">
        <v/>
      </c>
      <c r="AA60" t="str">
        <v>技術・人文知識・国際業務</v>
      </c>
      <c r="AB60" t="str">
        <v>475-0074</v>
      </c>
      <c r="AC60" t="str">
        <v>愛知県半田市長根町3丁目1番　</v>
      </c>
      <c r="AD60" t="str">
        <v>県営長根住宅12棟304号</v>
      </c>
      <c r="AE60" s="31" t="str">
        <v>個人</v>
      </c>
      <c r="AF60" s="31">
        <v>44256</v>
      </c>
      <c r="AG60" s="31">
        <v>45680</v>
      </c>
      <c r="AH60" s="31">
        <v>0</v>
      </c>
      <c r="AI60">
        <v>44287</v>
      </c>
      <c r="AJ60" t="str">
        <v>OK</v>
      </c>
      <c r="AK60" t="str">
        <v>20221/3/1～2023/7/28まで三幸技研　2023/8/1～コーリツ州の崎へ異動</v>
      </c>
      <c r="AL60">
        <v>44256</v>
      </c>
      <c r="AM60" t="str">
        <v>小型二輪</v>
      </c>
      <c r="AN60">
        <v>46276</v>
      </c>
      <c r="AO60" t="str">
        <v>車</v>
      </c>
      <c r="AP60">
        <v>46342</v>
      </c>
      <c r="AQ60">
        <v>0</v>
      </c>
      <c r="AR60">
        <v>0</v>
      </c>
    </row>
    <row r="61" spans="1:44">
      <c r="A61" t="str">
        <f>H61&amp;COUNTIF($H$2:H61,H61)</f>
        <v>CVJﾊﾞﾘ取りﾁｬﾝﾌｧ係1</v>
      </c>
      <c r="B61" t="str">
        <f>F61&amp;COUNTIF($F$2:F61,F61)</f>
        <v>ﾌｪﾆﾃｯｸｾﾐｺﾝﾀﾞｸﾀｰ 岡山1</v>
      </c>
      <c r="C61" t="str">
        <v>退社</v>
      </c>
      <c r="D61">
        <v>210303</v>
      </c>
      <c r="E61">
        <v>0</v>
      </c>
      <c r="F61" t="str">
        <v>ﾌｪﾆﾃｯｸｾﾐｺﾝﾀﾞｸﾀｰ 岡山</v>
      </c>
      <c r="G61">
        <v>0</v>
      </c>
      <c r="H61" t="str">
        <v>CVJﾊﾞﾘ取りﾁｬﾝﾌｧ係</v>
      </c>
      <c r="I61">
        <v>0</v>
      </c>
      <c r="J61" t="str">
        <v>NGUYEN VAN HUNG</v>
      </c>
      <c r="K61" t="str">
        <v>グエン　バン　フン</v>
      </c>
      <c r="L61" t="str">
        <v>男</v>
      </c>
      <c r="M61" t="str">
        <v>ﾍﾞﾄﾅﾑ</v>
      </c>
      <c r="N61" s="31">
        <v>31860</v>
      </c>
      <c r="O61">
        <v>38</v>
      </c>
      <c r="P61">
        <v>1500</v>
      </c>
      <c r="Q61" t="str">
        <v>2021/6/21~　1400⇒1500</v>
      </c>
      <c r="R61">
        <v>2300</v>
      </c>
      <c r="S61" t="str">
        <v>入社3か月後200円UP</v>
      </c>
      <c r="T61">
        <v>800</v>
      </c>
      <c r="U61">
        <v>0</v>
      </c>
      <c r="V61" t="str">
        <v/>
      </c>
      <c r="W61" t="str">
        <v>0</v>
      </c>
      <c r="X61" t="str">
        <v/>
      </c>
      <c r="Y61" s="31">
        <v>45950</v>
      </c>
      <c r="Z61" t="str">
        <v/>
      </c>
      <c r="AA61" t="str">
        <v>技術・人文知識・国際業務</v>
      </c>
      <c r="AB61" t="str">
        <v>715-0006</v>
      </c>
      <c r="AC61" t="str">
        <v>岡山県井原市西江原町936-1</v>
      </c>
      <c r="AD61" t="str">
        <v>ｸﾞﾗﾝｴﾄﾜｰﾙB201</v>
      </c>
      <c r="AE61" s="31">
        <v>44257</v>
      </c>
      <c r="AF61" s="31">
        <v>44258</v>
      </c>
      <c r="AG61" s="31">
        <v>44668</v>
      </c>
      <c r="AH61" s="31">
        <v>0</v>
      </c>
      <c r="AI61">
        <v>44317</v>
      </c>
      <c r="AJ61" t="str">
        <v>OK</v>
      </c>
      <c r="AK61">
        <v>0</v>
      </c>
      <c r="AL61">
        <v>44258</v>
      </c>
      <c r="AM61">
        <v>0</v>
      </c>
      <c r="AN61">
        <v>0</v>
      </c>
      <c r="AO61">
        <v>0</v>
      </c>
      <c r="AP61">
        <v>0</v>
      </c>
      <c r="AQ61">
        <v>0</v>
      </c>
      <c r="AR61">
        <v>0</v>
      </c>
    </row>
    <row r="62" spans="1:44">
      <c r="A62" t="str">
        <f>H62&amp;COUNTIF($H$2:H62,H62)</f>
        <v>028</v>
      </c>
      <c r="B62" t="str">
        <f>F62&amp;COUNTIF($F$2:F62,F62)</f>
        <v>プレテック1</v>
      </c>
      <c r="C62" t="str">
        <v>退社</v>
      </c>
      <c r="D62">
        <v>210304</v>
      </c>
      <c r="E62">
        <v>83373</v>
      </c>
      <c r="F62" t="str">
        <v>プレテック</v>
      </c>
      <c r="G62" t="str">
        <v>岡山工場製造部TF課６インチ担当</v>
      </c>
      <c r="H62">
        <v>0</v>
      </c>
      <c r="I62">
        <v>0</v>
      </c>
      <c r="J62" t="str">
        <v>PHAM VAN TRONG</v>
      </c>
      <c r="K62" t="str">
        <v>ファム　バン　チョン</v>
      </c>
      <c r="L62" t="str">
        <v>男</v>
      </c>
      <c r="M62" t="str">
        <v>ﾍﾞﾄﾅﾑ</v>
      </c>
      <c r="N62" s="31">
        <v>32862</v>
      </c>
      <c r="O62">
        <v>35</v>
      </c>
      <c r="P62">
        <v>1400</v>
      </c>
      <c r="Q62" t="str">
        <v>2021/6/21~　1400⇒1500</v>
      </c>
      <c r="R62">
        <v>1850</v>
      </c>
      <c r="S62" t="str">
        <v>入社4ヵ月後50円UP</v>
      </c>
      <c r="T62">
        <v>450</v>
      </c>
      <c r="U62">
        <v>300000</v>
      </c>
      <c r="V62">
        <v>15045</v>
      </c>
      <c r="W62" t="str">
        <v>0</v>
      </c>
      <c r="X62">
        <v>27450</v>
      </c>
      <c r="Y62" s="31">
        <v>46039</v>
      </c>
      <c r="Z62" t="str">
        <v/>
      </c>
      <c r="AA62" t="str">
        <v>技術・人文知識・国際業務</v>
      </c>
      <c r="AB62" t="str">
        <v>715-0004</v>
      </c>
      <c r="AC62" t="str">
        <v>岡山県井原市木之子町94番地１</v>
      </c>
      <c r="AD62" t="str">
        <v>ﾋﾞﾚｯｼﾞﾊｳｽ木之子1-403</v>
      </c>
      <c r="AE62" s="31" t="str">
        <v>個人</v>
      </c>
      <c r="AF62" s="31">
        <v>44258</v>
      </c>
      <c r="AG62" s="31">
        <v>45399</v>
      </c>
      <c r="AH62" s="31">
        <v>0</v>
      </c>
      <c r="AI62">
        <v>44317</v>
      </c>
      <c r="AJ62" t="str">
        <v>OK</v>
      </c>
      <c r="AK62" t="str">
        <v>2023/1/23～ﾌｪﾆﾃｯｸ岡山からプレテックへ異動</v>
      </c>
      <c r="AL62">
        <v>44258</v>
      </c>
      <c r="AM62">
        <v>0</v>
      </c>
      <c r="AN62">
        <v>0</v>
      </c>
      <c r="AO62">
        <v>0</v>
      </c>
      <c r="AP62">
        <v>0</v>
      </c>
      <c r="AQ62">
        <v>0</v>
      </c>
      <c r="AR62">
        <v>0</v>
      </c>
    </row>
    <row r="63" spans="1:44">
      <c r="A63" t="str">
        <f>H63&amp;COUNTIF($H$2:H63,H63)</f>
        <v>本社工場製造1課1工区1班1</v>
      </c>
      <c r="B63" t="str">
        <f>F63&amp;COUNTIF($F$2:F63,F63)</f>
        <v>コーリツ 本社2</v>
      </c>
      <c r="C63" t="str">
        <v>退社</v>
      </c>
      <c r="D63">
        <v>210305</v>
      </c>
      <c r="E63">
        <v>8210054</v>
      </c>
      <c r="F63" t="str">
        <v>コーリツ 本社</v>
      </c>
      <c r="G63" t="str">
        <v>本社工場製造1課1工区1班</v>
      </c>
      <c r="H63" t="str">
        <v>本社工場製造1課1工区1班</v>
      </c>
      <c r="I63">
        <v>0</v>
      </c>
      <c r="J63" t="str">
        <v>NGUYEN HOA HOAN</v>
      </c>
      <c r="K63" t="str">
        <v>グエン　ホア　ホアン</v>
      </c>
      <c r="L63" t="str">
        <v>男</v>
      </c>
      <c r="M63" t="str">
        <v>ﾍﾞﾄﾅﾑ</v>
      </c>
      <c r="N63" s="31">
        <v>34554</v>
      </c>
      <c r="O63">
        <v>31</v>
      </c>
      <c r="P63">
        <v>1400</v>
      </c>
      <c r="Q63" t="str">
        <v>2021/6/21~　1400⇒1500</v>
      </c>
      <c r="R63">
        <v>1990</v>
      </c>
      <c r="S63" t="str">
        <v>入社3か月後100円UP</v>
      </c>
      <c r="T63">
        <v>590</v>
      </c>
      <c r="U63">
        <v>320000</v>
      </c>
      <c r="V63">
        <v>16048</v>
      </c>
      <c r="W63" t="str">
        <v>0</v>
      </c>
      <c r="X63">
        <v>29280</v>
      </c>
      <c r="Y63" s="31">
        <v>45721</v>
      </c>
      <c r="Z63" t="str">
        <v/>
      </c>
      <c r="AA63" t="str">
        <v>技術・人文知識・国際業務</v>
      </c>
      <c r="AB63" t="str">
        <v>444-1303</v>
      </c>
      <c r="AC63" t="str">
        <v>愛知県高浜市小池町4丁目6番地6</v>
      </c>
      <c r="AD63" t="str">
        <v>ｺｰﾎﾟﾗｽSK102</v>
      </c>
      <c r="AE63" s="31">
        <v>44931</v>
      </c>
      <c r="AF63" s="31">
        <v>44258</v>
      </c>
      <c r="AG63" s="31">
        <v>45369</v>
      </c>
      <c r="AH63" s="31">
        <v>0</v>
      </c>
      <c r="AI63">
        <v>44317</v>
      </c>
      <c r="AJ63" t="str">
        <v>OK</v>
      </c>
      <c r="AK63" t="str">
        <v>2023/1/9～ﾌｪﾆﾃｯｸ岡山から六甲電子へ異動　2023/3/14で六甲電子退社　2023/4/3からコーリツ入社</v>
      </c>
      <c r="AL63">
        <v>44258</v>
      </c>
      <c r="AM63">
        <v>0</v>
      </c>
      <c r="AN63">
        <v>0</v>
      </c>
      <c r="AO63">
        <v>0</v>
      </c>
      <c r="AP63">
        <v>0</v>
      </c>
      <c r="AQ63">
        <v>0</v>
      </c>
      <c r="AR63">
        <v>0</v>
      </c>
    </row>
    <row r="64" spans="1:44">
      <c r="A64" t="str">
        <f>H64&amp;COUNTIF($H$2:H64,H64)</f>
        <v>029</v>
      </c>
      <c r="B64" t="str">
        <f>F64&amp;COUNTIF($F$2:F64,F64)</f>
        <v>高雄工業 静岡7</v>
      </c>
      <c r="C64" t="str">
        <v>退社</v>
      </c>
      <c r="D64">
        <v>210302</v>
      </c>
      <c r="E64">
        <v>0</v>
      </c>
      <c r="F64" t="str">
        <v>高雄工業 静岡</v>
      </c>
      <c r="G64">
        <v>0</v>
      </c>
      <c r="H64">
        <v>0</v>
      </c>
      <c r="I64">
        <v>0</v>
      </c>
      <c r="J64" t="str">
        <v>VU DINH TUAN</v>
      </c>
      <c r="K64" t="str">
        <v>ヴー　ディン　トゥアン</v>
      </c>
      <c r="L64" t="str">
        <v>男</v>
      </c>
      <c r="M64" t="str">
        <v>ﾍﾞﾄﾅﾑ</v>
      </c>
      <c r="N64" s="31">
        <v>31006</v>
      </c>
      <c r="O64">
        <v>41</v>
      </c>
      <c r="P64">
        <v>1200</v>
      </c>
      <c r="Q64">
        <v>0</v>
      </c>
      <c r="R64">
        <v>1600</v>
      </c>
      <c r="S64">
        <v>0</v>
      </c>
      <c r="T64">
        <v>400</v>
      </c>
      <c r="U64">
        <v>0</v>
      </c>
      <c r="V64" t="str">
        <v/>
      </c>
      <c r="W64" t="str">
        <v>0</v>
      </c>
      <c r="X64" t="str">
        <v/>
      </c>
      <c r="Y64" s="31">
        <v>45108</v>
      </c>
      <c r="Z64" t="str">
        <v/>
      </c>
      <c r="AA64" t="str">
        <v>技術・人文知識・国際業務</v>
      </c>
      <c r="AB64" t="str">
        <v>437-0066</v>
      </c>
      <c r="AC64" t="str">
        <v>静岡県袋井市山科3388-1</v>
      </c>
      <c r="AD64" t="str">
        <v>鶴松203</v>
      </c>
      <c r="AE64" s="31">
        <v>44256</v>
      </c>
      <c r="AF64" s="31">
        <v>44259</v>
      </c>
      <c r="AG64" s="31">
        <v>44266</v>
      </c>
      <c r="AH64" s="31">
        <v>0</v>
      </c>
      <c r="AI64">
        <v>44317</v>
      </c>
      <c r="AJ64">
        <v>0</v>
      </c>
      <c r="AK64">
        <v>0</v>
      </c>
      <c r="AL64">
        <v>44259</v>
      </c>
      <c r="AM64">
        <v>0</v>
      </c>
      <c r="AN64">
        <v>0</v>
      </c>
      <c r="AO64">
        <v>0</v>
      </c>
      <c r="AP64">
        <v>0</v>
      </c>
      <c r="AQ64">
        <v>0</v>
      </c>
      <c r="AR64">
        <v>0</v>
      </c>
    </row>
    <row r="65" spans="1:44">
      <c r="A65" t="str">
        <f>H65&amp;COUNTIF($H$2:H65,H65)</f>
        <v>CVJﾊﾞﾘ取りﾁｬﾝﾌｧ係2</v>
      </c>
      <c r="B65" t="str">
        <f>F65&amp;COUNTIF($F$2:F65,F65)</f>
        <v>高雄工業 岡山5</v>
      </c>
      <c r="C65" t="str">
        <v>退社</v>
      </c>
      <c r="D65">
        <v>210306</v>
      </c>
      <c r="E65">
        <v>232005</v>
      </c>
      <c r="F65" t="str">
        <v>高雄工業 岡山</v>
      </c>
      <c r="G65" t="str">
        <v>高雄工業株式会社 岡山事業所HUB工場製作1課</v>
      </c>
      <c r="H65" t="str">
        <v>CVJﾊﾞﾘ取りﾁｬﾝﾌｧ係</v>
      </c>
      <c r="I65">
        <v>0</v>
      </c>
      <c r="J65" t="str">
        <v>PHUNG VAN NAM</v>
      </c>
      <c r="K65" t="str">
        <v>フン　ヴァン　ナム</v>
      </c>
      <c r="L65" t="str">
        <v>男</v>
      </c>
      <c r="M65" t="str">
        <v>ﾍﾞﾄﾅﾑ</v>
      </c>
      <c r="N65" s="31">
        <v>33294</v>
      </c>
      <c r="O65">
        <v>34</v>
      </c>
      <c r="P65">
        <v>1400</v>
      </c>
      <c r="Q65" t="str">
        <v>6/16~ \1200⇒\1250</v>
      </c>
      <c r="R65">
        <v>1770</v>
      </c>
      <c r="S65" t="str">
        <v>9/16~ 1600円→1750円</v>
      </c>
      <c r="T65">
        <v>370</v>
      </c>
      <c r="U65">
        <v>0</v>
      </c>
      <c r="V65" t="str">
        <v/>
      </c>
      <c r="W65" t="str">
        <v>0</v>
      </c>
      <c r="X65" t="str">
        <v/>
      </c>
      <c r="Y65" s="31">
        <v>45850</v>
      </c>
      <c r="Z65" t="str">
        <v/>
      </c>
      <c r="AA65" t="str">
        <v>技術・人文知識・国際業務</v>
      </c>
      <c r="AB65" t="str">
        <v>709-2107</v>
      </c>
      <c r="AC65" t="str">
        <v>岡山県岡山市北区御津矢原311</v>
      </c>
      <c r="AD65" t="str">
        <v>中須賀ｺｰﾎﾟⅢ203</v>
      </c>
      <c r="AE65" s="31">
        <v>44260</v>
      </c>
      <c r="AF65" s="31">
        <v>44263</v>
      </c>
      <c r="AG65" s="31">
        <v>44762</v>
      </c>
      <c r="AH65" s="31">
        <v>0</v>
      </c>
      <c r="AI65">
        <v>44317</v>
      </c>
      <c r="AJ65" t="str">
        <v>OK</v>
      </c>
      <c r="AK65">
        <v>0</v>
      </c>
      <c r="AL65">
        <v>44263</v>
      </c>
      <c r="AM65">
        <v>0</v>
      </c>
      <c r="AN65">
        <v>0</v>
      </c>
      <c r="AO65">
        <v>0</v>
      </c>
      <c r="AP65">
        <v>0</v>
      </c>
      <c r="AQ65">
        <v>0</v>
      </c>
      <c r="AR65">
        <v>0</v>
      </c>
    </row>
    <row r="66" spans="1:44">
      <c r="A66" t="str">
        <f>H66&amp;COUNTIF($H$2:H66,H66)</f>
        <v>030</v>
      </c>
      <c r="B66" t="str">
        <f>F66&amp;COUNTIF($F$2:F66,F66)</f>
        <v>高雄工業 岡山6</v>
      </c>
      <c r="C66" t="str">
        <v>退社</v>
      </c>
      <c r="D66">
        <v>210307</v>
      </c>
      <c r="E66">
        <v>0</v>
      </c>
      <c r="F66" t="str">
        <v>高雄工業 岡山</v>
      </c>
      <c r="G66">
        <v>0</v>
      </c>
      <c r="H66">
        <v>0</v>
      </c>
      <c r="I66">
        <v>0</v>
      </c>
      <c r="J66" t="str">
        <v>TRAN THI HONG MAY</v>
      </c>
      <c r="K66" t="str">
        <v>チャン　ティ　ホング　マイ</v>
      </c>
      <c r="L66" t="str">
        <v>女</v>
      </c>
      <c r="M66" t="str">
        <v>ﾍﾞﾄﾅﾑ</v>
      </c>
      <c r="N66" s="31">
        <v>35982</v>
      </c>
      <c r="O66">
        <v>27</v>
      </c>
      <c r="P66">
        <v>1000</v>
      </c>
      <c r="Q66">
        <v>0</v>
      </c>
      <c r="R66">
        <v>1500</v>
      </c>
      <c r="S66">
        <v>0</v>
      </c>
      <c r="T66">
        <v>500</v>
      </c>
      <c r="U66">
        <v>0</v>
      </c>
      <c r="V66" t="str">
        <v/>
      </c>
      <c r="W66" t="str">
        <v>0</v>
      </c>
      <c r="X66" t="str">
        <v/>
      </c>
      <c r="Y66" s="31">
        <v>44520</v>
      </c>
      <c r="Z66" t="str">
        <v/>
      </c>
      <c r="AA66" t="str">
        <v>家族滞在</v>
      </c>
      <c r="AB66" t="str">
        <v>709-2107</v>
      </c>
      <c r="AC66" t="str">
        <v>岡山県岡山市北区御津矢原311</v>
      </c>
      <c r="AD66" t="str">
        <v>中須賀ｺｰﾎﾟⅢ203</v>
      </c>
      <c r="AE66" s="31">
        <v>44260</v>
      </c>
      <c r="AF66" s="31">
        <v>44263</v>
      </c>
      <c r="AG66" s="31">
        <v>44351</v>
      </c>
      <c r="AH66" s="31">
        <v>0</v>
      </c>
      <c r="AI66">
        <v>44317</v>
      </c>
      <c r="AJ66">
        <v>0</v>
      </c>
      <c r="AK66">
        <v>0</v>
      </c>
      <c r="AL66">
        <v>44263</v>
      </c>
      <c r="AM66">
        <v>0</v>
      </c>
      <c r="AN66">
        <v>0</v>
      </c>
      <c r="AO66">
        <v>0</v>
      </c>
      <c r="AP66">
        <v>0</v>
      </c>
      <c r="AQ66">
        <v>0</v>
      </c>
      <c r="AR66">
        <v>0</v>
      </c>
    </row>
    <row r="67" spans="1:44">
      <c r="A67" t="str">
        <f>H67&amp;COUNTIF($H$2:H67,H67)</f>
        <v>一次旋係2</v>
      </c>
      <c r="B67" t="str">
        <f>F67&amp;COUNTIF($F$2:F67,F67)</f>
        <v>高雄工業 岡山7</v>
      </c>
      <c r="C67" t="str">
        <v>退社</v>
      </c>
      <c r="D67">
        <v>210308</v>
      </c>
      <c r="E67">
        <v>232006</v>
      </c>
      <c r="F67" t="str">
        <v>高雄工業 岡山</v>
      </c>
      <c r="G67" t="str">
        <v>高雄工業株式会社 岡山事業所HUB工場製作1課</v>
      </c>
      <c r="H67" t="str">
        <v>一次旋係</v>
      </c>
      <c r="I67">
        <v>0</v>
      </c>
      <c r="J67" t="str">
        <v>PHAM KHAC SON</v>
      </c>
      <c r="K67" t="str">
        <v>ファム　カック　ソン</v>
      </c>
      <c r="L67" t="str">
        <v>男</v>
      </c>
      <c r="M67" t="str">
        <v>ﾍﾞﾄﾅﾑ</v>
      </c>
      <c r="N67" s="31">
        <v>35195</v>
      </c>
      <c r="O67">
        <v>29</v>
      </c>
      <c r="P67">
        <v>1400</v>
      </c>
      <c r="Q67" t="str">
        <v>6/16~ \1200⇒\1250</v>
      </c>
      <c r="R67">
        <v>1770</v>
      </c>
      <c r="S67" t="str">
        <v>9/16~ 1600円→1750円</v>
      </c>
      <c r="T67">
        <v>370</v>
      </c>
      <c r="U67">
        <v>0</v>
      </c>
      <c r="V67" t="str">
        <v/>
      </c>
      <c r="W67" t="str">
        <v>0</v>
      </c>
      <c r="X67" t="str">
        <v/>
      </c>
      <c r="Y67" s="31">
        <v>45217</v>
      </c>
      <c r="Z67" t="str">
        <v/>
      </c>
      <c r="AA67" t="str">
        <v>技術・人文知識・国際業務</v>
      </c>
      <c r="AB67" t="str">
        <v>709-2107</v>
      </c>
      <c r="AC67" t="str">
        <v>岡山県岡山市北区御津矢原370</v>
      </c>
      <c r="AD67" t="str">
        <v>成広ｺｰﾎﾟⅡ102</v>
      </c>
      <c r="AE67" s="31">
        <v>44409</v>
      </c>
      <c r="AF67" s="31">
        <v>44263</v>
      </c>
      <c r="AG67" s="31">
        <v>44951</v>
      </c>
      <c r="AH67" s="31">
        <v>44923</v>
      </c>
      <c r="AI67">
        <v>44317</v>
      </c>
      <c r="AJ67" t="str">
        <v>OK</v>
      </c>
      <c r="AK67">
        <v>0</v>
      </c>
      <c r="AL67">
        <v>44263</v>
      </c>
      <c r="AM67">
        <v>0</v>
      </c>
      <c r="AN67">
        <v>0</v>
      </c>
      <c r="AO67">
        <v>0</v>
      </c>
      <c r="AP67">
        <v>0</v>
      </c>
      <c r="AQ67">
        <v>0</v>
      </c>
      <c r="AR67">
        <v>0</v>
      </c>
    </row>
    <row r="68" spans="1:44">
      <c r="A68" t="str">
        <f>H68&amp;COUNTIF($H$2:H68,H68)</f>
        <v>031</v>
      </c>
      <c r="B68" t="str">
        <f>F68&amp;COUNTIF($F$2:F68,F68)</f>
        <v>高雄工業 岡山8</v>
      </c>
      <c r="C68" t="str">
        <v>退社</v>
      </c>
      <c r="D68">
        <v>210309</v>
      </c>
      <c r="E68">
        <v>0</v>
      </c>
      <c r="F68" t="str">
        <v>高雄工業 岡山</v>
      </c>
      <c r="G68">
        <v>0</v>
      </c>
      <c r="H68">
        <v>0</v>
      </c>
      <c r="I68">
        <v>0</v>
      </c>
      <c r="J68" t="str">
        <v>NGUYEN MINH SON</v>
      </c>
      <c r="K68" t="str">
        <v>グエン　ミン　ソン</v>
      </c>
      <c r="L68" t="str">
        <v>男</v>
      </c>
      <c r="M68" t="str">
        <v>ﾍﾞﾄﾅﾑ</v>
      </c>
      <c r="N68" s="31">
        <v>31997</v>
      </c>
      <c r="O68">
        <v>38</v>
      </c>
      <c r="P68">
        <v>1250</v>
      </c>
      <c r="Q68" t="str">
        <v>6/16~ \1200⇒\1250</v>
      </c>
      <c r="R68">
        <v>1600</v>
      </c>
      <c r="S68">
        <v>0</v>
      </c>
      <c r="T68">
        <v>350</v>
      </c>
      <c r="U68">
        <v>0</v>
      </c>
      <c r="V68" t="str">
        <v/>
      </c>
      <c r="W68" t="str">
        <v>0</v>
      </c>
      <c r="X68" t="str">
        <v/>
      </c>
      <c r="Y68" s="31">
        <v>44610</v>
      </c>
      <c r="Z68" t="str">
        <v/>
      </c>
      <c r="AA68" t="str">
        <v>技術・人文知識・国際業務</v>
      </c>
      <c r="AB68" t="str">
        <v>709-2107</v>
      </c>
      <c r="AC68" t="str">
        <v>岡山県岡山市北区御津矢原370</v>
      </c>
      <c r="AD68" t="str">
        <v>成広ｺｰﾎﾟⅡ102号</v>
      </c>
      <c r="AE68" s="31">
        <v>44261</v>
      </c>
      <c r="AF68" s="31">
        <v>44263</v>
      </c>
      <c r="AG68" s="31">
        <v>44386</v>
      </c>
      <c r="AH68" s="31">
        <v>0</v>
      </c>
      <c r="AI68">
        <v>44317</v>
      </c>
      <c r="AJ68">
        <v>0</v>
      </c>
      <c r="AK68">
        <v>0</v>
      </c>
      <c r="AL68">
        <v>44263</v>
      </c>
      <c r="AM68">
        <v>0</v>
      </c>
      <c r="AN68">
        <v>0</v>
      </c>
      <c r="AO68">
        <v>0</v>
      </c>
      <c r="AP68">
        <v>0</v>
      </c>
      <c r="AQ68">
        <v>0</v>
      </c>
      <c r="AR68">
        <v>0</v>
      </c>
    </row>
    <row r="69" spans="1:44">
      <c r="A69" t="str">
        <f>H69&amp;COUNTIF($H$2:H69,H69)</f>
        <v>032</v>
      </c>
      <c r="B69" t="str">
        <f>F69&amp;COUNTIF($F$2:F69,F69)</f>
        <v>高雄工業 岡山9</v>
      </c>
      <c r="C69" t="str">
        <v>退社</v>
      </c>
      <c r="D69">
        <v>210310</v>
      </c>
      <c r="E69">
        <v>0</v>
      </c>
      <c r="F69" t="str">
        <v>高雄工業 岡山</v>
      </c>
      <c r="G69">
        <v>0</v>
      </c>
      <c r="H69">
        <v>0</v>
      </c>
      <c r="I69">
        <v>0</v>
      </c>
      <c r="J69" t="str">
        <v>LUU TUAN NGHIA</v>
      </c>
      <c r="K69" t="str">
        <v>リュウ　トゥアン　ギア</v>
      </c>
      <c r="L69" t="str">
        <v>男</v>
      </c>
      <c r="M69" t="str">
        <v>ﾍﾞﾄﾅﾑ</v>
      </c>
      <c r="N69" s="31">
        <v>34725</v>
      </c>
      <c r="O69">
        <v>30</v>
      </c>
      <c r="P69">
        <v>1250</v>
      </c>
      <c r="Q69">
        <v>0</v>
      </c>
      <c r="R69">
        <v>1600</v>
      </c>
      <c r="S69">
        <v>0</v>
      </c>
      <c r="T69">
        <v>350</v>
      </c>
      <c r="U69">
        <v>0</v>
      </c>
      <c r="V69" t="str">
        <v/>
      </c>
      <c r="W69" t="str">
        <v>0</v>
      </c>
      <c r="X69" t="str">
        <v/>
      </c>
      <c r="Y69" s="31">
        <v>45475</v>
      </c>
      <c r="Z69" t="str">
        <v/>
      </c>
      <c r="AA69" t="str">
        <v>技術・人文知識・国際業務</v>
      </c>
      <c r="AB69" t="str">
        <v>709-2107</v>
      </c>
      <c r="AC69" t="str">
        <v>岡山県岡山市北区御津矢原311</v>
      </c>
      <c r="AD69" t="str">
        <v>中須賀ｺｰﾎﾟⅠ102</v>
      </c>
      <c r="AE69" s="31">
        <v>44261</v>
      </c>
      <c r="AF69" s="31">
        <v>44263</v>
      </c>
      <c r="AG69" s="31">
        <v>44434</v>
      </c>
      <c r="AH69" s="31">
        <v>0</v>
      </c>
      <c r="AI69">
        <v>44317</v>
      </c>
      <c r="AJ69">
        <v>0</v>
      </c>
      <c r="AK69">
        <v>0</v>
      </c>
      <c r="AL69">
        <v>44263</v>
      </c>
      <c r="AM69">
        <v>0</v>
      </c>
      <c r="AN69">
        <v>0</v>
      </c>
      <c r="AO69">
        <v>0</v>
      </c>
      <c r="AP69">
        <v>0</v>
      </c>
      <c r="AQ69">
        <v>0</v>
      </c>
      <c r="AR69">
        <v>0</v>
      </c>
    </row>
    <row r="70" spans="1:44">
      <c r="A70" t="str">
        <f>H70&amp;COUNTIF($H$2:H70,H70)</f>
        <v>033</v>
      </c>
      <c r="B70" t="str">
        <f>F70&amp;COUNTIF($F$2:F70,F70)</f>
        <v>高雄工業 海南第一11</v>
      </c>
      <c r="C70" t="str">
        <v>退社</v>
      </c>
      <c r="D70">
        <v>210311</v>
      </c>
      <c r="E70">
        <v>0</v>
      </c>
      <c r="F70" t="str">
        <v>高雄工業 海南第一</v>
      </c>
      <c r="G70" t="str">
        <v>高雄工業株式会社 愛知事業所海南第一工場製作1課</v>
      </c>
      <c r="H70">
        <v>0</v>
      </c>
      <c r="I70">
        <v>0</v>
      </c>
      <c r="J70" t="str">
        <v>NGUYEN MANH HAO</v>
      </c>
      <c r="K70" t="str">
        <v>グエン　マイン　ハオ</v>
      </c>
      <c r="L70" t="str">
        <v>男</v>
      </c>
      <c r="M70" t="str">
        <v>ﾍﾞﾄﾅﾑ</v>
      </c>
      <c r="N70" s="31">
        <v>33126</v>
      </c>
      <c r="O70">
        <v>35</v>
      </c>
      <c r="P70">
        <v>1200</v>
      </c>
      <c r="Q70">
        <v>0</v>
      </c>
      <c r="R70">
        <v>1600</v>
      </c>
      <c r="S70">
        <v>0</v>
      </c>
      <c r="T70">
        <v>400</v>
      </c>
      <c r="U70">
        <v>0</v>
      </c>
      <c r="V70" t="str">
        <v/>
      </c>
      <c r="W70" t="str">
        <v>0</v>
      </c>
      <c r="X70" t="str">
        <v/>
      </c>
      <c r="Y70" s="31">
        <v>44594</v>
      </c>
      <c r="Z70" t="str">
        <v/>
      </c>
      <c r="AA70" t="str">
        <v>技術・人文知識・国際業務</v>
      </c>
      <c r="AB70" t="str">
        <v>498-0017</v>
      </c>
      <c r="AC70" t="str">
        <v>愛知県弥富市前ヶ須町東勘助138</v>
      </c>
      <c r="AD70" t="str">
        <v>安井ﾋﾞﾙ5D</v>
      </c>
      <c r="AE70" s="31">
        <v>44260</v>
      </c>
      <c r="AF70" s="31">
        <v>44264</v>
      </c>
      <c r="AG70" s="31">
        <v>44330</v>
      </c>
      <c r="AH70" s="31">
        <v>0</v>
      </c>
      <c r="AI70">
        <v>44317</v>
      </c>
      <c r="AJ70">
        <v>0</v>
      </c>
      <c r="AK70">
        <v>0</v>
      </c>
      <c r="AL70">
        <v>44264</v>
      </c>
      <c r="AM70">
        <v>0</v>
      </c>
      <c r="AN70">
        <v>0</v>
      </c>
      <c r="AO70">
        <v>0</v>
      </c>
      <c r="AP70">
        <v>0</v>
      </c>
      <c r="AQ70">
        <v>0</v>
      </c>
      <c r="AR70">
        <v>0</v>
      </c>
    </row>
    <row r="71" spans="1:44">
      <c r="A71" t="str">
        <f>H71&amp;COUNTIF($H$2:H71,H71)</f>
        <v>034</v>
      </c>
      <c r="B71" t="str">
        <f>F71&amp;COUNTIF($F$2:F71,F71)</f>
        <v>ﾌｪﾆﾃｯｸｾﾐｺﾝﾀﾞｸﾀｰ 岡山2</v>
      </c>
      <c r="C71" t="str">
        <v>退社</v>
      </c>
      <c r="D71">
        <v>210312</v>
      </c>
      <c r="E71">
        <v>83448</v>
      </c>
      <c r="F71" t="str">
        <v>ﾌｪﾆﾃｯｸｾﾐｺﾝﾀﾞｸﾀｰ 岡山</v>
      </c>
      <c r="G71" t="str">
        <v>岡山工場製造部PR課５インチ担当</v>
      </c>
      <c r="H71">
        <v>0</v>
      </c>
      <c r="I71">
        <v>0</v>
      </c>
      <c r="J71" t="str">
        <v>VU DINH HIEP</v>
      </c>
      <c r="K71" t="str">
        <v>ヴー　ディン　ヒエップ</v>
      </c>
      <c r="L71" t="str">
        <v>男</v>
      </c>
      <c r="M71" t="str">
        <v>ﾍﾞﾄﾅﾑ</v>
      </c>
      <c r="N71" s="31">
        <v>33491</v>
      </c>
      <c r="O71">
        <v>34</v>
      </c>
      <c r="P71">
        <v>1500</v>
      </c>
      <c r="Q71" t="str">
        <v>2021/6/21~　1400⇒1500</v>
      </c>
      <c r="R71">
        <v>2300</v>
      </c>
      <c r="S71" t="str">
        <v>入社3か月後200円UP</v>
      </c>
      <c r="T71">
        <v>800</v>
      </c>
      <c r="U71">
        <v>340000</v>
      </c>
      <c r="V71">
        <v>17051</v>
      </c>
      <c r="W71" t="str">
        <v>0</v>
      </c>
      <c r="X71">
        <v>31110</v>
      </c>
      <c r="Y71" s="31">
        <v>45194</v>
      </c>
      <c r="Z71" t="str">
        <v/>
      </c>
      <c r="AA71" t="str">
        <v>技術・人文知識・国際業務</v>
      </c>
      <c r="AB71" t="str">
        <v>715-0014</v>
      </c>
      <c r="AC71" t="str">
        <v>岡山県井原市七日市町696-2</v>
      </c>
      <c r="AD71" t="str">
        <v>Florence1997 203</v>
      </c>
      <c r="AE71" s="31">
        <v>44408</v>
      </c>
      <c r="AF71" s="31">
        <v>44272</v>
      </c>
      <c r="AG71" s="31">
        <v>44984</v>
      </c>
      <c r="AH71" s="31">
        <v>0</v>
      </c>
      <c r="AI71">
        <v>44348</v>
      </c>
      <c r="AJ71" t="str">
        <v>OK</v>
      </c>
      <c r="AK71">
        <v>0</v>
      </c>
      <c r="AL71">
        <v>44272</v>
      </c>
      <c r="AM71">
        <v>0</v>
      </c>
      <c r="AN71">
        <v>0</v>
      </c>
      <c r="AO71">
        <v>0</v>
      </c>
      <c r="AP71">
        <v>0</v>
      </c>
      <c r="AQ71">
        <v>0</v>
      </c>
      <c r="AR71">
        <v>0</v>
      </c>
    </row>
    <row r="72" spans="1:44">
      <c r="A72" t="str">
        <f>H72&amp;COUNTIF($H$2:H72,H72)</f>
        <v>035</v>
      </c>
      <c r="B72" t="str">
        <f>F72&amp;COUNTIF($F$2:F72,F72)</f>
        <v>ﾌｪﾆﾃｯｸｾﾐｺﾝﾀﾞｸﾀｰ 岡山3</v>
      </c>
      <c r="C72" t="str">
        <v>退社</v>
      </c>
      <c r="D72">
        <v>210313</v>
      </c>
      <c r="E72">
        <v>83455</v>
      </c>
      <c r="F72" t="str">
        <v>ﾌｪﾆﾃｯｸｾﾐｺﾝﾀﾞｸﾀｰ 岡山</v>
      </c>
      <c r="G72" t="str">
        <v>岡山工場製造部PR課５インチ担当</v>
      </c>
      <c r="H72">
        <v>0</v>
      </c>
      <c r="I72">
        <v>0</v>
      </c>
      <c r="J72" t="str">
        <v>LUONG XUAN NGOC</v>
      </c>
      <c r="K72" t="str">
        <v>ルオン　スアン　ゴック</v>
      </c>
      <c r="L72" t="str">
        <v>男</v>
      </c>
      <c r="M72" t="str">
        <v>ﾍﾞﾄﾅﾑ</v>
      </c>
      <c r="N72" s="31">
        <v>33608</v>
      </c>
      <c r="O72">
        <v>33</v>
      </c>
      <c r="P72">
        <v>1500</v>
      </c>
      <c r="Q72" t="str">
        <v>2021/6/21~　1400⇒1500</v>
      </c>
      <c r="R72">
        <v>2300</v>
      </c>
      <c r="S72" t="str">
        <v>入社3か月後200円UP</v>
      </c>
      <c r="T72">
        <v>800</v>
      </c>
      <c r="U72">
        <v>300000</v>
      </c>
      <c r="V72">
        <v>15045</v>
      </c>
      <c r="W72" t="str">
        <v>0</v>
      </c>
      <c r="X72">
        <v>27450</v>
      </c>
      <c r="Y72" s="31">
        <v>45360</v>
      </c>
      <c r="Z72" t="str">
        <v/>
      </c>
      <c r="AA72" t="str">
        <v>技術・人文知識・国際業務</v>
      </c>
      <c r="AB72" t="str">
        <v>715-0004</v>
      </c>
      <c r="AC72" t="str">
        <v>岡山県井原市木之子町5837-1</v>
      </c>
      <c r="AD72" t="str">
        <v>ｳｯﾄﾞﾌｨｰﾙﾄﾞB203</v>
      </c>
      <c r="AE72" s="31">
        <v>44270</v>
      </c>
      <c r="AF72" s="31">
        <v>44272</v>
      </c>
      <c r="AG72" s="31">
        <v>45015</v>
      </c>
      <c r="AH72" s="31">
        <v>0</v>
      </c>
      <c r="AI72">
        <v>44348</v>
      </c>
      <c r="AJ72" t="str">
        <v>OK</v>
      </c>
      <c r="AK72">
        <v>0</v>
      </c>
      <c r="AL72">
        <v>44272</v>
      </c>
      <c r="AM72">
        <v>0</v>
      </c>
      <c r="AN72">
        <v>0</v>
      </c>
      <c r="AO72">
        <v>0</v>
      </c>
      <c r="AP72">
        <v>0</v>
      </c>
      <c r="AQ72">
        <v>0</v>
      </c>
      <c r="AR72">
        <v>0</v>
      </c>
    </row>
    <row r="73" spans="1:44">
      <c r="A73" t="str">
        <f>H73&amp;COUNTIF($H$2:H73,H73)</f>
        <v>036</v>
      </c>
      <c r="B73" t="str">
        <f>F73&amp;COUNTIF($F$2:F73,F73)</f>
        <v>高雄工業 海南第二2</v>
      </c>
      <c r="C73" t="str">
        <v>退社</v>
      </c>
      <c r="D73">
        <v>210314</v>
      </c>
      <c r="E73">
        <v>0</v>
      </c>
      <c r="F73" t="str">
        <v>高雄工業 海南第二</v>
      </c>
      <c r="G73" t="str">
        <v>高雄工業株式会社 愛知事業所海南第二工場製作課</v>
      </c>
      <c r="H73">
        <v>0</v>
      </c>
      <c r="I73">
        <v>0</v>
      </c>
      <c r="J73" t="str">
        <v>VAN TIEN THANH</v>
      </c>
      <c r="K73" t="str">
        <v>バン　ティエン　タン</v>
      </c>
      <c r="L73" t="str">
        <v>男</v>
      </c>
      <c r="M73" t="str">
        <v>ﾍﾞﾄﾅﾑ</v>
      </c>
      <c r="N73" s="31">
        <v>33870</v>
      </c>
      <c r="O73">
        <v>33</v>
      </c>
      <c r="P73">
        <v>1200</v>
      </c>
      <c r="Q73">
        <v>0</v>
      </c>
      <c r="R73">
        <v>1600</v>
      </c>
      <c r="S73">
        <v>0</v>
      </c>
      <c r="T73">
        <v>400</v>
      </c>
      <c r="U73">
        <v>0</v>
      </c>
      <c r="V73" t="str">
        <v/>
      </c>
      <c r="W73" t="str">
        <v>0</v>
      </c>
      <c r="X73" t="str">
        <v/>
      </c>
      <c r="Y73" s="31">
        <v>0</v>
      </c>
      <c r="Z73" t="str">
        <v/>
      </c>
      <c r="AA73" t="str">
        <v>技術・人文知識・国際業務</v>
      </c>
      <c r="AB73" t="str">
        <v>498-0017</v>
      </c>
      <c r="AC73" t="str">
        <v>愛知県弥富市前ヶ須町東勘助138</v>
      </c>
      <c r="AD73" t="str">
        <v>安井ﾋﾞﾙ5D</v>
      </c>
      <c r="AE73" s="31">
        <v>44270</v>
      </c>
      <c r="AF73" s="31">
        <v>44274</v>
      </c>
      <c r="AG73" s="31">
        <v>44347</v>
      </c>
      <c r="AH73" s="31">
        <v>0</v>
      </c>
      <c r="AI73">
        <v>44348</v>
      </c>
      <c r="AJ73">
        <v>0</v>
      </c>
      <c r="AK73">
        <v>0</v>
      </c>
      <c r="AL73">
        <v>44274</v>
      </c>
      <c r="AM73">
        <v>0</v>
      </c>
      <c r="AN73">
        <v>0</v>
      </c>
      <c r="AO73">
        <v>0</v>
      </c>
      <c r="AP73">
        <v>0</v>
      </c>
      <c r="AQ73">
        <v>0</v>
      </c>
      <c r="AR73">
        <v>0</v>
      </c>
    </row>
    <row r="74" spans="1:44">
      <c r="A74" t="str">
        <f>H74&amp;COUNTIF($H$2:H74,H74)</f>
        <v>037</v>
      </c>
      <c r="B74" t="str">
        <f>F74&amp;COUNTIF($F$2:F74,F74)</f>
        <v>ﾌｪﾆﾃｯｸｾﾐｺﾝﾀﾞｸﾀｰ 岡山4</v>
      </c>
      <c r="C74" t="str">
        <v>退社</v>
      </c>
      <c r="D74">
        <v>210315</v>
      </c>
      <c r="E74">
        <v>0</v>
      </c>
      <c r="F74" t="str">
        <v>ﾌｪﾆﾃｯｸｾﾐｺﾝﾀﾞｸﾀｰ 岡山</v>
      </c>
      <c r="G74">
        <v>0</v>
      </c>
      <c r="H74">
        <v>0</v>
      </c>
      <c r="I74">
        <v>0</v>
      </c>
      <c r="J74" t="str">
        <v>DAO VAN HOAN</v>
      </c>
      <c r="K74" t="str">
        <v>ダオ　ヴァン　ホアン</v>
      </c>
      <c r="L74" t="str">
        <v>男</v>
      </c>
      <c r="M74" t="str">
        <v>ﾍﾞﾄﾅﾑ</v>
      </c>
      <c r="N74" s="31">
        <v>33176</v>
      </c>
      <c r="O74">
        <v>35</v>
      </c>
      <c r="P74">
        <v>1500</v>
      </c>
      <c r="Q74" t="str">
        <v>2021/6/21~　1400⇒1500</v>
      </c>
      <c r="R74">
        <v>2300</v>
      </c>
      <c r="S74">
        <v>800</v>
      </c>
      <c r="T74">
        <v>800</v>
      </c>
      <c r="U74">
        <v>0</v>
      </c>
      <c r="V74" t="str">
        <v/>
      </c>
      <c r="W74" t="str">
        <v>0</v>
      </c>
      <c r="X74" t="str">
        <v/>
      </c>
      <c r="Y74" s="31">
        <v>44704</v>
      </c>
      <c r="Z74" t="str">
        <v/>
      </c>
      <c r="AA74" t="str">
        <v>技術・人文知識・国際業務</v>
      </c>
      <c r="AB74" t="str">
        <v>715-0006</v>
      </c>
      <c r="AC74" t="str">
        <v>岡山県井原市西江原町936-1</v>
      </c>
      <c r="AD74" t="str">
        <v>ｸﾞﾗﾝｴﾄﾜｰﾙB201</v>
      </c>
      <c r="AE74" s="31">
        <v>44276</v>
      </c>
      <c r="AF74" s="31">
        <v>44277</v>
      </c>
      <c r="AG74" s="31">
        <v>44520</v>
      </c>
      <c r="AH74" s="31">
        <v>0</v>
      </c>
      <c r="AI74">
        <v>44348</v>
      </c>
      <c r="AJ74">
        <v>0</v>
      </c>
      <c r="AK74">
        <v>0</v>
      </c>
      <c r="AL74">
        <v>44277</v>
      </c>
      <c r="AM74">
        <v>0</v>
      </c>
      <c r="AN74">
        <v>0</v>
      </c>
      <c r="AO74">
        <v>0</v>
      </c>
      <c r="AP74">
        <v>0</v>
      </c>
      <c r="AQ74">
        <v>0</v>
      </c>
      <c r="AR74">
        <v>0</v>
      </c>
    </row>
    <row r="75" spans="1:44">
      <c r="A75" t="str">
        <f>H75&amp;COUNTIF($H$2:H75,H75)</f>
        <v>038</v>
      </c>
      <c r="B75" t="str">
        <f>F75&amp;COUNTIF($F$2:F75,F75)</f>
        <v>高雄工業 海南第二3</v>
      </c>
      <c r="C75" t="str">
        <v>退社</v>
      </c>
      <c r="D75">
        <v>210316</v>
      </c>
      <c r="E75">
        <v>0</v>
      </c>
      <c r="F75" t="str">
        <v>高雄工業 海南第二</v>
      </c>
      <c r="G75" t="str">
        <v>高雄工業株式会社 愛知事業所海南第二工場製作課</v>
      </c>
      <c r="H75">
        <v>0</v>
      </c>
      <c r="I75">
        <v>0</v>
      </c>
      <c r="J75" t="str">
        <v>YOSHIKAWA DANIEL</v>
      </c>
      <c r="K75" t="str">
        <v>ヨシカワ　ダニエル</v>
      </c>
      <c r="L75" t="str">
        <v>男</v>
      </c>
      <c r="M75" t="str">
        <v>ﾌﾞﾗｼﾞﾙ</v>
      </c>
      <c r="N75" s="31">
        <v>29519</v>
      </c>
      <c r="O75">
        <v>45</v>
      </c>
      <c r="P75">
        <v>1250</v>
      </c>
      <c r="Q75">
        <v>0</v>
      </c>
      <c r="R75">
        <v>1650</v>
      </c>
      <c r="S75">
        <v>0</v>
      </c>
      <c r="T75">
        <v>400</v>
      </c>
      <c r="U75">
        <v>0</v>
      </c>
      <c r="V75" t="str">
        <v/>
      </c>
      <c r="W75" t="str">
        <v>0</v>
      </c>
      <c r="X75" t="str">
        <v/>
      </c>
      <c r="Y75" s="31">
        <v>45325</v>
      </c>
      <c r="Z75" t="str">
        <v/>
      </c>
      <c r="AA75" t="str">
        <v>定住者</v>
      </c>
      <c r="AB75" t="str">
        <v>498-0024</v>
      </c>
      <c r="AC75" t="str">
        <v>愛知県弥富市鯏浦町西前新田97-1</v>
      </c>
      <c r="AD75" t="str">
        <v>ﾗﾌｨﾈRS　A-102</v>
      </c>
      <c r="AE75" s="31" t="str">
        <v>個人</v>
      </c>
      <c r="AF75" s="31">
        <v>44277</v>
      </c>
      <c r="AG75" s="31">
        <v>44299</v>
      </c>
      <c r="AH75" s="31">
        <v>0</v>
      </c>
      <c r="AI75">
        <v>44348</v>
      </c>
      <c r="AJ75">
        <v>0</v>
      </c>
      <c r="AK75">
        <v>0</v>
      </c>
      <c r="AL75">
        <v>44277</v>
      </c>
      <c r="AM75">
        <v>0</v>
      </c>
      <c r="AN75">
        <v>0</v>
      </c>
      <c r="AO75">
        <v>0</v>
      </c>
      <c r="AP75">
        <v>0</v>
      </c>
      <c r="AQ75">
        <v>0</v>
      </c>
      <c r="AR75">
        <v>0</v>
      </c>
    </row>
    <row r="76" spans="1:44">
      <c r="A76" t="str">
        <f>H76&amp;COUNTIF($H$2:H76,H76)</f>
        <v>成型ライン3</v>
      </c>
      <c r="B76" t="str">
        <f>F76&amp;COUNTIF($F$2:F76,F76)</f>
        <v>ピーエムアイ8</v>
      </c>
      <c r="C76" t="str">
        <v>退社</v>
      </c>
      <c r="D76">
        <v>210317</v>
      </c>
      <c r="E76">
        <v>42</v>
      </c>
      <c r="F76" t="str">
        <v>ピーエムアイ</v>
      </c>
      <c r="G76" t="str">
        <v>製造1</v>
      </c>
      <c r="H76" t="str">
        <v>成型ライン</v>
      </c>
      <c r="I76" t="str">
        <v>プラスチック製品の製造におけるすべての行為</v>
      </c>
      <c r="J76" t="str">
        <v>NGUYEN VAN MANH</v>
      </c>
      <c r="K76" t="str">
        <v>グエン　ヴァン　マイン</v>
      </c>
      <c r="L76" t="str">
        <v>男</v>
      </c>
      <c r="M76" t="str">
        <v>ﾍﾞﾄﾅﾑ</v>
      </c>
      <c r="N76" s="31">
        <v>32306</v>
      </c>
      <c r="O76">
        <v>37</v>
      </c>
      <c r="P76">
        <v>1300</v>
      </c>
      <c r="Q76" t="str">
        <v>2021/7/21　1250⇒1300</v>
      </c>
      <c r="R76">
        <v>1800</v>
      </c>
      <c r="S76">
        <v>0</v>
      </c>
      <c r="T76">
        <v>500</v>
      </c>
      <c r="U76">
        <v>240000</v>
      </c>
      <c r="V76">
        <v>12036</v>
      </c>
      <c r="W76" t="str">
        <v>0</v>
      </c>
      <c r="X76">
        <v>21960</v>
      </c>
      <c r="Y76" s="31">
        <v>45285</v>
      </c>
      <c r="Z76" t="str">
        <v/>
      </c>
      <c r="AA76" t="str">
        <v>技術・人文知識・国際業務</v>
      </c>
      <c r="AB76" t="str">
        <v>471-0873</v>
      </c>
      <c r="AC76" t="str">
        <v>愛知県豊田市松平志賀町柿谷下28番地</v>
      </c>
      <c r="AD76" t="str">
        <v>市営B-107号</v>
      </c>
      <c r="AE76" s="31" t="str">
        <v>個人</v>
      </c>
      <c r="AF76" s="31">
        <v>44277</v>
      </c>
      <c r="AG76" s="31">
        <v>45127</v>
      </c>
      <c r="AH76" s="31">
        <v>0</v>
      </c>
      <c r="AI76">
        <v>44348</v>
      </c>
      <c r="AJ76" t="str">
        <v>OK</v>
      </c>
      <c r="AK76">
        <v>0</v>
      </c>
      <c r="AL76">
        <v>44277</v>
      </c>
      <c r="AM76">
        <v>0</v>
      </c>
      <c r="AN76">
        <v>0</v>
      </c>
      <c r="AO76">
        <v>0</v>
      </c>
      <c r="AP76">
        <v>0</v>
      </c>
      <c r="AQ76">
        <v>0</v>
      </c>
      <c r="AR76">
        <v>0</v>
      </c>
    </row>
    <row r="77" spans="1:44">
      <c r="A77" t="str">
        <f>H77&amp;COUNTIF($H$2:H77,H77)</f>
        <v>転造2</v>
      </c>
      <c r="B77" t="str">
        <f>F77&amp;COUNTIF($F$2:F77,F77)</f>
        <v>高雄工業 静岡8</v>
      </c>
      <c r="C77" t="str">
        <v>退社</v>
      </c>
      <c r="D77">
        <v>210318</v>
      </c>
      <c r="E77">
        <v>242010</v>
      </c>
      <c r="F77" t="str">
        <v>高雄工業 静岡</v>
      </c>
      <c r="G77" t="str">
        <v>高雄工業株式会社 静岡事業所第一工場製作課</v>
      </c>
      <c r="H77" t="str">
        <v>転造</v>
      </c>
      <c r="I77" t="str">
        <v>ＣＶＪ短軸等速ジョイント旋削加工・ＮＣプログラム修正</v>
      </c>
      <c r="J77" t="str">
        <v>NGUYEN ANH TUAN</v>
      </c>
      <c r="K77" t="str">
        <v>グエン　アイン　トゥアン</v>
      </c>
      <c r="L77" t="str">
        <v>男</v>
      </c>
      <c r="M77" t="str">
        <v>ﾍﾞﾄﾅﾑ</v>
      </c>
      <c r="N77" s="31">
        <v>34467</v>
      </c>
      <c r="O77">
        <v>31</v>
      </c>
      <c r="P77">
        <v>1400</v>
      </c>
      <c r="Q77" t="str">
        <v>6/16~ \1200⇒\1250</v>
      </c>
      <c r="R77">
        <v>1790</v>
      </c>
      <c r="S77" t="str">
        <v>9/16~ 1600円→1750円</v>
      </c>
      <c r="T77">
        <v>390</v>
      </c>
      <c r="U77">
        <v>260000</v>
      </c>
      <c r="V77">
        <v>13039</v>
      </c>
      <c r="W77" t="str">
        <v>0</v>
      </c>
      <c r="X77">
        <v>23790</v>
      </c>
      <c r="Y77" s="31">
        <v>45598</v>
      </c>
      <c r="Z77" t="str">
        <v/>
      </c>
      <c r="AA77" t="str">
        <v>技術・人文知識・国際業務</v>
      </c>
      <c r="AB77" t="str">
        <v>437-0065</v>
      </c>
      <c r="AC77" t="str">
        <v>静岡県袋井市堀越1丁目15-1</v>
      </c>
      <c r="AD77" t="str">
        <v>ﾃﾞｲﾌﾞﾚｲｸ406</v>
      </c>
      <c r="AE77" s="31">
        <v>44273</v>
      </c>
      <c r="AF77" s="31">
        <v>44279</v>
      </c>
      <c r="AG77" s="31">
        <v>45288</v>
      </c>
      <c r="AH77" s="31">
        <v>0</v>
      </c>
      <c r="AI77">
        <v>44348</v>
      </c>
      <c r="AJ77" t="str">
        <v>OK</v>
      </c>
      <c r="AK77">
        <v>0</v>
      </c>
      <c r="AL77">
        <v>44279</v>
      </c>
      <c r="AM77">
        <v>0</v>
      </c>
      <c r="AN77">
        <v>0</v>
      </c>
      <c r="AO77">
        <v>0</v>
      </c>
      <c r="AP77">
        <v>0</v>
      </c>
      <c r="AQ77">
        <v>0</v>
      </c>
      <c r="AR77">
        <v>0</v>
      </c>
    </row>
    <row r="78" spans="1:44">
      <c r="A78" t="str">
        <f>H78&amp;COUNTIF($H$2:H78,H78)</f>
        <v>CVJ1</v>
      </c>
      <c r="B78" t="str">
        <f>F78&amp;COUNTIF($F$2:F78,F78)</f>
        <v>瑞陵精機1</v>
      </c>
      <c r="C78" t="str">
        <v>退社</v>
      </c>
      <c r="D78">
        <v>210319</v>
      </c>
      <c r="E78">
        <v>410010</v>
      </c>
      <c r="F78" t="str">
        <v>瑞陵精機</v>
      </c>
      <c r="G78" t="str">
        <v>製造1課</v>
      </c>
      <c r="H78" t="str">
        <v>CVJ</v>
      </c>
      <c r="I78">
        <v>0</v>
      </c>
      <c r="J78" t="str">
        <v>HA HAI PHI</v>
      </c>
      <c r="K78" t="str">
        <v>ハー　ハイ　フィ</v>
      </c>
      <c r="L78" t="str">
        <v>男</v>
      </c>
      <c r="M78" t="str">
        <v>ﾍﾞﾄﾅﾑ</v>
      </c>
      <c r="N78" s="31">
        <v>33589</v>
      </c>
      <c r="O78">
        <v>33</v>
      </c>
      <c r="P78">
        <v>1350</v>
      </c>
      <c r="Q78" t="str">
        <v>2021/7/16　1300円→1320円　2022/4/21～　1320円⇒1350円</v>
      </c>
      <c r="R78">
        <v>1700</v>
      </c>
      <c r="S78" t="str">
        <v>9/16~ 1600円→1750円</v>
      </c>
      <c r="T78">
        <v>350</v>
      </c>
      <c r="U78">
        <v>0</v>
      </c>
      <c r="V78" t="str">
        <v/>
      </c>
      <c r="W78" t="str">
        <v>0</v>
      </c>
      <c r="X78" t="str">
        <v/>
      </c>
      <c r="Y78" s="31">
        <v>45257</v>
      </c>
      <c r="Z78" t="str">
        <v/>
      </c>
      <c r="AA78" t="str">
        <v>技術・人文知識・国際業務</v>
      </c>
      <c r="AB78" t="str">
        <v>509-7201</v>
      </c>
      <c r="AC78" t="str">
        <v>岐阜県恵那市大井町1120-303</v>
      </c>
      <c r="AD78" t="str">
        <v>各務ﾊｲﾂ6A</v>
      </c>
      <c r="AE78" s="31">
        <v>44280</v>
      </c>
      <c r="AF78" s="31">
        <v>44286</v>
      </c>
      <c r="AG78" s="31">
        <v>44764</v>
      </c>
      <c r="AH78" s="31">
        <v>0</v>
      </c>
      <c r="AI78">
        <v>44348</v>
      </c>
      <c r="AJ78" t="str">
        <v>OK</v>
      </c>
      <c r="AK78" t="str">
        <v>高雄宇工業本社⇒瑞陵精機へ異動</v>
      </c>
      <c r="AL78">
        <v>44286</v>
      </c>
      <c r="AM78">
        <v>0</v>
      </c>
      <c r="AN78">
        <v>0</v>
      </c>
      <c r="AO78">
        <v>0</v>
      </c>
      <c r="AP78">
        <v>0</v>
      </c>
      <c r="AQ78">
        <v>0</v>
      </c>
      <c r="AR78">
        <v>0</v>
      </c>
    </row>
    <row r="79" spans="1:44">
      <c r="A79" t="str">
        <f>H79&amp;COUNTIF($H$2:H79,H79)</f>
        <v>亀崎工場製造5課7工区9班1</v>
      </c>
      <c r="B79" t="str">
        <f>F79&amp;COUNTIF($F$2:F79,F79)</f>
        <v>コーリツ 亀崎1</v>
      </c>
      <c r="C79" t="str">
        <v>退社</v>
      </c>
      <c r="D79">
        <v>210401</v>
      </c>
      <c r="E79">
        <v>8210007</v>
      </c>
      <c r="F79" t="str">
        <v>コーリツ 亀崎</v>
      </c>
      <c r="G79" t="str">
        <v>亀崎工場製造5課7工区9班</v>
      </c>
      <c r="H79" t="str">
        <v>亀崎工場製造5課7工区9班</v>
      </c>
      <c r="I79">
        <v>0</v>
      </c>
      <c r="J79" t="str">
        <v>HOANG VAN TUYEN</v>
      </c>
      <c r="K79" t="str">
        <v>ホアン　ヴァン　トウイエン</v>
      </c>
      <c r="L79" t="str">
        <v>男</v>
      </c>
      <c r="M79" t="str">
        <v>ﾍﾞﾄﾅﾑ</v>
      </c>
      <c r="N79" s="31">
        <v>31202</v>
      </c>
      <c r="O79">
        <v>40</v>
      </c>
      <c r="P79">
        <v>1460</v>
      </c>
      <c r="Q79" t="str">
        <v>2022/4/1～　1400円⇒1430円</v>
      </c>
      <c r="R79">
        <v>2050</v>
      </c>
      <c r="S79">
        <v>0</v>
      </c>
      <c r="T79">
        <v>590</v>
      </c>
      <c r="U79">
        <v>360000</v>
      </c>
      <c r="V79">
        <v>18054</v>
      </c>
      <c r="W79">
        <v>2862</v>
      </c>
      <c r="X79">
        <v>32940</v>
      </c>
      <c r="Y79" s="31">
        <v>47213</v>
      </c>
      <c r="Z79" t="str">
        <v/>
      </c>
      <c r="AA79" t="str">
        <v>技術・人文知識・国際業務</v>
      </c>
      <c r="AB79" t="str">
        <v>475-0086</v>
      </c>
      <c r="AC79" t="str">
        <v>愛知県半田市庚申町2-6-7</v>
      </c>
      <c r="AD79" t="str">
        <v>ﾊｲﾂこうしんB棟101</v>
      </c>
      <c r="AE79" s="31" t="str">
        <v>個人</v>
      </c>
      <c r="AF79" s="31">
        <v>44287</v>
      </c>
      <c r="AG79" s="31">
        <v>45495</v>
      </c>
      <c r="AH79" s="31">
        <v>0</v>
      </c>
      <c r="AI79">
        <v>44348</v>
      </c>
      <c r="AJ79" t="str">
        <v>OK</v>
      </c>
      <c r="AK79">
        <v>0</v>
      </c>
      <c r="AL79">
        <v>44287</v>
      </c>
      <c r="AM79">
        <v>0</v>
      </c>
      <c r="AN79">
        <v>0</v>
      </c>
      <c r="AO79">
        <v>0</v>
      </c>
      <c r="AP79">
        <v>0</v>
      </c>
      <c r="AQ79">
        <v>0</v>
      </c>
      <c r="AR79">
        <v>0</v>
      </c>
    </row>
    <row r="80" spans="1:44">
      <c r="A80" t="str">
        <f>H80&amp;COUNTIF($H$2:H80,H80)</f>
        <v>039</v>
      </c>
      <c r="B80" t="str">
        <f>F80&amp;COUNTIF($F$2:F80,F80)</f>
        <v>コーリツ 亀崎2</v>
      </c>
      <c r="C80" t="str">
        <v>退社</v>
      </c>
      <c r="D80">
        <v>210402</v>
      </c>
      <c r="E80">
        <v>0</v>
      </c>
      <c r="F80" t="str">
        <v>コーリツ 亀崎</v>
      </c>
      <c r="G80">
        <v>0</v>
      </c>
      <c r="H80">
        <v>0</v>
      </c>
      <c r="I80">
        <v>0</v>
      </c>
      <c r="J80" t="str">
        <v>TRAN VAN SANG</v>
      </c>
      <c r="K80" t="str">
        <v>チャン　ヴァン　サン</v>
      </c>
      <c r="L80" t="str">
        <v>男</v>
      </c>
      <c r="M80" t="str">
        <v>ﾍﾞﾄﾅﾑ</v>
      </c>
      <c r="N80" s="31">
        <v>33004</v>
      </c>
      <c r="O80">
        <v>35</v>
      </c>
      <c r="P80">
        <v>1400</v>
      </c>
      <c r="Q80">
        <v>0</v>
      </c>
      <c r="R80">
        <v>1990</v>
      </c>
      <c r="S80">
        <v>590</v>
      </c>
      <c r="T80">
        <v>590</v>
      </c>
      <c r="U80">
        <v>0</v>
      </c>
      <c r="V80" t="str">
        <v/>
      </c>
      <c r="W80" t="str">
        <v>0</v>
      </c>
      <c r="X80" t="str">
        <v/>
      </c>
      <c r="Y80" s="31">
        <v>45482</v>
      </c>
      <c r="Z80" t="str">
        <v/>
      </c>
      <c r="AA80" t="str">
        <v>技術・人文知識・国際業務</v>
      </c>
      <c r="AB80" t="str">
        <v>475-0071</v>
      </c>
      <c r="AC80" t="str">
        <v>愛知県半田市大伝根町2丁目2-16</v>
      </c>
      <c r="AD80" t="str">
        <v>ｻﾝﾋﾞﾚｯｼﾞ横川203</v>
      </c>
      <c r="AE80" s="31">
        <v>44286</v>
      </c>
      <c r="AF80" s="31">
        <v>44287</v>
      </c>
      <c r="AG80" s="31">
        <v>44505</v>
      </c>
      <c r="AH80" s="31">
        <v>0</v>
      </c>
      <c r="AI80">
        <v>44348</v>
      </c>
      <c r="AJ80">
        <v>0</v>
      </c>
      <c r="AK80">
        <v>0</v>
      </c>
      <c r="AL80">
        <v>44287</v>
      </c>
      <c r="AM80">
        <v>0</v>
      </c>
      <c r="AN80">
        <v>0</v>
      </c>
      <c r="AO80">
        <v>0</v>
      </c>
      <c r="AP80">
        <v>0</v>
      </c>
      <c r="AQ80">
        <v>0</v>
      </c>
      <c r="AR80">
        <v>0</v>
      </c>
    </row>
    <row r="81" spans="1:44">
      <c r="A81" t="str">
        <f>H81&amp;COUNTIF($H$2:H81,H81)</f>
        <v>040</v>
      </c>
      <c r="B81" t="str">
        <f>F81&amp;COUNTIF($F$2:F81,F81)</f>
        <v>コーリツ 乙川5</v>
      </c>
      <c r="C81" t="str">
        <v>退社</v>
      </c>
      <c r="D81">
        <v>210403</v>
      </c>
      <c r="E81">
        <v>8210008</v>
      </c>
      <c r="F81" t="str">
        <v>コーリツ 乙川</v>
      </c>
      <c r="G81" t="str">
        <v>乙川第２工場　製造３課６工区９班</v>
      </c>
      <c r="H81">
        <v>0</v>
      </c>
      <c r="I81">
        <v>0</v>
      </c>
      <c r="J81" t="str">
        <v>LE VAN TUAT</v>
      </c>
      <c r="K81" t="str">
        <v>レ　ヴァン　トァト</v>
      </c>
      <c r="L81" t="str">
        <v>男</v>
      </c>
      <c r="M81" t="str">
        <v>ﾍﾞﾄﾅﾑ</v>
      </c>
      <c r="N81" s="31">
        <v>30126</v>
      </c>
      <c r="O81">
        <v>43</v>
      </c>
      <c r="P81">
        <v>1400</v>
      </c>
      <c r="Q81">
        <v>0</v>
      </c>
      <c r="R81">
        <v>1990</v>
      </c>
      <c r="S81">
        <v>0</v>
      </c>
      <c r="T81">
        <v>590</v>
      </c>
      <c r="U81">
        <v>360000</v>
      </c>
      <c r="V81">
        <v>18054</v>
      </c>
      <c r="W81">
        <v>2862</v>
      </c>
      <c r="X81">
        <v>32940</v>
      </c>
      <c r="Y81" s="31">
        <v>45671</v>
      </c>
      <c r="Z81" t="str">
        <v/>
      </c>
      <c r="AA81" t="str">
        <v>技術・人文知識・国際業務</v>
      </c>
      <c r="AB81" t="str">
        <v>475-0961</v>
      </c>
      <c r="AC81" t="str">
        <v>愛知県半田市岩滑中町1丁目65番地の１</v>
      </c>
      <c r="AD81" t="str">
        <v>FLAT HANDA32号</v>
      </c>
      <c r="AE81" s="31" t="str">
        <v>個人</v>
      </c>
      <c r="AF81" s="31">
        <v>44287</v>
      </c>
      <c r="AG81" s="31">
        <v>45002</v>
      </c>
      <c r="AH81" s="31">
        <v>0</v>
      </c>
      <c r="AI81">
        <v>44348</v>
      </c>
      <c r="AJ81" t="str">
        <v>OK</v>
      </c>
      <c r="AK81">
        <v>0</v>
      </c>
      <c r="AL81">
        <v>44287</v>
      </c>
      <c r="AM81">
        <v>0</v>
      </c>
      <c r="AN81">
        <v>0</v>
      </c>
      <c r="AO81">
        <v>0</v>
      </c>
      <c r="AP81">
        <v>0</v>
      </c>
      <c r="AQ81">
        <v>0</v>
      </c>
      <c r="AR81">
        <v>0</v>
      </c>
    </row>
    <row r="82" spans="1:44">
      <c r="A82" t="str">
        <f>H82&amp;COUNTIF($H$2:H82,H82)</f>
        <v>041</v>
      </c>
      <c r="B82" t="str">
        <f>F82&amp;COUNTIF($F$2:F82,F82)</f>
        <v>コーリツ 州の崎4</v>
      </c>
      <c r="C82" t="str">
        <v>退社</v>
      </c>
      <c r="D82">
        <v>210404</v>
      </c>
      <c r="E82">
        <v>8210010</v>
      </c>
      <c r="F82" t="str">
        <v>コーリツ 州の崎</v>
      </c>
      <c r="G82" t="str">
        <v>州の埼工場　製造３課５工区７班</v>
      </c>
      <c r="H82">
        <v>0</v>
      </c>
      <c r="I82">
        <v>0</v>
      </c>
      <c r="J82" t="str">
        <v>NGUYEN KHAC TRUNG</v>
      </c>
      <c r="K82" t="str">
        <v>グエン　カック　チュン</v>
      </c>
      <c r="L82" t="str">
        <v>男</v>
      </c>
      <c r="M82" t="str">
        <v>ﾍﾞﾄﾅﾑ</v>
      </c>
      <c r="N82" s="31">
        <v>34845</v>
      </c>
      <c r="O82">
        <v>30</v>
      </c>
      <c r="P82">
        <v>1500</v>
      </c>
      <c r="Q82" t="str">
        <v>2022/3/21～　1400円⇒1500円</v>
      </c>
      <c r="R82">
        <v>1990</v>
      </c>
      <c r="S82">
        <v>0</v>
      </c>
      <c r="T82">
        <v>490</v>
      </c>
      <c r="U82">
        <v>0</v>
      </c>
      <c r="V82" t="str">
        <v/>
      </c>
      <c r="W82" t="str">
        <v>0</v>
      </c>
      <c r="X82" t="str">
        <v/>
      </c>
      <c r="Y82" s="31">
        <v>45486</v>
      </c>
      <c r="Z82" t="str">
        <v/>
      </c>
      <c r="AA82" t="str">
        <v>技術・人文知識・国際業務</v>
      </c>
      <c r="AB82" t="str">
        <v>475-0004</v>
      </c>
      <c r="AC82" t="str">
        <v>愛知県半田市上池町5丁目37-1</v>
      </c>
      <c r="AD82" t="str">
        <v>ﾙﾐｴｰﾙ上池203</v>
      </c>
      <c r="AE82" s="31">
        <v>44289</v>
      </c>
      <c r="AF82" s="31">
        <v>44291</v>
      </c>
      <c r="AG82" s="31">
        <v>44916</v>
      </c>
      <c r="AH82" s="31">
        <v>0</v>
      </c>
      <c r="AI82">
        <v>44348</v>
      </c>
      <c r="AJ82" t="str">
        <v>OK</v>
      </c>
      <c r="AK82">
        <v>0</v>
      </c>
      <c r="AL82">
        <v>44291</v>
      </c>
      <c r="AM82">
        <v>0</v>
      </c>
      <c r="AN82">
        <v>0</v>
      </c>
      <c r="AO82">
        <v>0</v>
      </c>
      <c r="AP82">
        <v>0</v>
      </c>
      <c r="AQ82">
        <v>0</v>
      </c>
      <c r="AR82">
        <v>0</v>
      </c>
    </row>
    <row r="83" spans="1:44">
      <c r="A83" t="str">
        <f>H83&amp;COUNTIF($H$2:H83,H83)</f>
        <v>自動旋削1</v>
      </c>
      <c r="B83" t="str">
        <f>F83&amp;COUNTIF($F$2:F83,F83)</f>
        <v>高雄工業 静岡9</v>
      </c>
      <c r="C83" t="str">
        <v>退社</v>
      </c>
      <c r="D83">
        <v>210407</v>
      </c>
      <c r="E83">
        <v>242012</v>
      </c>
      <c r="F83" t="str">
        <v>高雄工業 静岡</v>
      </c>
      <c r="G83" t="str">
        <v>高雄工業株式会社 静岡事業所第一工場製作課</v>
      </c>
      <c r="H83" t="str">
        <v>自動旋削</v>
      </c>
      <c r="I83" t="str">
        <v>CVJ部品短軸品の施削加工、NCプログラム修正</v>
      </c>
      <c r="J83" t="str">
        <v>PHAM VAN PHUOC</v>
      </c>
      <c r="K83" t="str">
        <v>ファム　ヴァン　フォック</v>
      </c>
      <c r="L83" t="str">
        <v>男</v>
      </c>
      <c r="M83" t="str">
        <v>ﾍﾞﾄﾅﾑ</v>
      </c>
      <c r="N83" s="31">
        <v>34528</v>
      </c>
      <c r="O83">
        <v>31</v>
      </c>
      <c r="P83">
        <v>1400</v>
      </c>
      <c r="Q83" t="str">
        <v>6/16~ \1200⇒\1250</v>
      </c>
      <c r="R83">
        <v>1780</v>
      </c>
      <c r="S83" t="str">
        <v>9/16~ 1600円→1750円</v>
      </c>
      <c r="T83">
        <v>380</v>
      </c>
      <c r="U83">
        <v>260000</v>
      </c>
      <c r="V83">
        <v>13039</v>
      </c>
      <c r="W83" t="str">
        <v>0</v>
      </c>
      <c r="X83">
        <v>23790</v>
      </c>
      <c r="Y83" s="31">
        <v>45620</v>
      </c>
      <c r="Z83" t="str">
        <v/>
      </c>
      <c r="AA83" t="str">
        <v>技術・人文知識・国際業務</v>
      </c>
      <c r="AB83" t="str">
        <v>437-0065</v>
      </c>
      <c r="AC83" t="str">
        <v>静岡県袋井市堀越1丁目21-9</v>
      </c>
      <c r="AD83" t="str">
        <v>ﾌﾟﾁｾｿﾞﾝ103号</v>
      </c>
      <c r="AE83" s="31">
        <v>44284</v>
      </c>
      <c r="AF83" s="31">
        <v>44291</v>
      </c>
      <c r="AG83" s="31">
        <v>45257</v>
      </c>
      <c r="AH83" s="31">
        <v>0</v>
      </c>
      <c r="AI83">
        <v>44348</v>
      </c>
      <c r="AJ83" t="str">
        <v>OK</v>
      </c>
      <c r="AK83">
        <v>0</v>
      </c>
      <c r="AL83">
        <v>44291</v>
      </c>
      <c r="AM83">
        <v>0</v>
      </c>
      <c r="AN83">
        <v>0</v>
      </c>
      <c r="AO83">
        <v>0</v>
      </c>
      <c r="AP83">
        <v>0</v>
      </c>
      <c r="AQ83">
        <v>0</v>
      </c>
      <c r="AR83">
        <v>0</v>
      </c>
    </row>
    <row r="84" spans="1:44">
      <c r="A84" t="str">
        <f>H84&amp;COUNTIF($H$2:H84,H84)</f>
        <v>042</v>
      </c>
      <c r="B84" t="str">
        <f>F84&amp;COUNTIF($F$2:F84,F84)</f>
        <v>高雄工業 静岡10</v>
      </c>
      <c r="C84" t="str">
        <v>退社</v>
      </c>
      <c r="D84">
        <v>210408</v>
      </c>
      <c r="E84">
        <v>0</v>
      </c>
      <c r="F84" t="str">
        <v>高雄工業 静岡</v>
      </c>
      <c r="G84">
        <v>0</v>
      </c>
      <c r="H84">
        <v>0</v>
      </c>
      <c r="I84">
        <v>0</v>
      </c>
      <c r="J84" t="str">
        <v>NAMBU ALEXANDRE</v>
      </c>
      <c r="K84" t="str">
        <v>ナンブ　アレシャンドレ</v>
      </c>
      <c r="L84" t="str">
        <v>男</v>
      </c>
      <c r="M84" t="str">
        <v>ﾌﾞﾗｼﾞﾙ</v>
      </c>
      <c r="N84" s="31">
        <v>22947</v>
      </c>
      <c r="O84">
        <v>63</v>
      </c>
      <c r="P84">
        <v>1250</v>
      </c>
      <c r="Q84" t="str">
        <v>6/16~ \1200⇒\1250</v>
      </c>
      <c r="R84">
        <v>1750</v>
      </c>
      <c r="S84" t="str">
        <v>9/16~ 1600円→1750円</v>
      </c>
      <c r="T84">
        <v>500</v>
      </c>
      <c r="U84">
        <v>0</v>
      </c>
      <c r="V84" t="str">
        <v/>
      </c>
      <c r="W84" t="str">
        <v>0</v>
      </c>
      <c r="X84" t="str">
        <v/>
      </c>
      <c r="Y84" s="31">
        <v>45234</v>
      </c>
      <c r="Z84" t="str">
        <v/>
      </c>
      <c r="AA84" t="str">
        <v>日本人の配偶者</v>
      </c>
      <c r="AB84" t="str">
        <v>437-0066</v>
      </c>
      <c r="AC84" t="str">
        <v>静岡県袋井市山科3388-1</v>
      </c>
      <c r="AD84" t="str">
        <v>鶴松203</v>
      </c>
      <c r="AE84" s="31">
        <v>44288</v>
      </c>
      <c r="AF84" s="31">
        <v>44291</v>
      </c>
      <c r="AG84" s="31">
        <v>44551</v>
      </c>
      <c r="AH84" s="31">
        <v>0</v>
      </c>
      <c r="AI84">
        <v>44348</v>
      </c>
      <c r="AJ84">
        <v>0</v>
      </c>
      <c r="AK84">
        <v>0</v>
      </c>
      <c r="AL84">
        <v>44291</v>
      </c>
      <c r="AM84">
        <v>0</v>
      </c>
      <c r="AN84">
        <v>0</v>
      </c>
      <c r="AO84">
        <v>0</v>
      </c>
      <c r="AP84">
        <v>0</v>
      </c>
      <c r="AQ84">
        <v>0</v>
      </c>
      <c r="AR84">
        <v>0</v>
      </c>
    </row>
    <row r="85" spans="1:44">
      <c r="A85" t="str">
        <f>H85&amp;COUNTIF($H$2:H85,H85)</f>
        <v>043</v>
      </c>
      <c r="B85" t="str">
        <f>F85&amp;COUNTIF($F$2:F85,F85)</f>
        <v>プレテック2</v>
      </c>
      <c r="C85" t="str">
        <v>退社</v>
      </c>
      <c r="D85">
        <v>210409</v>
      </c>
      <c r="E85">
        <v>500001</v>
      </c>
      <c r="F85" t="str">
        <v>プレテック</v>
      </c>
      <c r="G85" t="str">
        <v>岡山工場製造部TF課６インチ担当</v>
      </c>
      <c r="H85">
        <v>0</v>
      </c>
      <c r="I85">
        <v>0</v>
      </c>
      <c r="J85" t="str">
        <v>DONG NGOC SON</v>
      </c>
      <c r="K85" t="str">
        <v>ドン　ゴック　ソン</v>
      </c>
      <c r="L85" t="str">
        <v>男</v>
      </c>
      <c r="M85" t="str">
        <v>ﾍﾞﾄﾅﾑ</v>
      </c>
      <c r="N85" s="31">
        <v>34843</v>
      </c>
      <c r="O85">
        <v>30</v>
      </c>
      <c r="P85">
        <v>1400</v>
      </c>
      <c r="Q85">
        <v>0</v>
      </c>
      <c r="R85">
        <v>1850</v>
      </c>
      <c r="S85" t="str">
        <v>入社4ヵ月後50円UP</v>
      </c>
      <c r="T85">
        <v>450</v>
      </c>
      <c r="U85">
        <v>300000</v>
      </c>
      <c r="V85">
        <v>15045</v>
      </c>
      <c r="W85" t="str">
        <v>0</v>
      </c>
      <c r="X85">
        <v>27450</v>
      </c>
      <c r="Y85" s="31">
        <v>45000</v>
      </c>
      <c r="Z85" t="str">
        <v/>
      </c>
      <c r="AA85" t="str">
        <v>技術・人文知識・国際業務</v>
      </c>
      <c r="AB85" t="str">
        <v>715-0023</v>
      </c>
      <c r="AC85" t="str">
        <v>岡山県井原市大江町3715番地</v>
      </c>
      <c r="AD85" t="str">
        <v>折口住宅3-7</v>
      </c>
      <c r="AE85" s="31" t="str">
        <v>個人</v>
      </c>
      <c r="AF85" s="31">
        <v>44291</v>
      </c>
      <c r="AG85" s="31">
        <v>44984</v>
      </c>
      <c r="AH85" s="31">
        <v>44671</v>
      </c>
      <c r="AI85">
        <v>44348</v>
      </c>
      <c r="AJ85" t="str">
        <v>OK</v>
      </c>
      <c r="AK85" t="str">
        <v>2021/4/5～2022/8/？？　2022/9/1~ﾌｪﾆﾃｯｸ岡山へ異動　2023/1/23～ﾌｪﾆﾃｯｸ岡山からプレテックへ異動</v>
      </c>
      <c r="AL85">
        <v>44291</v>
      </c>
      <c r="AM85">
        <v>0</v>
      </c>
      <c r="AN85">
        <v>0</v>
      </c>
      <c r="AO85">
        <v>0</v>
      </c>
      <c r="AP85">
        <v>0</v>
      </c>
      <c r="AQ85">
        <v>0</v>
      </c>
      <c r="AR85">
        <v>0</v>
      </c>
    </row>
    <row r="86" spans="1:44">
      <c r="A86" t="str">
        <f>H86&amp;COUNTIF($H$2:H86,H86)</f>
        <v>Fライン4</v>
      </c>
      <c r="B86" t="str">
        <f>F86&amp;COUNTIF($F$2:F86,F86)</f>
        <v>高雄工業 本社11</v>
      </c>
      <c r="C86" t="str">
        <v>在職中</v>
      </c>
      <c r="D86">
        <v>230505</v>
      </c>
      <c r="E86">
        <v>212039</v>
      </c>
      <c r="F86" t="str">
        <v>高雄工業 本社</v>
      </c>
      <c r="G86" t="str">
        <v>高雄工業株式会社 愛知事業所本社工場製作課</v>
      </c>
      <c r="H86" t="str">
        <v>Fライン</v>
      </c>
      <c r="I86" t="str">
        <v>CVJ部品短軸品の施削加工、NCプログラム修正</v>
      </c>
      <c r="J86" t="str">
        <v>NGUYEN VAN TY</v>
      </c>
      <c r="K86" t="str">
        <v>グエン　ヴァン　ティ</v>
      </c>
      <c r="L86" t="str">
        <v>男</v>
      </c>
      <c r="M86" t="str">
        <v>ﾍﾞﾄﾅﾑ</v>
      </c>
      <c r="N86" s="31">
        <v>35429</v>
      </c>
      <c r="O86">
        <v>28</v>
      </c>
      <c r="P86">
        <v>1310</v>
      </c>
      <c r="Q86">
        <v>0</v>
      </c>
      <c r="R86">
        <v>1720</v>
      </c>
      <c r="S86">
        <v>0</v>
      </c>
      <c r="T86">
        <v>410</v>
      </c>
      <c r="U86">
        <v>280000</v>
      </c>
      <c r="V86">
        <v>14042</v>
      </c>
      <c r="W86" t="str">
        <v>0</v>
      </c>
      <c r="X86">
        <v>25620</v>
      </c>
      <c r="Y86" s="31">
        <v>46902</v>
      </c>
      <c r="Z86" t="str">
        <v/>
      </c>
      <c r="AA86" t="str">
        <v>技術・人文知識・国際業務</v>
      </c>
      <c r="AB86" t="str">
        <v>498-0017</v>
      </c>
      <c r="AC86" t="str">
        <v>愛知県弥富市前ケ須町西勘助207番地</v>
      </c>
      <c r="AD86" t="str">
        <v>CASA弥富A105</v>
      </c>
      <c r="AE86" s="31">
        <v>45056</v>
      </c>
      <c r="AF86" s="31">
        <v>45061</v>
      </c>
      <c r="AG86" s="31">
        <v>0</v>
      </c>
      <c r="AH86" s="31">
        <v>0</v>
      </c>
      <c r="AI86" t="str">
        <v>23.6.1</v>
      </c>
      <c r="AJ86" t="str">
        <v>5/17林</v>
      </c>
      <c r="AK86">
        <v>0</v>
      </c>
      <c r="AL86">
        <v>45061</v>
      </c>
      <c r="AM86">
        <v>0</v>
      </c>
      <c r="AN86">
        <v>0</v>
      </c>
      <c r="AO86">
        <v>0</v>
      </c>
      <c r="AP86">
        <v>0</v>
      </c>
      <c r="AQ86">
        <v>0</v>
      </c>
      <c r="AR86">
        <v>0</v>
      </c>
    </row>
    <row r="87" spans="1:44">
      <c r="A87" t="str">
        <f>H87&amp;COUNTIF($H$2:H87,H87)</f>
        <v>州の崎工場製造3課5工区6班2</v>
      </c>
      <c r="B87" t="str">
        <f>F87&amp;COUNTIF($F$2:F87,F87)</f>
        <v>コーリツ 州の崎5</v>
      </c>
      <c r="C87" t="str">
        <v>退社</v>
      </c>
      <c r="D87">
        <v>210405</v>
      </c>
      <c r="E87">
        <v>8210009</v>
      </c>
      <c r="F87" t="str">
        <v>コーリツ 州の崎</v>
      </c>
      <c r="G87" t="str">
        <v>州の崎工場製造3課5工区6班</v>
      </c>
      <c r="H87" t="str">
        <v>州の崎工場製造3課5工区6班</v>
      </c>
      <c r="I87">
        <v>0</v>
      </c>
      <c r="J87" t="str">
        <v>DO XUAN HIEN</v>
      </c>
      <c r="K87" t="str">
        <v>ドー　スアン　ヒエン</v>
      </c>
      <c r="L87" t="str">
        <v>男</v>
      </c>
      <c r="M87" t="str">
        <v>ﾍﾞﾄﾅﾑ</v>
      </c>
      <c r="N87" s="31">
        <v>33072</v>
      </c>
      <c r="O87">
        <v>35</v>
      </c>
      <c r="P87">
        <v>1500</v>
      </c>
      <c r="Q87" t="str">
        <v>2021/5/21~　1400円⇒1500円</v>
      </c>
      <c r="R87">
        <v>2150</v>
      </c>
      <c r="S87">
        <v>0</v>
      </c>
      <c r="T87">
        <v>650</v>
      </c>
      <c r="U87">
        <v>360000</v>
      </c>
      <c r="V87">
        <v>18054</v>
      </c>
      <c r="W87" t="str">
        <v>0</v>
      </c>
      <c r="X87">
        <v>32940</v>
      </c>
      <c r="Y87" s="31">
        <v>46545</v>
      </c>
      <c r="Z87" t="str">
        <v/>
      </c>
      <c r="AA87" t="str">
        <v>技術・人文知識・国際業務</v>
      </c>
      <c r="AB87" t="str">
        <v>444-1311</v>
      </c>
      <c r="AC87" t="str">
        <v>愛知県高浜市本郷町１丁目３番地１</v>
      </c>
      <c r="AD87" t="str">
        <v>県営高取住宅3棟205号</v>
      </c>
      <c r="AE87" s="31" t="str">
        <v>個人</v>
      </c>
      <c r="AF87" s="31">
        <v>44291</v>
      </c>
      <c r="AG87" s="31">
        <v>45905</v>
      </c>
      <c r="AH87" s="31">
        <v>44508</v>
      </c>
      <c r="AI87">
        <v>44348</v>
      </c>
      <c r="AJ87" t="str">
        <v>OK</v>
      </c>
      <c r="AK87">
        <v>0</v>
      </c>
      <c r="AL87">
        <v>44291</v>
      </c>
      <c r="AM87" t="str">
        <v>小型二輪</v>
      </c>
      <c r="AN87">
        <v>46252</v>
      </c>
      <c r="AO87" t="str">
        <v>原付</v>
      </c>
      <c r="AP87">
        <v>45702</v>
      </c>
      <c r="AQ87">
        <v>0</v>
      </c>
      <c r="AR87">
        <v>0</v>
      </c>
    </row>
    <row r="88" spans="1:44">
      <c r="A88" t="str">
        <f>H88&amp;COUNTIF($H$2:H88,H88)</f>
        <v>六面加工1</v>
      </c>
      <c r="B88" t="str">
        <f>F88&amp;COUNTIF($F$2:F88,F88)</f>
        <v>高雄工業 本社12</v>
      </c>
      <c r="C88" t="str">
        <v>退社</v>
      </c>
      <c r="D88">
        <v>210410</v>
      </c>
      <c r="E88">
        <v>212011</v>
      </c>
      <c r="F88" t="str">
        <v>高雄工業 本社</v>
      </c>
      <c r="G88" t="str">
        <v>高雄工業株式会社 愛知事業所本社工場製作課</v>
      </c>
      <c r="H88" t="str">
        <v>六面加工</v>
      </c>
      <c r="I88">
        <v>0</v>
      </c>
      <c r="J88" t="str">
        <v>LE DINH TUAN</v>
      </c>
      <c r="K88" t="str">
        <v>レ　ディン　トゥアン</v>
      </c>
      <c r="L88" t="str">
        <v>男</v>
      </c>
      <c r="M88" t="str">
        <v>ﾍﾞﾄﾅﾑ</v>
      </c>
      <c r="N88" s="31">
        <v>35048</v>
      </c>
      <c r="O88">
        <v>29</v>
      </c>
      <c r="P88">
        <v>1400</v>
      </c>
      <c r="Q88" t="str">
        <v>6/16~ \1200⇒\1250</v>
      </c>
      <c r="R88">
        <v>1770</v>
      </c>
      <c r="S88" t="str">
        <v>9/16~ 1600円→1750円</v>
      </c>
      <c r="T88">
        <v>370</v>
      </c>
      <c r="U88">
        <v>0</v>
      </c>
      <c r="V88" t="str">
        <v/>
      </c>
      <c r="W88" t="str">
        <v>0</v>
      </c>
      <c r="X88" t="str">
        <v/>
      </c>
      <c r="Y88" s="31">
        <v>45003</v>
      </c>
      <c r="Z88" t="str">
        <v/>
      </c>
      <c r="AA88" t="str">
        <v>技術・人文知識・国際業務</v>
      </c>
      <c r="AB88" t="str">
        <v>498-0017</v>
      </c>
      <c r="AC88" t="str">
        <v>愛知県弥富市前ヶ須町南本田522-１</v>
      </c>
      <c r="AD88" t="str">
        <v>ﾐﾉﾔ弥冨ﾊｲﾂ502</v>
      </c>
      <c r="AE88" s="31">
        <v>44287</v>
      </c>
      <c r="AF88" s="31">
        <v>44295</v>
      </c>
      <c r="AG88" s="31">
        <v>44915</v>
      </c>
      <c r="AH88" s="31">
        <v>0</v>
      </c>
      <c r="AI88">
        <v>44348</v>
      </c>
      <c r="AJ88" t="str">
        <v>OK</v>
      </c>
      <c r="AK88">
        <v>0</v>
      </c>
      <c r="AL88">
        <v>44295</v>
      </c>
      <c r="AM88">
        <v>0</v>
      </c>
      <c r="AN88">
        <v>0</v>
      </c>
      <c r="AO88">
        <v>0</v>
      </c>
      <c r="AP88">
        <v>0</v>
      </c>
      <c r="AQ88">
        <v>0</v>
      </c>
      <c r="AR88">
        <v>0</v>
      </c>
    </row>
    <row r="89" spans="1:44">
      <c r="A89" t="str">
        <f>H89&amp;COUNTIF($H$2:H89,H89)</f>
        <v>HUB 検査課係.1</v>
      </c>
      <c r="B89" t="str">
        <f>F89&amp;COUNTIF($F$2:F89,F89)</f>
        <v>高雄工業 岡山10</v>
      </c>
      <c r="C89" t="str">
        <v>在職中</v>
      </c>
      <c r="D89">
        <v>210411</v>
      </c>
      <c r="E89">
        <v>232010</v>
      </c>
      <c r="F89" t="str">
        <v>高雄工業 岡山</v>
      </c>
      <c r="G89" t="str">
        <v>高雄工業株式会社 岡山品質保証部岡山HUB品証課</v>
      </c>
      <c r="H89" t="str">
        <v>HUB 検査課係.</v>
      </c>
      <c r="I89" t="str">
        <v>HUB旋削加工品の抜き取り検査</v>
      </c>
      <c r="J89" t="str">
        <v>NGUYEN THI KIM NHUNG</v>
      </c>
      <c r="K89" t="str">
        <v>グエン　ティ　キム　ニュン</v>
      </c>
      <c r="L89" t="str">
        <v>女</v>
      </c>
      <c r="M89" t="str">
        <v>ﾍﾞﾄﾅﾑ</v>
      </c>
      <c r="N89" s="31">
        <v>33193</v>
      </c>
      <c r="O89">
        <v>35</v>
      </c>
      <c r="P89">
        <v>1110</v>
      </c>
      <c r="Q89">
        <v>0</v>
      </c>
      <c r="R89">
        <v>1660</v>
      </c>
      <c r="S89" t="str">
        <v>9/16~ 1500円→1610円</v>
      </c>
      <c r="T89">
        <v>550</v>
      </c>
      <c r="U89">
        <v>118000</v>
      </c>
      <c r="V89">
        <v>5918</v>
      </c>
      <c r="W89" t="str">
        <v>0</v>
      </c>
      <c r="X89">
        <v>10797</v>
      </c>
      <c r="Y89" s="31">
        <v>46552</v>
      </c>
      <c r="Z89" t="str">
        <v/>
      </c>
      <c r="AA89" t="str">
        <v>家族滞在</v>
      </c>
      <c r="AB89" t="str">
        <v>709-2105</v>
      </c>
      <c r="AC89" t="str">
        <v>岡山県岡山市北区御津伊田44-2</v>
      </c>
      <c r="AD89">
        <v>0</v>
      </c>
      <c r="AE89" s="31" t="str">
        <v>個人</v>
      </c>
      <c r="AF89" s="31">
        <v>44298</v>
      </c>
      <c r="AG89" s="31">
        <v>0</v>
      </c>
      <c r="AH89" s="31">
        <v>0</v>
      </c>
      <c r="AI89">
        <v>44348</v>
      </c>
      <c r="AJ89" t="str">
        <v>OK</v>
      </c>
      <c r="AK89" t="str">
        <v>産後23年5月3日~6月27日 育休：6/28～2024年5月5日</v>
      </c>
      <c r="AL89">
        <v>44298</v>
      </c>
      <c r="AM89">
        <v>0</v>
      </c>
      <c r="AN89">
        <v>0</v>
      </c>
      <c r="AO89">
        <v>0</v>
      </c>
      <c r="AP89">
        <v>0</v>
      </c>
      <c r="AQ89">
        <v>0</v>
      </c>
      <c r="AR89">
        <v>0</v>
      </c>
    </row>
    <row r="90" spans="1:44">
      <c r="A90" t="str">
        <f>H90&amp;COUNTIF($H$2:H90,H90)</f>
        <v>一次旋係3</v>
      </c>
      <c r="B90" t="str">
        <f>F90&amp;COUNTIF($F$2:F90,F90)</f>
        <v>コーリツ 州の崎6</v>
      </c>
      <c r="C90" t="str">
        <v>退社</v>
      </c>
      <c r="D90">
        <v>210412</v>
      </c>
      <c r="E90">
        <v>0</v>
      </c>
      <c r="F90" t="str">
        <v>コーリツ 州の崎</v>
      </c>
      <c r="G90">
        <v>0</v>
      </c>
      <c r="H90" t="str">
        <v>一次旋係</v>
      </c>
      <c r="I90">
        <v>0</v>
      </c>
      <c r="J90" t="str">
        <v>CAO VAN TUYEN</v>
      </c>
      <c r="K90" t="str">
        <v>カオ　バン　トウエン</v>
      </c>
      <c r="L90" t="str">
        <v>男</v>
      </c>
      <c r="M90" t="str">
        <v>ﾍﾞﾄﾅﾑ</v>
      </c>
      <c r="N90" s="31">
        <v>30793</v>
      </c>
      <c r="O90">
        <v>41</v>
      </c>
      <c r="P90">
        <v>1400</v>
      </c>
      <c r="Q90">
        <v>0</v>
      </c>
      <c r="R90">
        <v>1990</v>
      </c>
      <c r="S90">
        <v>0</v>
      </c>
      <c r="T90">
        <v>590</v>
      </c>
      <c r="U90">
        <v>0</v>
      </c>
      <c r="V90" t="str">
        <v/>
      </c>
      <c r="W90" t="str">
        <v>0</v>
      </c>
      <c r="X90" t="str">
        <v/>
      </c>
      <c r="Y90" s="31">
        <v>45388</v>
      </c>
      <c r="Z90" t="str">
        <v/>
      </c>
      <c r="AA90" t="str">
        <v>技術・人文知識・国際業務</v>
      </c>
      <c r="AB90" t="str">
        <v>475-0078</v>
      </c>
      <c r="AC90" t="str">
        <v>愛知県半田市一ノ草町201-11</v>
      </c>
      <c r="AD90" t="str">
        <v>ﾒｿﾞﾝﾊﾟｰｸｱﾍﾞﾆｭｰ203</v>
      </c>
      <c r="AE90" s="31">
        <v>44369</v>
      </c>
      <c r="AF90" s="31">
        <v>44298</v>
      </c>
      <c r="AG90" s="31">
        <v>44678</v>
      </c>
      <c r="AH90" s="31">
        <v>44576</v>
      </c>
      <c r="AI90">
        <v>44348</v>
      </c>
      <c r="AJ90" t="str">
        <v>OK</v>
      </c>
      <c r="AK90" t="str">
        <v>ﾋﾙｽﾞｻﾝﾊﾟﾃｨｰｸ203 から個人のアパートに移動</v>
      </c>
      <c r="AL90">
        <v>44298</v>
      </c>
      <c r="AM90">
        <v>0</v>
      </c>
      <c r="AN90">
        <v>0</v>
      </c>
      <c r="AO90">
        <v>0</v>
      </c>
      <c r="AP90">
        <v>0</v>
      </c>
      <c r="AQ90">
        <v>0</v>
      </c>
      <c r="AR90">
        <v>0</v>
      </c>
    </row>
    <row r="91" spans="1:44">
      <c r="A91" t="str">
        <f>H91&amp;COUNTIF($H$2:H91,H91)</f>
        <v>044</v>
      </c>
      <c r="B91" t="str">
        <f>F91&amp;COUNTIF($F$2:F91,F91)</f>
        <v>高雄工業 静岡11</v>
      </c>
      <c r="C91" t="str">
        <v>退社</v>
      </c>
      <c r="D91">
        <v>210413</v>
      </c>
      <c r="E91">
        <v>0</v>
      </c>
      <c r="F91" t="str">
        <v>高雄工業 静岡</v>
      </c>
      <c r="G91">
        <v>0</v>
      </c>
      <c r="H91">
        <v>0</v>
      </c>
      <c r="I91">
        <v>0</v>
      </c>
      <c r="J91" t="str">
        <v>NGUYEN HUU PHUC</v>
      </c>
      <c r="K91" t="str">
        <v>グエン　フュ　フック</v>
      </c>
      <c r="L91" t="str">
        <v>男</v>
      </c>
      <c r="M91" t="str">
        <v>ﾍﾞﾄﾅﾑ</v>
      </c>
      <c r="N91" s="31">
        <v>33521</v>
      </c>
      <c r="O91">
        <v>34</v>
      </c>
      <c r="P91">
        <v>1200</v>
      </c>
      <c r="Q91">
        <v>0</v>
      </c>
      <c r="R91">
        <v>1600</v>
      </c>
      <c r="S91">
        <v>0</v>
      </c>
      <c r="T91">
        <v>400</v>
      </c>
      <c r="U91">
        <v>0</v>
      </c>
      <c r="V91" t="str">
        <v/>
      </c>
      <c r="W91" t="str">
        <v>0</v>
      </c>
      <c r="X91" t="str">
        <v/>
      </c>
      <c r="Y91" s="31">
        <v>44803</v>
      </c>
      <c r="Z91" t="str">
        <v/>
      </c>
      <c r="AA91" t="str">
        <v>技術・人文知識・国際業務</v>
      </c>
      <c r="AB91" t="str">
        <v>437-0015</v>
      </c>
      <c r="AC91" t="str">
        <v>静岡県袋井市旭町2-7-5</v>
      </c>
      <c r="AD91" t="str">
        <v>ﾌｨﾌﾃｨⅠ101</v>
      </c>
      <c r="AE91" s="31">
        <v>44295</v>
      </c>
      <c r="AF91" s="31">
        <v>44299</v>
      </c>
      <c r="AG91" s="31">
        <v>44317</v>
      </c>
      <c r="AH91" s="31">
        <v>0</v>
      </c>
      <c r="AI91">
        <v>44348</v>
      </c>
      <c r="AJ91">
        <v>0</v>
      </c>
      <c r="AK91">
        <v>0</v>
      </c>
      <c r="AL91">
        <v>44299</v>
      </c>
      <c r="AM91">
        <v>0</v>
      </c>
      <c r="AN91">
        <v>0</v>
      </c>
      <c r="AO91">
        <v>0</v>
      </c>
      <c r="AP91">
        <v>0</v>
      </c>
      <c r="AQ91">
        <v>0</v>
      </c>
      <c r="AR91">
        <v>0</v>
      </c>
    </row>
    <row r="92" spans="1:44">
      <c r="A92" t="str">
        <f>H92&amp;COUNTIF($H$2:H92,H92)</f>
        <v>045</v>
      </c>
      <c r="B92" t="str">
        <f>F92&amp;COUNTIF($F$2:F92,F92)</f>
        <v>高雄工業 静岡12</v>
      </c>
      <c r="C92" t="str">
        <v>退社</v>
      </c>
      <c r="D92">
        <v>210414</v>
      </c>
      <c r="E92">
        <v>0</v>
      </c>
      <c r="F92" t="str">
        <v>高雄工業 静岡</v>
      </c>
      <c r="G92">
        <v>0</v>
      </c>
      <c r="H92">
        <v>0</v>
      </c>
      <c r="I92">
        <v>0</v>
      </c>
      <c r="J92" t="str">
        <v>PHAN DINH THANH</v>
      </c>
      <c r="K92" t="str">
        <v>ファン　ディン　タァン</v>
      </c>
      <c r="L92" t="str">
        <v>男</v>
      </c>
      <c r="M92" t="str">
        <v>ﾍﾞﾄﾅﾑ</v>
      </c>
      <c r="N92" s="31">
        <v>33953</v>
      </c>
      <c r="O92">
        <v>32</v>
      </c>
      <c r="P92">
        <v>1200</v>
      </c>
      <c r="Q92">
        <v>0</v>
      </c>
      <c r="R92">
        <v>1600</v>
      </c>
      <c r="S92">
        <v>0</v>
      </c>
      <c r="T92">
        <v>400</v>
      </c>
      <c r="U92">
        <v>0</v>
      </c>
      <c r="V92" t="str">
        <v/>
      </c>
      <c r="W92" t="str">
        <v>0</v>
      </c>
      <c r="X92" t="str">
        <v/>
      </c>
      <c r="Y92" s="31">
        <v>0</v>
      </c>
      <c r="Z92" t="str">
        <v/>
      </c>
      <c r="AA92" t="str">
        <v>技術・人文知識・国際業務</v>
      </c>
      <c r="AB92" t="str">
        <v>437-0015</v>
      </c>
      <c r="AC92" t="str">
        <v>静岡県袋井市旭町2-7-5</v>
      </c>
      <c r="AD92" t="str">
        <v>ﾌｨﾌﾃｨⅠ101</v>
      </c>
      <c r="AE92" s="31">
        <v>44298</v>
      </c>
      <c r="AF92" s="31">
        <v>44299</v>
      </c>
      <c r="AG92" s="31">
        <v>44344</v>
      </c>
      <c r="AH92" s="31">
        <v>0</v>
      </c>
      <c r="AI92">
        <v>44348</v>
      </c>
      <c r="AJ92">
        <v>0</v>
      </c>
      <c r="AK92">
        <v>0</v>
      </c>
      <c r="AL92">
        <v>44299</v>
      </c>
      <c r="AM92">
        <v>0</v>
      </c>
      <c r="AN92">
        <v>0</v>
      </c>
      <c r="AO92">
        <v>0</v>
      </c>
      <c r="AP92">
        <v>0</v>
      </c>
      <c r="AQ92">
        <v>0</v>
      </c>
      <c r="AR92">
        <v>0</v>
      </c>
    </row>
    <row r="93" spans="1:44">
      <c r="A93" t="str">
        <f>H93&amp;COUNTIF($H$2:H93,H93)</f>
        <v>046</v>
      </c>
      <c r="B93" t="str">
        <f>F93&amp;COUNTIF($F$2:F93,F93)</f>
        <v>ﾌｪﾆﾃｯｸｾﾐｺﾝﾀﾞｸﾀｰ 鹿児島1</v>
      </c>
      <c r="C93" t="str">
        <v>退社</v>
      </c>
      <c r="D93">
        <v>210415</v>
      </c>
      <c r="E93">
        <v>0</v>
      </c>
      <c r="F93" t="str">
        <v>ﾌｪﾆﾃｯｸｾﾐｺﾝﾀﾞｸﾀｰ 鹿児島</v>
      </c>
      <c r="G93" t="str">
        <v>鹿児島工場　製造部　製造課</v>
      </c>
      <c r="H93">
        <v>0</v>
      </c>
      <c r="I93">
        <v>0</v>
      </c>
      <c r="J93" t="str">
        <v>TRAN QUOC THOM</v>
      </c>
      <c r="K93" t="str">
        <v>チャン　クオック　トム</v>
      </c>
      <c r="L93" t="str">
        <v>男</v>
      </c>
      <c r="M93" t="str">
        <v>ﾍﾞﾄﾅﾑ</v>
      </c>
      <c r="N93" s="31">
        <v>33411</v>
      </c>
      <c r="O93">
        <v>34</v>
      </c>
      <c r="P93">
        <v>1500</v>
      </c>
      <c r="Q93">
        <v>0</v>
      </c>
      <c r="R93">
        <v>2000</v>
      </c>
      <c r="S93" t="str">
        <v>2022/7/1~ 1900円⇒2000円</v>
      </c>
      <c r="T93">
        <v>500</v>
      </c>
      <c r="U93">
        <v>0</v>
      </c>
      <c r="V93" t="str">
        <v/>
      </c>
      <c r="W93" t="str">
        <v>0</v>
      </c>
      <c r="X93" t="str">
        <v/>
      </c>
      <c r="Y93" s="31">
        <v>45423</v>
      </c>
      <c r="Z93" t="str">
        <v/>
      </c>
      <c r="AA93" t="str">
        <v>技術・人文知識・国際業務</v>
      </c>
      <c r="AB93" t="str">
        <v>899-6202</v>
      </c>
      <c r="AC93" t="str">
        <v>鹿児島県姶良郡湧水町北方850番地</v>
      </c>
      <c r="AD93" t="str">
        <v>京田住宅2号棟223号室</v>
      </c>
      <c r="AE93" s="31" t="str">
        <v>個人</v>
      </c>
      <c r="AF93" s="31">
        <v>44301</v>
      </c>
      <c r="AG93" s="31">
        <v>44834</v>
      </c>
      <c r="AH93" s="31">
        <v>0</v>
      </c>
      <c r="AI93">
        <v>44378</v>
      </c>
      <c r="AJ93" t="str">
        <v>OK</v>
      </c>
      <c r="AK93">
        <v>0</v>
      </c>
      <c r="AL93">
        <v>44301</v>
      </c>
      <c r="AM93">
        <v>0</v>
      </c>
      <c r="AN93">
        <v>0</v>
      </c>
      <c r="AO93">
        <v>0</v>
      </c>
      <c r="AP93">
        <v>0</v>
      </c>
      <c r="AQ93">
        <v>0</v>
      </c>
      <c r="AR93">
        <v>0</v>
      </c>
    </row>
    <row r="94" spans="1:44">
      <c r="A94" t="str">
        <f>H94&amp;COUNTIF($H$2:H94,H94)</f>
        <v>手動旋削1</v>
      </c>
      <c r="B94" t="str">
        <f>F94&amp;COUNTIF($F$2:F94,F94)</f>
        <v>高雄工業 静岡13</v>
      </c>
      <c r="C94" t="str">
        <v>退社</v>
      </c>
      <c r="D94">
        <v>210416</v>
      </c>
      <c r="E94">
        <v>242016</v>
      </c>
      <c r="F94" t="str">
        <v>高雄工業 静岡</v>
      </c>
      <c r="G94" t="str">
        <v>高雄工業株式会社 静岡事業所第一工場製作課</v>
      </c>
      <c r="H94" t="str">
        <v>手動旋削</v>
      </c>
      <c r="I94" t="str">
        <v>CVJ部品短軸品の施削加工、NCプログラム修正</v>
      </c>
      <c r="J94" t="str">
        <v>NGUYEN XUAN DUY</v>
      </c>
      <c r="K94" t="str">
        <v>グエン　スアン　ズイ</v>
      </c>
      <c r="L94" t="str">
        <v>男</v>
      </c>
      <c r="M94" t="str">
        <v>ﾍﾞﾄﾅﾑ</v>
      </c>
      <c r="N94" s="31">
        <v>33527</v>
      </c>
      <c r="O94">
        <v>34</v>
      </c>
      <c r="P94">
        <v>1410</v>
      </c>
      <c r="Q94">
        <v>0</v>
      </c>
      <c r="R94">
        <v>1830</v>
      </c>
      <c r="S94" t="str">
        <v>9/16~ 1600円→1750円</v>
      </c>
      <c r="T94">
        <v>420</v>
      </c>
      <c r="U94">
        <v>320000</v>
      </c>
      <c r="V94">
        <v>16048</v>
      </c>
      <c r="W94" t="str">
        <v>0</v>
      </c>
      <c r="X94">
        <v>29280</v>
      </c>
      <c r="Y94" s="31">
        <v>46529</v>
      </c>
      <c r="Z94" t="str">
        <v/>
      </c>
      <c r="AA94" t="str">
        <v>技術・人文知識・国際業務</v>
      </c>
      <c r="AB94" t="str">
        <v>437-0065</v>
      </c>
      <c r="AC94" t="str">
        <v>静岡県袋井市久能1744番地1</v>
      </c>
      <c r="AD94" t="str">
        <v>ｱﾙｺ･ﾊﾞﾚｰﾉ205</v>
      </c>
      <c r="AE94" s="31">
        <v>44896</v>
      </c>
      <c r="AF94" s="31">
        <v>44305</v>
      </c>
      <c r="AG94" s="31">
        <v>45667</v>
      </c>
      <c r="AH94" s="31">
        <v>44408</v>
      </c>
      <c r="AI94">
        <v>44378</v>
      </c>
      <c r="AJ94" t="str">
        <v>OK</v>
      </c>
      <c r="AK94">
        <v>0</v>
      </c>
      <c r="AL94">
        <v>44305</v>
      </c>
      <c r="AM94">
        <v>0</v>
      </c>
      <c r="AN94">
        <v>0</v>
      </c>
      <c r="AO94">
        <v>0</v>
      </c>
      <c r="AP94">
        <v>0</v>
      </c>
      <c r="AQ94">
        <v>0</v>
      </c>
      <c r="AR94">
        <v>0</v>
      </c>
    </row>
    <row r="95" spans="1:44">
      <c r="A95" t="str">
        <f>H95&amp;COUNTIF($H$2:H95,H95)</f>
        <v>047</v>
      </c>
      <c r="B95" t="str">
        <f>F95&amp;COUNTIF($F$2:F95,F95)</f>
        <v>ﾌｪﾆﾃｯｸｾﾐｺﾝﾀﾞｸﾀｰ 岡山5</v>
      </c>
      <c r="C95" t="str">
        <v>退社</v>
      </c>
      <c r="D95">
        <v>210417</v>
      </c>
      <c r="E95">
        <v>83505</v>
      </c>
      <c r="F95" t="str">
        <v>ﾌｪﾆﾃｯｸｾﾐｺﾝﾀﾞｸﾀｰ 岡山</v>
      </c>
      <c r="G95" t="str">
        <v>岡山工場製造部DF課６インチ担当</v>
      </c>
      <c r="H95">
        <v>0</v>
      </c>
      <c r="I95">
        <v>0</v>
      </c>
      <c r="J95" t="str">
        <v>LE XUAN CU</v>
      </c>
      <c r="K95" t="str">
        <v>レー　スアン　クー</v>
      </c>
      <c r="L95" t="str">
        <v>男</v>
      </c>
      <c r="M95" t="str">
        <v>ﾍﾞﾄﾅﾑ</v>
      </c>
      <c r="N95" s="31">
        <v>33593</v>
      </c>
      <c r="O95">
        <v>33</v>
      </c>
      <c r="P95">
        <v>1500</v>
      </c>
      <c r="Q95" t="str">
        <v>2021/7/21～　1400⇒1500</v>
      </c>
      <c r="R95">
        <v>2300</v>
      </c>
      <c r="S95">
        <v>0</v>
      </c>
      <c r="T95">
        <v>800</v>
      </c>
      <c r="U95">
        <v>340000</v>
      </c>
      <c r="V95">
        <v>17051</v>
      </c>
      <c r="W95" t="str">
        <v>0</v>
      </c>
      <c r="X95">
        <v>31110</v>
      </c>
      <c r="Y95" s="31">
        <v>44996</v>
      </c>
      <c r="Z95" t="str">
        <v/>
      </c>
      <c r="AA95" t="str">
        <v>技術・人文知識・国際業務</v>
      </c>
      <c r="AB95" t="str">
        <v>715-0004</v>
      </c>
      <c r="AC95" t="str">
        <v>岡山県井原市木之子町94番地1</v>
      </c>
      <c r="AD95" t="str">
        <v>ﾋﾞﾚｯｼﾞﾊｳｽ木之子1-104</v>
      </c>
      <c r="AE95" s="31" t="str">
        <v>個人</v>
      </c>
      <c r="AF95" s="31">
        <v>44306</v>
      </c>
      <c r="AG95" s="31">
        <v>45015</v>
      </c>
      <c r="AH95" s="31">
        <v>0</v>
      </c>
      <c r="AI95">
        <v>44378</v>
      </c>
      <c r="AJ95" t="str">
        <v>OK</v>
      </c>
      <c r="AK95">
        <v>0</v>
      </c>
      <c r="AL95">
        <v>44306</v>
      </c>
      <c r="AM95">
        <v>0</v>
      </c>
      <c r="AN95">
        <v>0</v>
      </c>
      <c r="AO95">
        <v>0</v>
      </c>
      <c r="AP95">
        <v>0</v>
      </c>
      <c r="AQ95">
        <v>0</v>
      </c>
      <c r="AR95">
        <v>0</v>
      </c>
    </row>
    <row r="96" spans="1:44">
      <c r="A96" t="str">
        <f>H96&amp;COUNTIF($H$2:H96,H96)</f>
        <v>048</v>
      </c>
      <c r="B96" t="str">
        <f>F96&amp;COUNTIF($F$2:F96,F96)</f>
        <v>セイビテック1</v>
      </c>
      <c r="C96" t="str">
        <v>退社</v>
      </c>
      <c r="D96">
        <v>210418</v>
      </c>
      <c r="E96">
        <v>500003</v>
      </c>
      <c r="F96" t="str">
        <v>セイビテック</v>
      </c>
      <c r="G96" t="str">
        <v>製造部DCG課検査CHIP</v>
      </c>
      <c r="H96">
        <v>0</v>
      </c>
      <c r="I96">
        <v>0</v>
      </c>
      <c r="J96" t="str">
        <v>LE VAN HUNG</v>
      </c>
      <c r="K96" t="str">
        <v>レ　ヴァン　ホウン</v>
      </c>
      <c r="L96" t="str">
        <v>男</v>
      </c>
      <c r="M96" t="str">
        <v>ﾍﾞﾄﾅﾑ</v>
      </c>
      <c r="N96" s="31">
        <v>36040</v>
      </c>
      <c r="O96">
        <v>27</v>
      </c>
      <c r="P96">
        <v>1400</v>
      </c>
      <c r="Q96">
        <v>0</v>
      </c>
      <c r="R96">
        <v>2000</v>
      </c>
      <c r="S96">
        <v>0</v>
      </c>
      <c r="T96">
        <v>600</v>
      </c>
      <c r="U96">
        <v>0</v>
      </c>
      <c r="V96" t="str">
        <v/>
      </c>
      <c r="W96" t="str">
        <v>0</v>
      </c>
      <c r="X96" t="str">
        <v/>
      </c>
      <c r="Y96" s="31">
        <v>46018</v>
      </c>
      <c r="Z96" t="str">
        <v/>
      </c>
      <c r="AA96" t="str">
        <v>技術・人文知識・国際業務</v>
      </c>
      <c r="AB96" t="str">
        <v>715-0021</v>
      </c>
      <c r="AC96" t="str">
        <v>岡山県井原市上出部町171番地1</v>
      </c>
      <c r="AD96" t="str">
        <v>ﾌｧﾐｰﾙいずえ102</v>
      </c>
      <c r="AE96" s="31">
        <v>44306</v>
      </c>
      <c r="AF96" s="31">
        <v>44307</v>
      </c>
      <c r="AG96" s="31">
        <v>44841</v>
      </c>
      <c r="AH96" s="31">
        <v>0</v>
      </c>
      <c r="AI96">
        <v>44378</v>
      </c>
      <c r="AJ96" t="str">
        <v>OK</v>
      </c>
      <c r="AK96">
        <v>0</v>
      </c>
      <c r="AL96">
        <v>44307</v>
      </c>
      <c r="AM96">
        <v>0</v>
      </c>
      <c r="AN96">
        <v>0</v>
      </c>
      <c r="AO96">
        <v>0</v>
      </c>
      <c r="AP96">
        <v>0</v>
      </c>
      <c r="AQ96">
        <v>0</v>
      </c>
      <c r="AR96">
        <v>0</v>
      </c>
    </row>
    <row r="97" spans="1:44">
      <c r="A97" t="str">
        <f>H97&amp;COUNTIF($H$2:H97,H97)</f>
        <v>049</v>
      </c>
      <c r="B97" t="str">
        <f>F97&amp;COUNTIF($F$2:F97,F97)</f>
        <v>三芳1</v>
      </c>
      <c r="C97" t="str">
        <v>退社</v>
      </c>
      <c r="D97">
        <v>210419</v>
      </c>
      <c r="E97">
        <v>0</v>
      </c>
      <c r="F97" t="str">
        <v>三芳</v>
      </c>
      <c r="G97">
        <v>0</v>
      </c>
      <c r="H97">
        <v>0</v>
      </c>
      <c r="I97">
        <v>0</v>
      </c>
      <c r="J97" t="str">
        <v>TRAN DINH CHAU</v>
      </c>
      <c r="K97" t="str">
        <v>チャン　ディン　チャウ</v>
      </c>
      <c r="L97" t="str">
        <v>男</v>
      </c>
      <c r="M97" t="str">
        <v>ﾍﾞﾄﾅﾑ</v>
      </c>
      <c r="N97" s="31">
        <v>31537</v>
      </c>
      <c r="O97">
        <v>39</v>
      </c>
      <c r="P97">
        <v>1400</v>
      </c>
      <c r="Q97" t="str">
        <v>1/21~ 1300円→1400円へUP</v>
      </c>
      <c r="R97">
        <v>1750</v>
      </c>
      <c r="S97">
        <v>0</v>
      </c>
      <c r="T97">
        <v>350</v>
      </c>
      <c r="U97">
        <v>280000</v>
      </c>
      <c r="V97">
        <v>14042</v>
      </c>
      <c r="W97" t="str">
        <v>0</v>
      </c>
      <c r="X97">
        <v>25620</v>
      </c>
      <c r="Y97" s="31">
        <v>45671</v>
      </c>
      <c r="Z97" t="str">
        <v/>
      </c>
      <c r="AA97" t="str">
        <v>技術・人文知識・国際業務</v>
      </c>
      <c r="AB97" t="str">
        <v>470-0162</v>
      </c>
      <c r="AC97" t="str">
        <v>愛知県愛知郡東郷町大字春木字涼松228-6</v>
      </c>
      <c r="AD97" t="str">
        <v>ﾌﾟﾁｼｬﾄｰ101号室</v>
      </c>
      <c r="AE97" s="31">
        <v>44305</v>
      </c>
      <c r="AF97" s="31">
        <v>44308</v>
      </c>
      <c r="AG97" s="31">
        <v>45065</v>
      </c>
      <c r="AH97" s="31">
        <v>0</v>
      </c>
      <c r="AI97">
        <v>44378</v>
      </c>
      <c r="AJ97" t="str">
        <v>OK</v>
      </c>
      <c r="AK97">
        <v>0</v>
      </c>
      <c r="AL97">
        <v>44308</v>
      </c>
      <c r="AM97">
        <v>0</v>
      </c>
      <c r="AN97">
        <v>0</v>
      </c>
      <c r="AO97">
        <v>0</v>
      </c>
      <c r="AP97">
        <v>0</v>
      </c>
      <c r="AQ97">
        <v>0</v>
      </c>
      <c r="AR97">
        <v>0</v>
      </c>
    </row>
    <row r="98" spans="1:44">
      <c r="A98" t="str">
        <f>H98&amp;COUNTIF($H$2:H98,H98)</f>
        <v>050</v>
      </c>
      <c r="B98" t="str">
        <f>F98&amp;COUNTIF($F$2:F98,F98)</f>
        <v>セイビテック2</v>
      </c>
      <c r="C98" t="str">
        <v>退社</v>
      </c>
      <c r="D98">
        <v>210420</v>
      </c>
      <c r="E98">
        <v>500002</v>
      </c>
      <c r="F98" t="str">
        <v>セイビテック</v>
      </c>
      <c r="G98" t="str">
        <v>製造部DCG課検査CHIP</v>
      </c>
      <c r="H98">
        <v>0</v>
      </c>
      <c r="I98">
        <v>0</v>
      </c>
      <c r="J98" t="str">
        <v>TRAN VAN HUY</v>
      </c>
      <c r="K98" t="str">
        <v>チャン　バン　フィ</v>
      </c>
      <c r="L98" t="str">
        <v>男</v>
      </c>
      <c r="M98" t="str">
        <v>ﾍﾞﾄﾅﾑ</v>
      </c>
      <c r="N98" s="31">
        <v>33714</v>
      </c>
      <c r="O98">
        <v>33</v>
      </c>
      <c r="P98">
        <v>1400</v>
      </c>
      <c r="Q98">
        <v>0</v>
      </c>
      <c r="R98">
        <v>2000</v>
      </c>
      <c r="S98">
        <v>0</v>
      </c>
      <c r="T98">
        <v>600</v>
      </c>
      <c r="U98">
        <v>0</v>
      </c>
      <c r="V98" t="str">
        <v/>
      </c>
      <c r="W98" t="str">
        <v>0</v>
      </c>
      <c r="X98" t="str">
        <v/>
      </c>
      <c r="Y98" s="31">
        <v>44970</v>
      </c>
      <c r="Z98" t="str">
        <v/>
      </c>
      <c r="AA98" t="str">
        <v>技術・人文知識・国際業務</v>
      </c>
      <c r="AB98" t="str">
        <v>715-0024</v>
      </c>
      <c r="AC98" t="str">
        <v>岡山県井原市高屋町5丁目11-6</v>
      </c>
      <c r="AD98" t="str">
        <v>ﾀｶﾞﾐﾊｲﾑ102</v>
      </c>
      <c r="AE98" s="31">
        <v>44311</v>
      </c>
      <c r="AF98" s="31">
        <v>44312</v>
      </c>
      <c r="AG98" s="31">
        <v>44859</v>
      </c>
      <c r="AH98" s="31">
        <v>0</v>
      </c>
      <c r="AI98">
        <v>44378</v>
      </c>
      <c r="AJ98" t="str">
        <v>OK</v>
      </c>
      <c r="AK98">
        <v>0</v>
      </c>
      <c r="AL98">
        <v>44312</v>
      </c>
      <c r="AM98">
        <v>0</v>
      </c>
      <c r="AN98">
        <v>0</v>
      </c>
      <c r="AO98">
        <v>0</v>
      </c>
      <c r="AP98">
        <v>0</v>
      </c>
      <c r="AQ98">
        <v>0</v>
      </c>
      <c r="AR98">
        <v>0</v>
      </c>
    </row>
    <row r="99" spans="1:44">
      <c r="A99" t="str">
        <f>H99&amp;COUNTIF($H$2:H99,H99)</f>
        <v>等速ジョイント1</v>
      </c>
      <c r="B99" t="str">
        <f>F99&amp;COUNTIF($F$2:F99,F99)</f>
        <v>瑞陵精機2</v>
      </c>
      <c r="C99" t="str">
        <v>在職中</v>
      </c>
      <c r="D99">
        <v>210421</v>
      </c>
      <c r="E99">
        <v>410001</v>
      </c>
      <c r="F99" t="str">
        <v>瑞陵精機</v>
      </c>
      <c r="G99" t="str">
        <v>製造課</v>
      </c>
      <c r="H99" t="str">
        <v>等速ジョイント</v>
      </c>
      <c r="I99" t="str">
        <v>ＮＣ旋盤、マシニングセンター等の工作機械を使いオペレーターとして製造ラインで製品を加工</v>
      </c>
      <c r="J99" t="str">
        <v>VU NGOC HAI</v>
      </c>
      <c r="K99" t="str">
        <v>ヴ　ゴク　ハイ</v>
      </c>
      <c r="L99" t="str">
        <v>男</v>
      </c>
      <c r="M99" t="str">
        <v>ﾍﾞﾄﾅﾑ</v>
      </c>
      <c r="N99" s="31">
        <v>34027</v>
      </c>
      <c r="O99">
        <v>32</v>
      </c>
      <c r="P99">
        <v>1350</v>
      </c>
      <c r="Q99" t="str">
        <v>2022/4/21～　1320円→1350円</v>
      </c>
      <c r="R99">
        <v>1750</v>
      </c>
      <c r="S99">
        <v>0</v>
      </c>
      <c r="T99">
        <v>400</v>
      </c>
      <c r="U99">
        <v>280000</v>
      </c>
      <c r="V99">
        <v>14042</v>
      </c>
      <c r="W99" t="str">
        <v>0</v>
      </c>
      <c r="X99">
        <v>25620</v>
      </c>
      <c r="Y99" s="31">
        <v>46178</v>
      </c>
      <c r="Z99" t="str">
        <v/>
      </c>
      <c r="AA99" t="str">
        <v>技術・人文知識・国際業務</v>
      </c>
      <c r="AB99" t="str">
        <v>509-7201</v>
      </c>
      <c r="AC99" t="str">
        <v>岐阜県恵那市大井町526-7</v>
      </c>
      <c r="AD99" t="str">
        <v>ﾄﾗｯﾄﾞｼﾏﾀﾞ203</v>
      </c>
      <c r="AE99" s="31" t="str">
        <v>個人</v>
      </c>
      <c r="AF99" s="31">
        <v>44312</v>
      </c>
      <c r="AG99" s="31">
        <v>0</v>
      </c>
      <c r="AH99" s="31">
        <v>0</v>
      </c>
      <c r="AI99">
        <v>44378</v>
      </c>
      <c r="AJ99" t="str">
        <v>OK</v>
      </c>
      <c r="AK99">
        <v>0</v>
      </c>
      <c r="AL99">
        <v>44312</v>
      </c>
      <c r="AM99">
        <v>0</v>
      </c>
      <c r="AN99">
        <v>0</v>
      </c>
      <c r="AO99">
        <v>0</v>
      </c>
      <c r="AP99">
        <v>0</v>
      </c>
      <c r="AQ99">
        <v>0</v>
      </c>
      <c r="AR99">
        <v>0</v>
      </c>
    </row>
    <row r="100" spans="1:44">
      <c r="A100" t="str">
        <f>H100&amp;COUNTIF($H$2:H100,H100)</f>
        <v>旋盤ライン8</v>
      </c>
      <c r="B100" t="str">
        <f>F100&amp;COUNTIF($F$2:F100,F100)</f>
        <v>川原鉄工所8</v>
      </c>
      <c r="C100" t="str">
        <v>退社</v>
      </c>
      <c r="D100">
        <v>210422</v>
      </c>
      <c r="E100">
        <v>0</v>
      </c>
      <c r="F100" t="str">
        <v>川原鉄工所</v>
      </c>
      <c r="G100" t="str">
        <v>製造部</v>
      </c>
      <c r="H100" t="str">
        <v>旋盤ライン</v>
      </c>
      <c r="I100" t="str">
        <v>ATミッション部品をはじめとする、各種自動車部品の製造</v>
      </c>
      <c r="J100" t="str">
        <v>TRAN DINH VINH</v>
      </c>
      <c r="K100" t="str">
        <v>チャン　ディン　ヴィン</v>
      </c>
      <c r="L100" t="str">
        <v>男</v>
      </c>
      <c r="M100" t="str">
        <v>ﾍﾞﾄﾅﾑ</v>
      </c>
      <c r="N100" s="31">
        <v>32470</v>
      </c>
      <c r="O100">
        <v>37</v>
      </c>
      <c r="P100">
        <v>1300</v>
      </c>
      <c r="Q100">
        <v>0</v>
      </c>
      <c r="R100">
        <v>1650</v>
      </c>
      <c r="S100" t="str">
        <v>9/21　1600円→1650円</v>
      </c>
      <c r="T100">
        <v>350</v>
      </c>
      <c r="U100">
        <v>0</v>
      </c>
      <c r="V100" t="str">
        <v/>
      </c>
      <c r="W100" t="str">
        <v>0</v>
      </c>
      <c r="X100" t="str">
        <v/>
      </c>
      <c r="Y100" s="31">
        <v>45431</v>
      </c>
      <c r="Z100" t="str">
        <v/>
      </c>
      <c r="AA100" t="str">
        <v>技術・人文知識・国際業務</v>
      </c>
      <c r="AB100" t="str">
        <v>455-0046</v>
      </c>
      <c r="AC100" t="str">
        <v>愛知県名古屋市港区大手町2丁目31</v>
      </c>
      <c r="AD100" t="str">
        <v>ﾀﾞｲｺｰﾏﾝｼｮﾝ302</v>
      </c>
      <c r="AE100" s="31">
        <v>44309</v>
      </c>
      <c r="AF100" s="31">
        <v>44312</v>
      </c>
      <c r="AG100" s="31">
        <v>44638</v>
      </c>
      <c r="AH100" s="31">
        <v>0</v>
      </c>
      <c r="AI100">
        <v>44378</v>
      </c>
      <c r="AJ100">
        <v>0</v>
      </c>
      <c r="AK100">
        <v>0</v>
      </c>
      <c r="AL100">
        <v>44312</v>
      </c>
      <c r="AM100">
        <v>0</v>
      </c>
      <c r="AN100">
        <v>0</v>
      </c>
      <c r="AO100">
        <v>0</v>
      </c>
      <c r="AP100">
        <v>0</v>
      </c>
      <c r="AQ100">
        <v>0</v>
      </c>
      <c r="AR100">
        <v>0</v>
      </c>
    </row>
    <row r="101" spans="1:44">
      <c r="A101" t="str">
        <f>H101&amp;COUNTIF($H$2:H101,H101)</f>
        <v>051</v>
      </c>
      <c r="B101" t="str">
        <f>F101&amp;COUNTIF($F$2:F101,F101)</f>
        <v>ﾌｪﾆﾃｯｸｾﾐｺﾝﾀﾞｸﾀｰ 鹿児島2</v>
      </c>
      <c r="C101" t="str">
        <v>退社</v>
      </c>
      <c r="D101">
        <v>210423</v>
      </c>
      <c r="E101">
        <v>0</v>
      </c>
      <c r="F101" t="str">
        <v>ﾌｪﾆﾃｯｸｾﾐｺﾝﾀﾞｸﾀｰ 鹿児島</v>
      </c>
      <c r="G101" t="str">
        <v>鹿児島工場　製造部　製造課</v>
      </c>
      <c r="H101">
        <v>0</v>
      </c>
      <c r="I101">
        <v>0</v>
      </c>
      <c r="J101" t="str">
        <v>NGO THI MAI</v>
      </c>
      <c r="K101" t="str">
        <v>ゴ　ティ　マイ</v>
      </c>
      <c r="L101" t="str">
        <v>女</v>
      </c>
      <c r="M101" t="str">
        <v>ﾍﾞﾄﾅﾑ</v>
      </c>
      <c r="N101" s="31">
        <v>33340</v>
      </c>
      <c r="O101">
        <v>34</v>
      </c>
      <c r="P101">
        <v>1400</v>
      </c>
      <c r="Q101">
        <v>0</v>
      </c>
      <c r="R101">
        <v>2000</v>
      </c>
      <c r="S101">
        <v>0</v>
      </c>
      <c r="T101">
        <v>600</v>
      </c>
      <c r="U101">
        <v>180000</v>
      </c>
      <c r="V101">
        <v>9027</v>
      </c>
      <c r="W101" t="str">
        <v>0</v>
      </c>
      <c r="X101">
        <v>16470</v>
      </c>
      <c r="Y101" s="31">
        <v>45388</v>
      </c>
      <c r="Z101" t="str">
        <v/>
      </c>
      <c r="AA101" t="str">
        <v>技術・人文知識・国際業務</v>
      </c>
      <c r="AB101" t="str">
        <v>899-6202</v>
      </c>
      <c r="AC101" t="str">
        <v>鹿児島県姶良郡湧水町北方850番地</v>
      </c>
      <c r="AD101" t="str">
        <v>京田住宅2号棟223号室</v>
      </c>
      <c r="AE101" s="31" t="str">
        <v>個人</v>
      </c>
      <c r="AF101" s="31">
        <v>44313</v>
      </c>
      <c r="AG101" s="31">
        <v>45023</v>
      </c>
      <c r="AH101" s="31">
        <v>0</v>
      </c>
      <c r="AI101">
        <v>44378</v>
      </c>
      <c r="AJ101" t="str">
        <v>OK</v>
      </c>
      <c r="AK101" t="str">
        <v>育休22/12/1まで</v>
      </c>
      <c r="AL101">
        <v>44313</v>
      </c>
      <c r="AM101">
        <v>0</v>
      </c>
      <c r="AN101">
        <v>0</v>
      </c>
      <c r="AO101">
        <v>0</v>
      </c>
      <c r="AP101">
        <v>0</v>
      </c>
      <c r="AQ101">
        <v>0</v>
      </c>
      <c r="AR101">
        <v>0</v>
      </c>
    </row>
    <row r="102" spans="1:44">
      <c r="A102" t="str">
        <f>H102&amp;COUNTIF($H$2:H102,H102)</f>
        <v>052</v>
      </c>
      <c r="B102" t="str">
        <f>F102&amp;COUNTIF($F$2:F102,F102)</f>
        <v>ﾌｪﾆﾃｯｸｾﾐｺﾝﾀﾞｸﾀｰ 鹿児島3</v>
      </c>
      <c r="C102" t="str">
        <v>退社</v>
      </c>
      <c r="D102">
        <v>210424</v>
      </c>
      <c r="E102">
        <v>0</v>
      </c>
      <c r="F102" t="str">
        <v>ﾌｪﾆﾃｯｸｾﾐｺﾝﾀﾞｸﾀｰ 鹿児島</v>
      </c>
      <c r="G102" t="str">
        <v>鹿児島工場　製造部　製造課</v>
      </c>
      <c r="H102">
        <v>0</v>
      </c>
      <c r="I102">
        <v>0</v>
      </c>
      <c r="J102" t="str">
        <v>NGUYEN VAN HOA</v>
      </c>
      <c r="K102" t="str">
        <v>グエン　バン　ホア</v>
      </c>
      <c r="L102" t="str">
        <v>男</v>
      </c>
      <c r="M102" t="str">
        <v>ﾍﾞﾄﾅﾑ</v>
      </c>
      <c r="N102" s="31">
        <v>32730</v>
      </c>
      <c r="O102">
        <v>36</v>
      </c>
      <c r="P102">
        <v>1450</v>
      </c>
      <c r="Q102">
        <v>0</v>
      </c>
      <c r="R102">
        <v>2100</v>
      </c>
      <c r="S102" t="str">
        <v>2022/7/1~ 1900円⇒2000円　2024/1/1～ 2000円⇒2100円</v>
      </c>
      <c r="T102">
        <v>650</v>
      </c>
      <c r="U102">
        <v>240000</v>
      </c>
      <c r="V102">
        <v>12036</v>
      </c>
      <c r="W102" t="str">
        <v>0</v>
      </c>
      <c r="X102">
        <v>21960</v>
      </c>
      <c r="Y102" s="31">
        <v>46439</v>
      </c>
      <c r="Z102" t="str">
        <v/>
      </c>
      <c r="AA102" t="str">
        <v>技術・人文知識・国際業務</v>
      </c>
      <c r="AB102" t="str">
        <v>899-6202</v>
      </c>
      <c r="AC102" t="str">
        <v>鹿児島県姶良郡湧水町北方850番地</v>
      </c>
      <c r="AD102" t="str">
        <v>京田住宅2号棟244号室</v>
      </c>
      <c r="AE102" s="31" t="str">
        <v>個人</v>
      </c>
      <c r="AF102" s="31">
        <v>44313</v>
      </c>
      <c r="AG102" s="31">
        <v>45386</v>
      </c>
      <c r="AH102" s="31">
        <v>0</v>
      </c>
      <c r="AI102">
        <v>44378</v>
      </c>
      <c r="AJ102" t="str">
        <v>OK</v>
      </c>
      <c r="AK102">
        <v>0</v>
      </c>
      <c r="AL102">
        <v>44313</v>
      </c>
      <c r="AM102">
        <v>0</v>
      </c>
      <c r="AN102">
        <v>0</v>
      </c>
      <c r="AO102">
        <v>0</v>
      </c>
      <c r="AP102">
        <v>0</v>
      </c>
      <c r="AQ102">
        <v>0</v>
      </c>
      <c r="AR102">
        <v>0</v>
      </c>
    </row>
    <row r="103" spans="1:44">
      <c r="A103" t="str">
        <f>H103&amp;COUNTIF($H$2:H103,H103)</f>
        <v>053</v>
      </c>
      <c r="B103" t="str">
        <f>F103&amp;COUNTIF($F$2:F103,F103)</f>
        <v>ピーエムアイ9</v>
      </c>
      <c r="C103" t="str">
        <v>退社</v>
      </c>
      <c r="D103">
        <v>210425</v>
      </c>
      <c r="E103">
        <v>0</v>
      </c>
      <c r="F103" t="str">
        <v>ピーエムアイ</v>
      </c>
      <c r="G103">
        <v>0</v>
      </c>
      <c r="H103">
        <v>0</v>
      </c>
      <c r="I103">
        <v>0</v>
      </c>
      <c r="J103" t="str">
        <v>NGUYEN DUC THO</v>
      </c>
      <c r="K103" t="str">
        <v>グエン　ドゥック　トー</v>
      </c>
      <c r="L103" t="str">
        <v>男</v>
      </c>
      <c r="M103" t="str">
        <v>ﾍﾞﾄﾅﾑ</v>
      </c>
      <c r="N103" s="31">
        <v>34618</v>
      </c>
      <c r="O103">
        <v>31</v>
      </c>
      <c r="P103">
        <v>1300</v>
      </c>
      <c r="Q103">
        <v>0</v>
      </c>
      <c r="R103">
        <v>1800</v>
      </c>
      <c r="S103">
        <v>0</v>
      </c>
      <c r="T103">
        <v>500</v>
      </c>
      <c r="U103">
        <v>0</v>
      </c>
      <c r="V103" t="str">
        <v/>
      </c>
      <c r="W103" t="str">
        <v>0</v>
      </c>
      <c r="X103" t="str">
        <v/>
      </c>
      <c r="Y103" s="31">
        <v>44937</v>
      </c>
      <c r="Z103" t="str">
        <v/>
      </c>
      <c r="AA103" t="str">
        <v>技術・人文知識・国際業務</v>
      </c>
      <c r="AB103" t="str">
        <v>471-0805</v>
      </c>
      <c r="AC103" t="str">
        <v>愛知県豊田市美里2‐6‐9</v>
      </c>
      <c r="AD103" t="str">
        <v>ﾚｼﾞｪﾝﾄﾞK203</v>
      </c>
      <c r="AE103" s="31">
        <v>44312</v>
      </c>
      <c r="AF103" s="31">
        <v>44313</v>
      </c>
      <c r="AG103" s="31">
        <v>44498</v>
      </c>
      <c r="AH103" s="31">
        <v>0</v>
      </c>
      <c r="AI103">
        <v>44378</v>
      </c>
      <c r="AJ103">
        <v>0</v>
      </c>
      <c r="AK103">
        <v>0</v>
      </c>
      <c r="AL103">
        <v>44313</v>
      </c>
      <c r="AM103">
        <v>0</v>
      </c>
      <c r="AN103">
        <v>0</v>
      </c>
      <c r="AO103">
        <v>0</v>
      </c>
      <c r="AP103">
        <v>0</v>
      </c>
      <c r="AQ103">
        <v>0</v>
      </c>
      <c r="AR103">
        <v>0</v>
      </c>
    </row>
    <row r="104" spans="1:44">
      <c r="A104" t="str">
        <f>H104&amp;COUNTIF($H$2:H104,H104)</f>
        <v>一次旋係4</v>
      </c>
      <c r="B104" t="str">
        <f>F104&amp;COUNTIF($F$2:F104,F104)</f>
        <v>ピーエムアイ10</v>
      </c>
      <c r="C104" t="str">
        <v>退社</v>
      </c>
      <c r="D104">
        <v>210426</v>
      </c>
      <c r="E104">
        <v>48</v>
      </c>
      <c r="F104" t="str">
        <v>ピーエムアイ</v>
      </c>
      <c r="G104">
        <v>0</v>
      </c>
      <c r="H104" t="str">
        <v>一次旋係</v>
      </c>
      <c r="I104">
        <v>0</v>
      </c>
      <c r="J104" t="str">
        <v>NGUYEN VAN DOANH</v>
      </c>
      <c r="K104" t="str">
        <v>グエン　ヴァン　ゾアン</v>
      </c>
      <c r="L104" t="str">
        <v>男</v>
      </c>
      <c r="M104" t="str">
        <v>ﾍﾞﾄﾅﾑ</v>
      </c>
      <c r="N104" s="31">
        <v>34509</v>
      </c>
      <c r="O104">
        <v>31</v>
      </c>
      <c r="P104">
        <v>1300</v>
      </c>
      <c r="Q104">
        <v>0</v>
      </c>
      <c r="R104">
        <v>1800</v>
      </c>
      <c r="S104">
        <v>0</v>
      </c>
      <c r="T104">
        <v>500</v>
      </c>
      <c r="U104">
        <v>0</v>
      </c>
      <c r="V104" t="str">
        <v/>
      </c>
      <c r="W104" t="str">
        <v>0</v>
      </c>
      <c r="X104" t="str">
        <v/>
      </c>
      <c r="Y104" s="31">
        <v>45734</v>
      </c>
      <c r="Z104" t="str">
        <v/>
      </c>
      <c r="AA104" t="str">
        <v>技術・人文知識・国際業務</v>
      </c>
      <c r="AB104" t="str">
        <v>471-0805</v>
      </c>
      <c r="AC104" t="str">
        <v>愛知県豊田市美里2‐6‐9</v>
      </c>
      <c r="AD104" t="str">
        <v>ﾚｼﾞｪﾝﾄﾞK301</v>
      </c>
      <c r="AE104" s="31">
        <v>44312</v>
      </c>
      <c r="AF104" s="31">
        <v>44313</v>
      </c>
      <c r="AG104" s="31">
        <v>44712</v>
      </c>
      <c r="AH104" s="31">
        <v>0</v>
      </c>
      <c r="AI104">
        <v>44378</v>
      </c>
      <c r="AJ104" t="str">
        <v>OK</v>
      </c>
      <c r="AK104">
        <v>0</v>
      </c>
      <c r="AL104">
        <v>44313</v>
      </c>
      <c r="AM104">
        <v>0</v>
      </c>
      <c r="AN104">
        <v>0</v>
      </c>
      <c r="AO104">
        <v>0</v>
      </c>
      <c r="AP104">
        <v>0</v>
      </c>
      <c r="AQ104">
        <v>0</v>
      </c>
      <c r="AR104">
        <v>0</v>
      </c>
    </row>
    <row r="105" spans="1:44">
      <c r="A105" t="str">
        <f>H105&amp;COUNTIF($H$2:H105,H105)</f>
        <v>1次旋係3</v>
      </c>
      <c r="B105" t="str">
        <f>F105&amp;COUNTIF($F$2:F105,F105)</f>
        <v>高雄工業 岡山11</v>
      </c>
      <c r="C105" t="str">
        <v>退社</v>
      </c>
      <c r="D105">
        <v>210501</v>
      </c>
      <c r="E105">
        <v>232012</v>
      </c>
      <c r="F105" t="str">
        <v>高雄工業 岡山</v>
      </c>
      <c r="G105" t="str">
        <v>高雄工業株式会社 岡山事業所HUB工場製作1課</v>
      </c>
      <c r="H105" t="str">
        <v>1次旋係</v>
      </c>
      <c r="I105" t="str">
        <v>ハブ加工 自動機の操作、ＮＣプログラム修正</v>
      </c>
      <c r="J105" t="str">
        <v>TRAN NGOC HA</v>
      </c>
      <c r="K105" t="str">
        <v>チャン　ゴック　ハ</v>
      </c>
      <c r="L105" t="str">
        <v>男</v>
      </c>
      <c r="M105" t="str">
        <v>ﾍﾞﾄﾅﾑ</v>
      </c>
      <c r="N105" s="31">
        <v>34148</v>
      </c>
      <c r="O105">
        <v>32</v>
      </c>
      <c r="P105">
        <v>1420</v>
      </c>
      <c r="Q105">
        <v>0</v>
      </c>
      <c r="R105">
        <v>1880</v>
      </c>
      <c r="S105" t="str">
        <v>9/16~ 1610円→1760円</v>
      </c>
      <c r="T105">
        <v>460</v>
      </c>
      <c r="U105">
        <v>280000</v>
      </c>
      <c r="V105">
        <v>14042</v>
      </c>
      <c r="W105" t="str">
        <v>0</v>
      </c>
      <c r="X105">
        <v>25620</v>
      </c>
      <c r="Y105" s="31">
        <v>46276</v>
      </c>
      <c r="Z105" t="str">
        <v/>
      </c>
      <c r="AA105" t="str">
        <v>技術・人文知識・国際業務</v>
      </c>
      <c r="AB105" t="str">
        <v>709-2107</v>
      </c>
      <c r="AC105" t="str">
        <v>岡山県岡山市北区御津矢原370</v>
      </c>
      <c r="AD105" t="str">
        <v>成広ｺｰﾎﾟⅡ207</v>
      </c>
      <c r="AE105" s="31">
        <v>44318</v>
      </c>
      <c r="AF105" s="31">
        <v>44326</v>
      </c>
      <c r="AG105" s="31">
        <v>45861</v>
      </c>
      <c r="AH105" s="31">
        <v>0</v>
      </c>
      <c r="AI105">
        <v>44378</v>
      </c>
      <c r="AJ105" t="str">
        <v>OK</v>
      </c>
      <c r="AK105">
        <v>0</v>
      </c>
      <c r="AL105">
        <v>44326</v>
      </c>
      <c r="AM105">
        <v>0</v>
      </c>
      <c r="AN105">
        <v>0</v>
      </c>
      <c r="AO105">
        <v>0</v>
      </c>
      <c r="AP105">
        <v>0</v>
      </c>
      <c r="AQ105">
        <v>0</v>
      </c>
      <c r="AR105">
        <v>0</v>
      </c>
    </row>
    <row r="106" spans="1:44">
      <c r="A106" t="str">
        <f>H106&amp;COUNTIF($H$2:H106,H106)</f>
        <v>一次旋係5</v>
      </c>
      <c r="B106" t="str">
        <f>F106&amp;COUNTIF($F$2:F106,F106)</f>
        <v>高雄工業 岡山12</v>
      </c>
      <c r="C106" t="str">
        <v>退社</v>
      </c>
      <c r="D106">
        <v>210502</v>
      </c>
      <c r="E106">
        <v>232011</v>
      </c>
      <c r="F106" t="str">
        <v>高雄工業 岡山</v>
      </c>
      <c r="G106" t="str">
        <v>高雄工業株式会社 岡山品質保証部岡山HUB品証課</v>
      </c>
      <c r="H106" t="str">
        <v>一次旋係</v>
      </c>
      <c r="I106">
        <v>0</v>
      </c>
      <c r="J106" t="str">
        <v>NGUYEN NGOC UYEN</v>
      </c>
      <c r="K106" t="str">
        <v>グエン　ゴック　ウエン</v>
      </c>
      <c r="L106" t="str">
        <v>女</v>
      </c>
      <c r="M106" t="str">
        <v>ﾍﾞﾄﾅﾑ</v>
      </c>
      <c r="N106" s="31">
        <v>34304</v>
      </c>
      <c r="O106">
        <v>32</v>
      </c>
      <c r="P106">
        <v>1150</v>
      </c>
      <c r="Q106">
        <v>0</v>
      </c>
      <c r="R106">
        <v>1640</v>
      </c>
      <c r="S106" t="str">
        <v>9/16~ 1520円→1620円</v>
      </c>
      <c r="T106">
        <v>490</v>
      </c>
      <c r="U106">
        <v>0</v>
      </c>
      <c r="V106" t="str">
        <v/>
      </c>
      <c r="W106" t="str">
        <v>0</v>
      </c>
      <c r="X106" t="str">
        <v/>
      </c>
      <c r="Y106" s="31">
        <v>45710</v>
      </c>
      <c r="Z106" t="str">
        <v/>
      </c>
      <c r="AA106" t="str">
        <v>家族滞在</v>
      </c>
      <c r="AB106" t="str">
        <v>709-2107</v>
      </c>
      <c r="AC106" t="str">
        <v>岡山県岡山市北区御津矢原298-1</v>
      </c>
      <c r="AD106" t="str">
        <v>成広矢原ｺｰﾎﾟⅥ102</v>
      </c>
      <c r="AE106" s="31">
        <v>0</v>
      </c>
      <c r="AF106" s="31">
        <v>44326</v>
      </c>
      <c r="AG106" s="31">
        <v>44786</v>
      </c>
      <c r="AH106" s="31">
        <v>0</v>
      </c>
      <c r="AI106">
        <v>44378</v>
      </c>
      <c r="AJ106" t="str">
        <v>OK</v>
      </c>
      <c r="AK106">
        <v>0</v>
      </c>
      <c r="AL106">
        <v>44326</v>
      </c>
      <c r="AM106">
        <v>0</v>
      </c>
      <c r="AN106">
        <v>0</v>
      </c>
      <c r="AO106">
        <v>0</v>
      </c>
      <c r="AP106">
        <v>0</v>
      </c>
      <c r="AQ106">
        <v>0</v>
      </c>
      <c r="AR106">
        <v>0</v>
      </c>
    </row>
    <row r="107" spans="1:44">
      <c r="A107" t="str">
        <f>H107&amp;COUNTIF($H$2:H107,H107)</f>
        <v>054</v>
      </c>
      <c r="B107" t="str">
        <f>F107&amp;COUNTIF($F$2:F107,F107)</f>
        <v>高雄工業 海南第一12</v>
      </c>
      <c r="C107" t="str">
        <v>退社</v>
      </c>
      <c r="D107">
        <v>210503</v>
      </c>
      <c r="E107">
        <v>0</v>
      </c>
      <c r="F107" t="str">
        <v>高雄工業 海南第一</v>
      </c>
      <c r="G107" t="str">
        <v>高雄工業株式会社 愛知事業所海南第一工場製作1課</v>
      </c>
      <c r="H107">
        <v>0</v>
      </c>
      <c r="I107">
        <v>0</v>
      </c>
      <c r="J107" t="str">
        <v>LE THU HA</v>
      </c>
      <c r="K107" t="str">
        <v>レー　トゥー　ハー</v>
      </c>
      <c r="L107" t="str">
        <v>女</v>
      </c>
      <c r="M107" t="str">
        <v>ﾍﾞﾄﾅﾑ</v>
      </c>
      <c r="N107" s="31">
        <v>34343</v>
      </c>
      <c r="O107">
        <v>31</v>
      </c>
      <c r="P107">
        <v>1100</v>
      </c>
      <c r="Q107">
        <v>0</v>
      </c>
      <c r="R107">
        <v>1500</v>
      </c>
      <c r="S107">
        <v>0</v>
      </c>
      <c r="T107">
        <v>400</v>
      </c>
      <c r="U107">
        <v>0</v>
      </c>
      <c r="V107" t="str">
        <v/>
      </c>
      <c r="W107" t="str">
        <v>0</v>
      </c>
      <c r="X107" t="str">
        <v/>
      </c>
      <c r="Y107" s="31">
        <v>44391</v>
      </c>
      <c r="Z107" t="str">
        <v/>
      </c>
      <c r="AA107" t="str">
        <v>家族滞在</v>
      </c>
      <c r="AB107" t="str">
        <v>498-0017</v>
      </c>
      <c r="AC107" t="str">
        <v>愛知県弥富市前ケ須町南本田401-6</v>
      </c>
      <c r="AD107" t="str">
        <v>ﾗﾌｨｰﾈﾔﾄﾐ2E</v>
      </c>
      <c r="AE107" s="31" t="str">
        <v>個人</v>
      </c>
      <c r="AF107" s="31">
        <v>44326</v>
      </c>
      <c r="AG107" s="31">
        <v>44377</v>
      </c>
      <c r="AH107" s="31">
        <v>0</v>
      </c>
      <c r="AI107">
        <v>44378</v>
      </c>
      <c r="AJ107">
        <v>0</v>
      </c>
      <c r="AK107">
        <v>0</v>
      </c>
      <c r="AL107">
        <v>44326</v>
      </c>
      <c r="AM107">
        <v>0</v>
      </c>
      <c r="AN107">
        <v>0</v>
      </c>
      <c r="AO107">
        <v>0</v>
      </c>
      <c r="AP107">
        <v>0</v>
      </c>
      <c r="AQ107">
        <v>0</v>
      </c>
      <c r="AR107">
        <v>0</v>
      </c>
    </row>
    <row r="108" spans="1:44">
      <c r="A108" t="str">
        <f>H108&amp;COUNTIF($H$2:H108,H108)</f>
        <v>055</v>
      </c>
      <c r="B108" t="str">
        <f>F108&amp;COUNTIF($F$2:F108,F108)</f>
        <v>高雄工業 海南第一13</v>
      </c>
      <c r="C108" t="str">
        <v>退社</v>
      </c>
      <c r="D108">
        <v>210504</v>
      </c>
      <c r="E108">
        <v>0</v>
      </c>
      <c r="F108" t="str">
        <v>高雄工業 海南第一</v>
      </c>
      <c r="G108" t="str">
        <v>高雄工業株式会社 愛知事業所海南第一工場製作1課</v>
      </c>
      <c r="H108">
        <v>0</v>
      </c>
      <c r="I108">
        <v>0</v>
      </c>
      <c r="J108" t="str">
        <v>PEREIRA ANDERSON</v>
      </c>
      <c r="K108" t="str">
        <v>ペレイラ　アンデルソン</v>
      </c>
      <c r="L108" t="str">
        <v>男</v>
      </c>
      <c r="M108" t="str">
        <v>ﾌﾞﾗｼﾞﾙ</v>
      </c>
      <c r="N108" s="31">
        <v>25308</v>
      </c>
      <c r="O108">
        <v>56</v>
      </c>
      <c r="P108">
        <v>1300</v>
      </c>
      <c r="Q108">
        <v>0</v>
      </c>
      <c r="R108">
        <v>1650</v>
      </c>
      <c r="S108">
        <v>1650</v>
      </c>
      <c r="T108">
        <v>350</v>
      </c>
      <c r="U108">
        <v>0</v>
      </c>
      <c r="V108" t="str">
        <v/>
      </c>
      <c r="W108" t="str">
        <v>0</v>
      </c>
      <c r="X108" t="str">
        <v/>
      </c>
      <c r="Y108" s="31">
        <v>44582</v>
      </c>
      <c r="Z108" t="str">
        <v/>
      </c>
      <c r="AA108" t="str">
        <v>定住者</v>
      </c>
      <c r="AB108" t="str">
        <v>496-0812</v>
      </c>
      <c r="AC108" t="str">
        <v>愛知県津島市兼平町1丁目58番地</v>
      </c>
      <c r="AD108">
        <v>0</v>
      </c>
      <c r="AE108" s="31" t="str">
        <v>個人</v>
      </c>
      <c r="AF108" s="31">
        <v>44326</v>
      </c>
      <c r="AG108" s="31">
        <v>44439</v>
      </c>
      <c r="AH108" s="31">
        <v>0</v>
      </c>
      <c r="AI108">
        <v>44378</v>
      </c>
      <c r="AJ108">
        <v>0</v>
      </c>
      <c r="AK108">
        <v>0</v>
      </c>
      <c r="AL108">
        <v>44326</v>
      </c>
      <c r="AM108">
        <v>0</v>
      </c>
      <c r="AN108">
        <v>0</v>
      </c>
      <c r="AO108">
        <v>0</v>
      </c>
      <c r="AP108">
        <v>0</v>
      </c>
      <c r="AQ108">
        <v>0</v>
      </c>
      <c r="AR108">
        <v>0</v>
      </c>
    </row>
    <row r="109" spans="1:44">
      <c r="A109" t="str">
        <f>H109&amp;COUNTIF($H$2:H109,H109)</f>
        <v>CVJ2</v>
      </c>
      <c r="B109" t="str">
        <f>F109&amp;COUNTIF($F$2:F109,F109)</f>
        <v>瑞陵精機3</v>
      </c>
      <c r="C109" t="str">
        <v>退社</v>
      </c>
      <c r="D109">
        <v>210505</v>
      </c>
      <c r="E109">
        <v>0</v>
      </c>
      <c r="F109" t="str">
        <v>瑞陵精機</v>
      </c>
      <c r="G109" t="str">
        <v>製造1課</v>
      </c>
      <c r="H109" t="str">
        <v>CVJ</v>
      </c>
      <c r="I109">
        <v>0</v>
      </c>
      <c r="J109" t="str">
        <v>MA VAN NGOC</v>
      </c>
      <c r="K109" t="str">
        <v>マ　ヴァン　ゴック</v>
      </c>
      <c r="L109" t="str">
        <v>男</v>
      </c>
      <c r="M109" t="str">
        <v>ﾍﾞﾄﾅﾑ</v>
      </c>
      <c r="N109" s="31">
        <v>32473</v>
      </c>
      <c r="O109">
        <v>37</v>
      </c>
      <c r="P109">
        <v>1250</v>
      </c>
      <c r="Q109">
        <v>0</v>
      </c>
      <c r="R109">
        <v>1600</v>
      </c>
      <c r="S109">
        <v>0</v>
      </c>
      <c r="T109">
        <v>350</v>
      </c>
      <c r="U109">
        <v>0</v>
      </c>
      <c r="V109" t="str">
        <v/>
      </c>
      <c r="W109" t="str">
        <v>0</v>
      </c>
      <c r="X109" t="str">
        <v/>
      </c>
      <c r="Y109" s="31">
        <v>44954</v>
      </c>
      <c r="Z109" t="str">
        <v/>
      </c>
      <c r="AA109" t="str">
        <v>技術・人文知識・国際業務</v>
      </c>
      <c r="AB109" t="str">
        <v>509-7201</v>
      </c>
      <c r="AC109" t="str">
        <v>岐阜県恵那市大井町1120-303</v>
      </c>
      <c r="AD109" t="str">
        <v>各務ﾊｲﾂ4J</v>
      </c>
      <c r="AE109" s="31">
        <v>44314</v>
      </c>
      <c r="AF109" s="31">
        <v>44327</v>
      </c>
      <c r="AG109" s="31">
        <v>44592</v>
      </c>
      <c r="AH109" s="31">
        <v>0</v>
      </c>
      <c r="AI109">
        <v>44378</v>
      </c>
      <c r="AJ109">
        <v>0</v>
      </c>
      <c r="AK109">
        <v>0</v>
      </c>
      <c r="AL109">
        <v>44327</v>
      </c>
      <c r="AM109">
        <v>0</v>
      </c>
      <c r="AN109">
        <v>0</v>
      </c>
      <c r="AO109">
        <v>0</v>
      </c>
      <c r="AP109">
        <v>0</v>
      </c>
      <c r="AQ109">
        <v>0</v>
      </c>
      <c r="AR109">
        <v>0</v>
      </c>
    </row>
    <row r="110" spans="1:44">
      <c r="A110" t="str">
        <f>H110&amp;COUNTIF($H$2:H110,H110)</f>
        <v>CVJ3</v>
      </c>
      <c r="B110" t="str">
        <f>F110&amp;COUNTIF($F$2:F110,F110)</f>
        <v>瑞陵精機4</v>
      </c>
      <c r="C110" t="str">
        <v>退社</v>
      </c>
      <c r="D110">
        <v>210506</v>
      </c>
      <c r="E110">
        <v>0</v>
      </c>
      <c r="F110" t="str">
        <v>瑞陵精機</v>
      </c>
      <c r="G110" t="str">
        <v>製造1課</v>
      </c>
      <c r="H110" t="str">
        <v>CVJ</v>
      </c>
      <c r="I110">
        <v>0</v>
      </c>
      <c r="J110" t="str">
        <v>PHAM VAN KHANH</v>
      </c>
      <c r="K110" t="str">
        <v>ファン　ヴァン　カン</v>
      </c>
      <c r="L110" t="str">
        <v>男</v>
      </c>
      <c r="M110" t="str">
        <v>ﾍﾞﾄﾅﾑ</v>
      </c>
      <c r="N110" s="31">
        <v>33538</v>
      </c>
      <c r="O110">
        <v>34</v>
      </c>
      <c r="P110">
        <v>1250</v>
      </c>
      <c r="Q110">
        <v>0</v>
      </c>
      <c r="R110">
        <v>1600</v>
      </c>
      <c r="S110">
        <v>0</v>
      </c>
      <c r="T110">
        <v>350</v>
      </c>
      <c r="U110">
        <v>0</v>
      </c>
      <c r="V110" t="str">
        <v/>
      </c>
      <c r="W110" t="str">
        <v>0</v>
      </c>
      <c r="X110" t="str">
        <v/>
      </c>
      <c r="Y110" s="31">
        <v>44520</v>
      </c>
      <c r="Z110" t="str">
        <v/>
      </c>
      <c r="AA110" t="str">
        <v>技術・人文知識・国際業務</v>
      </c>
      <c r="AB110" t="str">
        <v>509-7201</v>
      </c>
      <c r="AC110" t="str">
        <v>岐阜県恵那市大井町1120-303</v>
      </c>
      <c r="AD110" t="str">
        <v>各務ﾊｲﾂ7I</v>
      </c>
      <c r="AE110" s="31">
        <v>44314</v>
      </c>
      <c r="AF110" s="31">
        <v>44327</v>
      </c>
      <c r="AG110" s="31">
        <v>44553</v>
      </c>
      <c r="AH110" s="31">
        <v>0</v>
      </c>
      <c r="AI110">
        <v>44378</v>
      </c>
      <c r="AJ110">
        <v>0</v>
      </c>
      <c r="AK110">
        <v>0</v>
      </c>
      <c r="AL110">
        <v>44327</v>
      </c>
      <c r="AM110">
        <v>0</v>
      </c>
      <c r="AN110">
        <v>0</v>
      </c>
      <c r="AO110">
        <v>0</v>
      </c>
      <c r="AP110">
        <v>0</v>
      </c>
      <c r="AQ110">
        <v>0</v>
      </c>
      <c r="AR110">
        <v>0</v>
      </c>
    </row>
    <row r="111" spans="1:44">
      <c r="A111" t="str">
        <f>H111&amp;COUNTIF($H$2:H111,H111)</f>
        <v>等速ジョイント2</v>
      </c>
      <c r="B111" t="str">
        <f>F111&amp;COUNTIF($F$2:F111,F111)</f>
        <v>瑞陵精機5</v>
      </c>
      <c r="C111" t="str">
        <v>在職中</v>
      </c>
      <c r="D111">
        <v>210507</v>
      </c>
      <c r="E111">
        <v>410005</v>
      </c>
      <c r="F111" t="str">
        <v>瑞陵精機</v>
      </c>
      <c r="G111" t="str">
        <v>製造課</v>
      </c>
      <c r="H111" t="str">
        <v>等速ジョイント</v>
      </c>
      <c r="I111" t="str">
        <v>ＮＣ旋盤、マシニングセンター等の工作機械を使いオペレーターとして製造ラインで製品を加工</v>
      </c>
      <c r="J111" t="str">
        <v>VI VAN NHI</v>
      </c>
      <c r="K111" t="str">
        <v>ヴィ　バン　ニィ</v>
      </c>
      <c r="L111" t="str">
        <v>男</v>
      </c>
      <c r="M111" t="str">
        <v>ﾍﾞﾄﾅﾑ</v>
      </c>
      <c r="N111" s="31">
        <v>31006</v>
      </c>
      <c r="O111">
        <v>41</v>
      </c>
      <c r="P111">
        <v>1350</v>
      </c>
      <c r="Q111" t="str">
        <v>2022/3/21～　1250円→1300円</v>
      </c>
      <c r="R111">
        <v>1750</v>
      </c>
      <c r="S111">
        <v>0</v>
      </c>
      <c r="T111">
        <v>400</v>
      </c>
      <c r="U111">
        <v>260000</v>
      </c>
      <c r="V111">
        <v>13039</v>
      </c>
      <c r="W111">
        <v>2067</v>
      </c>
      <c r="X111">
        <v>23790</v>
      </c>
      <c r="Y111" s="31">
        <v>46843</v>
      </c>
      <c r="Z111" t="str">
        <v/>
      </c>
      <c r="AA111" t="str">
        <v>技術・人文知識・国際業務</v>
      </c>
      <c r="AB111" t="str">
        <v>509-7201</v>
      </c>
      <c r="AC111" t="str">
        <v>岐阜県恵那市大井町1120-303</v>
      </c>
      <c r="AD111" t="str">
        <v>各務ﾊｲﾂ4J</v>
      </c>
      <c r="AE111" s="31">
        <v>44743</v>
      </c>
      <c r="AF111" s="31">
        <v>44337</v>
      </c>
      <c r="AG111" s="31">
        <v>0</v>
      </c>
      <c r="AH111" s="31">
        <v>0</v>
      </c>
      <c r="AI111">
        <v>44409</v>
      </c>
      <c r="AJ111" t="str">
        <v>OK</v>
      </c>
      <c r="AK111">
        <v>0</v>
      </c>
      <c r="AL111">
        <v>44337</v>
      </c>
      <c r="AM111">
        <v>0</v>
      </c>
      <c r="AN111">
        <v>0</v>
      </c>
      <c r="AO111">
        <v>0</v>
      </c>
      <c r="AP111">
        <v>0</v>
      </c>
      <c r="AQ111">
        <v>0</v>
      </c>
      <c r="AR111">
        <v>0</v>
      </c>
    </row>
    <row r="112" spans="1:44">
      <c r="A112" t="str">
        <f>H112&amp;COUNTIF($H$2:H112,H112)</f>
        <v>CVJ4</v>
      </c>
      <c r="B112" t="str">
        <f>F112&amp;COUNTIF($F$2:F112,F112)</f>
        <v>瑞陵精機6</v>
      </c>
      <c r="C112" t="str">
        <v>退社</v>
      </c>
      <c r="D112">
        <v>210508</v>
      </c>
      <c r="E112">
        <v>0</v>
      </c>
      <c r="F112" t="str">
        <v>瑞陵精機</v>
      </c>
      <c r="G112" t="str">
        <v>製造1課</v>
      </c>
      <c r="H112" t="str">
        <v>CVJ</v>
      </c>
      <c r="I112">
        <v>0</v>
      </c>
      <c r="J112" t="str">
        <v>HOANG XUAN THUY</v>
      </c>
      <c r="K112" t="str">
        <v>ファン　スアン　テイ</v>
      </c>
      <c r="L112" t="str">
        <v>男</v>
      </c>
      <c r="M112" t="str">
        <v>ﾍﾞﾄﾅﾑ</v>
      </c>
      <c r="N112" s="31">
        <v>29334</v>
      </c>
      <c r="O112">
        <v>45</v>
      </c>
      <c r="P112">
        <v>1320</v>
      </c>
      <c r="Q112">
        <v>0</v>
      </c>
      <c r="R112">
        <v>1700</v>
      </c>
      <c r="S112">
        <v>0</v>
      </c>
      <c r="T112">
        <v>380</v>
      </c>
      <c r="U112">
        <v>0</v>
      </c>
      <c r="V112" t="str">
        <v/>
      </c>
      <c r="W112" t="str">
        <v>0</v>
      </c>
      <c r="X112" t="str">
        <v/>
      </c>
      <c r="Y112" s="31">
        <v>45363</v>
      </c>
      <c r="Z112" t="str">
        <v/>
      </c>
      <c r="AA112" t="str">
        <v>技術・人文知識・国際業務</v>
      </c>
      <c r="AB112" t="str">
        <v>509-7201</v>
      </c>
      <c r="AC112" t="str">
        <v>岐阜県恵那市大井町1120-303</v>
      </c>
      <c r="AD112" t="str">
        <v>各務ﾊｲﾂ2D</v>
      </c>
      <c r="AE112" s="31">
        <v>44336</v>
      </c>
      <c r="AF112" s="31">
        <v>44337</v>
      </c>
      <c r="AG112" s="31">
        <v>44568</v>
      </c>
      <c r="AH112" s="31">
        <v>0</v>
      </c>
      <c r="AI112">
        <v>44409</v>
      </c>
      <c r="AJ112">
        <v>0</v>
      </c>
      <c r="AK112">
        <v>0</v>
      </c>
      <c r="AL112">
        <v>44337</v>
      </c>
      <c r="AM112">
        <v>0</v>
      </c>
      <c r="AN112">
        <v>0</v>
      </c>
      <c r="AO112">
        <v>0</v>
      </c>
      <c r="AP112">
        <v>0</v>
      </c>
      <c r="AQ112">
        <v>0</v>
      </c>
      <c r="AR112">
        <v>0</v>
      </c>
    </row>
    <row r="113" spans="1:44">
      <c r="A113" t="str">
        <f>H113&amp;COUNTIF($H$2:H113,H113)</f>
        <v>056</v>
      </c>
      <c r="B113" t="str">
        <f>F113&amp;COUNTIF($F$2:F113,F113)</f>
        <v>ﾌｪﾆﾃｯｸｾﾐｺﾝﾀﾞｸﾀｰ 鹿児島4</v>
      </c>
      <c r="C113" t="str">
        <v>退社</v>
      </c>
      <c r="D113">
        <v>210509</v>
      </c>
      <c r="E113">
        <v>0</v>
      </c>
      <c r="F113" t="str">
        <v>ﾌｪﾆﾃｯｸｾﾐｺﾝﾀﾞｸﾀｰ 鹿児島</v>
      </c>
      <c r="G113">
        <v>0</v>
      </c>
      <c r="H113">
        <v>0</v>
      </c>
      <c r="I113">
        <v>0</v>
      </c>
      <c r="J113" t="str">
        <v>TRUONG TRONG LUU</v>
      </c>
      <c r="K113" t="str">
        <v>チュオン　チョン　リュ</v>
      </c>
      <c r="L113" t="str">
        <v>男</v>
      </c>
      <c r="M113" t="str">
        <v>ﾍﾞﾄﾅﾑ</v>
      </c>
      <c r="N113" s="31">
        <v>35473</v>
      </c>
      <c r="O113">
        <v>28</v>
      </c>
      <c r="P113">
        <v>1400</v>
      </c>
      <c r="Q113">
        <v>0</v>
      </c>
      <c r="R113">
        <v>1900</v>
      </c>
      <c r="S113">
        <v>0</v>
      </c>
      <c r="T113">
        <v>500</v>
      </c>
      <c r="U113">
        <v>0</v>
      </c>
      <c r="V113" t="str">
        <v/>
      </c>
      <c r="W113" t="str">
        <v>0</v>
      </c>
      <c r="X113" t="str">
        <v/>
      </c>
      <c r="Y113" s="31">
        <v>45378</v>
      </c>
      <c r="Z113" t="str">
        <v/>
      </c>
      <c r="AA113" t="str">
        <v>技術・人文知識・国際業務</v>
      </c>
      <c r="AB113" t="str">
        <v>899-6201</v>
      </c>
      <c r="AC113" t="str">
        <v>鹿児島県姶良郡湧水町木場280-3</v>
      </c>
      <c r="AD113" t="str">
        <v>宮前ﾂｲﾝﾊｲﾂA101</v>
      </c>
      <c r="AE113" s="31">
        <v>44338</v>
      </c>
      <c r="AF113" s="31">
        <v>44340</v>
      </c>
      <c r="AG113" s="31">
        <v>44439</v>
      </c>
      <c r="AH113" s="31">
        <v>0</v>
      </c>
      <c r="AI113">
        <v>44409</v>
      </c>
      <c r="AJ113">
        <v>0</v>
      </c>
      <c r="AK113">
        <v>0</v>
      </c>
      <c r="AL113">
        <v>44340</v>
      </c>
      <c r="AM113">
        <v>0</v>
      </c>
      <c r="AN113">
        <v>0</v>
      </c>
      <c r="AO113">
        <v>0</v>
      </c>
      <c r="AP113">
        <v>0</v>
      </c>
      <c r="AQ113">
        <v>0</v>
      </c>
      <c r="AR113">
        <v>0</v>
      </c>
    </row>
    <row r="114" spans="1:44">
      <c r="A114" t="str">
        <f>H114&amp;COUNTIF($H$2:H114,H114)</f>
        <v>057</v>
      </c>
      <c r="B114" t="str">
        <f>F114&amp;COUNTIF($F$2:F114,F114)</f>
        <v>高雄工業 海南第二4</v>
      </c>
      <c r="C114" t="str">
        <v>退社</v>
      </c>
      <c r="D114">
        <v>210510</v>
      </c>
      <c r="E114">
        <v>0</v>
      </c>
      <c r="F114" t="str">
        <v>高雄工業 海南第二</v>
      </c>
      <c r="G114" t="str">
        <v>高雄工業株式会社 愛知事業所海南第二工場製作課</v>
      </c>
      <c r="H114">
        <v>0</v>
      </c>
      <c r="I114">
        <v>0</v>
      </c>
      <c r="J114" t="str">
        <v>VU VAN CHUC</v>
      </c>
      <c r="K114" t="str">
        <v>ヴ　ヴァン　チュック</v>
      </c>
      <c r="L114" t="str">
        <v>男</v>
      </c>
      <c r="M114" t="str">
        <v>ﾍﾞﾄﾅﾑ</v>
      </c>
      <c r="N114" s="31">
        <v>32542</v>
      </c>
      <c r="O114">
        <v>36</v>
      </c>
      <c r="P114">
        <v>1250</v>
      </c>
      <c r="Q114">
        <v>0</v>
      </c>
      <c r="R114">
        <v>1750</v>
      </c>
      <c r="S114">
        <v>0</v>
      </c>
      <c r="T114">
        <v>500</v>
      </c>
      <c r="U114">
        <v>0</v>
      </c>
      <c r="V114" t="str">
        <v/>
      </c>
      <c r="W114" t="str">
        <v>0</v>
      </c>
      <c r="X114" t="str">
        <v/>
      </c>
      <c r="Y114" s="31">
        <v>44939</v>
      </c>
      <c r="Z114" t="str">
        <v/>
      </c>
      <c r="AA114" t="str">
        <v>技術・人文知識・国際業務</v>
      </c>
      <c r="AB114" t="str">
        <v>498-0032</v>
      </c>
      <c r="AC114" t="str">
        <v>愛知県弥富市平島中4丁目128</v>
      </c>
      <c r="AD114" t="str">
        <v>村上貸家</v>
      </c>
      <c r="AE114" s="31">
        <v>0</v>
      </c>
      <c r="AF114" s="31">
        <v>44341</v>
      </c>
      <c r="AG114" s="31">
        <v>44498</v>
      </c>
      <c r="AH114" s="31">
        <v>0</v>
      </c>
      <c r="AI114">
        <v>44409</v>
      </c>
      <c r="AJ114">
        <v>0</v>
      </c>
      <c r="AK114">
        <v>0</v>
      </c>
      <c r="AL114">
        <v>44341</v>
      </c>
      <c r="AM114">
        <v>0</v>
      </c>
      <c r="AN114">
        <v>0</v>
      </c>
      <c r="AO114">
        <v>0</v>
      </c>
      <c r="AP114">
        <v>0</v>
      </c>
      <c r="AQ114">
        <v>0</v>
      </c>
      <c r="AR114">
        <v>0</v>
      </c>
    </row>
    <row r="115" spans="1:44">
      <c r="A115" t="str">
        <f>H115&amp;COUNTIF($H$2:H115,H115)</f>
        <v>058</v>
      </c>
      <c r="B115" t="str">
        <f>F115&amp;COUNTIF($F$2:F115,F115)</f>
        <v>高雄工業 本社13</v>
      </c>
      <c r="C115" t="str">
        <v>退社</v>
      </c>
      <c r="D115">
        <v>210511</v>
      </c>
      <c r="E115">
        <v>0</v>
      </c>
      <c r="F115" t="str">
        <v>高雄工業 本社</v>
      </c>
      <c r="G115" t="str">
        <v>高雄工業株式会社 愛知事業所本社工場製作課</v>
      </c>
      <c r="H115">
        <v>0</v>
      </c>
      <c r="I115">
        <v>0</v>
      </c>
      <c r="J115" t="str">
        <v>TRAN VAN QUYNH</v>
      </c>
      <c r="K115" t="str">
        <v>チャン　ヴァン　クイン</v>
      </c>
      <c r="L115" t="str">
        <v>男</v>
      </c>
      <c r="M115" t="str">
        <v>ﾍﾞﾄﾅﾑ</v>
      </c>
      <c r="N115" s="31">
        <v>34886</v>
      </c>
      <c r="O115">
        <v>30</v>
      </c>
      <c r="P115">
        <v>1200</v>
      </c>
      <c r="Q115">
        <v>0</v>
      </c>
      <c r="R115">
        <v>1600</v>
      </c>
      <c r="S115">
        <v>0</v>
      </c>
      <c r="T115">
        <v>400</v>
      </c>
      <c r="U115">
        <v>0</v>
      </c>
      <c r="V115" t="str">
        <v/>
      </c>
      <c r="W115" t="str">
        <v>0</v>
      </c>
      <c r="X115" t="str">
        <v/>
      </c>
      <c r="Y115" s="31">
        <v>44987</v>
      </c>
      <c r="Z115" t="str">
        <v/>
      </c>
      <c r="AA115" t="str">
        <v>技術・人文知識・国際業務</v>
      </c>
      <c r="AB115" t="str">
        <v>498-0017</v>
      </c>
      <c r="AC115" t="str">
        <v>愛知県弥富市前ヶ須町東勘助138</v>
      </c>
      <c r="AD115" t="str">
        <v>安井ﾋﾞﾙ5D</v>
      </c>
      <c r="AE115" s="31">
        <v>44343</v>
      </c>
      <c r="AF115" s="31">
        <v>44347</v>
      </c>
      <c r="AG115" s="31">
        <v>44357</v>
      </c>
      <c r="AH115" s="31">
        <v>0</v>
      </c>
      <c r="AI115">
        <v>44409</v>
      </c>
      <c r="AJ115">
        <v>0</v>
      </c>
      <c r="AK115">
        <v>0</v>
      </c>
      <c r="AL115">
        <v>44347</v>
      </c>
      <c r="AM115">
        <v>0</v>
      </c>
      <c r="AN115">
        <v>0</v>
      </c>
      <c r="AO115">
        <v>0</v>
      </c>
      <c r="AP115">
        <v>0</v>
      </c>
      <c r="AQ115">
        <v>0</v>
      </c>
      <c r="AR115">
        <v>0</v>
      </c>
    </row>
    <row r="116" spans="1:44">
      <c r="A116" t="str">
        <f>H116&amp;COUNTIF($H$2:H116,H116)</f>
        <v>CVJ長軸旋盤係1</v>
      </c>
      <c r="B116" t="str">
        <f>F116&amp;COUNTIF($F$2:F116,F116)</f>
        <v>高雄工業 岡山13</v>
      </c>
      <c r="C116" t="str">
        <v>退社</v>
      </c>
      <c r="D116">
        <v>210602</v>
      </c>
      <c r="E116">
        <v>232013</v>
      </c>
      <c r="F116" t="str">
        <v>高雄工業 岡山</v>
      </c>
      <c r="G116" t="str">
        <v>高雄工業株式会社 岡山事業所CVJ工場製作課</v>
      </c>
      <c r="H116" t="str">
        <v>CVJ長軸旋盤係</v>
      </c>
      <c r="I116" t="str">
        <v>ＣＶＪ長軸等速ジョイント旋削加工、ＮＣプログラム修正</v>
      </c>
      <c r="J116" t="str">
        <v>BUI DUC KHANG</v>
      </c>
      <c r="K116" t="str">
        <v>ブイ　ヅック　カン</v>
      </c>
      <c r="L116" t="str">
        <v>男</v>
      </c>
      <c r="M116" t="str">
        <v>ﾍﾞﾄﾅﾑ</v>
      </c>
      <c r="N116" s="31">
        <v>35031</v>
      </c>
      <c r="O116">
        <v>30</v>
      </c>
      <c r="P116">
        <v>1430</v>
      </c>
      <c r="Q116" t="str">
        <v>6/16~ \1200⇒\1250</v>
      </c>
      <c r="R116">
        <v>1860</v>
      </c>
      <c r="S116" t="str">
        <v>9/16~ 1600円→1750円</v>
      </c>
      <c r="T116">
        <v>430</v>
      </c>
      <c r="U116">
        <v>280000</v>
      </c>
      <c r="V116">
        <v>14042</v>
      </c>
      <c r="W116" t="str">
        <v>0</v>
      </c>
      <c r="X116">
        <v>25620</v>
      </c>
      <c r="Y116" s="31">
        <v>47721</v>
      </c>
      <c r="Z116" t="str">
        <v/>
      </c>
      <c r="AA116" t="str">
        <v>技術・人文知識・国際業務</v>
      </c>
      <c r="AB116" t="str">
        <v>709-2107</v>
      </c>
      <c r="AC116" t="str">
        <v>岡山県岡山市北区御津矢原297-1</v>
      </c>
      <c r="AD116" t="str">
        <v>成広矢原ｺｰﾎﾟⅤ205</v>
      </c>
      <c r="AE116" s="31">
        <v>44864</v>
      </c>
      <c r="AF116" s="31">
        <v>44348</v>
      </c>
      <c r="AG116" s="31">
        <v>45982</v>
      </c>
      <c r="AH116" s="31">
        <v>0</v>
      </c>
      <c r="AI116">
        <v>44409</v>
      </c>
      <c r="AJ116" t="str">
        <v>OK</v>
      </c>
      <c r="AK116">
        <v>0</v>
      </c>
      <c r="AL116">
        <v>44348</v>
      </c>
      <c r="AM116">
        <v>0</v>
      </c>
      <c r="AN116">
        <v>0</v>
      </c>
      <c r="AO116">
        <v>0</v>
      </c>
      <c r="AP116">
        <v>0</v>
      </c>
      <c r="AQ116">
        <v>0</v>
      </c>
      <c r="AR116">
        <v>0</v>
      </c>
    </row>
    <row r="117" spans="1:44">
      <c r="A117" t="str">
        <f>H117&amp;COUNTIF($H$2:H117,H117)</f>
        <v>059</v>
      </c>
      <c r="B117" t="str">
        <f>F117&amp;COUNTIF($F$2:F117,F117)</f>
        <v>ﾌｪﾆﾃｯｸｾﾐｺﾝﾀﾞｸﾀｰ 鹿児島5</v>
      </c>
      <c r="C117" t="str">
        <v>退社</v>
      </c>
      <c r="D117">
        <v>210600</v>
      </c>
      <c r="E117">
        <v>0</v>
      </c>
      <c r="F117" t="str">
        <v>ﾌｪﾆﾃｯｸｾﾐｺﾝﾀﾞｸﾀｰ 鹿児島</v>
      </c>
      <c r="G117">
        <v>0</v>
      </c>
      <c r="H117">
        <v>0</v>
      </c>
      <c r="I117">
        <v>0</v>
      </c>
      <c r="J117" t="str">
        <v>HASHIMOTO ALEX SANDRO</v>
      </c>
      <c r="K117" t="str">
        <v>ハシモト　アレックス　サンドロ</v>
      </c>
      <c r="L117" t="str">
        <v>男</v>
      </c>
      <c r="M117" t="str">
        <v>ﾌﾞﾗｼﾞﾙ</v>
      </c>
      <c r="N117" s="31">
        <v>28900</v>
      </c>
      <c r="O117">
        <v>46</v>
      </c>
      <c r="P117">
        <v>1400</v>
      </c>
      <c r="Q117">
        <v>0</v>
      </c>
      <c r="R117">
        <v>1900</v>
      </c>
      <c r="S117">
        <v>0</v>
      </c>
      <c r="T117">
        <v>500</v>
      </c>
      <c r="U117">
        <v>0</v>
      </c>
      <c r="V117" t="str">
        <v/>
      </c>
      <c r="W117" t="str">
        <v>0</v>
      </c>
      <c r="X117" t="str">
        <v/>
      </c>
      <c r="Y117" s="31">
        <v>45078</v>
      </c>
      <c r="Z117" t="str">
        <v/>
      </c>
      <c r="AA117" t="str">
        <v>定住者</v>
      </c>
      <c r="AB117" t="str">
        <v>895-2701</v>
      </c>
      <c r="AC117" t="str">
        <v>鹿児島県伊佐市菱刈前目1942</v>
      </c>
      <c r="AD117" t="str">
        <v>菱刈ﾊｲﾂA103</v>
      </c>
      <c r="AE117" s="31">
        <v>44344</v>
      </c>
      <c r="AF117" s="31">
        <v>44348</v>
      </c>
      <c r="AG117" s="31">
        <v>44352</v>
      </c>
      <c r="AH117" s="31">
        <v>0</v>
      </c>
      <c r="AI117">
        <v>44409</v>
      </c>
      <c r="AJ117">
        <v>0</v>
      </c>
      <c r="AK117">
        <v>0</v>
      </c>
      <c r="AL117">
        <v>44348</v>
      </c>
      <c r="AM117">
        <v>0</v>
      </c>
      <c r="AN117">
        <v>0</v>
      </c>
      <c r="AO117">
        <v>0</v>
      </c>
      <c r="AP117">
        <v>0</v>
      </c>
      <c r="AQ117">
        <v>0</v>
      </c>
      <c r="AR117">
        <v>0</v>
      </c>
    </row>
    <row r="118" spans="1:44">
      <c r="A118" t="str">
        <f>H118&amp;COUNTIF($H$2:H118,H118)</f>
        <v>060</v>
      </c>
      <c r="B118" t="str">
        <f>F118&amp;COUNTIF($F$2:F118,F118)</f>
        <v>高雄工業 岡山14</v>
      </c>
      <c r="C118" t="str">
        <v>退社</v>
      </c>
      <c r="D118">
        <v>210601</v>
      </c>
      <c r="E118">
        <v>0</v>
      </c>
      <c r="F118" t="str">
        <v>高雄工業 岡山</v>
      </c>
      <c r="G118">
        <v>0</v>
      </c>
      <c r="H118">
        <v>0</v>
      </c>
      <c r="I118">
        <v>0</v>
      </c>
      <c r="J118" t="str">
        <v>DAO VAN LOI</v>
      </c>
      <c r="K118" t="str">
        <v>ダオ　バン　ロイ</v>
      </c>
      <c r="L118" t="str">
        <v>男</v>
      </c>
      <c r="M118" t="str">
        <v>ﾍﾞﾄﾅﾑ</v>
      </c>
      <c r="N118" s="31">
        <v>31986</v>
      </c>
      <c r="O118">
        <v>38</v>
      </c>
      <c r="P118">
        <v>1350</v>
      </c>
      <c r="Q118">
        <v>0</v>
      </c>
      <c r="R118">
        <v>1750</v>
      </c>
      <c r="S118">
        <v>0</v>
      </c>
      <c r="T118">
        <v>400</v>
      </c>
      <c r="U118">
        <v>0</v>
      </c>
      <c r="V118" t="str">
        <v/>
      </c>
      <c r="W118" t="str">
        <v>0</v>
      </c>
      <c r="X118" t="str">
        <v/>
      </c>
      <c r="Y118" s="31">
        <v>45363</v>
      </c>
      <c r="Z118" t="str">
        <v/>
      </c>
      <c r="AA118" t="str">
        <v>技術・人文知識・国際業務</v>
      </c>
      <c r="AB118" t="str">
        <v>709-2107</v>
      </c>
      <c r="AC118" t="str">
        <v>岡山県岡山市北区御津矢原294-1</v>
      </c>
      <c r="AD118" t="str">
        <v>成広矢原ｺｰﾎﾟⅢ103号</v>
      </c>
      <c r="AE118" s="31">
        <v>44346</v>
      </c>
      <c r="AF118" s="31">
        <v>44348</v>
      </c>
      <c r="AG118" s="31">
        <v>44525</v>
      </c>
      <c r="AH118" s="31">
        <v>0</v>
      </c>
      <c r="AI118">
        <v>0</v>
      </c>
      <c r="AJ118">
        <v>0</v>
      </c>
      <c r="AK118">
        <v>0</v>
      </c>
      <c r="AL118">
        <v>44348</v>
      </c>
      <c r="AM118">
        <v>0</v>
      </c>
      <c r="AN118">
        <v>0</v>
      </c>
      <c r="AO118">
        <v>0</v>
      </c>
      <c r="AP118">
        <v>0</v>
      </c>
      <c r="AQ118">
        <v>0</v>
      </c>
      <c r="AR118">
        <v>0</v>
      </c>
    </row>
    <row r="119" spans="1:44">
      <c r="A119" t="str">
        <f>H119&amp;COUNTIF($H$2:H119,H119)</f>
        <v>061</v>
      </c>
      <c r="B119" t="str">
        <f>F119&amp;COUNTIF($F$2:F119,F119)</f>
        <v>ﾌｪﾆﾃｯｸｾﾐｺﾝﾀﾞｸﾀｰ 鹿児島6</v>
      </c>
      <c r="C119" t="str">
        <v>退社</v>
      </c>
      <c r="D119">
        <v>210618</v>
      </c>
      <c r="E119">
        <v>0</v>
      </c>
      <c r="F119" t="str">
        <v>ﾌｪﾆﾃｯｸｾﾐｺﾝﾀﾞｸﾀｰ 鹿児島</v>
      </c>
      <c r="G119">
        <v>0</v>
      </c>
      <c r="H119">
        <v>0</v>
      </c>
      <c r="I119">
        <v>0</v>
      </c>
      <c r="J119" t="str">
        <v>DANG THI HONG</v>
      </c>
      <c r="K119" t="str">
        <v>ダオ　ティ　ホン</v>
      </c>
      <c r="L119" t="str">
        <v>女</v>
      </c>
      <c r="M119" t="str">
        <v>ﾍﾞﾄﾅﾑ</v>
      </c>
      <c r="N119" s="31">
        <v>32613</v>
      </c>
      <c r="O119">
        <v>36</v>
      </c>
      <c r="P119">
        <v>1250</v>
      </c>
      <c r="Q119">
        <v>0</v>
      </c>
      <c r="R119">
        <v>1900</v>
      </c>
      <c r="S119">
        <v>0</v>
      </c>
      <c r="T119">
        <v>650</v>
      </c>
      <c r="U119">
        <v>0</v>
      </c>
      <c r="V119" t="str">
        <v/>
      </c>
      <c r="W119" t="str">
        <v>0</v>
      </c>
      <c r="X119" t="str">
        <v/>
      </c>
      <c r="Y119" s="31">
        <v>44568</v>
      </c>
      <c r="Z119" t="str">
        <v/>
      </c>
      <c r="AA119" t="str">
        <v>定住者</v>
      </c>
      <c r="AB119" t="str">
        <v>895-2701</v>
      </c>
      <c r="AC119" t="str">
        <v>鹿児島県伊佐市菱刈前目1942</v>
      </c>
      <c r="AD119" t="str">
        <v>菱刈ﾊｲﾂA103</v>
      </c>
      <c r="AE119" s="31">
        <v>44344</v>
      </c>
      <c r="AF119" s="31">
        <v>44348</v>
      </c>
      <c r="AG119" s="31">
        <v>44352</v>
      </c>
      <c r="AH119" s="31">
        <v>0</v>
      </c>
      <c r="AI119">
        <v>44409</v>
      </c>
      <c r="AJ119">
        <v>0</v>
      </c>
      <c r="AK119">
        <v>0</v>
      </c>
      <c r="AL119">
        <v>44348</v>
      </c>
      <c r="AM119">
        <v>0</v>
      </c>
      <c r="AN119">
        <v>0</v>
      </c>
      <c r="AO119">
        <v>0</v>
      </c>
      <c r="AP119">
        <v>0</v>
      </c>
      <c r="AQ119">
        <v>0</v>
      </c>
      <c r="AR119">
        <v>0</v>
      </c>
    </row>
    <row r="120" spans="1:44">
      <c r="A120" t="str">
        <f>H120&amp;COUNTIF($H$2:H120,H120)</f>
        <v>062</v>
      </c>
      <c r="B120" t="str">
        <f>F120&amp;COUNTIF($F$2:F120,F120)</f>
        <v>ﾌｪﾆﾃｯｸｾﾐｺﾝﾀﾞｸﾀｰ 鹿児島7</v>
      </c>
      <c r="C120" t="str">
        <v>退社</v>
      </c>
      <c r="D120">
        <v>211031</v>
      </c>
      <c r="E120">
        <v>0</v>
      </c>
      <c r="F120" t="str">
        <v>ﾌｪﾆﾃｯｸｾﾐｺﾝﾀﾞｸﾀｰ 鹿児島</v>
      </c>
      <c r="G120">
        <v>0</v>
      </c>
      <c r="H120">
        <v>0</v>
      </c>
      <c r="I120">
        <v>0</v>
      </c>
      <c r="J120" t="str">
        <v>NGUYEN SY DUC</v>
      </c>
      <c r="K120" t="str">
        <v>グエン　シー　ドウク</v>
      </c>
      <c r="L120" t="str">
        <v>男</v>
      </c>
      <c r="M120" t="str">
        <v>ﾍﾞﾄﾅﾑ</v>
      </c>
      <c r="N120" s="31">
        <v>31475</v>
      </c>
      <c r="O120">
        <v>39</v>
      </c>
      <c r="P120">
        <v>1400</v>
      </c>
      <c r="Q120">
        <v>0</v>
      </c>
      <c r="R120">
        <v>1900</v>
      </c>
      <c r="S120">
        <v>0</v>
      </c>
      <c r="T120">
        <v>500</v>
      </c>
      <c r="U120">
        <v>0</v>
      </c>
      <c r="V120" t="str">
        <v/>
      </c>
      <c r="W120" t="str">
        <v>0</v>
      </c>
      <c r="X120" t="str">
        <v/>
      </c>
      <c r="Y120" s="31">
        <v>44644</v>
      </c>
      <c r="Z120" t="str">
        <v/>
      </c>
      <c r="AA120" t="str">
        <v>技術・人文知識・国際業務</v>
      </c>
      <c r="AB120" t="str">
        <v>899-6201</v>
      </c>
      <c r="AC120" t="str">
        <v>鹿児島県姶良郡湧水町木場280-3</v>
      </c>
      <c r="AD120" t="str">
        <v>宮前ﾂｲﾝﾊｲﾂA101</v>
      </c>
      <c r="AE120" s="31">
        <v>44346</v>
      </c>
      <c r="AF120" s="31">
        <v>44348</v>
      </c>
      <c r="AG120" s="31">
        <v>44352</v>
      </c>
      <c r="AH120" s="31">
        <v>0</v>
      </c>
      <c r="AI120">
        <v>44409</v>
      </c>
      <c r="AJ120">
        <v>0</v>
      </c>
      <c r="AK120">
        <v>0</v>
      </c>
      <c r="AL120">
        <v>44348</v>
      </c>
      <c r="AM120">
        <v>0</v>
      </c>
      <c r="AN120">
        <v>0</v>
      </c>
      <c r="AO120">
        <v>0</v>
      </c>
      <c r="AP120">
        <v>0</v>
      </c>
      <c r="AQ120">
        <v>0</v>
      </c>
      <c r="AR120">
        <v>0</v>
      </c>
    </row>
    <row r="121" spans="1:44">
      <c r="A121" t="str">
        <f>H121&amp;COUNTIF($H$2:H121,H121)</f>
        <v>063</v>
      </c>
      <c r="B121" t="str">
        <f>F121&amp;COUNTIF($F$2:F121,F121)</f>
        <v>ﾌｪﾆﾃｯｸｾﾐｺﾝﾀﾞｸﾀｰ 岡山6</v>
      </c>
      <c r="C121" t="str">
        <v>退社</v>
      </c>
      <c r="D121">
        <v>210603</v>
      </c>
      <c r="E121">
        <v>83665</v>
      </c>
      <c r="F121" t="str">
        <v>ﾌｪﾆﾃｯｸｾﾐｺﾝﾀﾞｸﾀｰ 岡山</v>
      </c>
      <c r="G121" t="str">
        <v>岡山工場製造部PR課５インチ担当</v>
      </c>
      <c r="H121">
        <v>0</v>
      </c>
      <c r="I121">
        <v>0</v>
      </c>
      <c r="J121" t="str">
        <v>MAC VAN HUNG</v>
      </c>
      <c r="K121" t="str">
        <v>マック　ヴァン　フン</v>
      </c>
      <c r="L121" t="str">
        <v>男</v>
      </c>
      <c r="M121" t="str">
        <v>ﾍﾞﾄﾅﾑ</v>
      </c>
      <c r="N121" s="31">
        <v>33531</v>
      </c>
      <c r="O121">
        <v>34</v>
      </c>
      <c r="P121">
        <v>1500</v>
      </c>
      <c r="Q121" t="str">
        <v>2021/9/21~　1400⇒1500</v>
      </c>
      <c r="R121">
        <v>2300</v>
      </c>
      <c r="S121">
        <v>0</v>
      </c>
      <c r="T121">
        <v>800</v>
      </c>
      <c r="U121">
        <v>300000</v>
      </c>
      <c r="V121">
        <v>15045</v>
      </c>
      <c r="W121" t="str">
        <v>0</v>
      </c>
      <c r="X121">
        <v>27450</v>
      </c>
      <c r="Y121" s="31">
        <v>45566</v>
      </c>
      <c r="Z121" t="str">
        <v/>
      </c>
      <c r="AA121" t="str">
        <v>技術・人文知識・国際業務</v>
      </c>
      <c r="AB121" t="str">
        <v>715-0022</v>
      </c>
      <c r="AC121" t="str">
        <v>岡山県井原市下出部町2丁目8-7</v>
      </c>
      <c r="AD121" t="str">
        <v>ｴｽﾃｰﾄｲﾃﾞﾊﾗB102</v>
      </c>
      <c r="AE121" s="31">
        <v>44348</v>
      </c>
      <c r="AF121" s="31">
        <v>44350</v>
      </c>
      <c r="AG121" s="31">
        <v>45015</v>
      </c>
      <c r="AH121" s="31">
        <v>0</v>
      </c>
      <c r="AI121">
        <v>44409</v>
      </c>
      <c r="AJ121" t="str">
        <v>OK</v>
      </c>
      <c r="AK121">
        <v>0</v>
      </c>
      <c r="AL121">
        <v>44350</v>
      </c>
      <c r="AM121">
        <v>0</v>
      </c>
      <c r="AN121">
        <v>0</v>
      </c>
      <c r="AO121">
        <v>0</v>
      </c>
      <c r="AP121">
        <v>0</v>
      </c>
      <c r="AQ121">
        <v>0</v>
      </c>
      <c r="AR121">
        <v>0</v>
      </c>
    </row>
    <row r="122" spans="1:44">
      <c r="A122" t="str">
        <f>H122&amp;COUNTIF($H$2:H122,H122)</f>
        <v>064</v>
      </c>
      <c r="B122" t="str">
        <f>F122&amp;COUNTIF($F$2:F122,F122)</f>
        <v>セイビテック3</v>
      </c>
      <c r="C122" t="str">
        <v>退社</v>
      </c>
      <c r="D122">
        <v>210604</v>
      </c>
      <c r="E122">
        <v>500004</v>
      </c>
      <c r="F122" t="str">
        <v>セイビテック</v>
      </c>
      <c r="G122" t="str">
        <v>製造部WT課プローブ</v>
      </c>
      <c r="H122">
        <v>0</v>
      </c>
      <c r="I122">
        <v>0</v>
      </c>
      <c r="J122" t="str">
        <v>TRUONG THI THANH THAO</v>
      </c>
      <c r="K122" t="str">
        <v>チュオン　ティ　タン　タオ</v>
      </c>
      <c r="L122" t="str">
        <v>女</v>
      </c>
      <c r="M122" t="str">
        <v>ﾍﾞﾄﾅﾑ</v>
      </c>
      <c r="N122" s="31">
        <v>35065</v>
      </c>
      <c r="O122">
        <v>29</v>
      </c>
      <c r="P122">
        <v>1350</v>
      </c>
      <c r="Q122" t="str">
        <v>2022/6/21～　1300円⇒1350円</v>
      </c>
      <c r="R122">
        <v>1900</v>
      </c>
      <c r="S122">
        <v>0</v>
      </c>
      <c r="T122">
        <v>550</v>
      </c>
      <c r="U122">
        <v>300000</v>
      </c>
      <c r="V122">
        <v>15045</v>
      </c>
      <c r="W122" t="str">
        <v>0</v>
      </c>
      <c r="X122">
        <v>27450</v>
      </c>
      <c r="Y122" s="31">
        <v>45362</v>
      </c>
      <c r="Z122" t="str">
        <v/>
      </c>
      <c r="AA122" t="str">
        <v>技術・人文知識・国際業務</v>
      </c>
      <c r="AB122" t="str">
        <v>715-0024</v>
      </c>
      <c r="AC122" t="str">
        <v>岡山県井原市高屋町1丁目20-11</v>
      </c>
      <c r="AD122" t="str">
        <v>ｲﾌﾟｼﾛﾝB101</v>
      </c>
      <c r="AE122" s="31">
        <v>44354</v>
      </c>
      <c r="AF122" s="31">
        <v>44354</v>
      </c>
      <c r="AG122" s="31">
        <v>45048</v>
      </c>
      <c r="AH122" s="31">
        <v>0</v>
      </c>
      <c r="AI122">
        <v>0</v>
      </c>
      <c r="AJ122">
        <v>0</v>
      </c>
      <c r="AK122">
        <v>0</v>
      </c>
      <c r="AL122">
        <v>44354</v>
      </c>
      <c r="AM122">
        <v>0</v>
      </c>
      <c r="AN122">
        <v>0</v>
      </c>
      <c r="AO122">
        <v>0</v>
      </c>
      <c r="AP122">
        <v>0</v>
      </c>
      <c r="AQ122">
        <v>0</v>
      </c>
      <c r="AR122">
        <v>0</v>
      </c>
    </row>
    <row r="123" spans="1:44">
      <c r="A123" t="str">
        <f>H123&amp;COUNTIF($H$2:H123,H123)</f>
        <v>自動旋削2</v>
      </c>
      <c r="B123" t="str">
        <f>F123&amp;COUNTIF($F$2:F123,F123)</f>
        <v>高雄工業 静岡14</v>
      </c>
      <c r="C123" t="str">
        <v>退社</v>
      </c>
      <c r="D123">
        <v>210605</v>
      </c>
      <c r="E123">
        <v>242017</v>
      </c>
      <c r="F123" t="str">
        <v>高雄工業 静岡</v>
      </c>
      <c r="G123" t="str">
        <v>高雄工業株式会社 静岡事業所第一工場製作課</v>
      </c>
      <c r="H123" t="str">
        <v>自動旋削</v>
      </c>
      <c r="I123">
        <v>0</v>
      </c>
      <c r="J123" t="str">
        <v>TRAN QUOC TUAN</v>
      </c>
      <c r="K123" t="str">
        <v>チャン　クオック　トゥアン</v>
      </c>
      <c r="L123" t="str">
        <v>男</v>
      </c>
      <c r="M123" t="str">
        <v>ﾍﾞﾄﾅﾑ</v>
      </c>
      <c r="N123" s="31">
        <v>34791</v>
      </c>
      <c r="O123">
        <v>30</v>
      </c>
      <c r="P123">
        <v>1400</v>
      </c>
      <c r="Q123">
        <v>1750</v>
      </c>
      <c r="R123">
        <v>1770</v>
      </c>
      <c r="S123">
        <v>0</v>
      </c>
      <c r="T123">
        <v>370</v>
      </c>
      <c r="U123">
        <v>0</v>
      </c>
      <c r="V123" t="str">
        <v/>
      </c>
      <c r="W123" t="str">
        <v>0</v>
      </c>
      <c r="X123" t="str">
        <v/>
      </c>
      <c r="Y123" s="31">
        <v>45254</v>
      </c>
      <c r="Z123" t="str">
        <v/>
      </c>
      <c r="AA123" t="str">
        <v>技術・人文知識・国際業務</v>
      </c>
      <c r="AB123" t="str">
        <v>437-0015</v>
      </c>
      <c r="AC123" t="str">
        <v>静岡県袋井市旭町2-7-5</v>
      </c>
      <c r="AD123" t="str">
        <v>ﾌｨﾌﾃｨⅠ101</v>
      </c>
      <c r="AE123" s="31">
        <v>44350</v>
      </c>
      <c r="AF123" s="31">
        <v>44355</v>
      </c>
      <c r="AG123" s="31">
        <v>44936</v>
      </c>
      <c r="AH123" s="31">
        <v>0</v>
      </c>
      <c r="AI123">
        <v>44409</v>
      </c>
      <c r="AJ123" t="str">
        <v>OK</v>
      </c>
      <c r="AK123">
        <v>0</v>
      </c>
      <c r="AL123">
        <v>44355</v>
      </c>
      <c r="AM123">
        <v>0</v>
      </c>
      <c r="AN123">
        <v>0</v>
      </c>
      <c r="AO123">
        <v>0</v>
      </c>
      <c r="AP123">
        <v>0</v>
      </c>
      <c r="AQ123">
        <v>0</v>
      </c>
      <c r="AR123">
        <v>0</v>
      </c>
    </row>
    <row r="124" spans="1:44">
      <c r="A124" t="str">
        <f>H124&amp;COUNTIF($H$2:H124,H124)</f>
        <v>065</v>
      </c>
      <c r="B124" t="str">
        <f>F124&amp;COUNTIF($F$2:F124,F124)</f>
        <v>高雄工業 静岡15</v>
      </c>
      <c r="C124" t="str">
        <v>退社</v>
      </c>
      <c r="D124">
        <v>210606</v>
      </c>
      <c r="E124">
        <v>0</v>
      </c>
      <c r="F124" t="str">
        <v>高雄工業 静岡</v>
      </c>
      <c r="G124">
        <v>0</v>
      </c>
      <c r="H124">
        <v>0</v>
      </c>
      <c r="I124">
        <v>0</v>
      </c>
      <c r="J124" t="str">
        <v>NGUYEN QUOC KHAI</v>
      </c>
      <c r="K124" t="str">
        <v>グエン　クオック　カイ</v>
      </c>
      <c r="L124" t="str">
        <v>男</v>
      </c>
      <c r="M124" t="str">
        <v>ﾍﾞﾄﾅﾑ</v>
      </c>
      <c r="N124" s="31">
        <v>34954</v>
      </c>
      <c r="O124">
        <v>30</v>
      </c>
      <c r="P124">
        <v>1400</v>
      </c>
      <c r="Q124" t="str">
        <v>6/16~ \1200⇒\1250</v>
      </c>
      <c r="R124">
        <v>1750</v>
      </c>
      <c r="S124" t="str">
        <v>9/16~ 1600円→1750円</v>
      </c>
      <c r="T124">
        <v>350</v>
      </c>
      <c r="U124">
        <v>0</v>
      </c>
      <c r="V124" t="str">
        <v/>
      </c>
      <c r="W124" t="str">
        <v>0</v>
      </c>
      <c r="X124" t="str">
        <v/>
      </c>
      <c r="Y124" s="31">
        <v>44870</v>
      </c>
      <c r="Z124" t="str">
        <v/>
      </c>
      <c r="AA124" t="str">
        <v>技術・人文知識・国際業務</v>
      </c>
      <c r="AB124" t="str">
        <v>437-0015</v>
      </c>
      <c r="AC124" t="str">
        <v>静岡県袋井市旭町2-7-5</v>
      </c>
      <c r="AD124" t="str">
        <v>ﾌｨﾌﾃｨⅠ101</v>
      </c>
      <c r="AE124" s="31">
        <v>44350</v>
      </c>
      <c r="AF124" s="31">
        <v>44355</v>
      </c>
      <c r="AG124" s="31">
        <v>44666</v>
      </c>
      <c r="AH124" s="31">
        <v>0</v>
      </c>
      <c r="AI124">
        <v>44409</v>
      </c>
      <c r="AJ124" t="str">
        <v>OK</v>
      </c>
      <c r="AK124">
        <v>0</v>
      </c>
      <c r="AL124">
        <v>44355</v>
      </c>
      <c r="AM124">
        <v>0</v>
      </c>
      <c r="AN124">
        <v>0</v>
      </c>
      <c r="AO124">
        <v>0</v>
      </c>
      <c r="AP124">
        <v>0</v>
      </c>
      <c r="AQ124">
        <v>0</v>
      </c>
      <c r="AR124">
        <v>0</v>
      </c>
    </row>
    <row r="125" spans="1:44">
      <c r="A125" t="str">
        <f>H125&amp;COUNTIF($H$2:H125,H125)</f>
        <v>066</v>
      </c>
      <c r="B125" t="str">
        <f>F125&amp;COUNTIF($F$2:F125,F125)</f>
        <v>高雄工業 岡山15</v>
      </c>
      <c r="C125" t="str">
        <v>退社</v>
      </c>
      <c r="D125">
        <v>210607</v>
      </c>
      <c r="E125">
        <v>0</v>
      </c>
      <c r="F125" t="str">
        <v>高雄工業 岡山</v>
      </c>
      <c r="G125">
        <v>0</v>
      </c>
      <c r="H125">
        <v>0</v>
      </c>
      <c r="I125">
        <v>0</v>
      </c>
      <c r="J125" t="str">
        <v>PHAN THANH SI</v>
      </c>
      <c r="K125" t="str">
        <v>ファン　タイン　シー</v>
      </c>
      <c r="L125" t="str">
        <v>男</v>
      </c>
      <c r="M125" t="str">
        <v>ﾍﾞﾄﾅﾑ</v>
      </c>
      <c r="N125" s="31">
        <v>32127</v>
      </c>
      <c r="O125">
        <v>37</v>
      </c>
      <c r="P125">
        <v>1300</v>
      </c>
      <c r="Q125">
        <v>0</v>
      </c>
      <c r="R125">
        <v>1600</v>
      </c>
      <c r="S125">
        <v>0</v>
      </c>
      <c r="T125">
        <v>300</v>
      </c>
      <c r="U125">
        <v>0</v>
      </c>
      <c r="V125" t="str">
        <v/>
      </c>
      <c r="W125" t="str">
        <v>0</v>
      </c>
      <c r="X125" t="str">
        <v/>
      </c>
      <c r="Y125" s="31">
        <v>45083</v>
      </c>
      <c r="Z125" t="str">
        <v/>
      </c>
      <c r="AA125" t="str">
        <v>技術・人文知識・国際業務</v>
      </c>
      <c r="AB125" t="str">
        <v>700-0065</v>
      </c>
      <c r="AC125" t="str">
        <v>岡山県岡山市北区野殿東町10番17号</v>
      </c>
      <c r="AD125">
        <v>0</v>
      </c>
      <c r="AE125" s="31" t="str">
        <v>個人</v>
      </c>
      <c r="AF125" s="31">
        <v>44357</v>
      </c>
      <c r="AG125" s="31">
        <v>44439</v>
      </c>
      <c r="AH125" s="31">
        <v>0</v>
      </c>
      <c r="AI125">
        <v>44348</v>
      </c>
      <c r="AJ125">
        <v>0</v>
      </c>
      <c r="AK125">
        <v>0</v>
      </c>
      <c r="AL125">
        <v>44357</v>
      </c>
      <c r="AM125">
        <v>0</v>
      </c>
      <c r="AN125">
        <v>0</v>
      </c>
      <c r="AO125">
        <v>0</v>
      </c>
      <c r="AP125">
        <v>0</v>
      </c>
      <c r="AQ125">
        <v>0</v>
      </c>
      <c r="AR125">
        <v>0</v>
      </c>
    </row>
    <row r="126" spans="1:44">
      <c r="A126" t="str">
        <f>H126&amp;COUNTIF($H$2:H126,H126)</f>
        <v>亀崎工場製造5課7工区9班2</v>
      </c>
      <c r="B126" t="str">
        <f>F126&amp;COUNTIF($F$2:F126,F126)</f>
        <v>コーリツ 亀崎3</v>
      </c>
      <c r="C126" t="str">
        <v>在職中</v>
      </c>
      <c r="D126">
        <v>210608</v>
      </c>
      <c r="E126">
        <v>8210012</v>
      </c>
      <c r="F126" t="str">
        <v>コーリツ 亀崎</v>
      </c>
      <c r="G126" t="str">
        <v>亀崎工場製造5課7工区9班</v>
      </c>
      <c r="H126" t="str">
        <v>亀崎工場製造5課7工区9班</v>
      </c>
      <c r="I126">
        <v>0</v>
      </c>
      <c r="J126" t="str">
        <v>NGUYEN VAN HONG</v>
      </c>
      <c r="K126" t="str">
        <v>グエン　バン　ホン</v>
      </c>
      <c r="L126" t="str">
        <v>男</v>
      </c>
      <c r="M126" t="str">
        <v>ﾍﾞﾄﾅﾑ</v>
      </c>
      <c r="N126" s="31">
        <v>32203</v>
      </c>
      <c r="O126">
        <v>37</v>
      </c>
      <c r="P126">
        <v>1500</v>
      </c>
      <c r="Q126">
        <v>0</v>
      </c>
      <c r="R126">
        <v>2150</v>
      </c>
      <c r="S126">
        <v>0</v>
      </c>
      <c r="T126">
        <v>650</v>
      </c>
      <c r="U126">
        <v>380000</v>
      </c>
      <c r="V126">
        <v>19057</v>
      </c>
      <c r="W126" t="str">
        <v>0</v>
      </c>
      <c r="X126">
        <v>34770</v>
      </c>
      <c r="Y126" s="31">
        <v>46849</v>
      </c>
      <c r="Z126" t="str">
        <v/>
      </c>
      <c r="AA126" t="str">
        <v>技術・人文知識・国際業務</v>
      </c>
      <c r="AB126" t="str">
        <v>475-0004</v>
      </c>
      <c r="AC126" t="str">
        <v>愛知県半田市上池町5丁目37-1</v>
      </c>
      <c r="AD126" t="str">
        <v>ﾙﾐｴｰﾙ上池203</v>
      </c>
      <c r="AE126" s="31">
        <v>44472</v>
      </c>
      <c r="AF126" s="31">
        <v>44361</v>
      </c>
      <c r="AG126" s="31">
        <v>0</v>
      </c>
      <c r="AH126" s="31">
        <v>0</v>
      </c>
      <c r="AI126">
        <v>44409</v>
      </c>
      <c r="AJ126" t="str">
        <v>OK</v>
      </c>
      <c r="AK126">
        <v>0</v>
      </c>
      <c r="AL126">
        <v>44361</v>
      </c>
      <c r="AM126">
        <v>0</v>
      </c>
      <c r="AN126">
        <v>0</v>
      </c>
      <c r="AO126" t="str">
        <v>自転車</v>
      </c>
      <c r="AP126">
        <v>45903</v>
      </c>
      <c r="AQ126">
        <v>0</v>
      </c>
      <c r="AR126">
        <v>0</v>
      </c>
    </row>
    <row r="127" spans="1:44">
      <c r="A127" t="str">
        <f>H127&amp;COUNTIF($H$2:H127,H127)</f>
        <v>自動旋削3</v>
      </c>
      <c r="B127" t="str">
        <f>F127&amp;COUNTIF($F$2:F127,F127)</f>
        <v>高雄工業 静岡16</v>
      </c>
      <c r="C127" t="str">
        <v>退社</v>
      </c>
      <c r="D127">
        <v>210609</v>
      </c>
      <c r="E127">
        <v>242019</v>
      </c>
      <c r="F127" t="str">
        <v>高雄工業 静岡</v>
      </c>
      <c r="G127" t="str">
        <v>乙川工場製造3課6工区9班</v>
      </c>
      <c r="H127" t="str">
        <v>自動旋削</v>
      </c>
      <c r="I127">
        <v>0</v>
      </c>
      <c r="J127" t="str">
        <v>NGUYEN VAN TIEN</v>
      </c>
      <c r="K127" t="str">
        <v>グエン　ヴァン　ティエン</v>
      </c>
      <c r="L127" t="str">
        <v>男</v>
      </c>
      <c r="M127" t="str">
        <v>ﾍﾞﾄﾅﾑ</v>
      </c>
      <c r="N127" s="31">
        <v>34826</v>
      </c>
      <c r="O127">
        <v>30</v>
      </c>
      <c r="P127">
        <v>1400</v>
      </c>
      <c r="Q127" t="str">
        <v>6/16~ \1200⇒\1250</v>
      </c>
      <c r="R127">
        <v>1770</v>
      </c>
      <c r="S127" t="str">
        <v>9/16~ 1600円→1750円</v>
      </c>
      <c r="T127">
        <v>370</v>
      </c>
      <c r="U127">
        <v>0</v>
      </c>
      <c r="V127" t="str">
        <v/>
      </c>
      <c r="W127" t="str">
        <v>0</v>
      </c>
      <c r="X127" t="str">
        <v/>
      </c>
      <c r="Y127" s="31">
        <v>45052</v>
      </c>
      <c r="Z127" t="str">
        <v/>
      </c>
      <c r="AA127" t="str">
        <v>技術・人文知識・国際業務</v>
      </c>
      <c r="AB127" t="str">
        <v>437-0065</v>
      </c>
      <c r="AC127" t="str">
        <v>静岡県袋井市久能1744番地1</v>
      </c>
      <c r="AD127" t="str">
        <v>ｱﾙｺ･ﾊﾞﾚｰﾉ205</v>
      </c>
      <c r="AE127" s="31">
        <v>44835</v>
      </c>
      <c r="AF127" s="31">
        <v>44362</v>
      </c>
      <c r="AG127" s="31">
        <v>44917</v>
      </c>
      <c r="AH127" s="31">
        <v>0</v>
      </c>
      <c r="AI127">
        <v>44409</v>
      </c>
      <c r="AJ127" t="str">
        <v>OK</v>
      </c>
      <c r="AK127">
        <v>0</v>
      </c>
      <c r="AL127">
        <v>44362</v>
      </c>
      <c r="AM127">
        <v>0</v>
      </c>
      <c r="AN127">
        <v>0</v>
      </c>
      <c r="AO127">
        <v>0</v>
      </c>
      <c r="AP127">
        <v>0</v>
      </c>
      <c r="AQ127">
        <v>0</v>
      </c>
      <c r="AR127">
        <v>0</v>
      </c>
    </row>
    <row r="128" spans="1:44">
      <c r="A128" t="str">
        <f>H128&amp;COUNTIF($H$2:H128,H128)</f>
        <v>HUB3</v>
      </c>
      <c r="B128" t="str">
        <f>F128&amp;COUNTIF($F$2:F128,F128)</f>
        <v>高雄工業 海南第一14</v>
      </c>
      <c r="C128" t="str">
        <v>退社</v>
      </c>
      <c r="D128">
        <v>210610</v>
      </c>
      <c r="E128">
        <v>222020</v>
      </c>
      <c r="F128" t="str">
        <v>高雄工業 海南第一</v>
      </c>
      <c r="G128" t="str">
        <v>高雄工業株式会社 愛知事業所海南第一工場製作1課</v>
      </c>
      <c r="H128" t="str">
        <v>HUB</v>
      </c>
      <c r="I128" t="str">
        <v>ハブ加工 機械オペレーター、NCプログラム修正</v>
      </c>
      <c r="J128" t="str">
        <v>CAO QUOC DUNG</v>
      </c>
      <c r="K128" t="str">
        <v>カオ　コック　ズン</v>
      </c>
      <c r="L128" t="str">
        <v>男</v>
      </c>
      <c r="M128" t="str">
        <v>ﾍﾞﾄﾅﾑ</v>
      </c>
      <c r="N128" s="31">
        <v>32979</v>
      </c>
      <c r="O128">
        <v>35</v>
      </c>
      <c r="P128">
        <v>1410</v>
      </c>
      <c r="Q128" t="str">
        <v>6/16~ \1200⇒\1250</v>
      </c>
      <c r="R128">
        <v>1830</v>
      </c>
      <c r="S128" t="str">
        <v>9/16~ 1600円→1750円</v>
      </c>
      <c r="T128">
        <v>420</v>
      </c>
      <c r="U128">
        <v>360000</v>
      </c>
      <c r="V128">
        <v>18054</v>
      </c>
      <c r="W128" t="str">
        <v>0</v>
      </c>
      <c r="X128">
        <v>32940</v>
      </c>
      <c r="Y128" s="31">
        <v>46721</v>
      </c>
      <c r="Z128" t="str">
        <v/>
      </c>
      <c r="AA128" t="str">
        <v>技術・人文知識・国際業務</v>
      </c>
      <c r="AB128" t="str">
        <v>498-0031</v>
      </c>
      <c r="AC128" t="str">
        <v>愛知県弥富市平島町甲新田82番地１</v>
      </c>
      <c r="AD128" t="str">
        <v>ﾊﾟｰｸﾀｳﾝ平島D201</v>
      </c>
      <c r="AE128" s="31">
        <v>44982</v>
      </c>
      <c r="AF128" s="31">
        <v>44363</v>
      </c>
      <c r="AG128" s="31">
        <v>45807</v>
      </c>
      <c r="AH128" s="31">
        <v>0</v>
      </c>
      <c r="AI128">
        <v>44409</v>
      </c>
      <c r="AJ128" t="str">
        <v>OK</v>
      </c>
      <c r="AK128">
        <v>0</v>
      </c>
      <c r="AL128">
        <v>44363</v>
      </c>
      <c r="AM128">
        <v>0</v>
      </c>
      <c r="AN128">
        <v>0</v>
      </c>
      <c r="AO128">
        <v>0</v>
      </c>
      <c r="AP128">
        <v>0</v>
      </c>
      <c r="AQ128">
        <v>0</v>
      </c>
      <c r="AR128">
        <v>0</v>
      </c>
    </row>
    <row r="129" spans="1:44">
      <c r="A129" t="str">
        <f>H129&amp;COUNTIF($H$2:H129,H129)</f>
        <v>067</v>
      </c>
      <c r="B129" t="str">
        <f>F129&amp;COUNTIF($F$2:F129,F129)</f>
        <v>高雄工業 海南第一15</v>
      </c>
      <c r="C129" t="str">
        <v>退社</v>
      </c>
      <c r="D129">
        <v>210611</v>
      </c>
      <c r="E129">
        <v>0</v>
      </c>
      <c r="F129" t="str">
        <v>高雄工業 海南第一</v>
      </c>
      <c r="G129" t="str">
        <v>高雄工業株式会社 愛知事業所海南第一工場製作1課</v>
      </c>
      <c r="H129">
        <v>0</v>
      </c>
      <c r="I129">
        <v>0</v>
      </c>
      <c r="J129" t="str">
        <v>TRUONG DINH HUNG</v>
      </c>
      <c r="K129" t="str">
        <v>トゥン　ディン　フン</v>
      </c>
      <c r="L129" t="str">
        <v>男</v>
      </c>
      <c r="M129" t="str">
        <v>ﾍﾞﾄﾅﾑ</v>
      </c>
      <c r="N129" s="31">
        <v>33440</v>
      </c>
      <c r="O129">
        <v>34</v>
      </c>
      <c r="P129">
        <v>1400</v>
      </c>
      <c r="Q129" t="str">
        <v>6/16~ \1200⇒\1250</v>
      </c>
      <c r="R129">
        <v>1750</v>
      </c>
      <c r="S129" t="str">
        <v>9/16~ 1600円→1750円</v>
      </c>
      <c r="T129">
        <v>350</v>
      </c>
      <c r="U129">
        <v>0</v>
      </c>
      <c r="V129" t="str">
        <v/>
      </c>
      <c r="W129" t="str">
        <v>0</v>
      </c>
      <c r="X129" t="str">
        <v/>
      </c>
      <c r="Y129" s="31">
        <v>44862</v>
      </c>
      <c r="Z129" t="str">
        <v/>
      </c>
      <c r="AA129" t="str">
        <v>技術・人文知識・国際業務</v>
      </c>
      <c r="AB129" t="str">
        <v>498-0017</v>
      </c>
      <c r="AC129" t="str">
        <v>愛知県弥富市前ヶ須町東勘助138</v>
      </c>
      <c r="AD129" t="str">
        <v>安井ﾋﾞﾙ5D</v>
      </c>
      <c r="AE129" s="31">
        <v>44355</v>
      </c>
      <c r="AF129" s="31">
        <v>44363</v>
      </c>
      <c r="AG129" s="31">
        <v>44659</v>
      </c>
      <c r="AH129" s="31">
        <v>0</v>
      </c>
      <c r="AI129">
        <v>44409</v>
      </c>
      <c r="AJ129" t="str">
        <v>OK</v>
      </c>
      <c r="AK129">
        <v>0</v>
      </c>
      <c r="AL129">
        <v>44363</v>
      </c>
      <c r="AM129">
        <v>0</v>
      </c>
      <c r="AN129">
        <v>0</v>
      </c>
      <c r="AO129">
        <v>0</v>
      </c>
      <c r="AP129">
        <v>0</v>
      </c>
      <c r="AQ129">
        <v>0</v>
      </c>
      <c r="AR129">
        <v>0</v>
      </c>
    </row>
    <row r="130" spans="1:44">
      <c r="A130" t="str">
        <f>H130&amp;COUNTIF($H$2:H130,H130)</f>
        <v>068</v>
      </c>
      <c r="B130" t="str">
        <f>F130&amp;COUNTIF($F$2:F130,F130)</f>
        <v>セイビテック4</v>
      </c>
      <c r="C130" t="str">
        <v>退社</v>
      </c>
      <c r="D130">
        <v>210612</v>
      </c>
      <c r="E130">
        <v>0</v>
      </c>
      <c r="F130" t="str">
        <v>セイビテック</v>
      </c>
      <c r="G130">
        <v>0</v>
      </c>
      <c r="H130">
        <v>0</v>
      </c>
      <c r="I130">
        <v>0</v>
      </c>
      <c r="J130" t="str">
        <v>NGUYEN THI NGOC LINH</v>
      </c>
      <c r="K130" t="str">
        <v>グエン　ティ　ゴック　リン</v>
      </c>
      <c r="L130" t="str">
        <v>女</v>
      </c>
      <c r="M130" t="str">
        <v>ﾍﾞﾄﾅﾑ</v>
      </c>
      <c r="N130" s="31">
        <v>34226</v>
      </c>
      <c r="O130">
        <v>32</v>
      </c>
      <c r="P130">
        <v>1300</v>
      </c>
      <c r="Q130" t="str">
        <v>2021/9/21～　1250⇒1300UP</v>
      </c>
      <c r="R130">
        <v>1900</v>
      </c>
      <c r="S130" t="str">
        <v>入社一か月後　2000円へUP</v>
      </c>
      <c r="T130">
        <v>600</v>
      </c>
      <c r="U130">
        <v>0</v>
      </c>
      <c r="V130" t="str">
        <v/>
      </c>
      <c r="W130" t="str">
        <v>0</v>
      </c>
      <c r="X130" t="str">
        <v/>
      </c>
      <c r="Y130" s="31">
        <v>44726</v>
      </c>
      <c r="Z130" t="str">
        <v/>
      </c>
      <c r="AA130" t="str">
        <v>技術・人文知識・国際業務</v>
      </c>
      <c r="AB130" t="str">
        <v>715-0022</v>
      </c>
      <c r="AC130" t="str">
        <v>岡山県井原市下出部町2丁目8-7</v>
      </c>
      <c r="AD130" t="str">
        <v>ｴｽﾃｰﾄｲﾃﾞﾊﾗB102</v>
      </c>
      <c r="AE130" s="31">
        <v>0</v>
      </c>
      <c r="AF130" s="31">
        <v>44368</v>
      </c>
      <c r="AG130" s="31">
        <v>44699</v>
      </c>
      <c r="AH130" s="31">
        <v>0</v>
      </c>
      <c r="AI130">
        <v>44409</v>
      </c>
      <c r="AJ130" t="str">
        <v>OK</v>
      </c>
      <c r="AK130" t="str">
        <v>3/11最終出勤日、産休終了5/18で退社</v>
      </c>
      <c r="AL130">
        <v>44368</v>
      </c>
      <c r="AM130">
        <v>0</v>
      </c>
      <c r="AN130">
        <v>0</v>
      </c>
      <c r="AO130">
        <v>0</v>
      </c>
      <c r="AP130">
        <v>0</v>
      </c>
      <c r="AQ130">
        <v>0</v>
      </c>
      <c r="AR130">
        <v>0</v>
      </c>
    </row>
    <row r="131" spans="1:44">
      <c r="A131" t="str">
        <f>H131&amp;COUNTIF($H$2:H131,H131)</f>
        <v>CVJ短軸旋盤係1</v>
      </c>
      <c r="B131" t="str">
        <f>F131&amp;COUNTIF($F$2:F131,F131)</f>
        <v>高雄工業 本社14</v>
      </c>
      <c r="C131" t="str">
        <v>退社</v>
      </c>
      <c r="D131">
        <v>210613</v>
      </c>
      <c r="E131">
        <v>0</v>
      </c>
      <c r="F131" t="str">
        <v>高雄工業 本社</v>
      </c>
      <c r="G131" t="str">
        <v>高雄工業株式会社 愛知事業所本社工場製作課</v>
      </c>
      <c r="H131" t="str">
        <v>CVJ短軸旋盤係</v>
      </c>
      <c r="I131">
        <v>0</v>
      </c>
      <c r="J131" t="str">
        <v>VAN THE LUONG</v>
      </c>
      <c r="K131" t="str">
        <v>ヴァン　テエ　ルオン</v>
      </c>
      <c r="L131" t="str">
        <v>男</v>
      </c>
      <c r="M131" t="str">
        <v>ﾍﾞﾄﾅﾑ</v>
      </c>
      <c r="N131" s="31">
        <v>35664</v>
      </c>
      <c r="O131">
        <v>28</v>
      </c>
      <c r="P131">
        <v>1400</v>
      </c>
      <c r="Q131" t="str">
        <v>6/16~ \1200⇒\1250</v>
      </c>
      <c r="R131">
        <v>1750</v>
      </c>
      <c r="S131" t="str">
        <v>9/16~ 1600円→1750円</v>
      </c>
      <c r="T131">
        <v>350</v>
      </c>
      <c r="U131">
        <v>0</v>
      </c>
      <c r="V131" t="str">
        <v/>
      </c>
      <c r="W131" t="str">
        <v>0</v>
      </c>
      <c r="X131" t="str">
        <v/>
      </c>
      <c r="Y131" s="31">
        <v>45981</v>
      </c>
      <c r="Z131" t="str">
        <v/>
      </c>
      <c r="AA131" t="str">
        <v>技術・人文知識・国際業務</v>
      </c>
      <c r="AB131" t="str">
        <v>498-0017</v>
      </c>
      <c r="AC131" t="str">
        <v>愛知県弥富市前ヶ須町東勘助138</v>
      </c>
      <c r="AD131" t="str">
        <v>安井ﾋﾞﾙ2C</v>
      </c>
      <c r="AE131" s="31">
        <v>44367</v>
      </c>
      <c r="AF131" s="31">
        <v>44368</v>
      </c>
      <c r="AG131" s="31">
        <v>44680</v>
      </c>
      <c r="AH131" s="31">
        <v>0</v>
      </c>
      <c r="AI131">
        <v>0</v>
      </c>
      <c r="AJ131" t="str">
        <v>OK</v>
      </c>
      <c r="AK131">
        <v>0</v>
      </c>
      <c r="AL131">
        <v>44368</v>
      </c>
      <c r="AM131">
        <v>0</v>
      </c>
      <c r="AN131">
        <v>0</v>
      </c>
      <c r="AO131">
        <v>0</v>
      </c>
      <c r="AP131">
        <v>0</v>
      </c>
      <c r="AQ131">
        <v>0</v>
      </c>
      <c r="AR131">
        <v>0</v>
      </c>
    </row>
    <row r="132" spans="1:44">
      <c r="A132" t="str">
        <f>H132&amp;COUNTIF($H$2:H132,H132)</f>
        <v>069</v>
      </c>
      <c r="B132" t="str">
        <f>F132&amp;COUNTIF($F$2:F132,F132)</f>
        <v>高雄工業 本社15</v>
      </c>
      <c r="C132" t="str">
        <v>退社</v>
      </c>
      <c r="D132">
        <v>210614</v>
      </c>
      <c r="E132">
        <v>0</v>
      </c>
      <c r="F132" t="str">
        <v>高雄工業 本社</v>
      </c>
      <c r="G132" t="str">
        <v>高雄工業株式会社 愛知事業所本社工場製作課</v>
      </c>
      <c r="H132">
        <v>0</v>
      </c>
      <c r="I132">
        <v>0</v>
      </c>
      <c r="J132" t="str">
        <v>NGUYEN VIET HOANG</v>
      </c>
      <c r="K132" t="str">
        <v>グエン　ヴィエン　ホアン</v>
      </c>
      <c r="L132" t="str">
        <v>男</v>
      </c>
      <c r="M132" t="str">
        <v>ﾍﾞﾄﾅﾑ</v>
      </c>
      <c r="N132" s="31">
        <v>35371</v>
      </c>
      <c r="O132">
        <v>29</v>
      </c>
      <c r="P132">
        <v>1400</v>
      </c>
      <c r="Q132">
        <v>0</v>
      </c>
      <c r="R132">
        <v>1750</v>
      </c>
      <c r="S132" t="str">
        <v>9/16~ 1600円→1750円</v>
      </c>
      <c r="T132">
        <v>350</v>
      </c>
      <c r="U132">
        <v>0</v>
      </c>
      <c r="V132" t="str">
        <v/>
      </c>
      <c r="W132" t="str">
        <v>0</v>
      </c>
      <c r="X132" t="str">
        <v/>
      </c>
      <c r="Y132" s="31">
        <v>45981</v>
      </c>
      <c r="Z132" t="str">
        <v/>
      </c>
      <c r="AA132" t="str">
        <v>技術・人文知識・国際業務</v>
      </c>
      <c r="AB132" t="str">
        <v>498-0017</v>
      </c>
      <c r="AC132" t="str">
        <v>愛知県弥富市前ヶ須町東勘助138</v>
      </c>
      <c r="AD132" t="str">
        <v>安井ﾋﾞﾙ2C</v>
      </c>
      <c r="AE132" s="31">
        <v>44367</v>
      </c>
      <c r="AF132" s="31">
        <v>44368</v>
      </c>
      <c r="AG132" s="31">
        <v>44602</v>
      </c>
      <c r="AH132" s="31">
        <v>0</v>
      </c>
      <c r="AI132">
        <v>0</v>
      </c>
      <c r="AJ132">
        <v>0</v>
      </c>
      <c r="AK132">
        <v>0</v>
      </c>
      <c r="AL132">
        <v>44368</v>
      </c>
      <c r="AM132">
        <v>0</v>
      </c>
      <c r="AN132">
        <v>0</v>
      </c>
      <c r="AO132">
        <v>0</v>
      </c>
      <c r="AP132">
        <v>0</v>
      </c>
      <c r="AQ132">
        <v>0</v>
      </c>
      <c r="AR132">
        <v>0</v>
      </c>
    </row>
    <row r="133" spans="1:44">
      <c r="A133" t="str">
        <f>H133&amp;COUNTIF($H$2:H133,H133)</f>
        <v>070</v>
      </c>
      <c r="B133" t="str">
        <f>F133&amp;COUNTIF($F$2:F133,F133)</f>
        <v>ﾌｪﾆﾃｯｸｾﾐｺﾝﾀﾞｸﾀｰ 鹿児島8</v>
      </c>
      <c r="C133" t="str">
        <v>退社</v>
      </c>
      <c r="D133">
        <v>210615</v>
      </c>
      <c r="E133">
        <v>0</v>
      </c>
      <c r="F133" t="str">
        <v>ﾌｪﾆﾃｯｸｾﾐｺﾝﾀﾞｸﾀｰ 鹿児島</v>
      </c>
      <c r="G133" t="str">
        <v>鹿児島工場　製造部　製造課</v>
      </c>
      <c r="H133">
        <v>0</v>
      </c>
      <c r="I133">
        <v>0</v>
      </c>
      <c r="J133" t="str">
        <v>DANG VAN DAI</v>
      </c>
      <c r="K133" t="str">
        <v>ダン　ヴァン　ダイ</v>
      </c>
      <c r="L133" t="str">
        <v>男</v>
      </c>
      <c r="M133" t="str">
        <v>ﾍﾞﾄﾅﾑ</v>
      </c>
      <c r="N133" s="31">
        <v>32930</v>
      </c>
      <c r="O133">
        <v>35</v>
      </c>
      <c r="P133">
        <v>1400</v>
      </c>
      <c r="Q133">
        <v>0</v>
      </c>
      <c r="R133">
        <v>2000</v>
      </c>
      <c r="S133" t="str">
        <v>2022/7/1~ 1900円⇒2000円</v>
      </c>
      <c r="T133">
        <v>600</v>
      </c>
      <c r="U133">
        <v>300000</v>
      </c>
      <c r="V133">
        <v>15045</v>
      </c>
      <c r="W133" t="str">
        <v>0</v>
      </c>
      <c r="X133">
        <v>27450</v>
      </c>
      <c r="Y133" s="31">
        <v>45330</v>
      </c>
      <c r="Z133" t="str">
        <v/>
      </c>
      <c r="AA133" t="str">
        <v>技術・人文知識・国際業務</v>
      </c>
      <c r="AB133" t="str">
        <v>899-6201</v>
      </c>
      <c r="AC133" t="str">
        <v>鹿児島県姶良郡湧水町木場255番地1</v>
      </c>
      <c r="AD133" t="str">
        <v>宮前住宅2号室241号</v>
      </c>
      <c r="AE133" s="31">
        <v>44368</v>
      </c>
      <c r="AF133" s="31">
        <v>44369</v>
      </c>
      <c r="AG133" s="31">
        <v>45056</v>
      </c>
      <c r="AH133" s="31">
        <v>44602</v>
      </c>
      <c r="AI133">
        <v>0</v>
      </c>
      <c r="AJ133" t="str">
        <v>OK</v>
      </c>
      <c r="AK133">
        <v>0</v>
      </c>
      <c r="AL133">
        <v>44369</v>
      </c>
      <c r="AM133">
        <v>0</v>
      </c>
      <c r="AN133">
        <v>0</v>
      </c>
      <c r="AO133">
        <v>0</v>
      </c>
      <c r="AP133">
        <v>0</v>
      </c>
      <c r="AQ133">
        <v>0</v>
      </c>
      <c r="AR133">
        <v>0</v>
      </c>
    </row>
    <row r="134" spans="1:44">
      <c r="A134" t="str">
        <f>H134&amp;COUNTIF($H$2:H134,H134)</f>
        <v>071</v>
      </c>
      <c r="B134" t="str">
        <f>F134&amp;COUNTIF($F$2:F134,F134)</f>
        <v>高雄工業 岡山16</v>
      </c>
      <c r="C134" t="str">
        <v>退社</v>
      </c>
      <c r="D134">
        <v>210616</v>
      </c>
      <c r="E134">
        <v>0</v>
      </c>
      <c r="F134" t="str">
        <v>高雄工業 岡山</v>
      </c>
      <c r="G134">
        <v>0</v>
      </c>
      <c r="H134">
        <v>0</v>
      </c>
      <c r="I134">
        <v>0</v>
      </c>
      <c r="J134" t="str">
        <v>LE HUY HOANG</v>
      </c>
      <c r="K134" t="str">
        <v>レ　フィ　ホアン</v>
      </c>
      <c r="L134" t="str">
        <v>男</v>
      </c>
      <c r="M134" t="str">
        <v>ﾍﾞﾄﾅﾑ</v>
      </c>
      <c r="N134" s="31">
        <v>35273</v>
      </c>
      <c r="O134">
        <v>29</v>
      </c>
      <c r="P134">
        <v>1350</v>
      </c>
      <c r="Q134">
        <v>0</v>
      </c>
      <c r="R134">
        <v>1750</v>
      </c>
      <c r="S134" t="str">
        <v>9/16~ 1600円→1750円</v>
      </c>
      <c r="T134">
        <v>400</v>
      </c>
      <c r="U134">
        <v>0</v>
      </c>
      <c r="V134" t="str">
        <v/>
      </c>
      <c r="W134" t="str">
        <v>0</v>
      </c>
      <c r="X134" t="str">
        <v/>
      </c>
      <c r="Y134" s="31">
        <v>45557</v>
      </c>
      <c r="Z134" t="str">
        <v/>
      </c>
      <c r="AA134" t="str">
        <v>技術・人文知識・国際業務</v>
      </c>
      <c r="AB134" t="str">
        <v>709-2107</v>
      </c>
      <c r="AC134" t="str">
        <v>岡山県岡山市北区御津矢原307-1</v>
      </c>
      <c r="AD134" t="str">
        <v>成広矢原ｺｰﾎﾟⅡ102号</v>
      </c>
      <c r="AE134" s="31">
        <v>44369</v>
      </c>
      <c r="AF134" s="31">
        <v>44371</v>
      </c>
      <c r="AG134" s="31">
        <v>44559</v>
      </c>
      <c r="AH134" s="31">
        <v>0</v>
      </c>
      <c r="AI134">
        <v>44378</v>
      </c>
      <c r="AJ134">
        <v>0</v>
      </c>
      <c r="AK134">
        <v>0</v>
      </c>
      <c r="AL134">
        <v>44371</v>
      </c>
      <c r="AM134">
        <v>0</v>
      </c>
      <c r="AN134">
        <v>0</v>
      </c>
      <c r="AO134">
        <v>0</v>
      </c>
      <c r="AP134">
        <v>0</v>
      </c>
      <c r="AQ134">
        <v>0</v>
      </c>
      <c r="AR134">
        <v>0</v>
      </c>
    </row>
    <row r="135" spans="1:44">
      <c r="A135" t="str">
        <f>H135&amp;COUNTIF($H$2:H135,H135)</f>
        <v>072</v>
      </c>
      <c r="B135" t="str">
        <f>F135&amp;COUNTIF($F$2:F135,F135)</f>
        <v>セイビテック5</v>
      </c>
      <c r="C135" t="str">
        <v>退社</v>
      </c>
      <c r="D135">
        <v>210701</v>
      </c>
      <c r="E135">
        <v>0</v>
      </c>
      <c r="F135" t="str">
        <v>セイビテック</v>
      </c>
      <c r="G135">
        <v>0</v>
      </c>
      <c r="H135">
        <v>0</v>
      </c>
      <c r="I135">
        <v>0</v>
      </c>
      <c r="J135" t="str">
        <v>HOANG VAN NHI</v>
      </c>
      <c r="K135" t="str">
        <v>ホアン　ヴァン　ニー</v>
      </c>
      <c r="L135" t="str">
        <v>男</v>
      </c>
      <c r="M135" t="str">
        <v>ﾍﾞﾄﾅﾑ</v>
      </c>
      <c r="N135" s="31">
        <v>34963</v>
      </c>
      <c r="O135">
        <v>30</v>
      </c>
      <c r="P135">
        <v>1400</v>
      </c>
      <c r="Q135">
        <v>0</v>
      </c>
      <c r="R135">
        <v>2000</v>
      </c>
      <c r="S135">
        <v>0</v>
      </c>
      <c r="T135">
        <v>600</v>
      </c>
      <c r="U135">
        <v>0</v>
      </c>
      <c r="V135" t="str">
        <v/>
      </c>
      <c r="W135" t="str">
        <v>0</v>
      </c>
      <c r="X135" t="str">
        <v/>
      </c>
      <c r="Y135" s="31">
        <v>45526</v>
      </c>
      <c r="Z135" t="str">
        <v/>
      </c>
      <c r="AA135" t="str">
        <v>技術・人文知識・国際業務</v>
      </c>
      <c r="AB135" t="str">
        <v>715-0024</v>
      </c>
      <c r="AC135" t="str">
        <v>岡山県井原市高屋町1丁目20-11</v>
      </c>
      <c r="AD135" t="str">
        <v>ｲﾌﾟｼﾛﾝB102</v>
      </c>
      <c r="AE135" s="31">
        <v>44380</v>
      </c>
      <c r="AF135" s="31">
        <v>44378</v>
      </c>
      <c r="AG135" s="31">
        <v>44584</v>
      </c>
      <c r="AH135" s="31">
        <v>0</v>
      </c>
      <c r="AI135">
        <v>0</v>
      </c>
      <c r="AJ135">
        <v>0</v>
      </c>
      <c r="AK135">
        <v>0</v>
      </c>
      <c r="AL135">
        <v>44378</v>
      </c>
      <c r="AM135">
        <v>0</v>
      </c>
      <c r="AN135">
        <v>0</v>
      </c>
      <c r="AO135">
        <v>0</v>
      </c>
      <c r="AP135">
        <v>0</v>
      </c>
      <c r="AQ135">
        <v>0</v>
      </c>
      <c r="AR135">
        <v>0</v>
      </c>
    </row>
    <row r="136" spans="1:44">
      <c r="A136" t="str">
        <f>H136&amp;COUNTIF($H$2:H136,H136)</f>
        <v>073</v>
      </c>
      <c r="B136" t="str">
        <f>F136&amp;COUNTIF($F$2:F136,F136)</f>
        <v>高雄工業 本社16</v>
      </c>
      <c r="C136" t="str">
        <v>退社</v>
      </c>
      <c r="D136">
        <v>210702</v>
      </c>
      <c r="E136">
        <v>0</v>
      </c>
      <c r="F136" t="str">
        <v>高雄工業 本社</v>
      </c>
      <c r="G136" t="str">
        <v>高雄工業株式会社 愛知事業所本社工場製作課</v>
      </c>
      <c r="H136">
        <v>0</v>
      </c>
      <c r="I136">
        <v>0</v>
      </c>
      <c r="J136" t="str">
        <v>LE TIEN THANH</v>
      </c>
      <c r="K136" t="str">
        <v>レ　ティエン　タイン</v>
      </c>
      <c r="L136" t="str">
        <v>男</v>
      </c>
      <c r="M136" t="str">
        <v>ﾍﾞﾄﾅﾑ</v>
      </c>
      <c r="N136" s="31">
        <v>34612</v>
      </c>
      <c r="O136">
        <v>31</v>
      </c>
      <c r="P136">
        <v>1370</v>
      </c>
      <c r="Q136">
        <v>0</v>
      </c>
      <c r="R136">
        <v>1770</v>
      </c>
      <c r="S136">
        <v>400</v>
      </c>
      <c r="T136">
        <v>400</v>
      </c>
      <c r="U136">
        <v>0</v>
      </c>
      <c r="V136" t="str">
        <v/>
      </c>
      <c r="W136" t="str">
        <v>0</v>
      </c>
      <c r="X136" t="str">
        <v/>
      </c>
      <c r="Y136" s="31">
        <v>45721</v>
      </c>
      <c r="Z136" t="str">
        <v/>
      </c>
      <c r="AA136" t="str">
        <v>技術・人文知識・国際業務</v>
      </c>
      <c r="AB136" t="str">
        <v>498-0031</v>
      </c>
      <c r="AC136" t="str">
        <v>愛知県弥富市平島町北広畑10-1</v>
      </c>
      <c r="AD136" t="str">
        <v>ﾚﾌﾞﾗﾝｶﾐｰﾘｱA201</v>
      </c>
      <c r="AE136" s="31">
        <v>44379</v>
      </c>
      <c r="AF136" s="31">
        <v>44382</v>
      </c>
      <c r="AG136" s="31">
        <v>44520</v>
      </c>
      <c r="AH136" s="31">
        <v>0</v>
      </c>
      <c r="AI136">
        <v>0</v>
      </c>
      <c r="AJ136">
        <v>0</v>
      </c>
      <c r="AK136">
        <v>0</v>
      </c>
      <c r="AL136">
        <v>44382</v>
      </c>
      <c r="AM136">
        <v>0</v>
      </c>
      <c r="AN136">
        <v>0</v>
      </c>
      <c r="AO136">
        <v>0</v>
      </c>
      <c r="AP136">
        <v>0</v>
      </c>
      <c r="AQ136">
        <v>0</v>
      </c>
      <c r="AR136">
        <v>0</v>
      </c>
    </row>
    <row r="137" spans="1:44">
      <c r="A137" t="str">
        <f>H137&amp;COUNTIF($H$2:H137,H137)</f>
        <v>074</v>
      </c>
      <c r="B137" t="str">
        <f>F137&amp;COUNTIF($F$2:F137,F137)</f>
        <v>セイビテック6</v>
      </c>
      <c r="C137" t="str">
        <v>退社</v>
      </c>
      <c r="D137">
        <v>210703</v>
      </c>
      <c r="E137">
        <v>500007</v>
      </c>
      <c r="F137" t="str">
        <v>セイビテック</v>
      </c>
      <c r="G137" t="str">
        <v>製造部DCG課ダイザー</v>
      </c>
      <c r="H137">
        <v>0</v>
      </c>
      <c r="I137">
        <v>0</v>
      </c>
      <c r="J137" t="str">
        <v>VU VAN PHONG</v>
      </c>
      <c r="K137" t="str">
        <v>ヴー　ヴァン　フォン</v>
      </c>
      <c r="L137" t="str">
        <v>男</v>
      </c>
      <c r="M137" t="str">
        <v>ﾍﾞﾄﾅﾑ</v>
      </c>
      <c r="N137" s="31">
        <v>33449</v>
      </c>
      <c r="O137">
        <v>34</v>
      </c>
      <c r="P137">
        <v>1400</v>
      </c>
      <c r="Q137">
        <v>0</v>
      </c>
      <c r="R137">
        <v>1900</v>
      </c>
      <c r="S137">
        <v>0</v>
      </c>
      <c r="T137">
        <v>500</v>
      </c>
      <c r="U137">
        <v>0</v>
      </c>
      <c r="V137" t="str">
        <v/>
      </c>
      <c r="W137" t="str">
        <v>0</v>
      </c>
      <c r="X137" t="str">
        <v/>
      </c>
      <c r="Y137" s="31">
        <v>45039</v>
      </c>
      <c r="Z137" t="str">
        <v/>
      </c>
      <c r="AA137" t="str">
        <v>技術・人文知識・国際業務</v>
      </c>
      <c r="AB137" t="str">
        <v>715-0023</v>
      </c>
      <c r="AC137" t="str">
        <v>岡山県井原市大池町3715番地折口</v>
      </c>
      <c r="AD137" t="str">
        <v>住宅7-6</v>
      </c>
      <c r="AE137" s="31" t="str">
        <v>個人</v>
      </c>
      <c r="AF137" s="31">
        <v>44384</v>
      </c>
      <c r="AG137" s="31">
        <v>44848</v>
      </c>
      <c r="AH137" s="31">
        <v>44853</v>
      </c>
      <c r="AI137">
        <v>0</v>
      </c>
      <c r="AJ137" t="str">
        <v>OK</v>
      </c>
      <c r="AK137">
        <v>0</v>
      </c>
      <c r="AL137">
        <v>44384</v>
      </c>
      <c r="AM137">
        <v>0</v>
      </c>
      <c r="AN137">
        <v>0</v>
      </c>
      <c r="AO137">
        <v>0</v>
      </c>
      <c r="AP137">
        <v>0</v>
      </c>
      <c r="AQ137">
        <v>0</v>
      </c>
      <c r="AR137">
        <v>0</v>
      </c>
    </row>
    <row r="138" spans="1:44">
      <c r="A138" t="str">
        <f>H138&amp;COUNTIF($H$2:H138,H138)</f>
        <v>075</v>
      </c>
      <c r="B138" t="str">
        <f>F138&amp;COUNTIF($F$2:F138,F138)</f>
        <v>ﾌｪﾆﾃｯｸｾﾐｺﾝﾀﾞｸﾀｰ 鹿児島9</v>
      </c>
      <c r="C138" t="str">
        <v>退社</v>
      </c>
      <c r="D138">
        <v>210704</v>
      </c>
      <c r="E138">
        <v>0</v>
      </c>
      <c r="F138" t="str">
        <v>ﾌｪﾆﾃｯｸｾﾐｺﾝﾀﾞｸﾀｰ 鹿児島</v>
      </c>
      <c r="G138">
        <v>0</v>
      </c>
      <c r="H138">
        <v>0</v>
      </c>
      <c r="I138">
        <v>0</v>
      </c>
      <c r="J138" t="str">
        <v>NGUYEN VAN HAO</v>
      </c>
      <c r="K138" t="str">
        <v>グエン　ヴァン　ハオ</v>
      </c>
      <c r="L138" t="str">
        <v>男</v>
      </c>
      <c r="M138" t="str">
        <v>ﾍﾞﾄﾅﾑ</v>
      </c>
      <c r="N138" s="31">
        <v>34208</v>
      </c>
      <c r="O138">
        <v>32</v>
      </c>
      <c r="P138">
        <v>1400</v>
      </c>
      <c r="Q138">
        <v>0</v>
      </c>
      <c r="R138">
        <v>1900</v>
      </c>
      <c r="S138">
        <v>0</v>
      </c>
      <c r="T138">
        <v>500</v>
      </c>
      <c r="U138">
        <v>0</v>
      </c>
      <c r="V138" t="str">
        <v/>
      </c>
      <c r="W138" t="str">
        <v>0</v>
      </c>
      <c r="X138" t="str">
        <v/>
      </c>
      <c r="Y138" s="31">
        <v>45492</v>
      </c>
      <c r="Z138" t="str">
        <v/>
      </c>
      <c r="AA138" t="str">
        <v>技術・人文知識・国際業務</v>
      </c>
      <c r="AB138" t="str">
        <v>899-6200</v>
      </c>
      <c r="AC138" t="str">
        <v>鹿児島県姶良郡湧水町木場1214番地1</v>
      </c>
      <c r="AD138" t="str">
        <v>尾鉢第3住宅1号棟</v>
      </c>
      <c r="AE138" s="31">
        <v>44382</v>
      </c>
      <c r="AF138" s="31">
        <v>44384</v>
      </c>
      <c r="AG138" s="31">
        <v>44649</v>
      </c>
      <c r="AH138" s="31">
        <v>0</v>
      </c>
      <c r="AI138">
        <v>0</v>
      </c>
      <c r="AJ138" t="str">
        <v>OK</v>
      </c>
      <c r="AK138">
        <v>0</v>
      </c>
      <c r="AL138">
        <v>44384</v>
      </c>
      <c r="AM138">
        <v>0</v>
      </c>
      <c r="AN138">
        <v>0</v>
      </c>
      <c r="AO138">
        <v>0</v>
      </c>
      <c r="AP138">
        <v>0</v>
      </c>
      <c r="AQ138">
        <v>0</v>
      </c>
      <c r="AR138">
        <v>0</v>
      </c>
    </row>
    <row r="139" spans="1:44">
      <c r="A139" t="str">
        <f>H139&amp;COUNTIF($H$2:H139,H139)</f>
        <v>076</v>
      </c>
      <c r="B139" t="str">
        <f>F139&amp;COUNTIF($F$2:F139,F139)</f>
        <v>ﾌｪﾆﾃｯｸｾﾐｺﾝﾀﾞｸﾀｰ 鹿児島10</v>
      </c>
      <c r="C139" t="str">
        <v>退社</v>
      </c>
      <c r="D139">
        <v>210705</v>
      </c>
      <c r="E139">
        <v>0</v>
      </c>
      <c r="F139" t="str">
        <v>ﾌｪﾆﾃｯｸｾﾐｺﾝﾀﾞｸﾀｰ 鹿児島</v>
      </c>
      <c r="G139" t="str">
        <v>鹿児島工場　製造部　製造課</v>
      </c>
      <c r="H139">
        <v>0</v>
      </c>
      <c r="I139">
        <v>0</v>
      </c>
      <c r="J139" t="str">
        <v>DOAN THANH QUYNH</v>
      </c>
      <c r="K139" t="str">
        <v>ドアン　タン　クイン</v>
      </c>
      <c r="L139" t="str">
        <v>男</v>
      </c>
      <c r="M139" t="str">
        <v>ﾍﾞﾄﾅﾑ</v>
      </c>
      <c r="N139" s="31">
        <v>34528</v>
      </c>
      <c r="O139">
        <v>31</v>
      </c>
      <c r="P139">
        <v>1400</v>
      </c>
      <c r="Q139">
        <v>0</v>
      </c>
      <c r="R139">
        <v>2100</v>
      </c>
      <c r="S139" t="str">
        <v>2022/7/1~ 1900円⇒2000円　2024/1/1～ 2000円⇒2100円</v>
      </c>
      <c r="T139">
        <v>700</v>
      </c>
      <c r="U139">
        <v>280000</v>
      </c>
      <c r="V139">
        <v>14042</v>
      </c>
      <c r="W139" t="str">
        <v>0</v>
      </c>
      <c r="X139">
        <v>25620</v>
      </c>
      <c r="Y139" s="31">
        <v>46407</v>
      </c>
      <c r="Z139" t="str">
        <v/>
      </c>
      <c r="AA139" t="str">
        <v>技術・人文知識・国際業務</v>
      </c>
      <c r="AB139" t="str">
        <v>899-6201</v>
      </c>
      <c r="AC139" t="str">
        <v>鹿児島県姶良郡湧水町木場1218番地</v>
      </c>
      <c r="AD139" t="str">
        <v>尾鉢第2住宅1号棟112号</v>
      </c>
      <c r="AE139" s="31" t="str">
        <v>個人</v>
      </c>
      <c r="AF139" s="31">
        <v>44384</v>
      </c>
      <c r="AG139" s="31">
        <v>45320</v>
      </c>
      <c r="AH139" s="31">
        <v>0</v>
      </c>
      <c r="AI139">
        <v>0</v>
      </c>
      <c r="AJ139" t="str">
        <v>OK</v>
      </c>
      <c r="AK139">
        <v>0</v>
      </c>
      <c r="AL139">
        <v>44384</v>
      </c>
      <c r="AM139">
        <v>0</v>
      </c>
      <c r="AN139">
        <v>0</v>
      </c>
      <c r="AO139">
        <v>0</v>
      </c>
      <c r="AP139">
        <v>0</v>
      </c>
      <c r="AQ139">
        <v>0</v>
      </c>
      <c r="AR139">
        <v>0</v>
      </c>
    </row>
    <row r="140" spans="1:44">
      <c r="A140" t="str">
        <f>H140&amp;COUNTIF($H$2:H140,H140)</f>
        <v>一次旋係6</v>
      </c>
      <c r="B140" t="str">
        <f>F140&amp;COUNTIF($F$2:F140,F140)</f>
        <v>高雄工業 岡山17</v>
      </c>
      <c r="C140" t="str">
        <v>退社</v>
      </c>
      <c r="D140">
        <v>210706</v>
      </c>
      <c r="E140">
        <v>232018</v>
      </c>
      <c r="F140" t="str">
        <v>高雄工業 岡山</v>
      </c>
      <c r="G140" t="str">
        <v>高雄工業株式会社 岡山事業所HUB工場製作1課</v>
      </c>
      <c r="H140" t="str">
        <v>一次旋係</v>
      </c>
      <c r="I140" t="str">
        <v>ハブ加工・自動機の操作・ＮＣプログラム修正</v>
      </c>
      <c r="J140" t="str">
        <v>NGUYEN VAN QUAN</v>
      </c>
      <c r="K140" t="str">
        <v>グエン　バン　クアン</v>
      </c>
      <c r="L140" t="str">
        <v>男</v>
      </c>
      <c r="M140" t="str">
        <v>ﾍﾞﾄﾅﾑ</v>
      </c>
      <c r="N140" s="31">
        <v>33966</v>
      </c>
      <c r="O140">
        <v>32</v>
      </c>
      <c r="P140">
        <v>1410</v>
      </c>
      <c r="Q140">
        <v>0</v>
      </c>
      <c r="R140">
        <v>1810</v>
      </c>
      <c r="S140" t="str">
        <v>9/16~ 1600円→1750円</v>
      </c>
      <c r="T140">
        <v>400</v>
      </c>
      <c r="U140">
        <v>220000</v>
      </c>
      <c r="V140">
        <v>11033</v>
      </c>
      <c r="W140" t="str">
        <v>0</v>
      </c>
      <c r="X140">
        <v>20130</v>
      </c>
      <c r="Y140" s="31">
        <v>46078</v>
      </c>
      <c r="Z140" t="str">
        <v/>
      </c>
      <c r="AA140" t="str">
        <v>技術・人文知識・国際業務</v>
      </c>
      <c r="AB140" t="str">
        <v>709-2107</v>
      </c>
      <c r="AC140" t="str">
        <v>岡山県岡山市北区御津矢原297-1</v>
      </c>
      <c r="AD140" t="str">
        <v>成広矢原ｺｰﾎﾟⅤ201</v>
      </c>
      <c r="AE140" s="31">
        <v>44743</v>
      </c>
      <c r="AF140" s="31">
        <v>44385</v>
      </c>
      <c r="AG140" s="31">
        <v>45321</v>
      </c>
      <c r="AH140" s="31">
        <v>45321</v>
      </c>
      <c r="AI140">
        <v>0</v>
      </c>
      <c r="AJ140" t="str">
        <v>OK</v>
      </c>
      <c r="AK140">
        <v>0</v>
      </c>
      <c r="AL140">
        <v>44385</v>
      </c>
      <c r="AM140">
        <v>0</v>
      </c>
      <c r="AN140">
        <v>0</v>
      </c>
      <c r="AO140">
        <v>0</v>
      </c>
      <c r="AP140">
        <v>0</v>
      </c>
      <c r="AQ140">
        <v>0</v>
      </c>
      <c r="AR140">
        <v>0</v>
      </c>
    </row>
    <row r="141" spans="1:44">
      <c r="A141" t="str">
        <f>H141&amp;COUNTIF($H$2:H141,H141)</f>
        <v>CVJ5</v>
      </c>
      <c r="B141" t="str">
        <f>F141&amp;COUNTIF($F$2:F141,F141)</f>
        <v>瑞陵精機7</v>
      </c>
      <c r="C141" t="str">
        <v>退社</v>
      </c>
      <c r="D141">
        <v>210707</v>
      </c>
      <c r="E141">
        <v>0</v>
      </c>
      <c r="F141" t="str">
        <v>瑞陵精機</v>
      </c>
      <c r="G141" t="str">
        <v>製造1課</v>
      </c>
      <c r="H141" t="str">
        <v>CVJ</v>
      </c>
      <c r="I141">
        <v>0</v>
      </c>
      <c r="J141" t="str">
        <v>VI HONG KIEN</v>
      </c>
      <c r="K141" t="str">
        <v>ビ　ホン　キエン</v>
      </c>
      <c r="L141" t="str">
        <v>男</v>
      </c>
      <c r="M141" t="str">
        <v>ﾍﾞﾄﾅﾑ</v>
      </c>
      <c r="N141" s="31">
        <v>35717</v>
      </c>
      <c r="O141">
        <v>28</v>
      </c>
      <c r="P141">
        <v>1300</v>
      </c>
      <c r="Q141" t="str">
        <v>2022/3/21～　1250円→1300円</v>
      </c>
      <c r="R141">
        <v>1700</v>
      </c>
      <c r="S141">
        <v>0</v>
      </c>
      <c r="T141">
        <v>400</v>
      </c>
      <c r="U141">
        <v>0</v>
      </c>
      <c r="V141" t="str">
        <v/>
      </c>
      <c r="W141" t="str">
        <v>0</v>
      </c>
      <c r="X141" t="str">
        <v/>
      </c>
      <c r="Y141" s="31">
        <v>44988</v>
      </c>
      <c r="Z141" t="str">
        <v/>
      </c>
      <c r="AA141" t="str">
        <v>技術・人文知識・国際業務</v>
      </c>
      <c r="AB141" t="str">
        <v>509-7201</v>
      </c>
      <c r="AC141" t="str">
        <v>岐阜県恵那市大井町1120-303</v>
      </c>
      <c r="AD141" t="str">
        <v>各務ﾊｲﾂ4J</v>
      </c>
      <c r="AE141" s="31">
        <v>44390</v>
      </c>
      <c r="AF141" s="31">
        <v>44391</v>
      </c>
      <c r="AG141" s="31">
        <v>44680</v>
      </c>
      <c r="AH141" s="31">
        <v>0</v>
      </c>
      <c r="AI141">
        <v>0</v>
      </c>
      <c r="AJ141" t="str">
        <v>OK</v>
      </c>
      <c r="AK141">
        <v>0</v>
      </c>
      <c r="AL141">
        <v>44391</v>
      </c>
      <c r="AM141">
        <v>0</v>
      </c>
      <c r="AN141">
        <v>0</v>
      </c>
      <c r="AO141">
        <v>0</v>
      </c>
      <c r="AP141">
        <v>0</v>
      </c>
      <c r="AQ141">
        <v>0</v>
      </c>
      <c r="AR141">
        <v>0</v>
      </c>
    </row>
    <row r="142" spans="1:44">
      <c r="A142" t="str">
        <f>H142&amp;COUNTIF($H$2:H142,H142)</f>
        <v>CVJ長軸旋盤係2</v>
      </c>
      <c r="B142" t="str">
        <f>F142&amp;COUNTIF($F$2:F142,F142)</f>
        <v>高雄工業 岡山18</v>
      </c>
      <c r="C142" t="str">
        <v>退社</v>
      </c>
      <c r="D142">
        <v>210708</v>
      </c>
      <c r="E142">
        <v>232017</v>
      </c>
      <c r="F142" t="str">
        <v>高雄工業 岡山</v>
      </c>
      <c r="G142" t="str">
        <v>高雄工業株式会社 岡山事業所CVJ工場製作課</v>
      </c>
      <c r="H142" t="str">
        <v>CVJ長軸旋盤係</v>
      </c>
      <c r="I142" t="str">
        <v>ＣＶＪ長軸等速ジョイント旋削加工・ＮＣプログラム修正</v>
      </c>
      <c r="J142" t="str">
        <v>PHAM VAN LONG</v>
      </c>
      <c r="K142" t="str">
        <v>ファム　ヴァン　ロン</v>
      </c>
      <c r="L142" t="str">
        <v>男</v>
      </c>
      <c r="M142" t="str">
        <v>ﾍﾞﾄﾅﾑ</v>
      </c>
      <c r="N142" s="31">
        <v>33944</v>
      </c>
      <c r="O142">
        <v>32</v>
      </c>
      <c r="P142">
        <v>1400</v>
      </c>
      <c r="Q142">
        <v>0</v>
      </c>
      <c r="R142">
        <v>1790</v>
      </c>
      <c r="S142" t="str">
        <v>9/16~ 1600円→1750円</v>
      </c>
      <c r="T142">
        <v>390</v>
      </c>
      <c r="U142">
        <v>280000</v>
      </c>
      <c r="V142">
        <v>14042</v>
      </c>
      <c r="W142" t="str">
        <v>0</v>
      </c>
      <c r="X142">
        <v>25620</v>
      </c>
      <c r="Y142" s="31">
        <v>46198</v>
      </c>
      <c r="Z142" t="str">
        <v/>
      </c>
      <c r="AA142" t="str">
        <v>技術・人文知識・国際業務</v>
      </c>
      <c r="AB142" t="str">
        <v>709-2107</v>
      </c>
      <c r="AC142" t="str">
        <v>岡山県岡山市北区御津矢原312-2</v>
      </c>
      <c r="AD142" t="str">
        <v>中須賀ｺｰﾎﾟⅡ101</v>
      </c>
      <c r="AE142" s="31">
        <v>44652</v>
      </c>
      <c r="AF142" s="31">
        <v>44392</v>
      </c>
      <c r="AG142" s="31">
        <v>45366</v>
      </c>
      <c r="AH142" s="31">
        <v>0</v>
      </c>
      <c r="AI142">
        <v>0</v>
      </c>
      <c r="AJ142" t="str">
        <v>OK</v>
      </c>
      <c r="AK142" t="str">
        <v>正社員に</v>
      </c>
      <c r="AL142">
        <v>44392</v>
      </c>
      <c r="AM142">
        <v>0</v>
      </c>
      <c r="AN142">
        <v>0</v>
      </c>
      <c r="AO142">
        <v>0</v>
      </c>
      <c r="AP142">
        <v>0</v>
      </c>
      <c r="AQ142">
        <v>0</v>
      </c>
      <c r="AR142">
        <v>0</v>
      </c>
    </row>
    <row r="143" spans="1:44">
      <c r="A143" t="str">
        <f>H143&amp;COUNTIF($H$2:H143,H143)</f>
        <v>077</v>
      </c>
      <c r="B143" t="str">
        <f>F143&amp;COUNTIF($F$2:F143,F143)</f>
        <v>セイビテック7</v>
      </c>
      <c r="C143" t="str">
        <v>退社</v>
      </c>
      <c r="D143">
        <v>210709</v>
      </c>
      <c r="E143">
        <v>500008</v>
      </c>
      <c r="F143" t="str">
        <v>セイビテック</v>
      </c>
      <c r="G143" t="str">
        <v>製造部WT課プローブ</v>
      </c>
      <c r="H143">
        <v>0</v>
      </c>
      <c r="I143">
        <v>0</v>
      </c>
      <c r="J143" t="str">
        <v>PHAM BAO NGHIA</v>
      </c>
      <c r="K143" t="str">
        <v>ファン　バオ　ギア</v>
      </c>
      <c r="L143" t="str">
        <v>男</v>
      </c>
      <c r="M143" t="str">
        <v>ﾍﾞﾄﾅﾑ</v>
      </c>
      <c r="N143" s="31">
        <v>34027</v>
      </c>
      <c r="O143">
        <v>32</v>
      </c>
      <c r="P143">
        <v>1400</v>
      </c>
      <c r="Q143">
        <v>0</v>
      </c>
      <c r="R143">
        <v>2000</v>
      </c>
      <c r="S143">
        <v>0</v>
      </c>
      <c r="T143">
        <v>600</v>
      </c>
      <c r="U143">
        <v>340000</v>
      </c>
      <c r="V143">
        <v>17051</v>
      </c>
      <c r="W143" t="str">
        <v>0</v>
      </c>
      <c r="X143">
        <v>31110</v>
      </c>
      <c r="Y143" s="31">
        <v>45319</v>
      </c>
      <c r="Z143" t="str">
        <v/>
      </c>
      <c r="AA143" t="str">
        <v>技術・人文知識・国際業務</v>
      </c>
      <c r="AB143" t="str">
        <v>715-0014</v>
      </c>
      <c r="AC143" t="str">
        <v>岡山県井原市高屋町1丁目20-11</v>
      </c>
      <c r="AD143" t="str">
        <v>ﾌｧﾐｰﾙいずえ102</v>
      </c>
      <c r="AE143" s="31">
        <v>44877</v>
      </c>
      <c r="AF143" s="31">
        <v>44393</v>
      </c>
      <c r="AG143" s="31">
        <v>45029</v>
      </c>
      <c r="AH143" s="31">
        <v>0</v>
      </c>
      <c r="AI143">
        <v>0</v>
      </c>
      <c r="AJ143" t="str">
        <v>OK</v>
      </c>
      <c r="AK143">
        <v>0</v>
      </c>
      <c r="AL143">
        <v>44393</v>
      </c>
      <c r="AM143">
        <v>0</v>
      </c>
      <c r="AN143">
        <v>0</v>
      </c>
      <c r="AO143">
        <v>0</v>
      </c>
      <c r="AP143">
        <v>0</v>
      </c>
      <c r="AQ143">
        <v>0</v>
      </c>
      <c r="AR143">
        <v>0</v>
      </c>
    </row>
    <row r="144" spans="1:44">
      <c r="A144" t="str">
        <f>H144&amp;COUNTIF($H$2:H144,H144)</f>
        <v>078</v>
      </c>
      <c r="B144" t="str">
        <f>F144&amp;COUNTIF($F$2:F144,F144)</f>
        <v>コーリツ 州の崎7</v>
      </c>
      <c r="C144" t="str">
        <v>退社</v>
      </c>
      <c r="D144">
        <v>210710</v>
      </c>
      <c r="E144">
        <v>0</v>
      </c>
      <c r="F144" t="str">
        <v>コーリツ 州の崎</v>
      </c>
      <c r="G144">
        <v>0</v>
      </c>
      <c r="H144">
        <v>0</v>
      </c>
      <c r="I144">
        <v>0</v>
      </c>
      <c r="J144" t="str">
        <v>NGUYEN XUAN THANG</v>
      </c>
      <c r="K144" t="str">
        <v>グエン　スワン　タン</v>
      </c>
      <c r="L144" t="str">
        <v>男</v>
      </c>
      <c r="M144" t="str">
        <v>ﾍﾞﾄﾅﾑ</v>
      </c>
      <c r="N144" s="31">
        <v>33139</v>
      </c>
      <c r="O144">
        <v>35</v>
      </c>
      <c r="P144">
        <v>1400</v>
      </c>
      <c r="Q144">
        <v>0</v>
      </c>
      <c r="R144">
        <v>1990</v>
      </c>
      <c r="S144">
        <v>0</v>
      </c>
      <c r="T144">
        <v>590</v>
      </c>
      <c r="U144">
        <v>0</v>
      </c>
      <c r="V144" t="str">
        <v/>
      </c>
      <c r="W144" t="str">
        <v>0</v>
      </c>
      <c r="X144" t="str">
        <v/>
      </c>
      <c r="Y144" s="31">
        <v>45441</v>
      </c>
      <c r="Z144" t="str">
        <v/>
      </c>
      <c r="AA144" t="str">
        <v>技術・人文知識・国際業務</v>
      </c>
      <c r="AB144" t="str">
        <v>475-0041</v>
      </c>
      <c r="AC144" t="str">
        <v>愛知県半田市乙川太田町2丁目125番地</v>
      </c>
      <c r="AD144" t="str">
        <v>ｺｰﾎﾟｵｰｸｽ202号</v>
      </c>
      <c r="AE144" s="31" t="str">
        <v>個人</v>
      </c>
      <c r="AF144" s="31">
        <v>44396</v>
      </c>
      <c r="AG144" s="31">
        <v>44652</v>
      </c>
      <c r="AH144" s="31">
        <v>0</v>
      </c>
      <c r="AI144">
        <v>44470</v>
      </c>
      <c r="AJ144" t="str">
        <v>OK</v>
      </c>
      <c r="AK144">
        <v>0</v>
      </c>
      <c r="AL144">
        <v>44396</v>
      </c>
      <c r="AM144">
        <v>0</v>
      </c>
      <c r="AN144">
        <v>0</v>
      </c>
      <c r="AO144">
        <v>0</v>
      </c>
      <c r="AP144">
        <v>0</v>
      </c>
      <c r="AQ144">
        <v>0</v>
      </c>
      <c r="AR144">
        <v>0</v>
      </c>
    </row>
    <row r="145" spans="1:44">
      <c r="A145" t="str">
        <f>H145&amp;COUNTIF($H$2:H145,H145)</f>
        <v>TKE第一営1</v>
      </c>
      <c r="B145" t="str">
        <f>F145&amp;COUNTIF($F$2:F145,F145)</f>
        <v>高雄工業 海南第一16</v>
      </c>
      <c r="C145" t="str">
        <v>退社</v>
      </c>
      <c r="D145">
        <v>210711</v>
      </c>
      <c r="E145">
        <v>222022</v>
      </c>
      <c r="F145" t="str">
        <v>高雄工業 海南第一</v>
      </c>
      <c r="G145" t="str">
        <v>高雄工業株式会社 TKE第一営</v>
      </c>
      <c r="H145" t="str">
        <v>TKE第一営</v>
      </c>
      <c r="I145">
        <v>0</v>
      </c>
      <c r="J145" t="str">
        <v>河野　依里香</v>
      </c>
      <c r="K145" t="str">
        <v>コウノ　エリコ</v>
      </c>
      <c r="L145" t="str">
        <v>女</v>
      </c>
      <c r="M145" t="str">
        <v>日本</v>
      </c>
      <c r="N145" s="31">
        <v>27134</v>
      </c>
      <c r="O145">
        <v>51</v>
      </c>
      <c r="P145">
        <v>1200</v>
      </c>
      <c r="Q145" t="str">
        <v>9/16~　1150円→1200円</v>
      </c>
      <c r="R145">
        <v>1770</v>
      </c>
      <c r="S145" t="str">
        <v>9/16~ 1700円→1750円</v>
      </c>
      <c r="T145">
        <v>570</v>
      </c>
      <c r="U145">
        <v>200000</v>
      </c>
      <c r="V145">
        <v>10030</v>
      </c>
      <c r="W145">
        <v>1590</v>
      </c>
      <c r="X145">
        <v>18300</v>
      </c>
      <c r="Y145" s="31">
        <v>0</v>
      </c>
      <c r="Z145" t="str">
        <v/>
      </c>
      <c r="AA145">
        <v>0</v>
      </c>
      <c r="AB145" t="str">
        <v>497-0032</v>
      </c>
      <c r="AC145" t="str">
        <v>愛知県海部郡蟹江町今市之坪16-5</v>
      </c>
      <c r="AD145">
        <v>0</v>
      </c>
      <c r="AE145" s="31" t="str">
        <v>個人</v>
      </c>
      <c r="AF145" s="31">
        <v>44396</v>
      </c>
      <c r="AG145" s="31">
        <v>45036</v>
      </c>
      <c r="AH145" s="31">
        <v>0</v>
      </c>
      <c r="AI145">
        <v>44470</v>
      </c>
      <c r="AJ145" t="str">
        <v>OK</v>
      </c>
      <c r="AK145">
        <v>0</v>
      </c>
      <c r="AL145">
        <v>44396</v>
      </c>
      <c r="AM145">
        <v>0</v>
      </c>
      <c r="AN145">
        <v>0</v>
      </c>
      <c r="AO145">
        <v>0</v>
      </c>
      <c r="AP145">
        <v>0</v>
      </c>
      <c r="AQ145">
        <v>0</v>
      </c>
      <c r="AR145">
        <v>0</v>
      </c>
    </row>
    <row r="146" spans="1:44">
      <c r="A146" t="str">
        <f>H146&amp;COUNTIF($H$2:H146,H146)</f>
        <v>CAD1</v>
      </c>
      <c r="B146" t="str">
        <f>F146&amp;COUNTIF($F$2:F146,F146)</f>
        <v>ﾃｨｰｹｰｴﾝｼﾞﾆｱﾘﾝｸﾞ1</v>
      </c>
      <c r="C146" t="str">
        <v>在職中</v>
      </c>
      <c r="D146">
        <v>210712</v>
      </c>
      <c r="E146">
        <v>225002</v>
      </c>
      <c r="F146" t="str">
        <v>ﾃｨｰｹｰｴﾝｼﾞﾆｱﾘﾝｸﾞ</v>
      </c>
      <c r="G146" t="str">
        <v>TKE高周波開発部</v>
      </c>
      <c r="H146" t="str">
        <v>CAD</v>
      </c>
      <c r="I146" t="str">
        <v>コイル製作・加工業務</v>
      </c>
      <c r="J146" t="str">
        <v xml:space="preserve">TRAN CONG PHUONG </v>
      </c>
      <c r="K146" t="str">
        <v>チャン　コン　フォン</v>
      </c>
      <c r="L146" t="str">
        <v>男</v>
      </c>
      <c r="M146" t="str">
        <v>ﾍﾞﾄﾅﾑ</v>
      </c>
      <c r="N146" s="31">
        <v>32467</v>
      </c>
      <c r="O146">
        <v>37</v>
      </c>
      <c r="P146">
        <v>1420</v>
      </c>
      <c r="Q146" t="str">
        <v>2022/2/15~1350 ⇒ 1400</v>
      </c>
      <c r="R146">
        <v>1860</v>
      </c>
      <c r="S146" t="str">
        <v>9/16~ 1600円→1750円</v>
      </c>
      <c r="T146">
        <v>440</v>
      </c>
      <c r="U146">
        <v>260000</v>
      </c>
      <c r="V146">
        <v>13039</v>
      </c>
      <c r="W146" t="str">
        <v>0</v>
      </c>
      <c r="X146">
        <v>23790</v>
      </c>
      <c r="Y146" s="31">
        <v>46058</v>
      </c>
      <c r="Z146">
        <v>63</v>
      </c>
      <c r="AA146" t="str">
        <v>技術・人文知識・国際業務</v>
      </c>
      <c r="AB146" t="str">
        <v>498-0031</v>
      </c>
      <c r="AC146" t="str">
        <v>愛知県弥富市平島町中新田194-1</v>
      </c>
      <c r="AD146" t="str">
        <v>ｺﾝﾂｪﾙﾊｳｽⅡD棟201</v>
      </c>
      <c r="AE146" s="31">
        <v>44396</v>
      </c>
      <c r="AF146" s="31">
        <v>44397</v>
      </c>
      <c r="AG146" s="31">
        <v>0</v>
      </c>
      <c r="AH146" s="31">
        <v>0</v>
      </c>
      <c r="AI146">
        <v>44470</v>
      </c>
      <c r="AJ146" t="str">
        <v>OK</v>
      </c>
      <c r="AK146">
        <v>0</v>
      </c>
      <c r="AL146">
        <v>44397</v>
      </c>
      <c r="AM146">
        <v>0</v>
      </c>
      <c r="AN146">
        <v>0</v>
      </c>
      <c r="AO146">
        <v>0</v>
      </c>
      <c r="AP146">
        <v>0</v>
      </c>
      <c r="AQ146" t="str">
        <v>JLPT-N3</v>
      </c>
      <c r="AR146">
        <v>0</v>
      </c>
    </row>
    <row r="147" spans="1:44">
      <c r="A147" t="str">
        <f>H147&amp;COUNTIF($H$2:H147,H147)</f>
        <v>手動旋削2</v>
      </c>
      <c r="B147" t="str">
        <f>F147&amp;COUNTIF($F$2:F147,F147)</f>
        <v>高雄工業 静岡17</v>
      </c>
      <c r="C147" t="str">
        <v>退社</v>
      </c>
      <c r="D147">
        <v>210713</v>
      </c>
      <c r="E147">
        <v>242020</v>
      </c>
      <c r="F147" t="str">
        <v>高雄工業 静岡</v>
      </c>
      <c r="G147" t="str">
        <v>高雄工業株式会社 静岡事業所第一工場製作課</v>
      </c>
      <c r="H147" t="str">
        <v>手動旋削</v>
      </c>
      <c r="I147">
        <v>0</v>
      </c>
      <c r="J147" t="str">
        <v>TRAN NHAT SON</v>
      </c>
      <c r="K147" t="str">
        <v>チャン　ニャット　ソン</v>
      </c>
      <c r="L147" t="str">
        <v>男</v>
      </c>
      <c r="M147" t="str">
        <v>ﾍﾞﾄﾅﾑ</v>
      </c>
      <c r="N147" s="31">
        <v>32756</v>
      </c>
      <c r="O147">
        <v>36</v>
      </c>
      <c r="P147">
        <v>1400</v>
      </c>
      <c r="Q147" t="str">
        <v>2022/2/15~1350 ⇒ 1400</v>
      </c>
      <c r="R147">
        <v>1770</v>
      </c>
      <c r="S147" t="str">
        <v>9/16~ 1600円→1750円</v>
      </c>
      <c r="T147">
        <v>370</v>
      </c>
      <c r="U147">
        <v>0</v>
      </c>
      <c r="V147" t="str">
        <v/>
      </c>
      <c r="W147" t="str">
        <v>0</v>
      </c>
      <c r="X147" t="str">
        <v/>
      </c>
      <c r="Y147" s="31">
        <v>45085</v>
      </c>
      <c r="Z147" t="str">
        <v/>
      </c>
      <c r="AA147" t="str">
        <v>技術・人文知識・国際業務</v>
      </c>
      <c r="AB147" t="str">
        <v>437-0016</v>
      </c>
      <c r="AC147" t="str">
        <v>静岡県袋井市葵町2丁目5番地1</v>
      </c>
      <c r="AD147" t="str">
        <v>ｼｬﾝﾄﾞﾌﾙｰﾙ103</v>
      </c>
      <c r="AE147" s="31" t="str">
        <v>個人</v>
      </c>
      <c r="AF147" s="31">
        <v>44403</v>
      </c>
      <c r="AG147" s="31">
        <v>44890</v>
      </c>
      <c r="AH147" s="31">
        <v>0</v>
      </c>
      <c r="AI147">
        <v>44470</v>
      </c>
      <c r="AJ147" t="str">
        <v>OK</v>
      </c>
      <c r="AK147">
        <v>0</v>
      </c>
      <c r="AL147">
        <v>44403</v>
      </c>
      <c r="AM147">
        <v>0</v>
      </c>
      <c r="AN147">
        <v>0</v>
      </c>
      <c r="AO147">
        <v>0</v>
      </c>
      <c r="AP147">
        <v>0</v>
      </c>
      <c r="AQ147">
        <v>0</v>
      </c>
      <c r="AR147">
        <v>0</v>
      </c>
    </row>
    <row r="148" spans="1:44">
      <c r="A148" t="str">
        <f>H148&amp;COUNTIF($H$2:H148,H148)</f>
        <v>CVJ長軸旋盤係3</v>
      </c>
      <c r="B148" t="str">
        <f>F148&amp;COUNTIF($F$2:F148,F148)</f>
        <v>高雄工業 岡山19</v>
      </c>
      <c r="C148" t="str">
        <v>退社</v>
      </c>
      <c r="D148">
        <v>211116</v>
      </c>
      <c r="E148">
        <v>232030</v>
      </c>
      <c r="F148" t="str">
        <v>高雄工業 岡山</v>
      </c>
      <c r="G148" t="str">
        <v>高雄工業株式会社 岡山事業所CVJ工場製作課</v>
      </c>
      <c r="H148" t="str">
        <v>CVJ長軸旋盤係</v>
      </c>
      <c r="I148" t="str">
        <v>ＣＶＪ長軸等速ジョイント旋削加工・ＮＣプログラム修正</v>
      </c>
      <c r="J148" t="str">
        <v>NGUYEN DINH THU</v>
      </c>
      <c r="K148" t="str">
        <v>グエン　ディン　トゥ</v>
      </c>
      <c r="L148" t="str">
        <v>男</v>
      </c>
      <c r="M148" t="str">
        <v>ﾍﾞﾄﾅﾑ</v>
      </c>
      <c r="N148" s="31">
        <v>32957</v>
      </c>
      <c r="O148">
        <v>35</v>
      </c>
      <c r="P148">
        <v>1400</v>
      </c>
      <c r="Q148">
        <v>0</v>
      </c>
      <c r="R148">
        <v>1760</v>
      </c>
      <c r="S148">
        <v>0</v>
      </c>
      <c r="T148">
        <v>360</v>
      </c>
      <c r="U148">
        <v>260000</v>
      </c>
      <c r="V148">
        <v>13039</v>
      </c>
      <c r="W148" t="str">
        <v>0</v>
      </c>
      <c r="X148">
        <v>23790</v>
      </c>
      <c r="Y148" s="31">
        <v>45603</v>
      </c>
      <c r="Z148" t="str">
        <v/>
      </c>
      <c r="AA148" t="str">
        <v>技術・人文知識・国際業務</v>
      </c>
      <c r="AB148" t="str">
        <v>709-2107</v>
      </c>
      <c r="AC148" t="str">
        <v>岡山県岡山市北区御津矢原298-1</v>
      </c>
      <c r="AD148" t="str">
        <v>成広矢原ｺｰﾎﾟⅥ101</v>
      </c>
      <c r="AE148" s="31">
        <v>44409</v>
      </c>
      <c r="AF148" s="31">
        <v>44409</v>
      </c>
      <c r="AG148" s="31">
        <v>45401</v>
      </c>
      <c r="AH148" s="31">
        <v>0</v>
      </c>
      <c r="AI148">
        <v>22.01</v>
      </c>
      <c r="AJ148" t="str">
        <v>OK</v>
      </c>
      <c r="AK148" t="str">
        <v>2021/8/1～2021/10/31　高雄工業請負　2021/11/1～高雄工業岡山派遣へ転籍</v>
      </c>
      <c r="AL148">
        <v>44409</v>
      </c>
      <c r="AM148">
        <v>0</v>
      </c>
      <c r="AN148">
        <v>0</v>
      </c>
      <c r="AO148">
        <v>0</v>
      </c>
      <c r="AP148">
        <v>0</v>
      </c>
      <c r="AQ148">
        <v>0</v>
      </c>
      <c r="AR148">
        <v>0</v>
      </c>
    </row>
    <row r="149" spans="1:44">
      <c r="A149" t="str">
        <f>H149&amp;COUNTIF($H$2:H149,H149)</f>
        <v>079</v>
      </c>
      <c r="B149" t="str">
        <f>F149&amp;COUNTIF($F$2:F149,F149)</f>
        <v>ﾌｪﾆﾃｯｸｾﾐｺﾝﾀﾞｸﾀｰ 岡山7</v>
      </c>
      <c r="C149" t="str">
        <v>退社</v>
      </c>
      <c r="D149">
        <v>210801</v>
      </c>
      <c r="E149">
        <v>83829</v>
      </c>
      <c r="F149" t="str">
        <v>ﾌｪﾆﾃｯｸｾﾐｺﾝﾀﾞｸﾀｰ 岡山</v>
      </c>
      <c r="G149" t="str">
        <v>岡山工場製造部DF課５インチ担当</v>
      </c>
      <c r="H149">
        <v>0</v>
      </c>
      <c r="I149">
        <v>0</v>
      </c>
      <c r="J149" t="str">
        <v>TRAN XUAN HUNG</v>
      </c>
      <c r="K149" t="str">
        <v>チャン　スアン　フン</v>
      </c>
      <c r="L149" t="str">
        <v>男</v>
      </c>
      <c r="M149" t="str">
        <v>ﾍﾞﾄﾅﾑ</v>
      </c>
      <c r="N149" s="31">
        <v>34643</v>
      </c>
      <c r="O149">
        <v>31</v>
      </c>
      <c r="P149">
        <v>1500</v>
      </c>
      <c r="Q149" t="str">
        <v>2021/11/21～1400⇒1500</v>
      </c>
      <c r="R149">
        <v>2300</v>
      </c>
      <c r="S149">
        <v>0</v>
      </c>
      <c r="T149">
        <v>800</v>
      </c>
      <c r="U149">
        <v>0</v>
      </c>
      <c r="V149" t="str">
        <v/>
      </c>
      <c r="W149" t="str">
        <v>0</v>
      </c>
      <c r="X149" t="str">
        <v/>
      </c>
      <c r="Y149" s="31">
        <v>45200</v>
      </c>
      <c r="Z149" t="str">
        <v/>
      </c>
      <c r="AA149" t="str">
        <v>技術・人文知識・国際業務</v>
      </c>
      <c r="AB149" t="str">
        <v>715-0006</v>
      </c>
      <c r="AC149" t="str">
        <v>岡山県井原市西江原町936-3</v>
      </c>
      <c r="AD149" t="str">
        <v>ｸﾞﾗﾝｴﾄﾜｰﾙA203</v>
      </c>
      <c r="AE149" s="31">
        <v>44417</v>
      </c>
      <c r="AF149" s="31">
        <v>44418</v>
      </c>
      <c r="AG149" s="31">
        <v>45015</v>
      </c>
      <c r="AH149" s="31">
        <v>0</v>
      </c>
      <c r="AI149">
        <v>44470</v>
      </c>
      <c r="AJ149" t="str">
        <v>OK</v>
      </c>
      <c r="AK149">
        <v>0</v>
      </c>
      <c r="AL149">
        <v>44418</v>
      </c>
      <c r="AM149">
        <v>0</v>
      </c>
      <c r="AN149">
        <v>0</v>
      </c>
      <c r="AO149">
        <v>0</v>
      </c>
      <c r="AP149">
        <v>0</v>
      </c>
      <c r="AQ149">
        <v>0</v>
      </c>
      <c r="AR149">
        <v>0</v>
      </c>
    </row>
    <row r="150" spans="1:44">
      <c r="A150" t="str">
        <f>H150&amp;COUNTIF($H$2:H150,H150)</f>
        <v>080</v>
      </c>
      <c r="B150" t="str">
        <f>F150&amp;COUNTIF($F$2:F150,F150)</f>
        <v>プレテック3</v>
      </c>
      <c r="C150" t="str">
        <v>退社</v>
      </c>
      <c r="D150">
        <v>210802</v>
      </c>
      <c r="E150">
        <v>83836</v>
      </c>
      <c r="F150" t="str">
        <v>プレテック</v>
      </c>
      <c r="G150" t="str">
        <v>岡山工場製造部DF課５インチ担当</v>
      </c>
      <c r="H150">
        <v>0</v>
      </c>
      <c r="I150">
        <v>0</v>
      </c>
      <c r="J150" t="str">
        <v>DANG VAN KHANG</v>
      </c>
      <c r="K150" t="str">
        <v>ダン　ヴァン　カン</v>
      </c>
      <c r="L150" t="str">
        <v>男</v>
      </c>
      <c r="M150" t="str">
        <v>ﾍﾞﾄﾅﾑ</v>
      </c>
      <c r="N150" s="31">
        <v>34498</v>
      </c>
      <c r="O150">
        <v>31</v>
      </c>
      <c r="P150">
        <v>1400</v>
      </c>
      <c r="Q150" t="str">
        <v>2021/11/21～1400⇒1500</v>
      </c>
      <c r="R150">
        <v>1850</v>
      </c>
      <c r="S150">
        <v>0</v>
      </c>
      <c r="T150">
        <v>450</v>
      </c>
      <c r="U150">
        <v>260000</v>
      </c>
      <c r="V150">
        <v>13039</v>
      </c>
      <c r="W150" t="str">
        <v>0</v>
      </c>
      <c r="X150">
        <v>23790</v>
      </c>
      <c r="Y150" s="31">
        <v>46342</v>
      </c>
      <c r="Z150" t="str">
        <v/>
      </c>
      <c r="AA150" t="str">
        <v>技術・人文知識・国際業務</v>
      </c>
      <c r="AB150" t="str">
        <v>715-0004</v>
      </c>
      <c r="AC150" t="str">
        <v>岡山県井原市木之子町94番地1</v>
      </c>
      <c r="AD150" t="str">
        <v>ﾋﾞﾚｯｼﾞﾊｳｽ2号棟106</v>
      </c>
      <c r="AE150" s="31" t="str">
        <v>個人</v>
      </c>
      <c r="AF150" s="31">
        <v>44418</v>
      </c>
      <c r="AG150" s="31">
        <v>45306</v>
      </c>
      <c r="AH150" s="31">
        <v>0</v>
      </c>
      <c r="AI150">
        <v>44470</v>
      </c>
      <c r="AJ150" t="str">
        <v>OK</v>
      </c>
      <c r="AK150" t="str">
        <v>2021/8/10~ﾌｪﾆﾃｯｸｾﾐｺﾝﾀﾞｸﾀｰ岡山　2023/2/27~ﾌﾟﾚﾃｯｸに異動</v>
      </c>
      <c r="AL150">
        <v>44418</v>
      </c>
      <c r="AM150">
        <v>0</v>
      </c>
      <c r="AN150">
        <v>0</v>
      </c>
      <c r="AO150">
        <v>0</v>
      </c>
      <c r="AP150">
        <v>0</v>
      </c>
      <c r="AQ150">
        <v>0</v>
      </c>
      <c r="AR150">
        <v>0</v>
      </c>
    </row>
    <row r="151" spans="1:44">
      <c r="A151" t="str">
        <f>H151&amp;COUNTIF($H$2:H151,H151)</f>
        <v>081</v>
      </c>
      <c r="B151" t="str">
        <f>F151&amp;COUNTIF($F$2:F151,F151)</f>
        <v>ﾌｪﾆﾃｯｸｾﾐｺﾝﾀﾞｸﾀｰ 岡山8</v>
      </c>
      <c r="C151" t="str">
        <v>退社</v>
      </c>
      <c r="D151">
        <v>210803</v>
      </c>
      <c r="E151">
        <v>83868</v>
      </c>
      <c r="F151" t="str">
        <v>ﾌｪﾆﾃｯｸｾﾐｺﾝﾀﾞｸﾀｰ 岡山</v>
      </c>
      <c r="G151" t="str">
        <v>岡山工場製造部PR課５インチ担当</v>
      </c>
      <c r="H151">
        <v>0</v>
      </c>
      <c r="I151">
        <v>0</v>
      </c>
      <c r="J151" t="str">
        <v>TRAN VAN TUAN</v>
      </c>
      <c r="K151" t="str">
        <v>チャン　ヴァン　トゥアン</v>
      </c>
      <c r="L151" t="str">
        <v>男</v>
      </c>
      <c r="M151" t="str">
        <v>ﾍﾞﾄﾅﾑ</v>
      </c>
      <c r="N151" s="31">
        <v>32950</v>
      </c>
      <c r="O151">
        <v>35</v>
      </c>
      <c r="P151">
        <v>1500</v>
      </c>
      <c r="Q151" t="str">
        <v>2021/11/21～1400⇒1500</v>
      </c>
      <c r="R151">
        <v>2300</v>
      </c>
      <c r="S151">
        <v>0</v>
      </c>
      <c r="T151">
        <v>800</v>
      </c>
      <c r="U151">
        <v>300000</v>
      </c>
      <c r="V151">
        <v>15045</v>
      </c>
      <c r="W151" t="str">
        <v>0</v>
      </c>
      <c r="X151">
        <v>27450</v>
      </c>
      <c r="Y151" s="31">
        <v>45183</v>
      </c>
      <c r="Z151" t="str">
        <v/>
      </c>
      <c r="AA151" t="str">
        <v>技術・人文知識・国際業務</v>
      </c>
      <c r="AB151" t="str">
        <v>715-0014</v>
      </c>
      <c r="AC151" t="str">
        <v>岡山県井原市七日市町696-2</v>
      </c>
      <c r="AD151" t="str">
        <v>Florence1997 201</v>
      </c>
      <c r="AE151" s="31">
        <v>44413</v>
      </c>
      <c r="AF151" s="31">
        <v>44424</v>
      </c>
      <c r="AG151" s="31">
        <v>45015</v>
      </c>
      <c r="AH151" s="31">
        <v>0</v>
      </c>
      <c r="AI151">
        <v>44470</v>
      </c>
      <c r="AJ151" t="str">
        <v>OK</v>
      </c>
      <c r="AK151">
        <v>0</v>
      </c>
      <c r="AL151">
        <v>44424</v>
      </c>
      <c r="AM151">
        <v>0</v>
      </c>
      <c r="AN151">
        <v>0</v>
      </c>
      <c r="AO151">
        <v>0</v>
      </c>
      <c r="AP151">
        <v>0</v>
      </c>
      <c r="AQ151">
        <v>0</v>
      </c>
      <c r="AR151">
        <v>0</v>
      </c>
    </row>
    <row r="152" spans="1:44">
      <c r="A152" t="str">
        <f>H152&amp;COUNTIF($H$2:H152,H152)</f>
        <v>082</v>
      </c>
      <c r="B152" t="str">
        <f>F152&amp;COUNTIF($F$2:F152,F152)</f>
        <v>ﾌｪﾆﾃｯｸｾﾐｺﾝﾀﾞｸﾀｰ 岡山9</v>
      </c>
      <c r="C152" t="str">
        <v>退社</v>
      </c>
      <c r="D152">
        <v>210804</v>
      </c>
      <c r="E152">
        <v>0</v>
      </c>
      <c r="F152" t="str">
        <v>ﾌｪﾆﾃｯｸｾﾐｺﾝﾀﾞｸﾀｰ 岡山</v>
      </c>
      <c r="G152">
        <v>0</v>
      </c>
      <c r="H152">
        <v>0</v>
      </c>
      <c r="I152">
        <v>0</v>
      </c>
      <c r="J152" t="str">
        <v>NGUYEN TRONG DU</v>
      </c>
      <c r="K152" t="str">
        <v>グエン　チョン　ズ</v>
      </c>
      <c r="L152" t="str">
        <v>男</v>
      </c>
      <c r="M152" t="str">
        <v>ﾍﾞﾄﾅﾑ</v>
      </c>
      <c r="N152" s="31">
        <v>33813</v>
      </c>
      <c r="O152">
        <v>33</v>
      </c>
      <c r="P152">
        <v>1500</v>
      </c>
      <c r="Q152" t="str">
        <v>2021/11/21～1400⇒1500</v>
      </c>
      <c r="R152">
        <v>2300</v>
      </c>
      <c r="S152">
        <v>0</v>
      </c>
      <c r="T152">
        <v>800</v>
      </c>
      <c r="U152">
        <v>0</v>
      </c>
      <c r="V152" t="str">
        <v/>
      </c>
      <c r="W152" t="str">
        <v>0</v>
      </c>
      <c r="X152" t="str">
        <v/>
      </c>
      <c r="Y152" s="31">
        <v>44751</v>
      </c>
      <c r="Z152" t="str">
        <v/>
      </c>
      <c r="AA152" t="str">
        <v>技術・人文知識・国際業務</v>
      </c>
      <c r="AB152" t="str">
        <v>715-0014</v>
      </c>
      <c r="AC152" t="str">
        <v>岡山県井原市七日市町696-2</v>
      </c>
      <c r="AD152" t="str">
        <v>Florence1997 201</v>
      </c>
      <c r="AE152" s="31">
        <v>44413</v>
      </c>
      <c r="AF152" s="31">
        <v>44424</v>
      </c>
      <c r="AG152" s="31">
        <v>44617</v>
      </c>
      <c r="AH152" s="31">
        <v>0</v>
      </c>
      <c r="AI152">
        <v>44470</v>
      </c>
      <c r="AJ152">
        <v>0</v>
      </c>
      <c r="AK152">
        <v>0</v>
      </c>
      <c r="AL152">
        <v>44424</v>
      </c>
      <c r="AM152">
        <v>0</v>
      </c>
      <c r="AN152">
        <v>0</v>
      </c>
      <c r="AO152">
        <v>0</v>
      </c>
      <c r="AP152">
        <v>0</v>
      </c>
      <c r="AQ152">
        <v>0</v>
      </c>
      <c r="AR152">
        <v>0</v>
      </c>
    </row>
    <row r="153" spans="1:44">
      <c r="A153" t="str">
        <f>H153&amp;COUNTIF($H$2:H153,H153)</f>
        <v>083</v>
      </c>
      <c r="B153" t="str">
        <f>F153&amp;COUNTIF($F$2:F153,F153)</f>
        <v>プレテック4</v>
      </c>
      <c r="C153" t="str">
        <v>退社</v>
      </c>
      <c r="D153">
        <v>210805</v>
      </c>
      <c r="E153">
        <v>83843</v>
      </c>
      <c r="F153" t="str">
        <v>プレテック</v>
      </c>
      <c r="G153" t="str">
        <v>岡山工場製造部TF課６インチ担当</v>
      </c>
      <c r="H153">
        <v>0</v>
      </c>
      <c r="I153">
        <v>0</v>
      </c>
      <c r="J153" t="str">
        <v>LE VAN NHANH</v>
      </c>
      <c r="K153" t="str">
        <v>レー　ヴァン　ニャン</v>
      </c>
      <c r="L153" t="str">
        <v>男</v>
      </c>
      <c r="M153" t="str">
        <v>ﾍﾞﾄﾅﾑ</v>
      </c>
      <c r="N153" s="31">
        <v>32818</v>
      </c>
      <c r="O153">
        <v>36</v>
      </c>
      <c r="P153">
        <v>1400</v>
      </c>
      <c r="Q153" t="str">
        <v>2021/11/21～1400⇒1500</v>
      </c>
      <c r="R153">
        <v>1900</v>
      </c>
      <c r="S153">
        <v>0</v>
      </c>
      <c r="T153">
        <v>500</v>
      </c>
      <c r="U153">
        <v>260000</v>
      </c>
      <c r="V153">
        <v>13039</v>
      </c>
      <c r="W153" t="str">
        <v>0</v>
      </c>
      <c r="X153">
        <v>23790</v>
      </c>
      <c r="Y153" s="31">
        <v>46121</v>
      </c>
      <c r="Z153" t="str">
        <v/>
      </c>
      <c r="AA153" t="str">
        <v>技術・人文知識・国際業務</v>
      </c>
      <c r="AB153" t="str">
        <v>715-0004</v>
      </c>
      <c r="AC153" t="str">
        <v>岡山県井原市木之子町94番地1</v>
      </c>
      <c r="AD153" t="str">
        <v>ﾋﾞﾚｯｼﾞﾊｳｽ木之子1-304</v>
      </c>
      <c r="AE153" s="31" t="str">
        <v>個人</v>
      </c>
      <c r="AF153" s="31">
        <v>44424</v>
      </c>
      <c r="AG153" s="31">
        <v>45715</v>
      </c>
      <c r="AH153" s="31">
        <v>0</v>
      </c>
      <c r="AI153">
        <v>44470</v>
      </c>
      <c r="AJ153" t="str">
        <v>OK</v>
      </c>
      <c r="AK153" t="str">
        <v>2023/3/25までﾌｪﾆﾃｯｸ⇒2023/3/27よりプレテックへ異動</v>
      </c>
      <c r="AL153">
        <v>44424</v>
      </c>
      <c r="AM153">
        <v>0</v>
      </c>
      <c r="AN153">
        <v>0</v>
      </c>
      <c r="AO153">
        <v>0</v>
      </c>
      <c r="AP153">
        <v>0</v>
      </c>
      <c r="AQ153">
        <v>0</v>
      </c>
      <c r="AR153">
        <v>0</v>
      </c>
    </row>
    <row r="154" spans="1:44">
      <c r="A154" t="str">
        <f>H154&amp;COUNTIF($H$2:H154,H154)</f>
        <v>084</v>
      </c>
      <c r="B154" t="str">
        <f>F154&amp;COUNTIF($F$2:F154,F154)</f>
        <v>ﾌｪﾆﾃｯｸｾﾐｺﾝﾀﾞｸﾀｰ 岡山10</v>
      </c>
      <c r="C154" t="str">
        <v>退社</v>
      </c>
      <c r="D154">
        <v>210806</v>
      </c>
      <c r="E154">
        <v>83850</v>
      </c>
      <c r="F154" t="str">
        <v>ﾌｪﾆﾃｯｸｾﾐｺﾝﾀﾞｸﾀｰ 岡山</v>
      </c>
      <c r="G154" t="str">
        <v>岡山工場製造部TF課６インチ担当</v>
      </c>
      <c r="H154">
        <v>0</v>
      </c>
      <c r="I154">
        <v>0</v>
      </c>
      <c r="J154" t="str">
        <v>PHAN MINH CHI</v>
      </c>
      <c r="K154" t="str">
        <v>ファン　ミン　チ</v>
      </c>
      <c r="L154" t="str">
        <v>男</v>
      </c>
      <c r="M154" t="str">
        <v>ﾍﾞﾄﾅﾑ</v>
      </c>
      <c r="N154" s="31">
        <v>33996</v>
      </c>
      <c r="O154">
        <v>32</v>
      </c>
      <c r="P154">
        <v>1500</v>
      </c>
      <c r="Q154" t="str">
        <v>2021/11/21～1400⇒1500</v>
      </c>
      <c r="R154">
        <v>2300</v>
      </c>
      <c r="S154">
        <v>0</v>
      </c>
      <c r="T154">
        <v>800</v>
      </c>
      <c r="U154">
        <v>320000</v>
      </c>
      <c r="V154">
        <v>16048</v>
      </c>
      <c r="W154" t="str">
        <v>0</v>
      </c>
      <c r="X154">
        <v>29280</v>
      </c>
      <c r="Y154" s="31">
        <v>45348</v>
      </c>
      <c r="Z154" t="str">
        <v/>
      </c>
      <c r="AA154" t="str">
        <v>技術・人文知識・国際業務</v>
      </c>
      <c r="AB154" t="str">
        <v>715-0006</v>
      </c>
      <c r="AC154" t="str">
        <v>岡山県井原市西江原町936-1</v>
      </c>
      <c r="AD154" t="str">
        <v>ｸﾞﾗﾝｴﾄﾜｰﾙB103</v>
      </c>
      <c r="AE154" s="31">
        <v>44423</v>
      </c>
      <c r="AF154" s="31">
        <v>44424</v>
      </c>
      <c r="AG154" s="31">
        <v>45028</v>
      </c>
      <c r="AH154" s="31">
        <v>0</v>
      </c>
      <c r="AI154">
        <v>44470</v>
      </c>
      <c r="AJ154" t="str">
        <v>OK</v>
      </c>
      <c r="AK154">
        <v>0</v>
      </c>
      <c r="AL154">
        <v>44424</v>
      </c>
      <c r="AM154">
        <v>0</v>
      </c>
      <c r="AN154">
        <v>0</v>
      </c>
      <c r="AO154">
        <v>0</v>
      </c>
      <c r="AP154">
        <v>0</v>
      </c>
      <c r="AQ154">
        <v>0</v>
      </c>
      <c r="AR154">
        <v>0</v>
      </c>
    </row>
    <row r="155" spans="1:44">
      <c r="A155" t="str">
        <f>H155&amp;COUNTIF($H$2:H155,H155)</f>
        <v>085</v>
      </c>
      <c r="B155" t="str">
        <f>F155&amp;COUNTIF($F$2:F155,F155)</f>
        <v>高雄工業 静岡18</v>
      </c>
      <c r="C155" t="str">
        <v>退社</v>
      </c>
      <c r="D155">
        <v>210809</v>
      </c>
      <c r="E155">
        <v>0</v>
      </c>
      <c r="F155" t="str">
        <v>高雄工業 静岡</v>
      </c>
      <c r="G155">
        <v>0</v>
      </c>
      <c r="H155">
        <v>0</v>
      </c>
      <c r="I155">
        <v>0</v>
      </c>
      <c r="J155" t="str">
        <v>HOANG QUOC HUAN</v>
      </c>
      <c r="K155" t="str">
        <v>ホアン　コック　ホウアン</v>
      </c>
      <c r="L155" t="str">
        <v>男</v>
      </c>
      <c r="M155" t="str">
        <v>ﾍﾞﾄﾅﾑ</v>
      </c>
      <c r="N155" s="31">
        <v>34444</v>
      </c>
      <c r="O155">
        <v>31</v>
      </c>
      <c r="P155">
        <v>1350</v>
      </c>
      <c r="Q155">
        <v>0</v>
      </c>
      <c r="R155">
        <v>1750</v>
      </c>
      <c r="S155" t="str">
        <v>9/16~ 1600円→1750円</v>
      </c>
      <c r="T155">
        <v>400</v>
      </c>
      <c r="U155">
        <v>0</v>
      </c>
      <c r="V155" t="str">
        <v/>
      </c>
      <c r="W155" t="str">
        <v>0</v>
      </c>
      <c r="X155" t="str">
        <v/>
      </c>
      <c r="Y155" s="31">
        <v>45377</v>
      </c>
      <c r="Z155" t="str">
        <v/>
      </c>
      <c r="AA155" t="str">
        <v>技術・人文知識・国際業務</v>
      </c>
      <c r="AB155" t="str">
        <v>437-0065</v>
      </c>
      <c r="AC155" t="str">
        <v>静岡県袋井市堀越1丁目21-9</v>
      </c>
      <c r="AD155" t="str">
        <v>ﾌﾟﾁｾｿﾞﾝ203号</v>
      </c>
      <c r="AE155" s="31">
        <v>44421</v>
      </c>
      <c r="AF155" s="31">
        <v>44424</v>
      </c>
      <c r="AG155" s="31">
        <v>44616</v>
      </c>
      <c r="AH155" s="31">
        <v>44619</v>
      </c>
      <c r="AI155">
        <v>44470</v>
      </c>
      <c r="AJ155">
        <v>0</v>
      </c>
      <c r="AK155">
        <v>0</v>
      </c>
      <c r="AL155">
        <v>44424</v>
      </c>
      <c r="AM155">
        <v>0</v>
      </c>
      <c r="AN155">
        <v>0</v>
      </c>
      <c r="AO155">
        <v>0</v>
      </c>
      <c r="AP155">
        <v>0</v>
      </c>
      <c r="AQ155">
        <v>0</v>
      </c>
      <c r="AR155">
        <v>0</v>
      </c>
    </row>
    <row r="156" spans="1:44">
      <c r="A156" t="str">
        <f>H156&amp;COUNTIF($H$2:H156,H156)</f>
        <v>CVJ6</v>
      </c>
      <c r="B156" t="str">
        <f>F156&amp;COUNTIF($F$2:F156,F156)</f>
        <v>瑞陵精機8</v>
      </c>
      <c r="C156" t="str">
        <v>退社</v>
      </c>
      <c r="D156">
        <v>210810</v>
      </c>
      <c r="E156">
        <v>410008</v>
      </c>
      <c r="F156" t="str">
        <v>瑞陵精機</v>
      </c>
      <c r="G156" t="str">
        <v>製造1課</v>
      </c>
      <c r="H156" t="str">
        <v>CVJ</v>
      </c>
      <c r="I156">
        <v>0</v>
      </c>
      <c r="J156" t="str">
        <v>KHUONG SI GIANG</v>
      </c>
      <c r="K156" t="str">
        <v>クオン　シー　ザン</v>
      </c>
      <c r="L156" t="str">
        <v>男</v>
      </c>
      <c r="M156" t="str">
        <v>ﾍﾞﾄﾅﾑ</v>
      </c>
      <c r="N156" s="31">
        <v>35192</v>
      </c>
      <c r="O156">
        <v>29</v>
      </c>
      <c r="P156">
        <v>1300</v>
      </c>
      <c r="Q156" t="str">
        <v>2022/3/21～　1250円→1300円</v>
      </c>
      <c r="R156">
        <v>1700</v>
      </c>
      <c r="S156">
        <v>0</v>
      </c>
      <c r="T156">
        <v>400</v>
      </c>
      <c r="U156">
        <v>0</v>
      </c>
      <c r="V156" t="str">
        <v/>
      </c>
      <c r="W156" t="str">
        <v>0</v>
      </c>
      <c r="X156" t="str">
        <v/>
      </c>
      <c r="Y156" s="31">
        <v>45052</v>
      </c>
      <c r="Z156" t="str">
        <v/>
      </c>
      <c r="AA156" t="str">
        <v>技術・人文知識・国際業務</v>
      </c>
      <c r="AB156" t="str">
        <v>509-7201</v>
      </c>
      <c r="AC156" t="str">
        <v>岐阜県恵那市大井町1120-303</v>
      </c>
      <c r="AD156" t="str">
        <v>各務ﾊｲﾂ3D</v>
      </c>
      <c r="AE156" s="31">
        <v>44412</v>
      </c>
      <c r="AF156" s="31">
        <v>44424</v>
      </c>
      <c r="AG156" s="31">
        <v>44817</v>
      </c>
      <c r="AH156" s="31">
        <v>0</v>
      </c>
      <c r="AI156">
        <v>44470</v>
      </c>
      <c r="AJ156" t="str">
        <v>OK</v>
      </c>
      <c r="AK156">
        <v>0</v>
      </c>
      <c r="AL156">
        <v>44424</v>
      </c>
      <c r="AM156">
        <v>0</v>
      </c>
      <c r="AN156">
        <v>0</v>
      </c>
      <c r="AO156">
        <v>0</v>
      </c>
      <c r="AP156">
        <v>0</v>
      </c>
      <c r="AQ156">
        <v>0</v>
      </c>
      <c r="AR156">
        <v>0</v>
      </c>
    </row>
    <row r="157" spans="1:44">
      <c r="A157" t="str">
        <f>H157&amp;COUNTIF($H$2:H157,H157)</f>
        <v>等速ジョイント3</v>
      </c>
      <c r="B157" t="str">
        <f>F157&amp;COUNTIF($F$2:F157,F157)</f>
        <v>瑞陵精機9</v>
      </c>
      <c r="C157" t="str">
        <v>在職中</v>
      </c>
      <c r="D157">
        <v>210811</v>
      </c>
      <c r="E157">
        <v>410007</v>
      </c>
      <c r="F157" t="str">
        <v>瑞陵精機</v>
      </c>
      <c r="G157" t="str">
        <v>製造課</v>
      </c>
      <c r="H157" t="str">
        <v>等速ジョイント</v>
      </c>
      <c r="I157" t="str">
        <v>ＮＣ旋盤、マシニングセンター等の工作機械を使いオペレーターとして製造ラインで製品を加工</v>
      </c>
      <c r="J157" t="str">
        <v>LE DOAN ANH</v>
      </c>
      <c r="K157" t="str">
        <v>レー　ドアン　アン</v>
      </c>
      <c r="L157" t="str">
        <v>男</v>
      </c>
      <c r="M157" t="str">
        <v>ﾍﾞﾄﾅﾑ</v>
      </c>
      <c r="N157" s="31">
        <v>35338</v>
      </c>
      <c r="O157">
        <v>29</v>
      </c>
      <c r="P157">
        <v>1350</v>
      </c>
      <c r="Q157" t="str">
        <v>2022/3/21～　1250円→1300円</v>
      </c>
      <c r="R157">
        <v>1750</v>
      </c>
      <c r="S157">
        <v>0</v>
      </c>
      <c r="T157">
        <v>400</v>
      </c>
      <c r="U157">
        <v>260000</v>
      </c>
      <c r="V157">
        <v>13039</v>
      </c>
      <c r="W157" t="str">
        <v>0</v>
      </c>
      <c r="X157">
        <v>23790</v>
      </c>
      <c r="Y157" s="31">
        <v>46058</v>
      </c>
      <c r="Z157">
        <v>63</v>
      </c>
      <c r="AA157" t="str">
        <v>技術・人文知識・国際業務</v>
      </c>
      <c r="AB157" t="str">
        <v>509-7201</v>
      </c>
      <c r="AC157" t="str">
        <v>岐阜県恵那市大井町1120-303</v>
      </c>
      <c r="AD157" t="str">
        <v>各務ﾊｲﾂ3D</v>
      </c>
      <c r="AE157" s="31">
        <v>44412</v>
      </c>
      <c r="AF157" s="31">
        <v>44424</v>
      </c>
      <c r="AG157" s="31">
        <v>0</v>
      </c>
      <c r="AH157" s="31">
        <v>0</v>
      </c>
      <c r="AI157">
        <v>44470</v>
      </c>
      <c r="AJ157" t="str">
        <v>OK</v>
      </c>
      <c r="AK157">
        <v>0</v>
      </c>
      <c r="AL157">
        <v>44424</v>
      </c>
      <c r="AM157">
        <v>0</v>
      </c>
      <c r="AN157">
        <v>0</v>
      </c>
      <c r="AO157">
        <v>0</v>
      </c>
      <c r="AP157">
        <v>0</v>
      </c>
      <c r="AQ157">
        <v>0</v>
      </c>
      <c r="AR157">
        <v>0</v>
      </c>
    </row>
    <row r="158" spans="1:44">
      <c r="A158" t="str">
        <f>H158&amp;COUNTIF($H$2:H158,H158)</f>
        <v>086</v>
      </c>
      <c r="B158" t="str">
        <f>F158&amp;COUNTIF($F$2:F158,F158)</f>
        <v>ﾌｪﾆﾃｯｸｾﾐｺﾝﾀﾞｸﾀｰ 岡山11</v>
      </c>
      <c r="C158" t="str">
        <v>退社</v>
      </c>
      <c r="D158">
        <v>210812</v>
      </c>
      <c r="E158">
        <v>83882</v>
      </c>
      <c r="F158" t="str">
        <v>ﾌｪﾆﾃｯｸｾﾐｺﾝﾀﾞｸﾀｰ 岡山</v>
      </c>
      <c r="G158" t="str">
        <v>岡山工場製造部PR課６インチ担当</v>
      </c>
      <c r="H158">
        <v>0</v>
      </c>
      <c r="I158">
        <v>0</v>
      </c>
      <c r="J158" t="str">
        <v>NGO NHAT QUYEN</v>
      </c>
      <c r="K158" t="str">
        <v>ゴー　ナット　クエン</v>
      </c>
      <c r="L158" t="str">
        <v>男</v>
      </c>
      <c r="M158" t="str">
        <v>ﾍﾞﾄﾅﾑ</v>
      </c>
      <c r="N158" s="31">
        <v>33805</v>
      </c>
      <c r="O158">
        <v>33</v>
      </c>
      <c r="P158">
        <v>1500</v>
      </c>
      <c r="Q158" t="str">
        <v>2021/11/21～1400⇒1500</v>
      </c>
      <c r="R158">
        <v>2300</v>
      </c>
      <c r="S158">
        <v>0</v>
      </c>
      <c r="T158">
        <v>800</v>
      </c>
      <c r="U158">
        <v>320000</v>
      </c>
      <c r="V158">
        <v>16048</v>
      </c>
      <c r="W158" t="str">
        <v>0</v>
      </c>
      <c r="X158">
        <v>29280</v>
      </c>
      <c r="Y158" s="31">
        <v>45127</v>
      </c>
      <c r="Z158" t="str">
        <v/>
      </c>
      <c r="AA158" t="str">
        <v>技術・人文知識・国際業務</v>
      </c>
      <c r="AB158" t="str">
        <v>715-0006</v>
      </c>
      <c r="AC158" t="str">
        <v>岡山県井原市西江原町936-3</v>
      </c>
      <c r="AD158" t="str">
        <v>ｸﾞﾗﾝｴﾄﾜｰﾙA203</v>
      </c>
      <c r="AE158" s="31">
        <v>44423</v>
      </c>
      <c r="AF158" s="31">
        <v>44424</v>
      </c>
      <c r="AG158" s="31">
        <v>45015</v>
      </c>
      <c r="AH158" s="31">
        <v>0</v>
      </c>
      <c r="AI158">
        <v>44470</v>
      </c>
      <c r="AJ158" t="str">
        <v>OK</v>
      </c>
      <c r="AK158">
        <v>0</v>
      </c>
      <c r="AL158">
        <v>44424</v>
      </c>
      <c r="AM158">
        <v>0</v>
      </c>
      <c r="AN158">
        <v>0</v>
      </c>
      <c r="AO158">
        <v>0</v>
      </c>
      <c r="AP158">
        <v>0</v>
      </c>
      <c r="AQ158">
        <v>0</v>
      </c>
      <c r="AR158">
        <v>0</v>
      </c>
    </row>
    <row r="159" spans="1:44">
      <c r="A159" t="str">
        <f>H159&amp;COUNTIF($H$2:H159,H159)</f>
        <v>CVJ製作課1</v>
      </c>
      <c r="B159" t="str">
        <f>F159&amp;COUNTIF($F$2:F159,F159)</f>
        <v>コーリツ 州の崎8</v>
      </c>
      <c r="C159" t="str">
        <v>退社</v>
      </c>
      <c r="D159">
        <v>210813</v>
      </c>
      <c r="E159">
        <v>8210014</v>
      </c>
      <c r="F159" t="str">
        <v>コーリツ 州の崎</v>
      </c>
      <c r="G159" t="str">
        <v>州の埼工場　製造３課５工区６班</v>
      </c>
      <c r="H159" t="str">
        <v>CVJ製作課</v>
      </c>
      <c r="I159">
        <v>0</v>
      </c>
      <c r="J159" t="str">
        <v>NGUYEN VAN TRUONG</v>
      </c>
      <c r="K159" t="str">
        <v>グエン　バン　チュオン</v>
      </c>
      <c r="L159" t="str">
        <v>男</v>
      </c>
      <c r="M159" t="str">
        <v>ﾍﾞﾄﾅﾑ</v>
      </c>
      <c r="N159" s="31">
        <v>34304</v>
      </c>
      <c r="O159">
        <v>32</v>
      </c>
      <c r="P159">
        <v>1400</v>
      </c>
      <c r="Q159">
        <v>0</v>
      </c>
      <c r="R159">
        <v>1990</v>
      </c>
      <c r="S159">
        <v>0</v>
      </c>
      <c r="T159">
        <v>590</v>
      </c>
      <c r="U159">
        <v>0</v>
      </c>
      <c r="V159" t="str">
        <v/>
      </c>
      <c r="W159" t="str">
        <v>0</v>
      </c>
      <c r="X159" t="str">
        <v/>
      </c>
      <c r="Y159" s="31">
        <v>45085</v>
      </c>
      <c r="Z159" t="str">
        <v/>
      </c>
      <c r="AA159" t="str">
        <v>技術・人文知識・国際業務</v>
      </c>
      <c r="AB159" t="str">
        <v>475-0862</v>
      </c>
      <c r="AC159" t="str">
        <v>愛知県半田市住吉町2丁目124番地1</v>
      </c>
      <c r="AD159" t="str">
        <v>ﾚｼﾞﾃﾞﾝｽ住吉102</v>
      </c>
      <c r="AE159" s="31">
        <v>44424</v>
      </c>
      <c r="AF159" s="31">
        <v>44426</v>
      </c>
      <c r="AG159" s="31">
        <v>44785</v>
      </c>
      <c r="AH159" s="31">
        <v>0</v>
      </c>
      <c r="AI159">
        <v>44470</v>
      </c>
      <c r="AJ159" t="str">
        <v>OK</v>
      </c>
      <c r="AK159">
        <v>0</v>
      </c>
      <c r="AL159">
        <v>44426</v>
      </c>
      <c r="AM159">
        <v>0</v>
      </c>
      <c r="AN159">
        <v>0</v>
      </c>
      <c r="AO159">
        <v>0</v>
      </c>
      <c r="AP159">
        <v>0</v>
      </c>
      <c r="AQ159">
        <v>0</v>
      </c>
      <c r="AR159">
        <v>0</v>
      </c>
    </row>
    <row r="160" spans="1:44">
      <c r="A160" t="str">
        <f>H160&amp;COUNTIF($H$2:H160,H160)</f>
        <v>CVJ7</v>
      </c>
      <c r="B160" t="str">
        <f>F160&amp;COUNTIF($F$2:F160,F160)</f>
        <v>瑞陵精機10</v>
      </c>
      <c r="C160" t="str">
        <v>退社</v>
      </c>
      <c r="D160">
        <v>210815</v>
      </c>
      <c r="E160">
        <v>410009</v>
      </c>
      <c r="F160" t="str">
        <v>瑞陵精機</v>
      </c>
      <c r="G160" t="str">
        <v>製造1課</v>
      </c>
      <c r="H160" t="str">
        <v>CVJ</v>
      </c>
      <c r="I160">
        <v>0</v>
      </c>
      <c r="J160" t="str">
        <v>NGUYEN THE SON</v>
      </c>
      <c r="K160" t="str">
        <v>グエン　テ―　ソン</v>
      </c>
      <c r="L160" t="str">
        <v>男</v>
      </c>
      <c r="M160" t="str">
        <v>ﾍﾞﾄﾅﾑ</v>
      </c>
      <c r="N160" s="31">
        <v>35230</v>
      </c>
      <c r="O160">
        <v>29</v>
      </c>
      <c r="P160">
        <v>1300</v>
      </c>
      <c r="Q160" t="str">
        <v>2022/3/21～　1250円→1300円</v>
      </c>
      <c r="R160">
        <v>1700</v>
      </c>
      <c r="S160">
        <v>0</v>
      </c>
      <c r="T160">
        <v>400</v>
      </c>
      <c r="U160">
        <v>0</v>
      </c>
      <c r="V160" t="str">
        <v/>
      </c>
      <c r="W160" t="str">
        <v>0</v>
      </c>
      <c r="X160" t="str">
        <v/>
      </c>
      <c r="Y160" s="31">
        <v>44974</v>
      </c>
      <c r="Z160" t="str">
        <v/>
      </c>
      <c r="AA160" t="str">
        <v>技術・人文知識・国際業務</v>
      </c>
      <c r="AB160" t="str">
        <v>509-7201</v>
      </c>
      <c r="AC160" t="str">
        <v>岐阜県恵那市大井町1120-303</v>
      </c>
      <c r="AD160" t="str">
        <v>各務ﾊｲﾂ7I</v>
      </c>
      <c r="AE160" s="31">
        <v>44427</v>
      </c>
      <c r="AF160" s="31">
        <v>44431</v>
      </c>
      <c r="AG160" s="31">
        <v>44781</v>
      </c>
      <c r="AH160" s="31">
        <v>0</v>
      </c>
      <c r="AI160">
        <v>44501</v>
      </c>
      <c r="AJ160" t="str">
        <v>OK</v>
      </c>
      <c r="AK160">
        <v>0</v>
      </c>
      <c r="AL160">
        <v>44431</v>
      </c>
      <c r="AM160">
        <v>0</v>
      </c>
      <c r="AN160">
        <v>0</v>
      </c>
      <c r="AO160">
        <v>0</v>
      </c>
      <c r="AP160">
        <v>0</v>
      </c>
      <c r="AQ160">
        <v>0</v>
      </c>
      <c r="AR160">
        <v>0</v>
      </c>
    </row>
    <row r="161" spans="1:44">
      <c r="A161" t="str">
        <f>H161&amp;COUNTIF($H$2:H161,H161)</f>
        <v>HUB 検査課係.2</v>
      </c>
      <c r="B161" t="str">
        <f>F161&amp;COUNTIF($F$2:F161,F161)</f>
        <v>高雄工業 岡山20</v>
      </c>
      <c r="C161" t="str">
        <v>退社</v>
      </c>
      <c r="D161">
        <v>210816</v>
      </c>
      <c r="E161">
        <v>232019</v>
      </c>
      <c r="F161" t="str">
        <v>高雄工業 岡山</v>
      </c>
      <c r="G161" t="str">
        <v>高雄工業株式会社 岡山品質保証部岡山HUB品証課</v>
      </c>
      <c r="H161" t="str">
        <v>HUB 検査課係.</v>
      </c>
      <c r="I161" t="str">
        <v>HUB旋削加工品の抜き取り検査</v>
      </c>
      <c r="J161" t="str">
        <v>BUI THI YEN</v>
      </c>
      <c r="K161" t="str">
        <v>ブイ　ティ　イエン</v>
      </c>
      <c r="L161" t="str">
        <v>女</v>
      </c>
      <c r="M161" t="str">
        <v>ﾍﾞﾄﾅﾑ</v>
      </c>
      <c r="N161" s="31">
        <v>35010</v>
      </c>
      <c r="O161">
        <v>30</v>
      </c>
      <c r="P161">
        <v>1160</v>
      </c>
      <c r="Q161">
        <v>0</v>
      </c>
      <c r="R161">
        <v>1660</v>
      </c>
      <c r="S161" t="str">
        <v>9/16~ 1510円→1610円</v>
      </c>
      <c r="T161">
        <v>500</v>
      </c>
      <c r="U161">
        <v>134000</v>
      </c>
      <c r="V161">
        <v>6720</v>
      </c>
      <c r="W161" t="str">
        <v>0</v>
      </c>
      <c r="X161">
        <v>12261</v>
      </c>
      <c r="Y161" s="31">
        <v>46205</v>
      </c>
      <c r="Z161" t="str">
        <v/>
      </c>
      <c r="AA161" t="str">
        <v>家族滞在</v>
      </c>
      <c r="AB161" t="str">
        <v>709-2134</v>
      </c>
      <c r="AC161" t="str">
        <v>岡山県岡山市北区御津下田77-3</v>
      </c>
      <c r="AD161" t="str">
        <v>ﾋﾞﾚｯｼﾞﾊｳｽ1-403</v>
      </c>
      <c r="AE161" s="31" t="str">
        <v>個人</v>
      </c>
      <c r="AF161" s="31">
        <v>44431</v>
      </c>
      <c r="AG161" s="31">
        <v>0</v>
      </c>
      <c r="AH161" s="31">
        <v>0</v>
      </c>
      <c r="AI161">
        <v>0</v>
      </c>
      <c r="AJ161" t="str">
        <v>OK</v>
      </c>
      <c r="AK161">
        <v>0</v>
      </c>
      <c r="AL161">
        <v>44431</v>
      </c>
      <c r="AM161">
        <v>0</v>
      </c>
      <c r="AN161">
        <v>0</v>
      </c>
      <c r="AO161">
        <v>0</v>
      </c>
      <c r="AP161">
        <v>0</v>
      </c>
      <c r="AQ161">
        <v>0</v>
      </c>
      <c r="AR161">
        <v>0</v>
      </c>
    </row>
    <row r="162" spans="1:44">
      <c r="A162" t="str">
        <f>H162&amp;COUNTIF($H$2:H162,H162)</f>
        <v>087</v>
      </c>
      <c r="B162" t="str">
        <f>F162&amp;COUNTIF($F$2:F162,F162)</f>
        <v>高雄工業 海南第二5</v>
      </c>
      <c r="C162" t="str">
        <v>退社</v>
      </c>
      <c r="D162">
        <v>210817</v>
      </c>
      <c r="E162">
        <v>0</v>
      </c>
      <c r="F162" t="str">
        <v>高雄工業 海南第二</v>
      </c>
      <c r="G162" t="str">
        <v>高雄工業株式会社 愛知事業所海南第二工場製作課</v>
      </c>
      <c r="H162">
        <v>0</v>
      </c>
      <c r="I162">
        <v>0</v>
      </c>
      <c r="J162" t="str">
        <v>NGUYEN QUANG TRUNG</v>
      </c>
      <c r="K162" t="str">
        <v>グエン　クアン　チュン</v>
      </c>
      <c r="L162" t="str">
        <v>男</v>
      </c>
      <c r="M162" t="str">
        <v>ﾍﾞﾄﾅﾑ</v>
      </c>
      <c r="N162" s="31">
        <v>35386</v>
      </c>
      <c r="O162">
        <v>29</v>
      </c>
      <c r="P162">
        <v>1360</v>
      </c>
      <c r="Q162">
        <v>0</v>
      </c>
      <c r="R162">
        <v>1760</v>
      </c>
      <c r="S162" t="str">
        <v>9/16~ 1610円→1760円</v>
      </c>
      <c r="T162">
        <v>400</v>
      </c>
      <c r="U162">
        <v>0</v>
      </c>
      <c r="V162" t="str">
        <v/>
      </c>
      <c r="W162" t="str">
        <v>0</v>
      </c>
      <c r="X162" t="str">
        <v/>
      </c>
      <c r="Y162" s="31">
        <v>45180</v>
      </c>
      <c r="Z162" t="str">
        <v/>
      </c>
      <c r="AA162" t="str">
        <v>技術・人文知識・国際業務</v>
      </c>
      <c r="AB162" t="str">
        <v>498-0032</v>
      </c>
      <c r="AC162" t="str">
        <v>愛知県弥富市平島中4丁目128</v>
      </c>
      <c r="AD162" t="str">
        <v>村上貸家</v>
      </c>
      <c r="AE162" s="31">
        <v>44429</v>
      </c>
      <c r="AF162" s="31">
        <v>44431</v>
      </c>
      <c r="AG162" s="31">
        <v>44659</v>
      </c>
      <c r="AH162" s="31">
        <v>0</v>
      </c>
      <c r="AI162">
        <v>44501</v>
      </c>
      <c r="AJ162" t="str">
        <v>OK</v>
      </c>
      <c r="AK162">
        <v>0</v>
      </c>
      <c r="AL162">
        <v>44431</v>
      </c>
      <c r="AM162">
        <v>0</v>
      </c>
      <c r="AN162">
        <v>0</v>
      </c>
      <c r="AO162">
        <v>0</v>
      </c>
      <c r="AP162">
        <v>0</v>
      </c>
      <c r="AQ162">
        <v>0</v>
      </c>
      <c r="AR162">
        <v>0</v>
      </c>
    </row>
    <row r="163" spans="1:44">
      <c r="A163" t="str">
        <f>H163&amp;COUNTIF($H$2:H163,H163)</f>
        <v>088</v>
      </c>
      <c r="B163" t="str">
        <f>F163&amp;COUNTIF($F$2:F163,F163)</f>
        <v>セイビテック8</v>
      </c>
      <c r="C163" t="str">
        <v>退社</v>
      </c>
      <c r="D163">
        <v>210818</v>
      </c>
      <c r="E163">
        <v>500009</v>
      </c>
      <c r="F163" t="str">
        <v>セイビテック</v>
      </c>
      <c r="G163" t="str">
        <v>製造部DCG課検査CHIP</v>
      </c>
      <c r="H163">
        <v>0</v>
      </c>
      <c r="I163">
        <v>0</v>
      </c>
      <c r="J163" t="str">
        <v>DO THI THUY</v>
      </c>
      <c r="K163" t="str">
        <v>ド　ティ　トゥイ</v>
      </c>
      <c r="L163" t="str">
        <v>女</v>
      </c>
      <c r="M163" t="str">
        <v>ﾍﾞﾄﾅﾑ</v>
      </c>
      <c r="N163" s="31">
        <v>32977</v>
      </c>
      <c r="O163">
        <v>35</v>
      </c>
      <c r="P163">
        <v>1300</v>
      </c>
      <c r="Q163" t="str">
        <v>2021/11/23(11/21)～　1250⇒1300UP</v>
      </c>
      <c r="R163">
        <v>1900</v>
      </c>
      <c r="S163">
        <v>0</v>
      </c>
      <c r="T163">
        <v>600</v>
      </c>
      <c r="U163">
        <v>0</v>
      </c>
      <c r="V163" t="str">
        <v/>
      </c>
      <c r="W163" t="str">
        <v>0</v>
      </c>
      <c r="X163" t="str">
        <v/>
      </c>
      <c r="Y163" s="31">
        <v>45021</v>
      </c>
      <c r="Z163" t="str">
        <v/>
      </c>
      <c r="AA163" t="str">
        <v>技術・人文知識・国際業務</v>
      </c>
      <c r="AB163" t="str">
        <v>715-0024</v>
      </c>
      <c r="AC163" t="str">
        <v>岡山県井原市高屋町1丁目20-11</v>
      </c>
      <c r="AD163" t="str">
        <v>ｲﾌﾟｼﾛﾝB101</v>
      </c>
      <c r="AE163" s="31">
        <v>44422</v>
      </c>
      <c r="AF163" s="31">
        <v>44431</v>
      </c>
      <c r="AG163" s="31">
        <v>44817</v>
      </c>
      <c r="AH163" s="31">
        <v>0</v>
      </c>
      <c r="AI163">
        <v>44501</v>
      </c>
      <c r="AJ163" t="str">
        <v>OK</v>
      </c>
      <c r="AK163">
        <v>0</v>
      </c>
      <c r="AL163">
        <v>44431</v>
      </c>
      <c r="AM163">
        <v>0</v>
      </c>
      <c r="AN163">
        <v>0</v>
      </c>
      <c r="AO163">
        <v>0</v>
      </c>
      <c r="AP163">
        <v>0</v>
      </c>
      <c r="AQ163">
        <v>0</v>
      </c>
      <c r="AR163">
        <v>0</v>
      </c>
    </row>
    <row r="164" spans="1:44">
      <c r="A164" t="str">
        <f>H164&amp;COUNTIF($H$2:H164,H164)</f>
        <v>089</v>
      </c>
      <c r="B164" t="str">
        <f>F164&amp;COUNTIF($F$2:F164,F164)</f>
        <v>ﾌｪﾆﾃｯｸｾﾐｺﾝﾀﾞｸﾀｰ 岡山12</v>
      </c>
      <c r="C164" t="str">
        <v>退社</v>
      </c>
      <c r="D164">
        <v>210819</v>
      </c>
      <c r="E164">
        <v>0</v>
      </c>
      <c r="F164" t="str">
        <v>ﾌｪﾆﾃｯｸｾﾐｺﾝﾀﾞｸﾀｰ 岡山</v>
      </c>
      <c r="G164">
        <v>0</v>
      </c>
      <c r="H164">
        <v>0</v>
      </c>
      <c r="I164">
        <v>0</v>
      </c>
      <c r="J164" t="str">
        <v>LE CAO HOAI</v>
      </c>
      <c r="K164" t="str">
        <v>レ　カオ　ホアイ</v>
      </c>
      <c r="L164" t="str">
        <v>男</v>
      </c>
      <c r="M164" t="str">
        <v>ﾍﾞﾄﾅﾑ</v>
      </c>
      <c r="N164" s="31">
        <v>34878</v>
      </c>
      <c r="O164">
        <v>30</v>
      </c>
      <c r="P164">
        <v>1500</v>
      </c>
      <c r="Q164" t="str">
        <v>2021/12/21~</v>
      </c>
      <c r="R164">
        <v>2300</v>
      </c>
      <c r="S164">
        <v>0</v>
      </c>
      <c r="T164">
        <v>800</v>
      </c>
      <c r="U164">
        <v>0</v>
      </c>
      <c r="V164" t="str">
        <v/>
      </c>
      <c r="W164" t="str">
        <v>0</v>
      </c>
      <c r="X164" t="str">
        <v/>
      </c>
      <c r="Y164" s="31">
        <v>45560</v>
      </c>
      <c r="Z164" t="str">
        <v/>
      </c>
      <c r="AA164" t="str">
        <v>技術・人文知識・国際業務</v>
      </c>
      <c r="AB164" t="str">
        <v>715-0004</v>
      </c>
      <c r="AC164" t="str">
        <v>岡山県井原市木之子町82-1</v>
      </c>
      <c r="AD164" t="str">
        <v>ﾋﾞｱﾝｺ・ﾈﾛB102</v>
      </c>
      <c r="AE164" s="31">
        <v>44431</v>
      </c>
      <c r="AF164" s="31">
        <v>44434</v>
      </c>
      <c r="AG164" s="31">
        <v>44592</v>
      </c>
      <c r="AH164" s="31">
        <v>0</v>
      </c>
      <c r="AI164">
        <v>44501</v>
      </c>
      <c r="AJ164">
        <v>0</v>
      </c>
      <c r="AK164">
        <v>0</v>
      </c>
      <c r="AL164">
        <v>44434</v>
      </c>
      <c r="AM164">
        <v>0</v>
      </c>
      <c r="AN164">
        <v>0</v>
      </c>
      <c r="AO164">
        <v>0</v>
      </c>
      <c r="AP164">
        <v>0</v>
      </c>
      <c r="AQ164">
        <v>0</v>
      </c>
      <c r="AR164">
        <v>0</v>
      </c>
    </row>
    <row r="165" spans="1:44">
      <c r="A165" t="str">
        <f>H165&amp;COUNTIF($H$2:H165,H165)</f>
        <v>090</v>
      </c>
      <c r="B165" t="str">
        <f>F165&amp;COUNTIF($F$2:F165,F165)</f>
        <v>ﾌｪﾆﾃｯｸｾﾐｺﾝﾀﾞｸﾀｰ 岡山13</v>
      </c>
      <c r="C165" t="str">
        <v>退社</v>
      </c>
      <c r="D165">
        <v>210820</v>
      </c>
      <c r="E165">
        <v>83925</v>
      </c>
      <c r="F165" t="str">
        <v>ﾌｪﾆﾃｯｸｾﾐｺﾝﾀﾞｸﾀｰ 岡山</v>
      </c>
      <c r="G165" t="str">
        <v>岡山工場製造部BM課</v>
      </c>
      <c r="H165">
        <v>0</v>
      </c>
      <c r="I165">
        <v>0</v>
      </c>
      <c r="J165" t="str">
        <v>NGUYEN DINH DAN</v>
      </c>
      <c r="K165" t="str">
        <v>グエン　ディン　ダン</v>
      </c>
      <c r="L165" t="str">
        <v>男</v>
      </c>
      <c r="M165" t="str">
        <v>ﾍﾞﾄﾅﾑ</v>
      </c>
      <c r="N165" s="31">
        <v>31605</v>
      </c>
      <c r="O165">
        <v>39</v>
      </c>
      <c r="P165">
        <v>1500</v>
      </c>
      <c r="Q165">
        <v>0</v>
      </c>
      <c r="R165">
        <v>2300</v>
      </c>
      <c r="S165">
        <v>0</v>
      </c>
      <c r="T165">
        <v>800</v>
      </c>
      <c r="U165">
        <v>320000</v>
      </c>
      <c r="V165">
        <v>16048</v>
      </c>
      <c r="W165" t="str">
        <v>0</v>
      </c>
      <c r="X165">
        <v>29280</v>
      </c>
      <c r="Y165" s="31">
        <v>45150</v>
      </c>
      <c r="Z165" t="str">
        <v/>
      </c>
      <c r="AA165" t="str">
        <v>技術・人文知識・国際業務</v>
      </c>
      <c r="AB165" t="str">
        <v>715-0004</v>
      </c>
      <c r="AC165" t="str">
        <v>岡山県井原市木之子町82-1</v>
      </c>
      <c r="AD165" t="str">
        <v>ﾋﾞｱﾝｺ・ﾈﾛB102</v>
      </c>
      <c r="AE165" s="31">
        <v>44431</v>
      </c>
      <c r="AF165" s="31">
        <v>44434</v>
      </c>
      <c r="AG165" s="31">
        <v>45015</v>
      </c>
      <c r="AH165" s="31">
        <v>0</v>
      </c>
      <c r="AI165">
        <v>44501</v>
      </c>
      <c r="AJ165" t="str">
        <v>OK</v>
      </c>
      <c r="AK165">
        <v>0</v>
      </c>
      <c r="AL165">
        <v>44434</v>
      </c>
      <c r="AM165">
        <v>0</v>
      </c>
      <c r="AN165">
        <v>0</v>
      </c>
      <c r="AO165">
        <v>0</v>
      </c>
      <c r="AP165">
        <v>0</v>
      </c>
      <c r="AQ165">
        <v>0</v>
      </c>
      <c r="AR165">
        <v>0</v>
      </c>
    </row>
    <row r="166" spans="1:44">
      <c r="A166" t="str">
        <f>H166&amp;COUNTIF($H$2:H166,H166)</f>
        <v>CVJ8</v>
      </c>
      <c r="B166" t="str">
        <f>F166&amp;COUNTIF($F$2:F166,F166)</f>
        <v>瑞陵精機11</v>
      </c>
      <c r="C166" t="str">
        <v>退社</v>
      </c>
      <c r="D166">
        <v>210821</v>
      </c>
      <c r="E166">
        <v>242022</v>
      </c>
      <c r="F166" t="str">
        <v>瑞陵精機</v>
      </c>
      <c r="G166" t="str">
        <v>製造1課</v>
      </c>
      <c r="H166" t="str">
        <v>CVJ</v>
      </c>
      <c r="I166">
        <v>0</v>
      </c>
      <c r="J166" t="str">
        <v>NGO VAN DUC</v>
      </c>
      <c r="K166" t="str">
        <v>ゴー　ヴァン　ドウック</v>
      </c>
      <c r="L166" t="str">
        <v>男</v>
      </c>
      <c r="M166" t="str">
        <v>ﾍﾞﾄﾅﾑ</v>
      </c>
      <c r="N166" s="31">
        <v>34252</v>
      </c>
      <c r="O166">
        <v>32</v>
      </c>
      <c r="P166">
        <v>1300</v>
      </c>
      <c r="Q166">
        <v>0</v>
      </c>
      <c r="R166">
        <v>1700</v>
      </c>
      <c r="S166" t="str">
        <v>9/16~ 1600円→1750円</v>
      </c>
      <c r="T166">
        <v>400</v>
      </c>
      <c r="U166">
        <v>0</v>
      </c>
      <c r="V166" t="str">
        <v/>
      </c>
      <c r="W166" t="str">
        <v>0</v>
      </c>
      <c r="X166" t="str">
        <v/>
      </c>
      <c r="Y166" s="31">
        <v>45197</v>
      </c>
      <c r="Z166" t="str">
        <v/>
      </c>
      <c r="AA166" t="str">
        <v>技術・人文知識・国際業務</v>
      </c>
      <c r="AB166" t="str">
        <v>437-0016</v>
      </c>
      <c r="AC166" t="str">
        <v>岐阜県恵那市大井町1120-303</v>
      </c>
      <c r="AD166" t="str">
        <v>各務ﾊｲﾂ4H</v>
      </c>
      <c r="AE166" s="31">
        <v>44429</v>
      </c>
      <c r="AF166" s="31">
        <v>44434</v>
      </c>
      <c r="AG166" s="31">
        <v>44889</v>
      </c>
      <c r="AH166" s="31">
        <v>0</v>
      </c>
      <c r="AI166">
        <v>44501</v>
      </c>
      <c r="AJ166" t="str">
        <v>OK</v>
      </c>
      <c r="AK166" t="str">
        <v>～6/11　静岡　6/23～　瑞陵   7/2 2D-&gt;4H</v>
      </c>
      <c r="AL166">
        <v>44434</v>
      </c>
      <c r="AM166">
        <v>0</v>
      </c>
      <c r="AN166">
        <v>0</v>
      </c>
      <c r="AO166">
        <v>0</v>
      </c>
      <c r="AP166">
        <v>0</v>
      </c>
      <c r="AQ166">
        <v>0</v>
      </c>
      <c r="AR166">
        <v>0</v>
      </c>
    </row>
    <row r="167" spans="1:44">
      <c r="A167" t="str">
        <f>H167&amp;COUNTIF($H$2:H167,H167)</f>
        <v>091</v>
      </c>
      <c r="B167" t="str">
        <f>F167&amp;COUNTIF($F$2:F167,F167)</f>
        <v>三幸技研2</v>
      </c>
      <c r="C167" t="str">
        <v>退社</v>
      </c>
      <c r="D167">
        <v>210901</v>
      </c>
      <c r="E167">
        <v>106</v>
      </c>
      <c r="F167" t="str">
        <v>三幸技研</v>
      </c>
      <c r="G167">
        <v>0</v>
      </c>
      <c r="H167">
        <v>0</v>
      </c>
      <c r="I167">
        <v>0</v>
      </c>
      <c r="J167" t="str">
        <v>PHAM HUY HOANG</v>
      </c>
      <c r="K167" t="str">
        <v>ファム　フイ　ホアン</v>
      </c>
      <c r="L167" t="str">
        <v>男</v>
      </c>
      <c r="M167" t="str">
        <v>ﾍﾞﾄﾅﾑ</v>
      </c>
      <c r="N167" s="31">
        <v>34523</v>
      </c>
      <c r="O167">
        <v>31</v>
      </c>
      <c r="P167">
        <v>1300</v>
      </c>
      <c r="Q167" t="str">
        <v>9/2~\1200⇒12/21⇒1250⇒3/21⇒MAX1300</v>
      </c>
      <c r="R167">
        <v>1750</v>
      </c>
      <c r="S167">
        <v>0</v>
      </c>
      <c r="T167">
        <v>450</v>
      </c>
      <c r="U167">
        <v>260000</v>
      </c>
      <c r="V167">
        <v>13039</v>
      </c>
      <c r="W167" t="str">
        <v>0</v>
      </c>
      <c r="X167">
        <v>23790</v>
      </c>
      <c r="Y167" s="31">
        <v>45841</v>
      </c>
      <c r="Z167" t="str">
        <v/>
      </c>
      <c r="AA167" t="str">
        <v>技術・人文知識・国際業務</v>
      </c>
      <c r="AB167" t="str">
        <v>474-0052</v>
      </c>
      <c r="AC167" t="str">
        <v>愛知県大府市長草町新池8</v>
      </c>
      <c r="AD167" t="str">
        <v>ﾋﾞﾚｯｼﾞﾊｳｽ長草2号棟203</v>
      </c>
      <c r="AE167" s="31" t="str">
        <v>個人</v>
      </c>
      <c r="AF167" s="31">
        <v>44441</v>
      </c>
      <c r="AG167" s="31">
        <v>44970</v>
      </c>
      <c r="AH167" s="31">
        <v>0</v>
      </c>
      <c r="AI167">
        <v>44501</v>
      </c>
      <c r="AJ167" t="str">
        <v>OK</v>
      </c>
      <c r="AK167">
        <v>0</v>
      </c>
      <c r="AL167">
        <v>44441</v>
      </c>
      <c r="AM167">
        <v>0</v>
      </c>
      <c r="AN167">
        <v>0</v>
      </c>
      <c r="AO167">
        <v>0</v>
      </c>
      <c r="AP167">
        <v>0</v>
      </c>
      <c r="AQ167">
        <v>0</v>
      </c>
      <c r="AR167">
        <v>0</v>
      </c>
    </row>
    <row r="168" spans="1:44">
      <c r="A168" t="str">
        <f>H168&amp;COUNTIF($H$2:H168,H168)</f>
        <v>092</v>
      </c>
      <c r="B168" t="str">
        <f>F168&amp;COUNTIF($F$2:F168,F168)</f>
        <v>ﾌｪﾆﾃｯｸｾﾐｺﾝﾀﾞｸﾀｰ 岡山14</v>
      </c>
      <c r="C168" t="str">
        <v>退社</v>
      </c>
      <c r="D168">
        <v>210902</v>
      </c>
      <c r="E168">
        <v>83940</v>
      </c>
      <c r="F168" t="str">
        <v>ﾌｪﾆﾃｯｸｾﾐｺﾝﾀﾞｸﾀｰ 岡山</v>
      </c>
      <c r="G168" t="str">
        <v>岡山工場製造部BM課</v>
      </c>
      <c r="H168">
        <v>0</v>
      </c>
      <c r="I168">
        <v>0</v>
      </c>
      <c r="J168" t="str">
        <v>LE VIET TRUNG</v>
      </c>
      <c r="K168" t="str">
        <v>レ　ヴィエット　チュン</v>
      </c>
      <c r="L168" t="str">
        <v>男</v>
      </c>
      <c r="M168" t="str">
        <v>ﾍﾞﾄﾅﾑ</v>
      </c>
      <c r="N168" s="31">
        <v>32964</v>
      </c>
      <c r="O168">
        <v>35</v>
      </c>
      <c r="P168">
        <v>1500</v>
      </c>
      <c r="Q168">
        <v>0</v>
      </c>
      <c r="R168">
        <v>2300</v>
      </c>
      <c r="S168">
        <v>0</v>
      </c>
      <c r="T168">
        <v>800</v>
      </c>
      <c r="U168">
        <v>320000</v>
      </c>
      <c r="V168">
        <v>16048</v>
      </c>
      <c r="W168" t="str">
        <v>0</v>
      </c>
      <c r="X168">
        <v>29280</v>
      </c>
      <c r="Y168" s="31">
        <v>45195</v>
      </c>
      <c r="Z168" t="str">
        <v/>
      </c>
      <c r="AA168" t="str">
        <v>技術・人文知識・国際業務</v>
      </c>
      <c r="AB168" t="str">
        <v>715-0004</v>
      </c>
      <c r="AC168" t="str">
        <v>岡山県井原市木之子町94番地1</v>
      </c>
      <c r="AD168" t="str">
        <v>ﾋﾞﾚｯｼﾞﾊｳｽ1-106</v>
      </c>
      <c r="AE168" s="31" t="str">
        <v>個人</v>
      </c>
      <c r="AF168" s="31">
        <v>44445</v>
      </c>
      <c r="AG168" s="31">
        <v>45015</v>
      </c>
      <c r="AH168" s="31">
        <v>0</v>
      </c>
      <c r="AI168">
        <v>44501</v>
      </c>
      <c r="AJ168" t="str">
        <v>OK</v>
      </c>
      <c r="AK168">
        <v>0</v>
      </c>
      <c r="AL168">
        <v>44445</v>
      </c>
      <c r="AM168">
        <v>0</v>
      </c>
      <c r="AN168">
        <v>0</v>
      </c>
      <c r="AO168">
        <v>0</v>
      </c>
      <c r="AP168">
        <v>0</v>
      </c>
      <c r="AQ168">
        <v>0</v>
      </c>
      <c r="AR168">
        <v>0</v>
      </c>
    </row>
    <row r="169" spans="1:44">
      <c r="A169" t="str">
        <f>H169&amp;COUNTIF($H$2:H169,H169)</f>
        <v>093</v>
      </c>
      <c r="B169" t="str">
        <f>F169&amp;COUNTIF($F$2:F169,F169)</f>
        <v>ﾌｪﾆﾃｯｸｾﾐｺﾝﾀﾞｸﾀｰ 岡山15</v>
      </c>
      <c r="C169" t="str">
        <v>退社</v>
      </c>
      <c r="D169">
        <v>210903</v>
      </c>
      <c r="E169">
        <v>500010</v>
      </c>
      <c r="F169" t="str">
        <v>ﾌｪﾆﾃｯｸｾﾐｺﾝﾀﾞｸﾀｰ 岡山</v>
      </c>
      <c r="G169" t="str">
        <v>製造部DCG課検査CHIP</v>
      </c>
      <c r="H169">
        <v>0</v>
      </c>
      <c r="I169">
        <v>0</v>
      </c>
      <c r="J169" t="str">
        <v>NGUYEN NGOC TIEN</v>
      </c>
      <c r="K169" t="str">
        <v>グエン　ゴック　ティエン</v>
      </c>
      <c r="L169" t="str">
        <v>男</v>
      </c>
      <c r="M169" t="str">
        <v>ﾍﾞﾄﾅﾑ</v>
      </c>
      <c r="N169" s="31">
        <v>31703</v>
      </c>
      <c r="O169">
        <v>39</v>
      </c>
      <c r="P169">
        <v>1500</v>
      </c>
      <c r="Q169">
        <v>0</v>
      </c>
      <c r="R169">
        <v>2300</v>
      </c>
      <c r="S169">
        <v>0</v>
      </c>
      <c r="T169">
        <v>800</v>
      </c>
      <c r="U169">
        <v>300000</v>
      </c>
      <c r="V169">
        <v>15045</v>
      </c>
      <c r="W169" t="str">
        <v>0</v>
      </c>
      <c r="X169">
        <v>27450</v>
      </c>
      <c r="Y169" s="31">
        <v>45288</v>
      </c>
      <c r="Z169" t="str">
        <v/>
      </c>
      <c r="AA169" t="str">
        <v>技術・人文知識・国際業務</v>
      </c>
      <c r="AB169" t="str">
        <v>715-0023</v>
      </c>
      <c r="AC169" t="str">
        <v>岡山県井原市大江町3715番地</v>
      </c>
      <c r="AD169" t="str">
        <v>折口住宅11-315号</v>
      </c>
      <c r="AE169" s="31" t="str">
        <v>個人</v>
      </c>
      <c r="AF169" s="31">
        <v>44445</v>
      </c>
      <c r="AG169" s="31">
        <v>45046</v>
      </c>
      <c r="AH169" s="31">
        <v>0</v>
      </c>
      <c r="AI169">
        <v>44501</v>
      </c>
      <c r="AJ169" t="str">
        <v>OK</v>
      </c>
      <c r="AK169" t="str">
        <v>2021/9/6～　ｾｲﾋﾞﾃｯｸ　2022/9/12～ﾌｪﾆﾃｯｸｾﾐｺﾝﾀﾞｸﾀｰへ異動</v>
      </c>
      <c r="AL169">
        <v>44445</v>
      </c>
      <c r="AM169">
        <v>0</v>
      </c>
      <c r="AN169">
        <v>0</v>
      </c>
      <c r="AO169">
        <v>0</v>
      </c>
      <c r="AP169">
        <v>0</v>
      </c>
      <c r="AQ169">
        <v>0</v>
      </c>
      <c r="AR169">
        <v>0</v>
      </c>
    </row>
    <row r="170" spans="1:44">
      <c r="A170" t="str">
        <f>H170&amp;COUNTIF($H$2:H170,H170)</f>
        <v>HUB_第12</v>
      </c>
      <c r="B170" t="str">
        <f>F170&amp;COUNTIF($F$2:F170,F170)</f>
        <v>高雄工業 海南第一17</v>
      </c>
      <c r="C170" t="str">
        <v>退社</v>
      </c>
      <c r="D170">
        <v>210904</v>
      </c>
      <c r="E170">
        <v>222025</v>
      </c>
      <c r="F170" t="str">
        <v>高雄工業 海南第一</v>
      </c>
      <c r="G170" t="str">
        <v>高雄工業株式会社 愛知事業所海南第一工場製作1課</v>
      </c>
      <c r="H170" t="str">
        <v>HUB_第1</v>
      </c>
      <c r="I170" t="str">
        <v>ハブ加工　自動ラインの機械オペレーター、NCプログラム修正</v>
      </c>
      <c r="J170" t="str">
        <v>NGUYEN QUANG HUY</v>
      </c>
      <c r="K170" t="str">
        <v>グエン　クアン　フィ</v>
      </c>
      <c r="L170" t="str">
        <v>男</v>
      </c>
      <c r="M170" t="str">
        <v>ﾍﾞﾄﾅﾑ</v>
      </c>
      <c r="N170" s="31">
        <v>35235</v>
      </c>
      <c r="O170">
        <v>29</v>
      </c>
      <c r="P170">
        <v>1420</v>
      </c>
      <c r="Q170">
        <v>0</v>
      </c>
      <c r="R170">
        <v>1790</v>
      </c>
      <c r="S170" t="str">
        <v>9/16~ 1620円→1770円</v>
      </c>
      <c r="T170">
        <v>370</v>
      </c>
      <c r="U170">
        <v>240000</v>
      </c>
      <c r="V170">
        <v>12036</v>
      </c>
      <c r="W170" t="str">
        <v>0</v>
      </c>
      <c r="X170">
        <v>21960</v>
      </c>
      <c r="Y170" s="31">
        <v>46370</v>
      </c>
      <c r="Z170" t="str">
        <v/>
      </c>
      <c r="AA170" t="str">
        <v>技術・人文知識・国際業務</v>
      </c>
      <c r="AB170" t="str">
        <v>498-0021</v>
      </c>
      <c r="AC170" t="str">
        <v>愛知県弥富市鯏浦町浦六1-1</v>
      </c>
      <c r="AD170" t="str">
        <v>ｸﾞﾘｰﾝﾊｲﾂA棟201</v>
      </c>
      <c r="AE170" s="31">
        <v>44444</v>
      </c>
      <c r="AF170" s="31">
        <v>44446</v>
      </c>
      <c r="AG170" s="31">
        <v>45309</v>
      </c>
      <c r="AH170" s="31">
        <v>0</v>
      </c>
      <c r="AI170">
        <v>44501</v>
      </c>
      <c r="AJ170" t="str">
        <v>OK</v>
      </c>
      <c r="AK170">
        <v>0</v>
      </c>
      <c r="AL170">
        <v>44446</v>
      </c>
      <c r="AM170">
        <v>0</v>
      </c>
      <c r="AN170">
        <v>0</v>
      </c>
      <c r="AO170">
        <v>0</v>
      </c>
      <c r="AP170">
        <v>0</v>
      </c>
      <c r="AQ170">
        <v>0</v>
      </c>
      <c r="AR170">
        <v>0</v>
      </c>
    </row>
    <row r="171" spans="1:44">
      <c r="A171" t="str">
        <f>H171&amp;COUNTIF($H$2:H171,H171)</f>
        <v>州の崎工場製造1課1工区2班1</v>
      </c>
      <c r="B171" t="str">
        <f>F171&amp;COUNTIF($F$2:F171,F171)</f>
        <v>コーリツ 州の崎9</v>
      </c>
      <c r="C171" t="str">
        <v>退社</v>
      </c>
      <c r="D171">
        <v>210905</v>
      </c>
      <c r="E171">
        <v>8210017</v>
      </c>
      <c r="F171" t="str">
        <v>コーリツ 州の崎</v>
      </c>
      <c r="G171" t="str">
        <v>州の埼工場　製造１課１工区２班</v>
      </c>
      <c r="H171" t="str">
        <v>州の崎工場製造1課1工区2班</v>
      </c>
      <c r="I171">
        <v>0</v>
      </c>
      <c r="J171" t="str">
        <v>VU DUC CUONG</v>
      </c>
      <c r="K171" t="str">
        <v>ヴ　ドゥック　クオン</v>
      </c>
      <c r="L171" t="str">
        <v>男</v>
      </c>
      <c r="M171" t="str">
        <v>ﾍﾞﾄﾅﾑ</v>
      </c>
      <c r="N171" s="31">
        <v>34036</v>
      </c>
      <c r="O171">
        <v>32</v>
      </c>
      <c r="P171">
        <v>1400</v>
      </c>
      <c r="Q171">
        <v>0</v>
      </c>
      <c r="R171">
        <v>1990</v>
      </c>
      <c r="S171">
        <v>0</v>
      </c>
      <c r="T171">
        <v>590</v>
      </c>
      <c r="U171">
        <v>320000</v>
      </c>
      <c r="V171">
        <v>16048</v>
      </c>
      <c r="W171" t="str">
        <v>0</v>
      </c>
      <c r="X171">
        <v>29280</v>
      </c>
      <c r="Y171" s="31">
        <v>45479</v>
      </c>
      <c r="Z171" t="str">
        <v/>
      </c>
      <c r="AA171" t="str">
        <v>技術・人文知識・国際業務</v>
      </c>
      <c r="AB171" t="str">
        <v>475-0024</v>
      </c>
      <c r="AC171" t="str">
        <v>愛知県半田市亀崎高根町2丁目20-7</v>
      </c>
      <c r="AD171" t="str">
        <v>ﾋﾞﾚｯｼﾞﾊｳｽ亀崎2号棟301</v>
      </c>
      <c r="AE171" s="31">
        <v>44890</v>
      </c>
      <c r="AF171" s="31">
        <v>44455</v>
      </c>
      <c r="AG171" s="31">
        <v>45240</v>
      </c>
      <c r="AH171" s="31">
        <v>0</v>
      </c>
      <c r="AI171">
        <v>44531</v>
      </c>
      <c r="AJ171" t="str">
        <v>OK</v>
      </c>
      <c r="AK171">
        <v>0</v>
      </c>
      <c r="AL171">
        <v>44455</v>
      </c>
      <c r="AM171">
        <v>0</v>
      </c>
      <c r="AN171">
        <v>0</v>
      </c>
      <c r="AO171">
        <v>0</v>
      </c>
      <c r="AP171">
        <v>0</v>
      </c>
      <c r="AQ171">
        <v>0</v>
      </c>
      <c r="AR171">
        <v>0</v>
      </c>
    </row>
    <row r="172" spans="1:44">
      <c r="A172" t="str">
        <f>H172&amp;COUNTIF($H$2:H172,H172)</f>
        <v>旋盤ライン9</v>
      </c>
      <c r="B172" t="str">
        <f>F172&amp;COUNTIF($F$2:F172,F172)</f>
        <v>川原鉄工所9</v>
      </c>
      <c r="C172" t="str">
        <v>退社</v>
      </c>
      <c r="D172">
        <v>210906</v>
      </c>
      <c r="E172">
        <v>0</v>
      </c>
      <c r="F172" t="str">
        <v>川原鉄工所</v>
      </c>
      <c r="G172" t="str">
        <v>製造部</v>
      </c>
      <c r="H172" t="str">
        <v>旋盤ライン</v>
      </c>
      <c r="I172" t="str">
        <v>ATミッション部品をはじめとする、各種自動車部品の製造</v>
      </c>
      <c r="J172" t="str">
        <v>DAO NGOC ANH</v>
      </c>
      <c r="K172" t="str">
        <v>ダオ　ゴック　アン</v>
      </c>
      <c r="L172" t="str">
        <v>男</v>
      </c>
      <c r="M172" t="str">
        <v>ﾍﾞﾄﾅﾑ</v>
      </c>
      <c r="N172" s="31">
        <v>32441</v>
      </c>
      <c r="O172">
        <v>37</v>
      </c>
      <c r="P172">
        <v>1300</v>
      </c>
      <c r="Q172">
        <v>0</v>
      </c>
      <c r="R172">
        <v>1650</v>
      </c>
      <c r="S172" t="str">
        <v>9/21　1600円→1650円</v>
      </c>
      <c r="T172">
        <v>350</v>
      </c>
      <c r="U172">
        <v>280000</v>
      </c>
      <c r="V172">
        <v>14042</v>
      </c>
      <c r="W172" t="str">
        <v>0</v>
      </c>
      <c r="X172">
        <v>25620</v>
      </c>
      <c r="Y172" s="31">
        <v>46405</v>
      </c>
      <c r="Z172" t="str">
        <v/>
      </c>
      <c r="AA172" t="str">
        <v>技術・人文知識・国際業務</v>
      </c>
      <c r="AB172" t="str">
        <v>455-0068</v>
      </c>
      <c r="AC172" t="str">
        <v>愛知県名古屋市港区土古町4丁目72番地</v>
      </c>
      <c r="AD172" t="str">
        <v>鬼頭第2土古ﾋﾞﾙ202</v>
      </c>
      <c r="AE172" s="31">
        <v>44464</v>
      </c>
      <c r="AF172" s="31">
        <v>44455</v>
      </c>
      <c r="AG172" s="31">
        <v>45468</v>
      </c>
      <c r="AH172" s="31">
        <v>0</v>
      </c>
      <c r="AI172">
        <v>44531</v>
      </c>
      <c r="AJ172" t="str">
        <v>OK</v>
      </c>
      <c r="AK172">
        <v>0</v>
      </c>
      <c r="AL172">
        <v>44455</v>
      </c>
      <c r="AM172">
        <v>0</v>
      </c>
      <c r="AN172">
        <v>0</v>
      </c>
      <c r="AO172">
        <v>0</v>
      </c>
      <c r="AP172">
        <v>0</v>
      </c>
      <c r="AQ172">
        <v>0</v>
      </c>
      <c r="AR172">
        <v>0</v>
      </c>
    </row>
    <row r="173" spans="1:44">
      <c r="A173" t="str">
        <f>H173&amp;COUNTIF($H$2:H173,H173)</f>
        <v>094</v>
      </c>
      <c r="B173" t="str">
        <f>F173&amp;COUNTIF($F$2:F173,F173)</f>
        <v>コーリツ 亀崎4</v>
      </c>
      <c r="C173" t="str">
        <v>退社</v>
      </c>
      <c r="D173">
        <v>210907</v>
      </c>
      <c r="E173">
        <v>0</v>
      </c>
      <c r="F173" t="str">
        <v>コーリツ 亀崎</v>
      </c>
      <c r="G173">
        <v>0</v>
      </c>
      <c r="H173">
        <v>0</v>
      </c>
      <c r="I173">
        <v>0</v>
      </c>
      <c r="J173" t="str">
        <v>DAM HUY HUNG</v>
      </c>
      <c r="K173" t="str">
        <v>ダム　フィ　フン</v>
      </c>
      <c r="L173" t="str">
        <v>男</v>
      </c>
      <c r="M173" t="str">
        <v>ﾍﾞﾄﾅﾑ</v>
      </c>
      <c r="N173" s="31">
        <v>33320</v>
      </c>
      <c r="O173">
        <v>34</v>
      </c>
      <c r="P173">
        <v>1400</v>
      </c>
      <c r="Q173">
        <v>0</v>
      </c>
      <c r="R173">
        <v>1990</v>
      </c>
      <c r="S173">
        <v>590</v>
      </c>
      <c r="T173">
        <v>590</v>
      </c>
      <c r="U173">
        <v>0</v>
      </c>
      <c r="V173" t="str">
        <v/>
      </c>
      <c r="W173" t="str">
        <v>0</v>
      </c>
      <c r="X173" t="str">
        <v/>
      </c>
      <c r="Y173" s="31">
        <v>44939</v>
      </c>
      <c r="Z173" t="str">
        <v/>
      </c>
      <c r="AA173" t="str">
        <v>技術・人文知識・国際業務</v>
      </c>
      <c r="AB173" t="str">
        <v>475-0004</v>
      </c>
      <c r="AC173" t="str">
        <v>愛知県半田市上池町5丁目37-1</v>
      </c>
      <c r="AD173" t="str">
        <v>ﾙﾐｴｰﾙ上池203</v>
      </c>
      <c r="AE173" s="31">
        <v>44458</v>
      </c>
      <c r="AF173" s="31">
        <v>44459</v>
      </c>
      <c r="AG173" s="31">
        <v>44466</v>
      </c>
      <c r="AH173" s="31">
        <v>44467</v>
      </c>
      <c r="AI173">
        <v>0</v>
      </c>
      <c r="AJ173">
        <v>0</v>
      </c>
      <c r="AK173">
        <v>0</v>
      </c>
      <c r="AL173">
        <v>44459</v>
      </c>
      <c r="AM173">
        <v>0</v>
      </c>
      <c r="AN173">
        <v>0</v>
      </c>
      <c r="AO173">
        <v>0</v>
      </c>
      <c r="AP173">
        <v>0</v>
      </c>
      <c r="AQ173">
        <v>0</v>
      </c>
      <c r="AR173">
        <v>0</v>
      </c>
    </row>
    <row r="174" spans="1:44">
      <c r="A174" t="str">
        <f>H174&amp;COUNTIF($H$2:H174,H174)</f>
        <v>095</v>
      </c>
      <c r="B174" t="str">
        <f>F174&amp;COUNTIF($F$2:F174,F174)</f>
        <v>PATEC2</v>
      </c>
      <c r="C174" t="str">
        <v>退社</v>
      </c>
      <c r="D174">
        <v>210908</v>
      </c>
      <c r="E174">
        <v>0</v>
      </c>
      <c r="F174" t="str">
        <v>PATEC</v>
      </c>
      <c r="G174" t="str">
        <v>製造部素材課</v>
      </c>
      <c r="H174">
        <v>0</v>
      </c>
      <c r="I174">
        <v>0</v>
      </c>
      <c r="J174" t="str">
        <v>NGUYEN MINH TIEN</v>
      </c>
      <c r="K174" t="str">
        <v>グエン　ミン　ティエン</v>
      </c>
      <c r="L174" t="str">
        <v>男</v>
      </c>
      <c r="M174" t="str">
        <v>ﾍﾞﾄﾅﾑ</v>
      </c>
      <c r="N174" s="31">
        <v>34397</v>
      </c>
      <c r="O174">
        <v>31</v>
      </c>
      <c r="P174">
        <v>1600</v>
      </c>
      <c r="Q174" t="str">
        <v>3/21～　\1500⇒￥1600</v>
      </c>
      <c r="R174">
        <v>2100</v>
      </c>
      <c r="S174">
        <v>0</v>
      </c>
      <c r="T174">
        <v>500</v>
      </c>
      <c r="U174">
        <v>410000</v>
      </c>
      <c r="V174">
        <v>20561</v>
      </c>
      <c r="W174" t="str">
        <v>0</v>
      </c>
      <c r="X174">
        <v>37515</v>
      </c>
      <c r="Y174" s="31">
        <v>46288</v>
      </c>
      <c r="Z174" t="str">
        <v/>
      </c>
      <c r="AA174" t="str">
        <v>技術・人文知識・国際業務</v>
      </c>
      <c r="AB174" t="str">
        <v>747-0833</v>
      </c>
      <c r="AC174" t="str">
        <v>山口県防府市大字浜方716-15</v>
      </c>
      <c r="AD174" t="str">
        <v>ｱﾙｿｰﾚD202</v>
      </c>
      <c r="AE174" s="31">
        <v>44455</v>
      </c>
      <c r="AF174" s="31">
        <v>44459</v>
      </c>
      <c r="AG174" s="31">
        <v>45411</v>
      </c>
      <c r="AH174" s="31">
        <v>0</v>
      </c>
      <c r="AI174">
        <v>44531</v>
      </c>
      <c r="AJ174" t="str">
        <v>OK</v>
      </c>
      <c r="AK174">
        <v>0</v>
      </c>
      <c r="AL174">
        <v>44459</v>
      </c>
      <c r="AM174">
        <v>0</v>
      </c>
      <c r="AN174">
        <v>0</v>
      </c>
      <c r="AO174">
        <v>0</v>
      </c>
      <c r="AP174">
        <v>0</v>
      </c>
      <c r="AQ174">
        <v>0</v>
      </c>
      <c r="AR174">
        <v>0</v>
      </c>
    </row>
    <row r="175" spans="1:44">
      <c r="A175" t="str">
        <f>H175&amp;COUNTIF($H$2:H175,H175)</f>
        <v>096</v>
      </c>
      <c r="B175" t="str">
        <f>F175&amp;COUNTIF($F$2:F175,F175)</f>
        <v>ﾌｪﾆﾃｯｸｾﾐｺﾝﾀﾞｸﾀｰ 岡山16</v>
      </c>
      <c r="C175" t="str">
        <v>退社</v>
      </c>
      <c r="D175">
        <v>210909</v>
      </c>
      <c r="E175">
        <v>83964</v>
      </c>
      <c r="F175" t="str">
        <v>ﾌｪﾆﾃｯｸｾﾐｺﾝﾀﾞｸﾀｰ 岡山</v>
      </c>
      <c r="G175" t="str">
        <v>岡山工場製造部TF課５インチ担当</v>
      </c>
      <c r="H175">
        <v>0</v>
      </c>
      <c r="I175">
        <v>0</v>
      </c>
      <c r="J175" t="str">
        <v>MAI XUAN PHONG</v>
      </c>
      <c r="K175" t="str">
        <v>マイ　ジャン　フォン</v>
      </c>
      <c r="L175" t="str">
        <v>男</v>
      </c>
      <c r="M175" t="str">
        <v>ﾍﾞﾄﾅﾑ</v>
      </c>
      <c r="N175" s="31">
        <v>33600</v>
      </c>
      <c r="O175">
        <v>33</v>
      </c>
      <c r="P175">
        <v>1500</v>
      </c>
      <c r="Q175">
        <v>0</v>
      </c>
      <c r="R175">
        <v>2300</v>
      </c>
      <c r="S175">
        <v>0</v>
      </c>
      <c r="T175">
        <v>800</v>
      </c>
      <c r="U175">
        <v>0</v>
      </c>
      <c r="V175" t="str">
        <v/>
      </c>
      <c r="W175" t="str">
        <v>0</v>
      </c>
      <c r="X175" t="str">
        <v/>
      </c>
      <c r="Y175" s="31">
        <v>45157</v>
      </c>
      <c r="Z175" t="str">
        <v/>
      </c>
      <c r="AA175" t="str">
        <v>技術・人文知識・国際業務</v>
      </c>
      <c r="AB175" t="str">
        <v>715-0014</v>
      </c>
      <c r="AC175" t="str">
        <v>岡山県井原氏七日市町735-1</v>
      </c>
      <c r="AD175" t="str">
        <v>ｻﾝﾋﾟｱｯﾂｧA101</v>
      </c>
      <c r="AE175" s="31">
        <v>44458</v>
      </c>
      <c r="AF175" s="31">
        <v>44460</v>
      </c>
      <c r="AG175" s="31">
        <v>44915</v>
      </c>
      <c r="AH175" s="31">
        <v>0</v>
      </c>
      <c r="AI175">
        <v>44531</v>
      </c>
      <c r="AJ175" t="str">
        <v>OK</v>
      </c>
      <c r="AK175">
        <v>0</v>
      </c>
      <c r="AL175">
        <v>44460</v>
      </c>
      <c r="AM175">
        <v>0</v>
      </c>
      <c r="AN175">
        <v>0</v>
      </c>
      <c r="AO175">
        <v>0</v>
      </c>
      <c r="AP175">
        <v>0</v>
      </c>
      <c r="AQ175">
        <v>0</v>
      </c>
      <c r="AR175">
        <v>0</v>
      </c>
    </row>
    <row r="176" spans="1:44">
      <c r="A176" t="str">
        <f>H176&amp;COUNTIF($H$2:H176,H176)</f>
        <v>097</v>
      </c>
      <c r="B176" t="str">
        <f>F176&amp;COUNTIF($F$2:F176,F176)</f>
        <v>高雄工業 海南第一18</v>
      </c>
      <c r="C176" t="str">
        <v>退社</v>
      </c>
      <c r="D176">
        <v>210916</v>
      </c>
      <c r="E176">
        <v>0</v>
      </c>
      <c r="F176" t="str">
        <v>高雄工業 海南第一</v>
      </c>
      <c r="G176" t="str">
        <v>高雄工業株式会社 愛知事業所海南第一工場製作1課</v>
      </c>
      <c r="H176">
        <v>0</v>
      </c>
      <c r="I176">
        <v>0</v>
      </c>
      <c r="J176" t="str">
        <v>DA SILVA WAGNER</v>
      </c>
      <c r="K176" t="str">
        <v>ダ　シルバ　ワグナー</v>
      </c>
      <c r="L176" t="str">
        <v>男</v>
      </c>
      <c r="M176" t="str">
        <v>ﾌﾞﾗｼﾞﾙ</v>
      </c>
      <c r="N176" s="31">
        <v>24131</v>
      </c>
      <c r="O176">
        <v>59</v>
      </c>
      <c r="P176">
        <v>1400</v>
      </c>
      <c r="Q176">
        <v>0</v>
      </c>
      <c r="R176">
        <v>1650</v>
      </c>
      <c r="S176">
        <v>250</v>
      </c>
      <c r="T176">
        <v>250</v>
      </c>
      <c r="U176">
        <v>0</v>
      </c>
      <c r="V176" t="str">
        <v/>
      </c>
      <c r="W176" t="str">
        <v>0</v>
      </c>
      <c r="X176" t="str">
        <v/>
      </c>
      <c r="Y176" s="31">
        <v>46555</v>
      </c>
      <c r="Z176" t="str">
        <v/>
      </c>
      <c r="AA176" t="str">
        <v>永住者</v>
      </c>
      <c r="AB176" t="str">
        <v>498-0031</v>
      </c>
      <c r="AC176" t="str">
        <v>愛知県弥富市平島町中新田196-1</v>
      </c>
      <c r="AD176" t="str">
        <v>ｺﾝﾂｪﾙﾊｳｽB棟106</v>
      </c>
      <c r="AE176" s="31">
        <v>44457</v>
      </c>
      <c r="AF176" s="31">
        <v>44460</v>
      </c>
      <c r="AG176" s="31">
        <v>44463</v>
      </c>
      <c r="AH176" s="31">
        <v>44465</v>
      </c>
      <c r="AI176">
        <v>0</v>
      </c>
      <c r="AJ176">
        <v>0</v>
      </c>
      <c r="AK176">
        <v>0</v>
      </c>
      <c r="AL176">
        <v>44460</v>
      </c>
      <c r="AM176">
        <v>0</v>
      </c>
      <c r="AN176">
        <v>0</v>
      </c>
      <c r="AO176">
        <v>0</v>
      </c>
      <c r="AP176">
        <v>0</v>
      </c>
      <c r="AQ176">
        <v>0</v>
      </c>
      <c r="AR176">
        <v>0</v>
      </c>
    </row>
    <row r="177" spans="1:44">
      <c r="A177" t="str">
        <f>H177&amp;COUNTIF($H$2:H177,H177)</f>
        <v>Fライン5</v>
      </c>
      <c r="B177" t="str">
        <f>F177&amp;COUNTIF($F$2:F177,F177)</f>
        <v>高雄工業 本社17</v>
      </c>
      <c r="C177" t="str">
        <v>在職中</v>
      </c>
      <c r="D177">
        <v>230811</v>
      </c>
      <c r="E177">
        <v>212042</v>
      </c>
      <c r="F177" t="str">
        <v>高雄工業 本社</v>
      </c>
      <c r="G177" t="str">
        <v>高雄工業株式会社 愛知事業所本社工場製作課</v>
      </c>
      <c r="H177" t="str">
        <v>Fライン</v>
      </c>
      <c r="I177" t="str">
        <v>CVJ部品短軸品の施削加工、NCプログラム修正</v>
      </c>
      <c r="J177" t="str">
        <v>NGUYEN VAN QUY</v>
      </c>
      <c r="K177" t="str">
        <v>グエン　ヴァン　クイ</v>
      </c>
      <c r="L177" t="str">
        <v>男</v>
      </c>
      <c r="M177" t="str">
        <v>ﾍﾞﾄﾅﾑ</v>
      </c>
      <c r="N177" s="31">
        <v>37213</v>
      </c>
      <c r="O177">
        <v>24</v>
      </c>
      <c r="P177">
        <v>1310</v>
      </c>
      <c r="Q177">
        <v>0</v>
      </c>
      <c r="R177">
        <v>1700</v>
      </c>
      <c r="S177">
        <v>0</v>
      </c>
      <c r="T177">
        <v>390</v>
      </c>
      <c r="U177">
        <v>240000</v>
      </c>
      <c r="V177">
        <v>12036</v>
      </c>
      <c r="W177" t="str">
        <v>0</v>
      </c>
      <c r="X177">
        <v>21960</v>
      </c>
      <c r="Y177" s="31">
        <v>47015</v>
      </c>
      <c r="Z177" t="str">
        <v/>
      </c>
      <c r="AA177" t="str">
        <v>技術・人文知識・国際業務</v>
      </c>
      <c r="AB177" t="str">
        <v>498-0026</v>
      </c>
      <c r="AC177" t="str">
        <v>愛知県弥富市鯏浦町西前新田119-1</v>
      </c>
      <c r="AD177" t="str">
        <v>ﾗｲﾌｺｱ119　301号</v>
      </c>
      <c r="AE177" s="31">
        <v>45133</v>
      </c>
      <c r="AF177" s="31">
        <v>45139</v>
      </c>
      <c r="AG177" s="31">
        <v>0</v>
      </c>
      <c r="AH177" s="31">
        <v>0</v>
      </c>
      <c r="AI177" t="str">
        <v>23.8.1</v>
      </c>
      <c r="AJ177" t="str">
        <v>8/9林</v>
      </c>
      <c r="AK177">
        <v>0</v>
      </c>
      <c r="AL177">
        <v>45139</v>
      </c>
      <c r="AM177">
        <v>0</v>
      </c>
      <c r="AN177">
        <v>0</v>
      </c>
      <c r="AO177">
        <v>0</v>
      </c>
      <c r="AP177">
        <v>0</v>
      </c>
      <c r="AQ177">
        <v>0</v>
      </c>
      <c r="AR177">
        <v>0</v>
      </c>
    </row>
    <row r="178" spans="1:44">
      <c r="A178" t="str">
        <f>H178&amp;COUNTIF($H$2:H178,H178)</f>
        <v>HUB4</v>
      </c>
      <c r="B178" t="str">
        <f>F178&amp;COUNTIF($F$2:F178,F178)</f>
        <v>高雄工業 海南第一19</v>
      </c>
      <c r="C178" t="str">
        <v>退社</v>
      </c>
      <c r="D178">
        <v>210911</v>
      </c>
      <c r="E178">
        <v>222028</v>
      </c>
      <c r="F178" t="str">
        <v>高雄工業 海南第一</v>
      </c>
      <c r="G178" t="str">
        <v>高雄工業株式会社 愛知事業所海南第一工場製作1課</v>
      </c>
      <c r="H178" t="str">
        <v>HUB</v>
      </c>
      <c r="I178" t="str">
        <v>ハブ加工 機械オペレーター、NCプログラム修正</v>
      </c>
      <c r="J178" t="str">
        <v>LE VIET HUNG</v>
      </c>
      <c r="K178" t="str">
        <v>レー　ヴィエット　フン</v>
      </c>
      <c r="L178" t="str">
        <v>男</v>
      </c>
      <c r="M178" t="str">
        <v>ﾍﾞﾄﾅﾑ</v>
      </c>
      <c r="N178" s="31">
        <v>33282</v>
      </c>
      <c r="O178">
        <v>34</v>
      </c>
      <c r="P178">
        <v>1410</v>
      </c>
      <c r="Q178">
        <v>0</v>
      </c>
      <c r="R178">
        <v>1810</v>
      </c>
      <c r="S178" t="str">
        <v>9/16~ 1600円→1750円</v>
      </c>
      <c r="T178">
        <v>400</v>
      </c>
      <c r="U178">
        <v>300000</v>
      </c>
      <c r="V178">
        <v>15045</v>
      </c>
      <c r="W178" t="str">
        <v>0</v>
      </c>
      <c r="X178">
        <v>27450</v>
      </c>
      <c r="Y178" s="31">
        <v>46573</v>
      </c>
      <c r="Z178" t="str">
        <v/>
      </c>
      <c r="AA178" t="str">
        <v>技術・人文知識・国際業務</v>
      </c>
      <c r="AB178" t="str">
        <v>498-0017</v>
      </c>
      <c r="AC178" t="str">
        <v>愛知県弥富市前ヶ須町堪助走34-1</v>
      </c>
      <c r="AD178" t="str">
        <v>ｱﾄﾚA棟101</v>
      </c>
      <c r="AE178" s="31">
        <v>44864</v>
      </c>
      <c r="AF178" s="31">
        <v>44466</v>
      </c>
      <c r="AG178" s="31">
        <v>45730</v>
      </c>
      <c r="AH178" s="31">
        <v>0</v>
      </c>
      <c r="AI178">
        <v>44531</v>
      </c>
      <c r="AJ178" t="str">
        <v>OK</v>
      </c>
      <c r="AK178">
        <v>0</v>
      </c>
      <c r="AL178">
        <v>44466</v>
      </c>
      <c r="AM178">
        <v>0</v>
      </c>
      <c r="AN178">
        <v>0</v>
      </c>
      <c r="AO178">
        <v>0</v>
      </c>
      <c r="AP178">
        <v>0</v>
      </c>
      <c r="AQ178">
        <v>0</v>
      </c>
      <c r="AR178">
        <v>0</v>
      </c>
    </row>
    <row r="179" spans="1:44">
      <c r="A179" t="str">
        <f>H179&amp;COUNTIF($H$2:H179,H179)</f>
        <v>手動旋削3</v>
      </c>
      <c r="B179" t="str">
        <f>F179&amp;COUNTIF($F$2:F179,F179)</f>
        <v>高雄工業 静岡19</v>
      </c>
      <c r="C179" t="str">
        <v>退社</v>
      </c>
      <c r="D179">
        <v>210912</v>
      </c>
      <c r="E179">
        <v>242023</v>
      </c>
      <c r="F179" t="str">
        <v>高雄工業 静岡</v>
      </c>
      <c r="G179" t="str">
        <v>高雄工業株式会社 静岡事業所第一工場製作課</v>
      </c>
      <c r="H179" t="str">
        <v>手動旋削</v>
      </c>
      <c r="I179" t="str">
        <v>CVJ部品短軸品の施削加工、NCプログラム修正</v>
      </c>
      <c r="J179" t="str">
        <v>TRUONG VAN THINH</v>
      </c>
      <c r="K179" t="str">
        <v>チュオン　ヴァン　テイン</v>
      </c>
      <c r="L179" t="str">
        <v>男</v>
      </c>
      <c r="M179" t="str">
        <v>ﾍﾞﾄﾅﾑ</v>
      </c>
      <c r="N179" s="31">
        <v>32994</v>
      </c>
      <c r="O179">
        <v>35</v>
      </c>
      <c r="P179">
        <v>1430</v>
      </c>
      <c r="Q179">
        <v>0</v>
      </c>
      <c r="R179">
        <v>1840</v>
      </c>
      <c r="S179" t="str">
        <v>9/16~ 1610円→1760円</v>
      </c>
      <c r="T179">
        <v>410</v>
      </c>
      <c r="U179">
        <v>280000</v>
      </c>
      <c r="V179">
        <v>14042</v>
      </c>
      <c r="W179" t="str">
        <v>0</v>
      </c>
      <c r="X179">
        <v>25620</v>
      </c>
      <c r="Y179" s="31">
        <v>46627</v>
      </c>
      <c r="Z179" t="str">
        <v/>
      </c>
      <c r="AA179" t="str">
        <v>技術・人文知識・国際業務</v>
      </c>
      <c r="AB179" t="str">
        <v>437-0061</v>
      </c>
      <c r="AC179" t="str">
        <v>静岡県袋井市久能2810番地1</v>
      </c>
      <c r="AD179" t="str">
        <v>ﾌｪﾘｽA103</v>
      </c>
      <c r="AE179" s="31">
        <v>44464</v>
      </c>
      <c r="AF179" s="31">
        <v>44466</v>
      </c>
      <c r="AG179" s="31">
        <v>45679</v>
      </c>
      <c r="AH179" s="31">
        <v>0</v>
      </c>
      <c r="AI179">
        <v>44531</v>
      </c>
      <c r="AJ179" t="str">
        <v>OK</v>
      </c>
      <c r="AK179">
        <v>0</v>
      </c>
      <c r="AL179">
        <v>44466</v>
      </c>
      <c r="AM179">
        <v>0</v>
      </c>
      <c r="AN179">
        <v>0</v>
      </c>
      <c r="AO179">
        <v>0</v>
      </c>
      <c r="AP179">
        <v>0</v>
      </c>
      <c r="AQ179">
        <v>0</v>
      </c>
      <c r="AR179">
        <v>0</v>
      </c>
    </row>
    <row r="180" spans="1:44">
      <c r="A180" t="str">
        <f>H180&amp;COUNTIF($H$2:H180,H180)</f>
        <v>098</v>
      </c>
      <c r="B180" t="str">
        <f>F180&amp;COUNTIF($F$2:F180,F180)</f>
        <v>オーツカ5</v>
      </c>
      <c r="C180" t="str">
        <v>退社</v>
      </c>
      <c r="D180">
        <v>210913</v>
      </c>
      <c r="E180">
        <v>0</v>
      </c>
      <c r="F180" t="str">
        <v>オーツカ</v>
      </c>
      <c r="G180">
        <v>0</v>
      </c>
      <c r="H180">
        <v>0</v>
      </c>
      <c r="I180">
        <v>0</v>
      </c>
      <c r="J180" t="str">
        <v>KITABATAKE　MICHEL</v>
      </c>
      <c r="K180" t="str">
        <v>キタバタケ　ミッシェル</v>
      </c>
      <c r="L180" t="str">
        <v>男</v>
      </c>
      <c r="M180" t="str">
        <v>ﾌﾞﾗｼﾞﾙ</v>
      </c>
      <c r="N180" s="31">
        <v>29484</v>
      </c>
      <c r="O180">
        <v>45</v>
      </c>
      <c r="P180">
        <v>1400</v>
      </c>
      <c r="Q180" t="str">
        <v>9/27～10/20　1350円　10/21～　1400円</v>
      </c>
      <c r="R180">
        <v>1872</v>
      </c>
      <c r="S180">
        <v>0</v>
      </c>
      <c r="T180">
        <v>472</v>
      </c>
      <c r="U180">
        <v>0</v>
      </c>
      <c r="V180" t="str">
        <v/>
      </c>
      <c r="W180" t="str">
        <v>0</v>
      </c>
      <c r="X180" t="str">
        <v/>
      </c>
      <c r="Y180" s="31">
        <v>46164</v>
      </c>
      <c r="Z180" t="str">
        <v/>
      </c>
      <c r="AA180" t="str">
        <v>永住者</v>
      </c>
      <c r="AB180" t="str">
        <v>503-2124</v>
      </c>
      <c r="AC180" t="str">
        <v>岐阜県不破郡垂井町宮代555番地1</v>
      </c>
      <c r="AD180" t="str">
        <v>ｺｽﾓﾊｲﾂB205号</v>
      </c>
      <c r="AE180" s="31" t="str">
        <v>個人</v>
      </c>
      <c r="AF180" s="31">
        <v>44466</v>
      </c>
      <c r="AG180" s="31">
        <v>44544</v>
      </c>
      <c r="AH180" s="31">
        <v>0</v>
      </c>
      <c r="AI180">
        <v>44531</v>
      </c>
      <c r="AJ180">
        <v>0</v>
      </c>
      <c r="AK180">
        <v>0</v>
      </c>
      <c r="AL180">
        <v>44466</v>
      </c>
      <c r="AM180">
        <v>0</v>
      </c>
      <c r="AN180">
        <v>0</v>
      </c>
      <c r="AO180">
        <v>0</v>
      </c>
      <c r="AP180">
        <v>0</v>
      </c>
      <c r="AQ180">
        <v>0</v>
      </c>
      <c r="AR180">
        <v>0</v>
      </c>
    </row>
    <row r="181" spans="1:44">
      <c r="A181" t="str">
        <f>H181&amp;COUNTIF($H$2:H181,H181)</f>
        <v>099</v>
      </c>
      <c r="B181" t="str">
        <f>F181&amp;COUNTIF($F$2:F181,F181)</f>
        <v>高雄工業 静岡20</v>
      </c>
      <c r="C181" t="str">
        <v>退社</v>
      </c>
      <c r="D181">
        <v>210915</v>
      </c>
      <c r="E181">
        <v>0</v>
      </c>
      <c r="F181" t="str">
        <v>高雄工業 静岡</v>
      </c>
      <c r="G181">
        <v>0</v>
      </c>
      <c r="H181">
        <v>0</v>
      </c>
      <c r="I181">
        <v>0</v>
      </c>
      <c r="J181" t="str">
        <v>NGUYEN VAN TRUNG</v>
      </c>
      <c r="K181" t="str">
        <v>グエン　ヴァン　チュン</v>
      </c>
      <c r="L181" t="str">
        <v>男</v>
      </c>
      <c r="M181" t="str">
        <v>ﾍﾞﾄﾅﾑ</v>
      </c>
      <c r="N181" s="31">
        <v>34934</v>
      </c>
      <c r="O181">
        <v>30</v>
      </c>
      <c r="P181">
        <v>1250</v>
      </c>
      <c r="Q181">
        <v>0</v>
      </c>
      <c r="R181">
        <v>1600</v>
      </c>
      <c r="S181">
        <v>350</v>
      </c>
      <c r="T181">
        <v>350</v>
      </c>
      <c r="U181">
        <v>0</v>
      </c>
      <c r="V181" t="str">
        <v/>
      </c>
      <c r="W181" t="str">
        <v>0</v>
      </c>
      <c r="X181" t="str">
        <v/>
      </c>
      <c r="Y181" s="31">
        <v>45246</v>
      </c>
      <c r="Z181" t="str">
        <v/>
      </c>
      <c r="AA181" t="str">
        <v>技術・人文知識・国際業務</v>
      </c>
      <c r="AB181" t="str">
        <v>437-0061</v>
      </c>
      <c r="AC181" t="str">
        <v>静岡県袋井市久能2810番地1</v>
      </c>
      <c r="AD181" t="str">
        <v>ﾌｪﾘｽA103</v>
      </c>
      <c r="AE181" s="31">
        <v>44464</v>
      </c>
      <c r="AF181" s="31">
        <v>44466</v>
      </c>
      <c r="AG181" s="31">
        <v>44468</v>
      </c>
      <c r="AH181" s="31">
        <v>44468</v>
      </c>
      <c r="AI181">
        <v>0</v>
      </c>
      <c r="AJ181">
        <v>0</v>
      </c>
      <c r="AK181">
        <v>0</v>
      </c>
      <c r="AL181">
        <v>44466</v>
      </c>
      <c r="AM181">
        <v>0</v>
      </c>
      <c r="AN181">
        <v>0</v>
      </c>
      <c r="AO181">
        <v>0</v>
      </c>
      <c r="AP181">
        <v>0</v>
      </c>
      <c r="AQ181">
        <v>0</v>
      </c>
      <c r="AR181">
        <v>0</v>
      </c>
    </row>
    <row r="182" spans="1:44">
      <c r="A182" t="str">
        <f>H182&amp;COUNTIF($H$2:H182,H182)</f>
        <v>HUB_第13</v>
      </c>
      <c r="B182" t="str">
        <f>F182&amp;COUNTIF($F$2:F182,F182)</f>
        <v>高雄工業 海南第一20</v>
      </c>
      <c r="C182" t="str">
        <v>退社</v>
      </c>
      <c r="D182">
        <v>210914</v>
      </c>
      <c r="E182">
        <v>222029</v>
      </c>
      <c r="F182" t="str">
        <v>高雄工業 海南第一</v>
      </c>
      <c r="G182" t="str">
        <v>高雄工業株式会社 愛知事業所海南第一工場製作1課</v>
      </c>
      <c r="H182" t="str">
        <v>HUB_第1</v>
      </c>
      <c r="I182" t="str">
        <v>ハブ加工　自動ラインの機械オペレーター、NCプログラム修正</v>
      </c>
      <c r="J182" t="str">
        <v>TRAN VAN PHONG</v>
      </c>
      <c r="K182" t="str">
        <v>チャン　ヴァン　フォン</v>
      </c>
      <c r="L182" t="str">
        <v>男</v>
      </c>
      <c r="M182" t="str">
        <v>ﾍﾞﾄﾅﾑ</v>
      </c>
      <c r="N182" s="31">
        <v>34689</v>
      </c>
      <c r="O182">
        <v>30</v>
      </c>
      <c r="P182">
        <v>1400</v>
      </c>
      <c r="Q182">
        <v>0</v>
      </c>
      <c r="R182">
        <v>1780</v>
      </c>
      <c r="S182" t="str">
        <v>9/16~ 1600円→1750円</v>
      </c>
      <c r="T182">
        <v>380</v>
      </c>
      <c r="U182">
        <v>240000</v>
      </c>
      <c r="V182">
        <v>12036</v>
      </c>
      <c r="W182" t="str">
        <v>0</v>
      </c>
      <c r="X182">
        <v>21960</v>
      </c>
      <c r="Y182" s="31">
        <v>45437</v>
      </c>
      <c r="Z182" t="str">
        <v/>
      </c>
      <c r="AA182" t="str">
        <v>技術・人文知識・国際業務</v>
      </c>
      <c r="AB182" t="str">
        <v>498-0017</v>
      </c>
      <c r="AC182" t="str">
        <v>愛知県弥富市前ヶ須田堪助走34-1</v>
      </c>
      <c r="AD182" t="str">
        <v>ｱﾄﾚB棟101</v>
      </c>
      <c r="AE182" s="31">
        <v>44473</v>
      </c>
      <c r="AF182" s="31">
        <v>44469</v>
      </c>
      <c r="AG182" s="31">
        <v>45280</v>
      </c>
      <c r="AH182" s="31">
        <v>0</v>
      </c>
      <c r="AI182">
        <v>44531</v>
      </c>
      <c r="AJ182" t="str">
        <v>OK</v>
      </c>
      <c r="AK182">
        <v>0</v>
      </c>
      <c r="AL182">
        <v>44469</v>
      </c>
      <c r="AM182">
        <v>0</v>
      </c>
      <c r="AN182">
        <v>0</v>
      </c>
      <c r="AO182">
        <v>0</v>
      </c>
      <c r="AP182">
        <v>0</v>
      </c>
      <c r="AQ182">
        <v>0</v>
      </c>
      <c r="AR182">
        <v>0</v>
      </c>
    </row>
    <row r="183" spans="1:44">
      <c r="A183" t="str">
        <f>H183&amp;COUNTIF($H$2:H183,H183)</f>
        <v>1次旋係.1</v>
      </c>
      <c r="B183" t="str">
        <f>F183&amp;COUNTIF($F$2:F183,F183)</f>
        <v>高雄工業 岡山21</v>
      </c>
      <c r="C183" t="str">
        <v>在職中</v>
      </c>
      <c r="D183">
        <v>211003</v>
      </c>
      <c r="E183">
        <v>232020</v>
      </c>
      <c r="F183" t="str">
        <v>高雄工業 岡山</v>
      </c>
      <c r="G183" t="str">
        <v>高雄工業株式会社 岡山事業所HUB工場製作1課</v>
      </c>
      <c r="H183" t="str">
        <v>1次旋係.</v>
      </c>
      <c r="I183" t="str">
        <v>ハブ加工 自動機の操作</v>
      </c>
      <c r="J183" t="str">
        <v>小野　忠昭</v>
      </c>
      <c r="K183" t="str">
        <v>オノ　タダアキ</v>
      </c>
      <c r="L183" t="str">
        <v>男</v>
      </c>
      <c r="M183" t="str">
        <v>日本</v>
      </c>
      <c r="N183" s="31">
        <v>24511</v>
      </c>
      <c r="O183">
        <v>58</v>
      </c>
      <c r="P183">
        <v>1300</v>
      </c>
      <c r="Q183">
        <v>0</v>
      </c>
      <c r="R183">
        <v>1870</v>
      </c>
      <c r="S183">
        <v>0</v>
      </c>
      <c r="T183">
        <v>570</v>
      </c>
      <c r="U183">
        <v>280000</v>
      </c>
      <c r="V183">
        <v>14042</v>
      </c>
      <c r="W183">
        <v>2226</v>
      </c>
      <c r="X183">
        <v>25620</v>
      </c>
      <c r="Y183" s="31">
        <v>0</v>
      </c>
      <c r="Z183" t="str">
        <v/>
      </c>
      <c r="AA183">
        <v>0</v>
      </c>
      <c r="AB183" t="str">
        <v>709-0827</v>
      </c>
      <c r="AC183" t="str">
        <v>岡山県赤磐市山陽4-2-30</v>
      </c>
      <c r="AD183">
        <v>0</v>
      </c>
      <c r="AE183" s="31" t="str">
        <v>個人</v>
      </c>
      <c r="AF183" s="31">
        <v>44470</v>
      </c>
      <c r="AG183" s="31">
        <v>0</v>
      </c>
      <c r="AH183" s="31">
        <v>0</v>
      </c>
      <c r="AI183">
        <v>44531</v>
      </c>
      <c r="AJ183" t="str">
        <v>OK</v>
      </c>
      <c r="AK183">
        <v>0</v>
      </c>
      <c r="AL183">
        <v>44470</v>
      </c>
      <c r="AM183">
        <v>0</v>
      </c>
      <c r="AN183">
        <v>0</v>
      </c>
      <c r="AO183">
        <v>0</v>
      </c>
      <c r="AP183">
        <v>0</v>
      </c>
      <c r="AQ183">
        <v>0</v>
      </c>
      <c r="AR183">
        <v>0</v>
      </c>
    </row>
    <row r="184" spans="1:44">
      <c r="A184" t="str">
        <f>H184&amp;COUNTIF($H$2:H184,H184)</f>
        <v>CVJ 清掃1</v>
      </c>
      <c r="B184" t="str">
        <f>F184&amp;COUNTIF($F$2:F184,F184)</f>
        <v>高雄工業 岡山22</v>
      </c>
      <c r="C184" t="str">
        <v>在職中</v>
      </c>
      <c r="D184">
        <v>211004</v>
      </c>
      <c r="E184">
        <v>232025</v>
      </c>
      <c r="F184" t="str">
        <v>高雄工業 岡山</v>
      </c>
      <c r="G184" t="str">
        <v>高雄工業株式会社 岡山事業所CVJ工場製作課</v>
      </c>
      <c r="H184" t="str">
        <v>CVJ 清掃</v>
      </c>
      <c r="I184" t="str">
        <v>自動機の旋削機械及び周辺機器等の清掃メンテナンス</v>
      </c>
      <c r="J184" t="str">
        <v>弓削　幸将</v>
      </c>
      <c r="K184" t="str">
        <v>ユゲ　ユキマサ</v>
      </c>
      <c r="L184" t="str">
        <v>男</v>
      </c>
      <c r="M184" t="str">
        <v>日本</v>
      </c>
      <c r="N184" s="31">
        <v>31792</v>
      </c>
      <c r="O184">
        <v>38</v>
      </c>
      <c r="P184">
        <v>1160</v>
      </c>
      <c r="Q184">
        <v>0</v>
      </c>
      <c r="R184">
        <v>1820</v>
      </c>
      <c r="S184">
        <v>0</v>
      </c>
      <c r="T184">
        <v>660</v>
      </c>
      <c r="U184">
        <v>190000</v>
      </c>
      <c r="V184">
        <v>9528</v>
      </c>
      <c r="W184" t="str">
        <v>0</v>
      </c>
      <c r="X184">
        <v>17385</v>
      </c>
      <c r="Y184" s="31">
        <v>0</v>
      </c>
      <c r="Z184" t="str">
        <v/>
      </c>
      <c r="AA184">
        <v>0</v>
      </c>
      <c r="AB184" t="str">
        <v>709-0712</v>
      </c>
      <c r="AC184" t="str">
        <v>岡山県赤磐市吉原593-1</v>
      </c>
      <c r="AD184">
        <v>0</v>
      </c>
      <c r="AE184" s="31" t="str">
        <v>個人</v>
      </c>
      <c r="AF184" s="31">
        <v>44470</v>
      </c>
      <c r="AG184" s="31">
        <v>0</v>
      </c>
      <c r="AH184" s="31">
        <v>0</v>
      </c>
      <c r="AI184">
        <v>44531</v>
      </c>
      <c r="AJ184" t="str">
        <v>OK</v>
      </c>
      <c r="AK184">
        <v>0</v>
      </c>
      <c r="AL184">
        <v>44470</v>
      </c>
      <c r="AM184">
        <v>0</v>
      </c>
      <c r="AN184">
        <v>0</v>
      </c>
      <c r="AO184">
        <v>0</v>
      </c>
      <c r="AP184">
        <v>0</v>
      </c>
      <c r="AQ184">
        <v>0</v>
      </c>
      <c r="AR184">
        <v>0</v>
      </c>
    </row>
    <row r="185" spans="1:44">
      <c r="A185" t="str">
        <f>H185&amp;COUNTIF($H$2:H185,H185)</f>
        <v>CVJ研磨係.1</v>
      </c>
      <c r="B185" t="str">
        <f>F185&amp;COUNTIF($F$2:F185,F185)</f>
        <v>高雄工業 岡山23</v>
      </c>
      <c r="C185" t="str">
        <v>在職中</v>
      </c>
      <c r="D185">
        <v>211006</v>
      </c>
      <c r="E185">
        <v>232022</v>
      </c>
      <c r="F185" t="str">
        <v>高雄工業 岡山</v>
      </c>
      <c r="G185" t="str">
        <v>高雄工業株式会社 岡山事業所CVJ工場製作課</v>
      </c>
      <c r="H185" t="str">
        <v>CVJ研磨係.</v>
      </c>
      <c r="I185" t="str">
        <v>ＣＶＪ研磨等速ジョイント旋削加工</v>
      </c>
      <c r="J185" t="str">
        <v>島田　富佐男</v>
      </c>
      <c r="K185" t="str">
        <v>シマダ　フサオ</v>
      </c>
      <c r="L185" t="str">
        <v>男</v>
      </c>
      <c r="M185" t="str">
        <v>日本</v>
      </c>
      <c r="N185" s="31">
        <v>22913</v>
      </c>
      <c r="O185">
        <v>63</v>
      </c>
      <c r="P185">
        <v>1360</v>
      </c>
      <c r="Q185">
        <v>0</v>
      </c>
      <c r="R185">
        <v>1920</v>
      </c>
      <c r="S185">
        <v>0</v>
      </c>
      <c r="T185">
        <v>560</v>
      </c>
      <c r="U185">
        <v>260000</v>
      </c>
      <c r="V185">
        <v>13039</v>
      </c>
      <c r="W185">
        <v>2067</v>
      </c>
      <c r="X185">
        <v>23790</v>
      </c>
      <c r="Y185" s="31">
        <v>0</v>
      </c>
      <c r="Z185" t="str">
        <v/>
      </c>
      <c r="AA185">
        <v>0</v>
      </c>
      <c r="AB185" t="str">
        <v>701-2503</v>
      </c>
      <c r="AC185" t="str">
        <v>岡山県赤磐市周匝985-8</v>
      </c>
      <c r="AD185" t="str">
        <v>ﾋﾞﾚｯｼﾞﾊｳｽ吉井1号棟107号</v>
      </c>
      <c r="AE185" s="31" t="str">
        <v>個人</v>
      </c>
      <c r="AF185" s="31">
        <v>44470</v>
      </c>
      <c r="AG185" s="31">
        <v>0</v>
      </c>
      <c r="AH185" s="31">
        <v>0</v>
      </c>
      <c r="AI185">
        <v>44531</v>
      </c>
      <c r="AJ185" t="str">
        <v>OK</v>
      </c>
      <c r="AK185">
        <v>0</v>
      </c>
      <c r="AL185">
        <v>44470</v>
      </c>
      <c r="AM185">
        <v>0</v>
      </c>
      <c r="AN185">
        <v>0</v>
      </c>
      <c r="AO185">
        <v>0</v>
      </c>
      <c r="AP185">
        <v>0</v>
      </c>
      <c r="AQ185">
        <v>0</v>
      </c>
      <c r="AR185">
        <v>0</v>
      </c>
    </row>
    <row r="186" spans="1:44">
      <c r="A186" t="str">
        <f>H186&amp;COUNTIF($H$2:H186,H186)</f>
        <v>一次旋係7</v>
      </c>
      <c r="B186" t="str">
        <f>F186&amp;COUNTIF($F$2:F186,F186)</f>
        <v>高雄工業 岡山24</v>
      </c>
      <c r="C186" t="str">
        <v>退社</v>
      </c>
      <c r="D186">
        <v>211001</v>
      </c>
      <c r="E186">
        <v>232021</v>
      </c>
      <c r="F186" t="str">
        <v>高雄工業 岡山</v>
      </c>
      <c r="G186" t="str">
        <v>高雄工業株式会社 岡山事業所HUB工場製作1課</v>
      </c>
      <c r="H186" t="str">
        <v>一次旋係</v>
      </c>
      <c r="I186">
        <v>0</v>
      </c>
      <c r="J186" t="str">
        <v>神田　恭宏</v>
      </c>
      <c r="K186" t="str">
        <v>カンダ　ヤスヒロ</v>
      </c>
      <c r="L186" t="str">
        <v>男</v>
      </c>
      <c r="M186" t="str">
        <v>日本</v>
      </c>
      <c r="N186" s="31">
        <v>25188</v>
      </c>
      <c r="O186">
        <v>56</v>
      </c>
      <c r="P186">
        <v>1350</v>
      </c>
      <c r="Q186">
        <v>0</v>
      </c>
      <c r="R186">
        <v>1770</v>
      </c>
      <c r="S186">
        <v>0</v>
      </c>
      <c r="T186">
        <v>420</v>
      </c>
      <c r="U186">
        <v>0</v>
      </c>
      <c r="V186" t="str">
        <v/>
      </c>
      <c r="W186" t="str">
        <v>0</v>
      </c>
      <c r="X186" t="str">
        <v/>
      </c>
      <c r="Y186" s="31">
        <v>0</v>
      </c>
      <c r="Z186" t="str">
        <v/>
      </c>
      <c r="AA186">
        <v>0</v>
      </c>
      <c r="AB186" t="str">
        <v>700-0945</v>
      </c>
      <c r="AC186" t="str">
        <v>岡山県岡山市南区新保683-12</v>
      </c>
      <c r="AD186">
        <v>0</v>
      </c>
      <c r="AE186" s="31" t="str">
        <v>個人</v>
      </c>
      <c r="AF186" s="31">
        <v>44470</v>
      </c>
      <c r="AG186" s="31">
        <v>44834</v>
      </c>
      <c r="AH186" s="31">
        <v>0</v>
      </c>
      <c r="AI186">
        <v>44531</v>
      </c>
      <c r="AJ186" t="str">
        <v>OK</v>
      </c>
      <c r="AK186">
        <v>0</v>
      </c>
      <c r="AL186">
        <v>44470</v>
      </c>
      <c r="AM186">
        <v>0</v>
      </c>
      <c r="AN186">
        <v>0</v>
      </c>
      <c r="AO186">
        <v>0</v>
      </c>
      <c r="AP186">
        <v>0</v>
      </c>
      <c r="AQ186">
        <v>0</v>
      </c>
      <c r="AR186">
        <v>0</v>
      </c>
    </row>
    <row r="187" spans="1:44">
      <c r="A187" t="str">
        <f>H187&amp;COUNTIF($H$2:H187,H187)</f>
        <v>CVJ切欠きｺｯﾀ係1</v>
      </c>
      <c r="B187" t="str">
        <f>F187&amp;COUNTIF($F$2:F187,F187)</f>
        <v>高雄工業 岡山25</v>
      </c>
      <c r="C187" t="str">
        <v>退社</v>
      </c>
      <c r="D187">
        <v>211002</v>
      </c>
      <c r="E187">
        <v>232024</v>
      </c>
      <c r="F187" t="str">
        <v>高雄工業 岡山</v>
      </c>
      <c r="G187" t="str">
        <v>高雄工業株式会社 岡山事業所CVJ工場製作課</v>
      </c>
      <c r="H187" t="str">
        <v>CVJ切欠きｺｯﾀ係</v>
      </c>
      <c r="I187" t="str">
        <v>ＣＶＪ切欠きコッタ等速ジョイント旋削加工</v>
      </c>
      <c r="J187" t="str">
        <v>中村　勝次</v>
      </c>
      <c r="K187" t="str">
        <v>ナカムラ　カツジ</v>
      </c>
      <c r="L187" t="str">
        <v>男</v>
      </c>
      <c r="M187" t="str">
        <v>日本</v>
      </c>
      <c r="N187" s="31">
        <v>23064</v>
      </c>
      <c r="O187">
        <v>62</v>
      </c>
      <c r="P187">
        <v>1250</v>
      </c>
      <c r="Q187">
        <v>0</v>
      </c>
      <c r="R187">
        <v>1790</v>
      </c>
      <c r="S187">
        <v>0</v>
      </c>
      <c r="T187">
        <v>540</v>
      </c>
      <c r="U187">
        <v>220000</v>
      </c>
      <c r="V187">
        <v>11033</v>
      </c>
      <c r="W187">
        <v>1749</v>
      </c>
      <c r="X187">
        <v>20130</v>
      </c>
      <c r="Y187" s="31">
        <v>0</v>
      </c>
      <c r="Z187" t="str">
        <v/>
      </c>
      <c r="AA187">
        <v>0</v>
      </c>
      <c r="AB187" t="str">
        <v>709-2107</v>
      </c>
      <c r="AC187" t="str">
        <v>岡山県岡山市北区御津矢原294-1</v>
      </c>
      <c r="AD187" t="str">
        <v>成広矢原ｺｰﾎﾟⅢ203</v>
      </c>
      <c r="AE187" s="31">
        <v>44409</v>
      </c>
      <c r="AF187" s="31">
        <v>44470</v>
      </c>
      <c r="AG187" s="31">
        <v>45427</v>
      </c>
      <c r="AH187" s="31">
        <v>0</v>
      </c>
      <c r="AI187">
        <v>44531</v>
      </c>
      <c r="AJ187" t="str">
        <v>OK</v>
      </c>
      <c r="AK187">
        <v>0</v>
      </c>
      <c r="AL187">
        <v>44470</v>
      </c>
      <c r="AM187">
        <v>0</v>
      </c>
      <c r="AN187">
        <v>0</v>
      </c>
      <c r="AO187">
        <v>0</v>
      </c>
      <c r="AP187">
        <v>0</v>
      </c>
      <c r="AQ187">
        <v>0</v>
      </c>
      <c r="AR187">
        <v>0</v>
      </c>
    </row>
    <row r="188" spans="1:44">
      <c r="A188" t="str">
        <f>H188&amp;COUNTIF($H$2:H188,H188)</f>
        <v>CVJﾊﾞﾘ取りﾁｬﾝﾌｧ係3</v>
      </c>
      <c r="B188" t="str">
        <f>F188&amp;COUNTIF($F$2:F188,F188)</f>
        <v>高雄工業 岡山26</v>
      </c>
      <c r="C188" t="str">
        <v>退社</v>
      </c>
      <c r="D188">
        <v>211005</v>
      </c>
      <c r="E188">
        <v>232023</v>
      </c>
      <c r="F188" t="str">
        <v>高雄工業 岡山</v>
      </c>
      <c r="G188" t="str">
        <v>高雄工業株式会社 岡山事業所CVJ工場製作課</v>
      </c>
      <c r="H188" t="str">
        <v>CVJﾊﾞﾘ取りﾁｬﾝﾌｧ係</v>
      </c>
      <c r="I188" t="str">
        <v>CVJバリ取りチャンファ等速ジョイント旋削加工</v>
      </c>
      <c r="J188" t="str">
        <v>TAN ALEXANDER IGANO</v>
      </c>
      <c r="K188" t="str">
        <v>タン　アレックサンダー　イガノ</v>
      </c>
      <c r="L188" t="str">
        <v>男</v>
      </c>
      <c r="M188" t="str">
        <v>ﾌｨﾘﾋﾟﾝ</v>
      </c>
      <c r="N188" s="31">
        <v>25246</v>
      </c>
      <c r="O188">
        <v>56</v>
      </c>
      <c r="P188">
        <v>1250</v>
      </c>
      <c r="Q188">
        <v>0</v>
      </c>
      <c r="R188">
        <v>1800</v>
      </c>
      <c r="S188">
        <v>0</v>
      </c>
      <c r="T188">
        <v>550</v>
      </c>
      <c r="U188">
        <v>240000</v>
      </c>
      <c r="V188">
        <v>12036</v>
      </c>
      <c r="W188">
        <v>1908</v>
      </c>
      <c r="X188">
        <v>21960</v>
      </c>
      <c r="Y188" s="31">
        <v>46190</v>
      </c>
      <c r="Z188" t="str">
        <v/>
      </c>
      <c r="AA188" t="str">
        <v>永住者</v>
      </c>
      <c r="AB188" t="str">
        <v>702-8058</v>
      </c>
      <c r="AC188" t="str">
        <v>岡山県岡山市南区並木町2-8-17</v>
      </c>
      <c r="AD188">
        <v>0</v>
      </c>
      <c r="AE188" s="31" t="str">
        <v>個人</v>
      </c>
      <c r="AF188" s="31">
        <v>44470</v>
      </c>
      <c r="AG188" s="31">
        <v>45167</v>
      </c>
      <c r="AH188" s="31">
        <v>0</v>
      </c>
      <c r="AI188">
        <v>44531</v>
      </c>
      <c r="AJ188" t="str">
        <v>OK</v>
      </c>
      <c r="AK188">
        <v>0</v>
      </c>
      <c r="AL188">
        <v>44470</v>
      </c>
      <c r="AM188">
        <v>0</v>
      </c>
      <c r="AN188">
        <v>0</v>
      </c>
      <c r="AO188">
        <v>0</v>
      </c>
      <c r="AP188">
        <v>0</v>
      </c>
      <c r="AQ188">
        <v>0</v>
      </c>
      <c r="AR188">
        <v>0</v>
      </c>
    </row>
    <row r="189" spans="1:44">
      <c r="A189" t="str">
        <f>H189&amp;COUNTIF($H$2:H189,H189)</f>
        <v>CVJﾊﾞﾘ取りﾁｬﾝﾌｧ係4</v>
      </c>
      <c r="B189" t="str">
        <f>F189&amp;COUNTIF($F$2:F189,F189)</f>
        <v>高雄工業 岡山27</v>
      </c>
      <c r="C189" t="str">
        <v>退社</v>
      </c>
      <c r="D189">
        <v>211007</v>
      </c>
      <c r="E189">
        <v>232026</v>
      </c>
      <c r="F189" t="str">
        <v>高雄工業 岡山</v>
      </c>
      <c r="G189" t="str">
        <v>高雄工業株式会社 岡山事業所CVJ工場製作課</v>
      </c>
      <c r="H189" t="str">
        <v>CVJﾊﾞﾘ取りﾁｬﾝﾌｧ係</v>
      </c>
      <c r="I189" t="str">
        <v>CVJバリ取りチャンファ等速ジョイント旋削加工</v>
      </c>
      <c r="J189" t="str">
        <v>藤宇　葉子</v>
      </c>
      <c r="K189" t="str">
        <v>フジウ　ヨウコ</v>
      </c>
      <c r="L189" t="str">
        <v>女</v>
      </c>
      <c r="M189" t="str">
        <v>日本</v>
      </c>
      <c r="N189" s="31">
        <v>25068</v>
      </c>
      <c r="O189">
        <v>57</v>
      </c>
      <c r="P189">
        <v>1250</v>
      </c>
      <c r="Q189">
        <v>0</v>
      </c>
      <c r="R189">
        <v>1790</v>
      </c>
      <c r="S189">
        <v>0</v>
      </c>
      <c r="T189">
        <v>540</v>
      </c>
      <c r="U189">
        <v>280000</v>
      </c>
      <c r="V189">
        <v>14042</v>
      </c>
      <c r="W189">
        <v>2226</v>
      </c>
      <c r="X189">
        <v>25620</v>
      </c>
      <c r="Y189" s="31">
        <v>0</v>
      </c>
      <c r="Z189" t="str">
        <v/>
      </c>
      <c r="AA189">
        <v>0</v>
      </c>
      <c r="AB189" t="str">
        <v>709-2107</v>
      </c>
      <c r="AC189" t="str">
        <v>岡山県岡山市北区御津矢原339-2</v>
      </c>
      <c r="AD189" t="str">
        <v>ｸﾞﾗﾝﾃﾞｰｻﾞⅡ101</v>
      </c>
      <c r="AE189" s="31" t="str">
        <v>個人</v>
      </c>
      <c r="AF189" s="31">
        <v>44470</v>
      </c>
      <c r="AG189" s="31">
        <v>45229</v>
      </c>
      <c r="AH189" s="31">
        <v>0</v>
      </c>
      <c r="AI189">
        <v>44531</v>
      </c>
      <c r="AJ189" t="str">
        <v>OK</v>
      </c>
      <c r="AK189">
        <v>0</v>
      </c>
      <c r="AL189">
        <v>44470</v>
      </c>
      <c r="AM189">
        <v>0</v>
      </c>
      <c r="AN189">
        <v>0</v>
      </c>
      <c r="AO189">
        <v>0</v>
      </c>
      <c r="AP189">
        <v>0</v>
      </c>
      <c r="AQ189">
        <v>0</v>
      </c>
      <c r="AR189">
        <v>0</v>
      </c>
    </row>
    <row r="190" spans="1:44">
      <c r="A190" t="str">
        <f>H190&amp;COUNTIF($H$2:H190,H190)</f>
        <v>CVJ長軸旋盤係4</v>
      </c>
      <c r="B190" t="str">
        <f>F190&amp;COUNTIF($F$2:F190,F190)</f>
        <v>高雄工業 静岡21</v>
      </c>
      <c r="C190" t="str">
        <v>退社</v>
      </c>
      <c r="D190">
        <v>211008</v>
      </c>
      <c r="E190">
        <v>0</v>
      </c>
      <c r="F190" t="str">
        <v>高雄工業 静岡</v>
      </c>
      <c r="G190" t="str">
        <v>製造部素材課</v>
      </c>
      <c r="H190" t="str">
        <v>CVJ長軸旋盤係</v>
      </c>
      <c r="I190">
        <v>0</v>
      </c>
      <c r="J190" t="str">
        <v>NGUYEN DUC MINH</v>
      </c>
      <c r="K190" t="str">
        <v>グエン　ドゥック　ミン</v>
      </c>
      <c r="L190" t="str">
        <v>男</v>
      </c>
      <c r="M190" t="str">
        <v>ﾍﾞﾄﾅﾑ</v>
      </c>
      <c r="N190" s="31">
        <v>33027</v>
      </c>
      <c r="O190">
        <v>35</v>
      </c>
      <c r="P190">
        <v>1600</v>
      </c>
      <c r="Q190" t="str">
        <v>4/21~ \1500⇒￥1600</v>
      </c>
      <c r="R190">
        <v>2100</v>
      </c>
      <c r="S190">
        <v>0</v>
      </c>
      <c r="T190">
        <v>500</v>
      </c>
      <c r="U190">
        <v>0</v>
      </c>
      <c r="V190" t="str">
        <v/>
      </c>
      <c r="W190" t="str">
        <v>0</v>
      </c>
      <c r="X190" t="str">
        <v/>
      </c>
      <c r="Y190" s="31">
        <v>44896</v>
      </c>
      <c r="Z190" t="str">
        <v/>
      </c>
      <c r="AA190" t="str">
        <v>技術・人文知識・国際業務</v>
      </c>
      <c r="AB190" t="str">
        <v>747-0833</v>
      </c>
      <c r="AC190" t="str">
        <v>山口県防府市大字浜方716-15</v>
      </c>
      <c r="AD190" t="str">
        <v>ｱﾙｿｰﾚC201</v>
      </c>
      <c r="AE190" s="31">
        <v>44470</v>
      </c>
      <c r="AF190" s="31">
        <v>44473</v>
      </c>
      <c r="AG190" s="31">
        <v>44740</v>
      </c>
      <c r="AH190" s="31">
        <v>0</v>
      </c>
      <c r="AI190">
        <v>44531</v>
      </c>
      <c r="AJ190" t="str">
        <v>OK</v>
      </c>
      <c r="AK190">
        <v>0</v>
      </c>
      <c r="AL190">
        <v>44473</v>
      </c>
      <c r="AM190">
        <v>0</v>
      </c>
      <c r="AN190">
        <v>0</v>
      </c>
      <c r="AO190">
        <v>0</v>
      </c>
      <c r="AP190">
        <v>0</v>
      </c>
      <c r="AQ190">
        <v>0</v>
      </c>
      <c r="AR190">
        <v>0</v>
      </c>
    </row>
    <row r="191" spans="1:44">
      <c r="A191" t="str">
        <f>H191&amp;COUNTIF($H$2:H191,H191)</f>
        <v>0100</v>
      </c>
      <c r="B191" t="str">
        <f>F191&amp;COUNTIF($F$2:F191,F191)</f>
        <v>ピーエムアイ11</v>
      </c>
      <c r="C191" t="str">
        <v>退社</v>
      </c>
      <c r="D191">
        <v>211009</v>
      </c>
      <c r="E191">
        <v>0</v>
      </c>
      <c r="F191" t="str">
        <v>ピーエムアイ</v>
      </c>
      <c r="G191">
        <v>0</v>
      </c>
      <c r="H191">
        <v>0</v>
      </c>
      <c r="I191">
        <v>0</v>
      </c>
      <c r="J191" t="str">
        <v>VU THI UYEN</v>
      </c>
      <c r="K191" t="str">
        <v>ヴ　ティー　ウェン</v>
      </c>
      <c r="L191" t="str">
        <v>女</v>
      </c>
      <c r="M191" t="str">
        <v>ﾍﾞﾄﾅﾑ</v>
      </c>
      <c r="N191" s="31">
        <v>35034</v>
      </c>
      <c r="O191">
        <v>30</v>
      </c>
      <c r="P191">
        <v>1300</v>
      </c>
      <c r="Q191">
        <v>0</v>
      </c>
      <c r="R191">
        <v>1800</v>
      </c>
      <c r="S191">
        <v>0</v>
      </c>
      <c r="T191">
        <v>500</v>
      </c>
      <c r="U191">
        <v>0</v>
      </c>
      <c r="V191" t="str">
        <v/>
      </c>
      <c r="W191" t="str">
        <v>0</v>
      </c>
      <c r="X191" t="str">
        <v/>
      </c>
      <c r="Y191" s="31">
        <v>44667</v>
      </c>
      <c r="Z191" t="str">
        <v/>
      </c>
      <c r="AA191" t="str">
        <v>技術・人文知識・国際業務</v>
      </c>
      <c r="AB191" t="str">
        <v>471-0033</v>
      </c>
      <c r="AC191" t="str">
        <v>愛知県豊田市月見町3-2-5</v>
      </c>
      <c r="AD191" t="str">
        <v>ﾚｵﾊﾟﾚｽ上り屋敷ﾂｷﾐ306号</v>
      </c>
      <c r="AE191" s="31" t="str">
        <v>個人</v>
      </c>
      <c r="AF191" s="31">
        <v>44474</v>
      </c>
      <c r="AG191" s="31">
        <v>44581</v>
      </c>
      <c r="AH191" s="31">
        <v>0</v>
      </c>
      <c r="AI191">
        <v>44531</v>
      </c>
      <c r="AJ191">
        <v>0</v>
      </c>
      <c r="AK191">
        <v>0</v>
      </c>
      <c r="AL191">
        <v>44474</v>
      </c>
      <c r="AM191">
        <v>0</v>
      </c>
      <c r="AN191">
        <v>0</v>
      </c>
      <c r="AO191">
        <v>0</v>
      </c>
      <c r="AP191">
        <v>0</v>
      </c>
      <c r="AQ191">
        <v>0</v>
      </c>
      <c r="AR191">
        <v>0</v>
      </c>
    </row>
    <row r="192" spans="1:44">
      <c r="A192" t="str">
        <f>H192&amp;COUNTIF($H$2:H192,H192)</f>
        <v>Fライン6</v>
      </c>
      <c r="B192" t="str">
        <f>F192&amp;COUNTIF($F$2:F192,F192)</f>
        <v>高雄工業 本社18</v>
      </c>
      <c r="C192" t="str">
        <v>在職中</v>
      </c>
      <c r="D192">
        <v>231102</v>
      </c>
      <c r="E192">
        <v>212044</v>
      </c>
      <c r="F192" t="str">
        <v>高雄工業 本社</v>
      </c>
      <c r="G192" t="str">
        <v>高雄工業株式会社 愛知事業所本社工場製作課</v>
      </c>
      <c r="H192" t="str">
        <v>Fライン</v>
      </c>
      <c r="I192" t="str">
        <v>CVJ部品短軸品の施削加工、NCプログラム修正</v>
      </c>
      <c r="J192" t="str">
        <v>DUONG THANH TUNG</v>
      </c>
      <c r="K192" t="str">
        <v>ズオン　タイン　トゥン</v>
      </c>
      <c r="L192" t="str">
        <v>男</v>
      </c>
      <c r="M192" t="str">
        <v>ﾍﾞﾄﾅﾑ</v>
      </c>
      <c r="N192" s="31">
        <v>35497</v>
      </c>
      <c r="O192">
        <v>28</v>
      </c>
      <c r="P192">
        <v>1300</v>
      </c>
      <c r="Q192">
        <v>0</v>
      </c>
      <c r="R192">
        <v>1710</v>
      </c>
      <c r="S192">
        <v>0</v>
      </c>
      <c r="T192">
        <v>410</v>
      </c>
      <c r="U192">
        <v>240000</v>
      </c>
      <c r="V192">
        <v>12036</v>
      </c>
      <c r="W192" t="str">
        <v>0</v>
      </c>
      <c r="X192">
        <v>21960</v>
      </c>
      <c r="Y192" s="31">
        <v>47058</v>
      </c>
      <c r="Z192" t="str">
        <v/>
      </c>
      <c r="AA192" t="str">
        <v>技術・人文知識・国際業務</v>
      </c>
      <c r="AB192" t="str">
        <v>498-0034</v>
      </c>
      <c r="AC192" t="str">
        <v>愛知県弥富市平島東2-18</v>
      </c>
      <c r="AD192" t="str">
        <v>ｸﾞﾗﾝﾂｺｰﾄ402</v>
      </c>
      <c r="AE192" s="31">
        <v>45226</v>
      </c>
      <c r="AF192" s="31">
        <v>45231</v>
      </c>
      <c r="AG192" s="31">
        <v>0</v>
      </c>
      <c r="AH192" s="31">
        <v>0</v>
      </c>
      <c r="AI192" t="str">
        <v>23.11.1</v>
      </c>
      <c r="AJ192" t="str">
        <v>11/20林</v>
      </c>
      <c r="AK192">
        <v>0</v>
      </c>
      <c r="AL192">
        <v>45231</v>
      </c>
      <c r="AM192">
        <v>0</v>
      </c>
      <c r="AN192">
        <v>0</v>
      </c>
      <c r="AO192">
        <v>0</v>
      </c>
      <c r="AP192">
        <v>0</v>
      </c>
      <c r="AQ192">
        <v>0</v>
      </c>
      <c r="AR192">
        <v>0</v>
      </c>
    </row>
    <row r="193" spans="1:44">
      <c r="A193" t="str">
        <f>H193&amp;COUNTIF($H$2:H193,H193)</f>
        <v>HUB5</v>
      </c>
      <c r="B193" t="str">
        <f>F193&amp;COUNTIF($F$2:F193,F193)</f>
        <v>高雄工業 海南第一21</v>
      </c>
      <c r="C193" t="str">
        <v>退社</v>
      </c>
      <c r="D193">
        <v>211011</v>
      </c>
      <c r="E193">
        <v>222031</v>
      </c>
      <c r="F193" t="str">
        <v>高雄工業 海南第一</v>
      </c>
      <c r="G193" t="str">
        <v>高雄工業株式会社 愛知事業所海南第一工場製作1課</v>
      </c>
      <c r="H193" t="str">
        <v>HUB</v>
      </c>
      <c r="I193" t="str">
        <v>ハブ加工 機械オペレーター、NCプログラム修正</v>
      </c>
      <c r="J193" t="str">
        <v>LUU THANH SON</v>
      </c>
      <c r="K193" t="str">
        <v>リュー　タイン　ソン</v>
      </c>
      <c r="L193" t="str">
        <v>男</v>
      </c>
      <c r="M193" t="str">
        <v>ﾍﾞﾄﾅﾑ</v>
      </c>
      <c r="N193" s="31">
        <v>35351</v>
      </c>
      <c r="O193">
        <v>29</v>
      </c>
      <c r="P193">
        <v>1420</v>
      </c>
      <c r="Q193">
        <v>0</v>
      </c>
      <c r="R193">
        <v>1820</v>
      </c>
      <c r="S193" t="str">
        <v>9/16~ 1610円→1760円</v>
      </c>
      <c r="T193">
        <v>400</v>
      </c>
      <c r="U193">
        <v>340000</v>
      </c>
      <c r="V193">
        <v>17051</v>
      </c>
      <c r="W193" t="str">
        <v>0</v>
      </c>
      <c r="X193">
        <v>31110</v>
      </c>
      <c r="Y193" s="31">
        <v>46528</v>
      </c>
      <c r="Z193" t="str">
        <v/>
      </c>
      <c r="AA193" t="str">
        <v>技術・人文知識・国際業務</v>
      </c>
      <c r="AB193" t="str">
        <v>498-0021</v>
      </c>
      <c r="AC193" t="str">
        <v>愛知県弥富市鯏浦町浦六1-1</v>
      </c>
      <c r="AD193" t="str">
        <v>ｸﾞﾘｰﾝﾊｲﾂA棟201</v>
      </c>
      <c r="AE193" s="31">
        <v>44475</v>
      </c>
      <c r="AF193" s="31">
        <v>44477</v>
      </c>
      <c r="AG193" s="31">
        <v>45654</v>
      </c>
      <c r="AH193" s="31">
        <v>0</v>
      </c>
      <c r="AI193">
        <v>44531</v>
      </c>
      <c r="AJ193" t="str">
        <v>OK</v>
      </c>
      <c r="AK193">
        <v>0</v>
      </c>
      <c r="AL193">
        <v>44477</v>
      </c>
      <c r="AM193">
        <v>0</v>
      </c>
      <c r="AN193">
        <v>0</v>
      </c>
      <c r="AO193">
        <v>0</v>
      </c>
      <c r="AP193">
        <v>0</v>
      </c>
      <c r="AQ193">
        <v>0</v>
      </c>
      <c r="AR193">
        <v>0</v>
      </c>
    </row>
    <row r="194" spans="1:44">
      <c r="A194" t="str">
        <f>H194&amp;COUNTIF($H$2:H194,H194)</f>
        <v>本社工場製造1課2工区2班2</v>
      </c>
      <c r="B194" t="str">
        <f>F194&amp;COUNTIF($F$2:F194,F194)</f>
        <v>コーリツ 本社3</v>
      </c>
      <c r="C194" t="str">
        <v>退社</v>
      </c>
      <c r="D194">
        <v>211012</v>
      </c>
      <c r="E194">
        <v>8210016</v>
      </c>
      <c r="F194" t="str">
        <v>コーリツ 本社</v>
      </c>
      <c r="G194" t="str">
        <v>本社工場製造1課2工区2班</v>
      </c>
      <c r="H194" t="str">
        <v>本社工場製造1課2工区2班</v>
      </c>
      <c r="I194">
        <v>0</v>
      </c>
      <c r="J194" t="str">
        <v>LE QUI HAI</v>
      </c>
      <c r="K194" t="str">
        <v>レ　クイ　ハイ</v>
      </c>
      <c r="L194" t="str">
        <v>男</v>
      </c>
      <c r="M194" t="str">
        <v>ﾍﾞﾄﾅﾑ</v>
      </c>
      <c r="N194" s="31">
        <v>34946</v>
      </c>
      <c r="O194">
        <v>30</v>
      </c>
      <c r="P194">
        <v>1400</v>
      </c>
      <c r="Q194">
        <v>0</v>
      </c>
      <c r="R194">
        <v>1990</v>
      </c>
      <c r="S194">
        <v>0</v>
      </c>
      <c r="T194">
        <v>590</v>
      </c>
      <c r="U194">
        <v>300000</v>
      </c>
      <c r="V194">
        <v>15045</v>
      </c>
      <c r="W194" t="str">
        <v>0</v>
      </c>
      <c r="X194">
        <v>27450</v>
      </c>
      <c r="Y194" s="31">
        <v>46633</v>
      </c>
      <c r="Z194" t="str">
        <v/>
      </c>
      <c r="AA194" t="str">
        <v>技術・人文知識・国際業務</v>
      </c>
      <c r="AB194" t="str">
        <v>444-1314</v>
      </c>
      <c r="AC194" t="str">
        <v>愛知県高浜市論地町3-2-27</v>
      </c>
      <c r="AD194" t="str">
        <v>ｺｰﾎﾟｲｰｽﾄC205</v>
      </c>
      <c r="AE194" s="31" t="str">
        <v>個人</v>
      </c>
      <c r="AF194" s="31">
        <v>44480</v>
      </c>
      <c r="AG194" s="31">
        <v>45617</v>
      </c>
      <c r="AH194" s="31">
        <v>0</v>
      </c>
      <c r="AI194">
        <v>44531</v>
      </c>
      <c r="AJ194" t="str">
        <v>OK</v>
      </c>
      <c r="AK194">
        <v>0</v>
      </c>
      <c r="AL194">
        <v>44480</v>
      </c>
      <c r="AM194" t="str">
        <v>普通免許</v>
      </c>
      <c r="AN194">
        <v>45934</v>
      </c>
      <c r="AO194" t="str">
        <v>車</v>
      </c>
      <c r="AP194">
        <v>46168</v>
      </c>
      <c r="AQ194">
        <v>0</v>
      </c>
      <c r="AR194">
        <v>0</v>
      </c>
    </row>
    <row r="195" spans="1:44">
      <c r="A195" t="str">
        <f>H195&amp;COUNTIF($H$2:H195,H195)</f>
        <v>CVJ長軸旋盤係5</v>
      </c>
      <c r="B195" t="str">
        <f>F195&amp;COUNTIF($F$2:F195,F195)</f>
        <v>セイビテック9</v>
      </c>
      <c r="C195" t="str">
        <v>退社</v>
      </c>
      <c r="D195">
        <v>211013</v>
      </c>
      <c r="E195">
        <v>500011</v>
      </c>
      <c r="F195" t="str">
        <v>セイビテック</v>
      </c>
      <c r="G195" t="str">
        <v>製造部DCG課検査CHIP</v>
      </c>
      <c r="H195" t="str">
        <v>CVJ長軸旋盤係</v>
      </c>
      <c r="I195">
        <v>0</v>
      </c>
      <c r="J195" t="str">
        <v>HOANG VAN HUY</v>
      </c>
      <c r="K195" t="str">
        <v>ホアン　ヴァン　フィ</v>
      </c>
      <c r="L195" t="str">
        <v>男</v>
      </c>
      <c r="M195" t="str">
        <v>ﾍﾞﾄﾅﾑ</v>
      </c>
      <c r="N195" s="31">
        <v>32133</v>
      </c>
      <c r="O195">
        <v>37</v>
      </c>
      <c r="P195">
        <v>1400</v>
      </c>
      <c r="Q195">
        <v>0</v>
      </c>
      <c r="R195">
        <v>1900</v>
      </c>
      <c r="S195">
        <v>0</v>
      </c>
      <c r="T195">
        <v>500</v>
      </c>
      <c r="U195">
        <v>0</v>
      </c>
      <c r="V195" t="str">
        <v/>
      </c>
      <c r="W195" t="str">
        <v>0</v>
      </c>
      <c r="X195" t="str">
        <v/>
      </c>
      <c r="Y195" s="31">
        <v>45828</v>
      </c>
      <c r="Z195" t="str">
        <v/>
      </c>
      <c r="AA195" t="str">
        <v>技術・人文知識・国際業務</v>
      </c>
      <c r="AB195" t="str">
        <v>715-0024</v>
      </c>
      <c r="AC195" t="str">
        <v>岡山県井原市高屋町1丁目20-11</v>
      </c>
      <c r="AD195" t="str">
        <v>ｲﾌﾟｼﾛﾝB102</v>
      </c>
      <c r="AE195" s="31">
        <v>44478</v>
      </c>
      <c r="AF195" s="31">
        <v>44480</v>
      </c>
      <c r="AG195" s="31">
        <v>44771</v>
      </c>
      <c r="AH195" s="31">
        <v>0</v>
      </c>
      <c r="AI195">
        <v>44531</v>
      </c>
      <c r="AJ195" t="str">
        <v>OK</v>
      </c>
      <c r="AK195">
        <v>0</v>
      </c>
      <c r="AL195">
        <v>44480</v>
      </c>
      <c r="AM195">
        <v>0</v>
      </c>
      <c r="AN195">
        <v>0</v>
      </c>
      <c r="AO195">
        <v>0</v>
      </c>
      <c r="AP195">
        <v>0</v>
      </c>
      <c r="AQ195">
        <v>0</v>
      </c>
      <c r="AR195">
        <v>0</v>
      </c>
    </row>
    <row r="196" spans="1:44">
      <c r="A196" t="str">
        <f>H196&amp;COUNTIF($H$2:H196,H196)</f>
        <v>0101</v>
      </c>
      <c r="B196" t="str">
        <f>F196&amp;COUNTIF($F$2:F196,F196)</f>
        <v>PATEC3</v>
      </c>
      <c r="C196" t="str">
        <v>退社</v>
      </c>
      <c r="D196">
        <v>211014</v>
      </c>
      <c r="E196">
        <v>0</v>
      </c>
      <c r="F196" t="str">
        <v>PATEC</v>
      </c>
      <c r="G196">
        <v>0</v>
      </c>
      <c r="H196">
        <v>0</v>
      </c>
      <c r="I196">
        <v>0</v>
      </c>
      <c r="J196" t="str">
        <v>NGUYEN VAN CHUNG</v>
      </c>
      <c r="K196" t="str">
        <v>グエン　バン　チュン</v>
      </c>
      <c r="L196" t="str">
        <v>男</v>
      </c>
      <c r="M196" t="str">
        <v>ﾍﾞﾄﾅﾑ</v>
      </c>
      <c r="N196" s="31">
        <v>34461</v>
      </c>
      <c r="O196">
        <v>31</v>
      </c>
      <c r="P196">
        <v>1400</v>
      </c>
      <c r="Q196">
        <v>0</v>
      </c>
      <c r="R196">
        <v>2000</v>
      </c>
      <c r="S196">
        <v>0</v>
      </c>
      <c r="T196">
        <v>600</v>
      </c>
      <c r="U196">
        <v>0</v>
      </c>
      <c r="V196" t="str">
        <v/>
      </c>
      <c r="W196" t="str">
        <v>0</v>
      </c>
      <c r="X196" t="str">
        <v/>
      </c>
      <c r="Y196" s="31">
        <v>45018</v>
      </c>
      <c r="Z196" t="str">
        <v/>
      </c>
      <c r="AA196" t="str">
        <v>技術・人文知識・国際業務</v>
      </c>
      <c r="AB196" t="str">
        <v>747-0833</v>
      </c>
      <c r="AC196" t="str">
        <v>山口県防府市大字浜方716-15</v>
      </c>
      <c r="AD196" t="str">
        <v>ｱﾙｿｰﾚD201</v>
      </c>
      <c r="AE196" s="31">
        <v>44471</v>
      </c>
      <c r="AF196" s="31">
        <v>44480</v>
      </c>
      <c r="AG196" s="31">
        <v>44611</v>
      </c>
      <c r="AH196" s="31">
        <v>0</v>
      </c>
      <c r="AI196">
        <v>44531</v>
      </c>
      <c r="AJ196">
        <v>0</v>
      </c>
      <c r="AK196">
        <v>0</v>
      </c>
      <c r="AL196">
        <v>44480</v>
      </c>
      <c r="AM196">
        <v>0</v>
      </c>
      <c r="AN196">
        <v>0</v>
      </c>
      <c r="AO196">
        <v>0</v>
      </c>
      <c r="AP196">
        <v>0</v>
      </c>
      <c r="AQ196">
        <v>0</v>
      </c>
      <c r="AR196">
        <v>0</v>
      </c>
    </row>
    <row r="197" spans="1:44">
      <c r="A197" t="str">
        <f>H197&amp;COUNTIF($H$2:H197,H197)</f>
        <v>0102</v>
      </c>
      <c r="B197" t="str">
        <f>F197&amp;COUNTIF($F$2:F197,F197)</f>
        <v>PATEC4</v>
      </c>
      <c r="C197" t="str">
        <v>退社</v>
      </c>
      <c r="D197">
        <v>211015</v>
      </c>
      <c r="E197">
        <v>0</v>
      </c>
      <c r="F197" t="str">
        <v>PATEC</v>
      </c>
      <c r="G197" t="str">
        <v>製造部機械加工課</v>
      </c>
      <c r="H197">
        <v>0</v>
      </c>
      <c r="I197">
        <v>0</v>
      </c>
      <c r="J197" t="str">
        <v>HOANG VAN BAC</v>
      </c>
      <c r="K197" t="str">
        <v>ホアン　バン　バック</v>
      </c>
      <c r="L197" t="str">
        <v>男</v>
      </c>
      <c r="M197" t="str">
        <v>ﾍﾞﾄﾅﾑ</v>
      </c>
      <c r="N197" s="31">
        <v>33673</v>
      </c>
      <c r="O197">
        <v>33</v>
      </c>
      <c r="P197">
        <v>1500</v>
      </c>
      <c r="Q197" t="str">
        <v>4/21～　\1500⇒\1600</v>
      </c>
      <c r="R197">
        <v>2000</v>
      </c>
      <c r="S197">
        <v>0</v>
      </c>
      <c r="T197">
        <v>500</v>
      </c>
      <c r="U197">
        <v>360000</v>
      </c>
      <c r="V197">
        <v>18054</v>
      </c>
      <c r="W197" t="str">
        <v>0</v>
      </c>
      <c r="X197">
        <v>32940</v>
      </c>
      <c r="Y197" s="31">
        <v>46499</v>
      </c>
      <c r="Z197" t="str">
        <v/>
      </c>
      <c r="AA197" t="str">
        <v>技術・人文知識・国際業務</v>
      </c>
      <c r="AB197" t="str">
        <v>747-0833</v>
      </c>
      <c r="AC197" t="str">
        <v>山口県防府市大字浜方716-15</v>
      </c>
      <c r="AD197" t="str">
        <v>ｱﾙｿｰﾚD201</v>
      </c>
      <c r="AE197" s="31">
        <v>44479</v>
      </c>
      <c r="AF197" s="31">
        <v>44480</v>
      </c>
      <c r="AG197" s="31">
        <v>45441</v>
      </c>
      <c r="AH197" s="31">
        <v>0</v>
      </c>
      <c r="AI197">
        <v>44531</v>
      </c>
      <c r="AJ197" t="str">
        <v>OK</v>
      </c>
      <c r="AK197">
        <v>0</v>
      </c>
      <c r="AL197">
        <v>44480</v>
      </c>
      <c r="AM197">
        <v>0</v>
      </c>
      <c r="AN197">
        <v>0</v>
      </c>
      <c r="AO197">
        <v>0</v>
      </c>
      <c r="AP197">
        <v>0</v>
      </c>
      <c r="AQ197">
        <v>0</v>
      </c>
      <c r="AR197">
        <v>0</v>
      </c>
    </row>
    <row r="198" spans="1:44">
      <c r="A198" t="str">
        <f>H198&amp;COUNTIF($H$2:H198,H198)</f>
        <v>0103</v>
      </c>
      <c r="B198" t="str">
        <f>F198&amp;COUNTIF($F$2:F198,F198)</f>
        <v>六甲電子1</v>
      </c>
      <c r="C198" t="str">
        <v>退社</v>
      </c>
      <c r="D198">
        <v>211016</v>
      </c>
      <c r="E198">
        <v>60051</v>
      </c>
      <c r="F198" t="str">
        <v>六甲電子</v>
      </c>
      <c r="G198" t="str">
        <v>製造部　製造１課　バッチ</v>
      </c>
      <c r="H198">
        <v>0</v>
      </c>
      <c r="I198">
        <v>0</v>
      </c>
      <c r="J198" t="str">
        <v>HOANG NGOC BINH</v>
      </c>
      <c r="K198" t="str">
        <v>ホアン　ゴック　ビン</v>
      </c>
      <c r="L198" t="str">
        <v>男</v>
      </c>
      <c r="M198" t="str">
        <v>ﾍﾞﾄﾅﾑ</v>
      </c>
      <c r="N198" s="31">
        <v>34043</v>
      </c>
      <c r="O198">
        <v>32</v>
      </c>
      <c r="P198">
        <v>1450</v>
      </c>
      <c r="Q198">
        <v>0</v>
      </c>
      <c r="R198">
        <v>2000</v>
      </c>
      <c r="S198">
        <v>0</v>
      </c>
      <c r="T198">
        <v>550</v>
      </c>
      <c r="U198">
        <v>360000</v>
      </c>
      <c r="V198">
        <v>18054</v>
      </c>
      <c r="W198" t="str">
        <v>0</v>
      </c>
      <c r="X198">
        <v>32940</v>
      </c>
      <c r="Y198" s="31">
        <v>46805</v>
      </c>
      <c r="Z198" t="str">
        <v/>
      </c>
      <c r="AA198" t="str">
        <v>技術・人文知識・国際業務</v>
      </c>
      <c r="AB198" t="str">
        <v>663-8114</v>
      </c>
      <c r="AC198" t="str">
        <v>兵庫県西宮市上甲子園2丁目13-18</v>
      </c>
      <c r="AD198" t="str">
        <v>ﾙ･ｼｴｰﾙ上甲子園203</v>
      </c>
      <c r="AE198" s="31" t="str">
        <v>個人</v>
      </c>
      <c r="AF198" s="31">
        <v>44481</v>
      </c>
      <c r="AG198" s="31">
        <v>45564</v>
      </c>
      <c r="AH198" s="31">
        <v>0</v>
      </c>
      <c r="AI198">
        <v>44531</v>
      </c>
      <c r="AJ198" t="str">
        <v>OK</v>
      </c>
      <c r="AK198">
        <v>0</v>
      </c>
      <c r="AL198">
        <v>44481</v>
      </c>
      <c r="AM198">
        <v>0</v>
      </c>
      <c r="AN198">
        <v>0</v>
      </c>
      <c r="AO198">
        <v>0</v>
      </c>
      <c r="AP198">
        <v>0</v>
      </c>
      <c r="AQ198">
        <v>0</v>
      </c>
      <c r="AR198">
        <v>0</v>
      </c>
    </row>
    <row r="199" spans="1:44">
      <c r="A199" t="str">
        <f>H199&amp;COUNTIF($H$2:H199,H199)</f>
        <v>0104</v>
      </c>
      <c r="B199" t="str">
        <f>F199&amp;COUNTIF($F$2:F199,F199)</f>
        <v>六甲電子2</v>
      </c>
      <c r="C199" t="str">
        <v>退社</v>
      </c>
      <c r="D199">
        <v>211017</v>
      </c>
      <c r="E199">
        <v>60050</v>
      </c>
      <c r="F199" t="str">
        <v>六甲電子</v>
      </c>
      <c r="G199" t="str">
        <v>製造部　製造１課　バッチ</v>
      </c>
      <c r="H199">
        <v>0</v>
      </c>
      <c r="I199">
        <v>0</v>
      </c>
      <c r="J199" t="str">
        <v>TRAN HONG PHONG</v>
      </c>
      <c r="K199" t="str">
        <v>チャン　ホン　フォン</v>
      </c>
      <c r="L199" t="str">
        <v>男</v>
      </c>
      <c r="M199" t="str">
        <v>ﾍﾞﾄﾅﾑ</v>
      </c>
      <c r="N199" s="31">
        <v>32906</v>
      </c>
      <c r="O199">
        <v>35</v>
      </c>
      <c r="P199">
        <v>1400</v>
      </c>
      <c r="Q199">
        <v>0</v>
      </c>
      <c r="R199">
        <v>2000</v>
      </c>
      <c r="S199">
        <v>0</v>
      </c>
      <c r="T199">
        <v>600</v>
      </c>
      <c r="U199">
        <v>0</v>
      </c>
      <c r="V199" t="str">
        <v/>
      </c>
      <c r="W199" t="str">
        <v>0</v>
      </c>
      <c r="X199" t="str">
        <v/>
      </c>
      <c r="Y199" s="31">
        <v>45041</v>
      </c>
      <c r="Z199" t="str">
        <v/>
      </c>
      <c r="AA199" t="str">
        <v>技術・人文知識・国際業務</v>
      </c>
      <c r="AB199" t="str">
        <v>663-8021</v>
      </c>
      <c r="AC199" t="str">
        <v>兵庫県西宮市上之町25-54</v>
      </c>
      <c r="AD199" t="str">
        <v>西宮ｵﾘｴﾝﾀﾙﾏﾝｼｮﾝ102</v>
      </c>
      <c r="AE199" s="31">
        <v>44480</v>
      </c>
      <c r="AF199" s="31">
        <v>44481</v>
      </c>
      <c r="AG199" s="31">
        <v>44923</v>
      </c>
      <c r="AH199" s="31">
        <v>44925</v>
      </c>
      <c r="AI199">
        <v>44531</v>
      </c>
      <c r="AJ199" t="str">
        <v>OK</v>
      </c>
      <c r="AK199">
        <v>0</v>
      </c>
      <c r="AL199">
        <v>44481</v>
      </c>
      <c r="AM199">
        <v>0</v>
      </c>
      <c r="AN199">
        <v>0</v>
      </c>
      <c r="AO199">
        <v>0</v>
      </c>
      <c r="AP199">
        <v>0</v>
      </c>
      <c r="AQ199">
        <v>0</v>
      </c>
      <c r="AR199">
        <v>0</v>
      </c>
    </row>
    <row r="200" spans="1:44">
      <c r="A200" t="str">
        <f>H200&amp;COUNTIF($H$2:H200,H200)</f>
        <v>0105</v>
      </c>
      <c r="B200" t="str">
        <f>F200&amp;COUNTIF($F$2:F200,F200)</f>
        <v>六甲電子3</v>
      </c>
      <c r="C200" t="str">
        <v>退社</v>
      </c>
      <c r="D200">
        <v>211018</v>
      </c>
      <c r="E200">
        <v>60052</v>
      </c>
      <c r="F200" t="str">
        <v>六甲電子</v>
      </c>
      <c r="G200" t="str">
        <v>製造部　製造１課　バッチ</v>
      </c>
      <c r="H200">
        <v>0</v>
      </c>
      <c r="I200">
        <v>0</v>
      </c>
      <c r="J200" t="str">
        <v>NGUYEN QUANG TUYEN</v>
      </c>
      <c r="K200" t="str">
        <v>グエン　クアン　トウエン</v>
      </c>
      <c r="L200" t="str">
        <v>男</v>
      </c>
      <c r="M200" t="str">
        <v>ﾍﾞﾄﾅﾑ</v>
      </c>
      <c r="N200" s="31">
        <v>35330</v>
      </c>
      <c r="O200">
        <v>29</v>
      </c>
      <c r="P200">
        <v>1400</v>
      </c>
      <c r="Q200">
        <v>0</v>
      </c>
      <c r="R200">
        <v>2000</v>
      </c>
      <c r="S200">
        <v>0</v>
      </c>
      <c r="T200">
        <v>600</v>
      </c>
      <c r="U200">
        <v>300000</v>
      </c>
      <c r="V200">
        <v>15045</v>
      </c>
      <c r="W200" t="str">
        <v>0</v>
      </c>
      <c r="X200">
        <v>27450</v>
      </c>
      <c r="Y200" s="31">
        <v>45080</v>
      </c>
      <c r="Z200" t="str">
        <v/>
      </c>
      <c r="AA200" t="str">
        <v>技術・人文知識・国際業務</v>
      </c>
      <c r="AB200" t="str">
        <v>660-0064</v>
      </c>
      <c r="AC200" t="str">
        <v>兵庫県尼崎市稲葉荘1-26-12</v>
      </c>
      <c r="AD200" t="str">
        <v>ﾚｵﾊﾟﾚｽｻﾝﾗｲｽﾞ103</v>
      </c>
      <c r="AE200" s="31">
        <v>44664</v>
      </c>
      <c r="AF200" s="31">
        <v>44481</v>
      </c>
      <c r="AG200" s="31">
        <v>45057</v>
      </c>
      <c r="AH200" s="31">
        <v>0</v>
      </c>
      <c r="AI200">
        <v>44531</v>
      </c>
      <c r="AJ200" t="str">
        <v>OK</v>
      </c>
      <c r="AK200" t="str">
        <v>2022/4/13甲子園四番町ハイツ１Ｆ号～転入</v>
      </c>
      <c r="AL200">
        <v>44481</v>
      </c>
      <c r="AM200">
        <v>0</v>
      </c>
      <c r="AN200">
        <v>0</v>
      </c>
      <c r="AO200">
        <v>0</v>
      </c>
      <c r="AP200">
        <v>0</v>
      </c>
      <c r="AQ200">
        <v>0</v>
      </c>
      <c r="AR200">
        <v>0</v>
      </c>
    </row>
    <row r="201" spans="1:44">
      <c r="A201" t="str">
        <f>H201&amp;COUNTIF($H$2:H201,H201)</f>
        <v>旋盤ライン10</v>
      </c>
      <c r="B201" t="str">
        <f>F201&amp;COUNTIF($F$2:F201,F201)</f>
        <v>川原鉄工所10</v>
      </c>
      <c r="C201" t="str">
        <v>退社</v>
      </c>
      <c r="D201">
        <v>211019</v>
      </c>
      <c r="E201">
        <v>0</v>
      </c>
      <c r="F201" t="str">
        <v>川原鉄工所</v>
      </c>
      <c r="G201" t="str">
        <v>製造部</v>
      </c>
      <c r="H201" t="str">
        <v>旋盤ライン</v>
      </c>
      <c r="I201" t="str">
        <v>ATミッション部品をはじめとする、各種自動車部品の製造</v>
      </c>
      <c r="J201" t="str">
        <v>NGUYEN CAO HUYEN</v>
      </c>
      <c r="K201" t="str">
        <v>グエン　カオ　フエン</v>
      </c>
      <c r="L201" t="str">
        <v>男</v>
      </c>
      <c r="M201" t="str">
        <v>ﾍﾞﾄﾅﾑ</v>
      </c>
      <c r="N201" s="31">
        <v>34981</v>
      </c>
      <c r="O201">
        <v>30</v>
      </c>
      <c r="P201">
        <v>1300</v>
      </c>
      <c r="Q201">
        <v>0</v>
      </c>
      <c r="R201">
        <v>1650</v>
      </c>
      <c r="S201">
        <v>0</v>
      </c>
      <c r="T201">
        <v>350</v>
      </c>
      <c r="U201">
        <v>0</v>
      </c>
      <c r="V201" t="str">
        <v/>
      </c>
      <c r="W201" t="str">
        <v>0</v>
      </c>
      <c r="X201" t="str">
        <v/>
      </c>
      <c r="Y201" s="31">
        <v>44999</v>
      </c>
      <c r="Z201" t="str">
        <v/>
      </c>
      <c r="AA201" t="str">
        <v>技術・人文知識・国際業務</v>
      </c>
      <c r="AB201" t="str">
        <v>453-0064</v>
      </c>
      <c r="AC201" t="str">
        <v>愛知県名古屋市中村区草薙町1-26</v>
      </c>
      <c r="AD201" t="str">
        <v>天野ﾏﾝｼｮﾝ402</v>
      </c>
      <c r="AE201" s="31" t="str">
        <v>個人</v>
      </c>
      <c r="AF201" s="31">
        <v>44482</v>
      </c>
      <c r="AG201" s="31">
        <v>44698</v>
      </c>
      <c r="AH201" s="31">
        <v>0</v>
      </c>
      <c r="AI201">
        <v>44531</v>
      </c>
      <c r="AJ201" t="str">
        <v>OK</v>
      </c>
      <c r="AK201">
        <v>0</v>
      </c>
      <c r="AL201">
        <v>44482</v>
      </c>
      <c r="AM201">
        <v>0</v>
      </c>
      <c r="AN201">
        <v>0</v>
      </c>
      <c r="AO201">
        <v>0</v>
      </c>
      <c r="AP201">
        <v>0</v>
      </c>
      <c r="AQ201">
        <v>0</v>
      </c>
      <c r="AR201">
        <v>0</v>
      </c>
    </row>
    <row r="202" spans="1:44">
      <c r="A202" t="str">
        <f>H202&amp;COUNTIF($H$2:H202,H202)</f>
        <v>H_2次旋2</v>
      </c>
      <c r="B202" t="str">
        <f>F202&amp;COUNTIF($F$2:F202,F202)</f>
        <v>高雄工業 海南第一22</v>
      </c>
      <c r="C202" t="str">
        <v>退社</v>
      </c>
      <c r="D202">
        <v>211020</v>
      </c>
      <c r="E202">
        <v>222032</v>
      </c>
      <c r="F202" t="str">
        <v>高雄工業 海南第一</v>
      </c>
      <c r="G202" t="str">
        <v>高雄工業株式会社 愛知事業所海南第一工場製作1課</v>
      </c>
      <c r="H202" t="str">
        <v>H_2次旋</v>
      </c>
      <c r="I202" t="str">
        <v>ハブ加工品の2次施削、手動機械オペレーターNCプログラム修正</v>
      </c>
      <c r="J202" t="str">
        <v>LE SY THINH</v>
      </c>
      <c r="K202" t="str">
        <v>レー　シー　ティン</v>
      </c>
      <c r="L202" t="str">
        <v>男</v>
      </c>
      <c r="M202" t="str">
        <v>ﾍﾞﾄﾅﾑ</v>
      </c>
      <c r="N202" s="31">
        <v>33832</v>
      </c>
      <c r="O202">
        <v>33</v>
      </c>
      <c r="P202">
        <v>1400</v>
      </c>
      <c r="Q202">
        <v>0</v>
      </c>
      <c r="R202">
        <v>1770</v>
      </c>
      <c r="S202" t="str">
        <v>9/16~ 1600円→1750円</v>
      </c>
      <c r="T202">
        <v>370</v>
      </c>
      <c r="U202">
        <v>240000</v>
      </c>
      <c r="V202">
        <v>12036</v>
      </c>
      <c r="W202" t="str">
        <v>0</v>
      </c>
      <c r="X202">
        <v>21960</v>
      </c>
      <c r="Y202" s="31">
        <v>45459</v>
      </c>
      <c r="Z202" t="str">
        <v/>
      </c>
      <c r="AA202" t="str">
        <v>技術・人文知識・国際業務</v>
      </c>
      <c r="AB202" t="str">
        <v>498-0027</v>
      </c>
      <c r="AC202" t="str">
        <v>愛知県弥富市鯏浦町南前新田83-1</v>
      </c>
      <c r="AD202" t="str">
        <v>ﾋﾞｰﾌﾘｰ8 203号</v>
      </c>
      <c r="AE202" s="31">
        <v>44476</v>
      </c>
      <c r="AF202" s="31">
        <v>44487</v>
      </c>
      <c r="AG202" s="31">
        <v>45366</v>
      </c>
      <c r="AH202" s="31">
        <v>0</v>
      </c>
      <c r="AI202">
        <v>22.01</v>
      </c>
      <c r="AJ202" t="str">
        <v>OK</v>
      </c>
      <c r="AK202">
        <v>0</v>
      </c>
      <c r="AL202">
        <v>44487</v>
      </c>
      <c r="AM202">
        <v>0</v>
      </c>
      <c r="AN202">
        <v>0</v>
      </c>
      <c r="AO202">
        <v>0</v>
      </c>
      <c r="AP202">
        <v>0</v>
      </c>
      <c r="AQ202">
        <v>0</v>
      </c>
      <c r="AR202">
        <v>0</v>
      </c>
    </row>
    <row r="203" spans="1:44">
      <c r="A203" t="str">
        <f>H203&amp;COUNTIF($H$2:H203,H203)</f>
        <v>H_2次旋3</v>
      </c>
      <c r="B203" t="str">
        <f>F203&amp;COUNTIF($F$2:F203,F203)</f>
        <v>高雄工業 海南第一23</v>
      </c>
      <c r="C203" t="str">
        <v>退社</v>
      </c>
      <c r="D203">
        <v>211021</v>
      </c>
      <c r="E203">
        <v>222033</v>
      </c>
      <c r="F203" t="str">
        <v>高雄工業 海南第一</v>
      </c>
      <c r="G203" t="str">
        <v>高雄工業株式会社 愛知事業所海南第一工場製作1課</v>
      </c>
      <c r="H203" t="str">
        <v>H_2次旋</v>
      </c>
      <c r="I203">
        <v>0</v>
      </c>
      <c r="J203" t="str">
        <v>TRAN HUU HUNG</v>
      </c>
      <c r="K203" t="str">
        <v>チャン　フュ　フン</v>
      </c>
      <c r="L203" t="str">
        <v>男</v>
      </c>
      <c r="M203" t="str">
        <v>ﾍﾞﾄﾅﾑ</v>
      </c>
      <c r="N203" s="31">
        <v>34506</v>
      </c>
      <c r="O203">
        <v>31</v>
      </c>
      <c r="P203">
        <v>1400</v>
      </c>
      <c r="Q203">
        <v>0</v>
      </c>
      <c r="R203">
        <v>1780</v>
      </c>
      <c r="S203" t="str">
        <v>9/16~ 1600円→1750円</v>
      </c>
      <c r="T203">
        <v>380</v>
      </c>
      <c r="U203">
        <v>0</v>
      </c>
      <c r="V203" t="str">
        <v/>
      </c>
      <c r="W203" t="str">
        <v>0</v>
      </c>
      <c r="X203" t="str">
        <v/>
      </c>
      <c r="Y203" s="31">
        <v>45474</v>
      </c>
      <c r="Z203" t="str">
        <v/>
      </c>
      <c r="AA203" t="str">
        <v>技術・人文知識・国際業務</v>
      </c>
      <c r="AB203" t="str">
        <v>498-0031</v>
      </c>
      <c r="AC203" t="str">
        <v>愛知県弥富市平島町中新田196-1</v>
      </c>
      <c r="AD203" t="str">
        <v>ｺﾝﾂｪﾙﾊｳｽⅡD棟202</v>
      </c>
      <c r="AE203" s="31">
        <v>44484</v>
      </c>
      <c r="AF203" s="31">
        <v>44487</v>
      </c>
      <c r="AG203" s="31">
        <v>44923</v>
      </c>
      <c r="AH203" s="31">
        <v>0</v>
      </c>
      <c r="AI203">
        <v>22.01</v>
      </c>
      <c r="AJ203" t="str">
        <v>OK</v>
      </c>
      <c r="AK203">
        <v>0</v>
      </c>
      <c r="AL203">
        <v>44487</v>
      </c>
      <c r="AM203">
        <v>0</v>
      </c>
      <c r="AN203">
        <v>0</v>
      </c>
      <c r="AO203">
        <v>0</v>
      </c>
      <c r="AP203">
        <v>0</v>
      </c>
      <c r="AQ203">
        <v>0</v>
      </c>
      <c r="AR203">
        <v>0</v>
      </c>
    </row>
    <row r="204" spans="1:44">
      <c r="A204" t="str">
        <f>H204&amp;COUNTIF($H$2:H204,H204)</f>
        <v>0106</v>
      </c>
      <c r="B204" t="str">
        <f>F204&amp;COUNTIF($F$2:F204,F204)</f>
        <v>六甲電子4</v>
      </c>
      <c r="C204" t="str">
        <v>退社</v>
      </c>
      <c r="D204">
        <v>211022</v>
      </c>
      <c r="E204">
        <v>60055</v>
      </c>
      <c r="F204" t="str">
        <v>六甲電子</v>
      </c>
      <c r="G204" t="str">
        <v>製造部　製造１課　バッチ</v>
      </c>
      <c r="H204">
        <v>0</v>
      </c>
      <c r="I204">
        <v>0</v>
      </c>
      <c r="J204" t="str">
        <v>NONG VAN SON</v>
      </c>
      <c r="K204" t="str">
        <v>ノン　ヴァン　ソン</v>
      </c>
      <c r="L204" t="str">
        <v>男</v>
      </c>
      <c r="M204" t="str">
        <v>ﾍﾞﾄﾅﾑ</v>
      </c>
      <c r="N204" s="31">
        <v>33773</v>
      </c>
      <c r="O204">
        <v>33</v>
      </c>
      <c r="P204">
        <v>1450</v>
      </c>
      <c r="Q204">
        <v>0</v>
      </c>
      <c r="R204">
        <v>2000</v>
      </c>
      <c r="S204">
        <v>0</v>
      </c>
      <c r="T204">
        <v>550</v>
      </c>
      <c r="U204">
        <v>360000</v>
      </c>
      <c r="V204">
        <v>18054</v>
      </c>
      <c r="W204" t="str">
        <v>0</v>
      </c>
      <c r="X204">
        <v>32940</v>
      </c>
      <c r="Y204" s="31">
        <v>46498</v>
      </c>
      <c r="Z204" t="str">
        <v/>
      </c>
      <c r="AA204" t="str">
        <v>技術・人文知識・国際業務</v>
      </c>
      <c r="AB204" t="str">
        <v>663-8105</v>
      </c>
      <c r="AC204" t="str">
        <v>兵庫県西宮市中島町7-5</v>
      </c>
      <c r="AD204" t="str">
        <v>ｼｬﾙﾑ三田303</v>
      </c>
      <c r="AE204" s="31">
        <v>44484</v>
      </c>
      <c r="AF204" s="31">
        <v>44487</v>
      </c>
      <c r="AG204" s="31">
        <v>45881</v>
      </c>
      <c r="AH204" s="31">
        <v>0</v>
      </c>
      <c r="AI204">
        <v>22.01</v>
      </c>
      <c r="AJ204" t="str">
        <v>OK</v>
      </c>
      <c r="AK204">
        <v>0</v>
      </c>
      <c r="AL204">
        <v>44487</v>
      </c>
      <c r="AM204">
        <v>0</v>
      </c>
      <c r="AN204">
        <v>0</v>
      </c>
      <c r="AO204">
        <v>0</v>
      </c>
      <c r="AP204">
        <v>0</v>
      </c>
      <c r="AQ204">
        <v>0</v>
      </c>
      <c r="AR204">
        <v>0</v>
      </c>
    </row>
    <row r="205" spans="1:44">
      <c r="A205" t="str">
        <f>H205&amp;COUNTIF($H$2:H205,H205)</f>
        <v>0107</v>
      </c>
      <c r="B205" t="str">
        <f>F205&amp;COUNTIF($F$2:F205,F205)</f>
        <v>六甲電子5</v>
      </c>
      <c r="C205" t="str">
        <v>退社</v>
      </c>
      <c r="D205">
        <v>211023</v>
      </c>
      <c r="E205">
        <v>60054</v>
      </c>
      <c r="F205" t="str">
        <v>六甲電子</v>
      </c>
      <c r="G205" t="str">
        <v>製造部　製造１課　バッチ</v>
      </c>
      <c r="H205">
        <v>0</v>
      </c>
      <c r="I205">
        <v>0</v>
      </c>
      <c r="J205" t="str">
        <v>PHAM THANH BINH</v>
      </c>
      <c r="K205" t="str">
        <v>ファム　タイン　ビン</v>
      </c>
      <c r="L205" t="str">
        <v>男</v>
      </c>
      <c r="M205" t="str">
        <v>ﾍﾞﾄﾅﾑ</v>
      </c>
      <c r="N205" s="31">
        <v>34262</v>
      </c>
      <c r="O205">
        <v>32</v>
      </c>
      <c r="P205">
        <v>1400</v>
      </c>
      <c r="Q205">
        <v>0</v>
      </c>
      <c r="R205">
        <v>2000</v>
      </c>
      <c r="S205">
        <v>0</v>
      </c>
      <c r="T205">
        <v>600</v>
      </c>
      <c r="U205">
        <v>300000</v>
      </c>
      <c r="V205">
        <v>15045</v>
      </c>
      <c r="W205" t="str">
        <v>0</v>
      </c>
      <c r="X205">
        <v>27450</v>
      </c>
      <c r="Y205" s="31">
        <v>46077</v>
      </c>
      <c r="Z205" t="str">
        <v/>
      </c>
      <c r="AA205" t="str">
        <v>技術・人文知識・国際業務</v>
      </c>
      <c r="AB205" t="str">
        <v>663-8105</v>
      </c>
      <c r="AC205" t="str">
        <v>兵庫県西宮市中島町7-5</v>
      </c>
      <c r="AD205" t="str">
        <v>ｼｬﾙﾑ三田303</v>
      </c>
      <c r="AE205" s="31">
        <v>44484</v>
      </c>
      <c r="AF205" s="31">
        <v>44487</v>
      </c>
      <c r="AG205" s="31">
        <v>45106</v>
      </c>
      <c r="AH205" s="31">
        <v>0</v>
      </c>
      <c r="AI205">
        <v>22.01</v>
      </c>
      <c r="AJ205" t="str">
        <v>OK</v>
      </c>
      <c r="AK205">
        <v>0</v>
      </c>
      <c r="AL205">
        <v>44487</v>
      </c>
      <c r="AM205">
        <v>0</v>
      </c>
      <c r="AN205">
        <v>0</v>
      </c>
      <c r="AO205">
        <v>0</v>
      </c>
      <c r="AP205">
        <v>0</v>
      </c>
      <c r="AQ205">
        <v>0</v>
      </c>
      <c r="AR205">
        <v>0</v>
      </c>
    </row>
    <row r="206" spans="1:44">
      <c r="A206" t="str">
        <f>H206&amp;COUNTIF($H$2:H206,H206)</f>
        <v>0108</v>
      </c>
      <c r="B206" t="str">
        <f>F206&amp;COUNTIF($F$2:F206,F206)</f>
        <v>六甲電子6</v>
      </c>
      <c r="C206" t="str">
        <v>退社</v>
      </c>
      <c r="D206">
        <v>211024</v>
      </c>
      <c r="E206">
        <v>60053</v>
      </c>
      <c r="F206" t="str">
        <v>六甲電子</v>
      </c>
      <c r="G206" t="str">
        <v>製造部　製造１課　バッチ</v>
      </c>
      <c r="H206">
        <v>0</v>
      </c>
      <c r="I206">
        <v>0</v>
      </c>
      <c r="J206" t="str">
        <v>NONG THANH TUNG</v>
      </c>
      <c r="K206" t="str">
        <v>ノン　タイン　トゥン</v>
      </c>
      <c r="L206" t="str">
        <v>男</v>
      </c>
      <c r="M206" t="str">
        <v>ﾍﾞﾄﾅﾑ</v>
      </c>
      <c r="N206" s="31">
        <v>33705</v>
      </c>
      <c r="O206">
        <v>33</v>
      </c>
      <c r="P206">
        <v>1400</v>
      </c>
      <c r="Q206">
        <v>0</v>
      </c>
      <c r="R206">
        <v>2000</v>
      </c>
      <c r="S206">
        <v>0</v>
      </c>
      <c r="T206">
        <v>600</v>
      </c>
      <c r="U206">
        <v>300000</v>
      </c>
      <c r="V206">
        <v>15045</v>
      </c>
      <c r="W206" t="str">
        <v>0</v>
      </c>
      <c r="X206">
        <v>27450</v>
      </c>
      <c r="Y206" s="31">
        <v>45403</v>
      </c>
      <c r="Z206" t="str">
        <v/>
      </c>
      <c r="AA206" t="str">
        <v>技術・人文知識・国際業務</v>
      </c>
      <c r="AB206" t="str">
        <v>663-8105</v>
      </c>
      <c r="AC206" t="str">
        <v>兵庫県西宮市中島町7-5</v>
      </c>
      <c r="AD206" t="str">
        <v>ｼｬﾙﾑ三田303</v>
      </c>
      <c r="AE206" s="31">
        <v>44484</v>
      </c>
      <c r="AF206" s="31">
        <v>44487</v>
      </c>
      <c r="AG206" s="31">
        <v>45163</v>
      </c>
      <c r="AH206" s="31">
        <v>0</v>
      </c>
      <c r="AI206">
        <v>22.01</v>
      </c>
      <c r="AJ206" t="str">
        <v>OK</v>
      </c>
      <c r="AK206">
        <v>0</v>
      </c>
      <c r="AL206">
        <v>44487</v>
      </c>
      <c r="AM206">
        <v>0</v>
      </c>
      <c r="AN206">
        <v>0</v>
      </c>
      <c r="AO206">
        <v>0</v>
      </c>
      <c r="AP206">
        <v>0</v>
      </c>
      <c r="AQ206">
        <v>0</v>
      </c>
      <c r="AR206">
        <v>0</v>
      </c>
    </row>
    <row r="207" spans="1:44">
      <c r="A207" t="str">
        <f>H207&amp;COUNTIF($H$2:H207,H207)</f>
        <v>CVJ研磨係1</v>
      </c>
      <c r="B207" t="str">
        <f>F207&amp;COUNTIF($F$2:F207,F207)</f>
        <v>高雄工業 岡山28</v>
      </c>
      <c r="C207" t="str">
        <v>退社</v>
      </c>
      <c r="D207">
        <v>211025</v>
      </c>
      <c r="E207">
        <v>0</v>
      </c>
      <c r="F207" t="str">
        <v>高雄工業 岡山</v>
      </c>
      <c r="G207">
        <v>0</v>
      </c>
      <c r="H207" t="str">
        <v>CVJ研磨係</v>
      </c>
      <c r="I207">
        <v>0</v>
      </c>
      <c r="J207" t="str">
        <v>NGUYEN THE CANH</v>
      </c>
      <c r="K207" t="str">
        <v>グエン　テ　カイン</v>
      </c>
      <c r="L207" t="str">
        <v>男</v>
      </c>
      <c r="M207" t="str">
        <v>ﾍﾞﾄﾅﾑ</v>
      </c>
      <c r="N207" s="31">
        <v>33048</v>
      </c>
      <c r="O207">
        <v>35</v>
      </c>
      <c r="P207">
        <v>1350</v>
      </c>
      <c r="Q207">
        <v>0</v>
      </c>
      <c r="R207">
        <v>1750</v>
      </c>
      <c r="S207" t="str">
        <v>9/16~ 1600円→1750円</v>
      </c>
      <c r="T207">
        <v>400</v>
      </c>
      <c r="U207">
        <v>0</v>
      </c>
      <c r="V207" t="str">
        <v/>
      </c>
      <c r="W207" t="str">
        <v>0</v>
      </c>
      <c r="X207" t="str">
        <v/>
      </c>
      <c r="Y207" s="31">
        <v>44806</v>
      </c>
      <c r="Z207" t="str">
        <v/>
      </c>
      <c r="AA207" t="str">
        <v>技術・人文知識・国際業務</v>
      </c>
      <c r="AB207" t="str">
        <v>709-2133</v>
      </c>
      <c r="AC207" t="str">
        <v>岡山県岡山市北区御津下田77-3</v>
      </c>
      <c r="AD207" t="str">
        <v>ﾋﾞﾚｯｼﾞﾊｳｽ宇甘川2号棟A302</v>
      </c>
      <c r="AE207" s="31" t="str">
        <v>個人</v>
      </c>
      <c r="AF207" s="31">
        <v>44489</v>
      </c>
      <c r="AG207" s="31">
        <v>44638</v>
      </c>
      <c r="AH207" s="31">
        <v>0</v>
      </c>
      <c r="AI207">
        <v>22.01</v>
      </c>
      <c r="AJ207" t="str">
        <v>OK</v>
      </c>
      <c r="AK207">
        <v>0</v>
      </c>
      <c r="AL207">
        <v>44489</v>
      </c>
      <c r="AM207">
        <v>0</v>
      </c>
      <c r="AN207">
        <v>0</v>
      </c>
      <c r="AO207">
        <v>0</v>
      </c>
      <c r="AP207">
        <v>0</v>
      </c>
      <c r="AQ207">
        <v>0</v>
      </c>
      <c r="AR207">
        <v>0</v>
      </c>
    </row>
    <row r="208" spans="1:44">
      <c r="A208" t="str">
        <f>H208&amp;COUNTIF($H$2:H208,H208)</f>
        <v>0109</v>
      </c>
      <c r="B208" t="str">
        <f>F208&amp;COUNTIF($F$2:F208,F208)</f>
        <v>PATEC5</v>
      </c>
      <c r="C208" t="str">
        <v>退社</v>
      </c>
      <c r="D208">
        <v>211031</v>
      </c>
      <c r="E208">
        <v>0</v>
      </c>
      <c r="F208" t="str">
        <v>PATEC</v>
      </c>
      <c r="G208" t="str">
        <v>製造部機械加工課</v>
      </c>
      <c r="H208">
        <v>0</v>
      </c>
      <c r="I208">
        <v>0</v>
      </c>
      <c r="J208" t="str">
        <v>NGUYEN SY DUC</v>
      </c>
      <c r="K208" t="str">
        <v>グエン　シー　ドウク</v>
      </c>
      <c r="L208" t="str">
        <v>男</v>
      </c>
      <c r="M208" t="str">
        <v>ﾍﾞﾄﾅﾑ</v>
      </c>
      <c r="N208" s="31">
        <v>31475</v>
      </c>
      <c r="O208">
        <v>39</v>
      </c>
      <c r="P208">
        <v>1500</v>
      </c>
      <c r="Q208" t="str">
        <v>5/21～\1400⇒1500</v>
      </c>
      <c r="R208">
        <v>2000</v>
      </c>
      <c r="S208">
        <v>0</v>
      </c>
      <c r="T208">
        <v>500</v>
      </c>
      <c r="U208">
        <v>360000</v>
      </c>
      <c r="V208">
        <v>18054</v>
      </c>
      <c r="W208" t="str">
        <v>0</v>
      </c>
      <c r="X208">
        <v>32940</v>
      </c>
      <c r="Y208" s="31">
        <v>46109</v>
      </c>
      <c r="Z208" t="str">
        <v/>
      </c>
      <c r="AA208" t="str">
        <v>技術・人文知識・国際業務</v>
      </c>
      <c r="AB208" t="str">
        <v>747-0833</v>
      </c>
      <c r="AC208" t="str">
        <v>山口県防府市大字浜方716-15</v>
      </c>
      <c r="AD208" t="str">
        <v>ｱﾙｿｰﾚD103</v>
      </c>
      <c r="AE208" s="31">
        <v>44491</v>
      </c>
      <c r="AF208" s="31">
        <v>44492</v>
      </c>
      <c r="AG208" s="31">
        <v>45321</v>
      </c>
      <c r="AH208" s="31">
        <v>0</v>
      </c>
      <c r="AI208">
        <v>22.01</v>
      </c>
      <c r="AJ208" t="str">
        <v>OK</v>
      </c>
      <c r="AK208">
        <v>0</v>
      </c>
      <c r="AL208">
        <v>44492</v>
      </c>
      <c r="AM208">
        <v>0</v>
      </c>
      <c r="AN208">
        <v>0</v>
      </c>
      <c r="AO208">
        <v>0</v>
      </c>
      <c r="AP208">
        <v>0</v>
      </c>
      <c r="AQ208">
        <v>0</v>
      </c>
      <c r="AR208">
        <v>0</v>
      </c>
    </row>
    <row r="209" spans="1:44">
      <c r="A209" t="str">
        <f>H209&amp;COUNTIF($H$2:H209,H209)</f>
        <v>0110</v>
      </c>
      <c r="B209" t="str">
        <f>F209&amp;COUNTIF($F$2:F209,F209)</f>
        <v>セイビテック10</v>
      </c>
      <c r="C209" t="str">
        <v>退社</v>
      </c>
      <c r="D209">
        <v>211026</v>
      </c>
      <c r="E209">
        <v>500012</v>
      </c>
      <c r="F209" t="str">
        <v>セイビテック</v>
      </c>
      <c r="G209" t="str">
        <v>製造部DCG課検査CHIP</v>
      </c>
      <c r="H209">
        <v>0</v>
      </c>
      <c r="I209">
        <v>0</v>
      </c>
      <c r="J209" t="str">
        <v>TA MANH TRONG</v>
      </c>
      <c r="K209" t="str">
        <v>ター　マイン　チョン</v>
      </c>
      <c r="L209" t="str">
        <v>男</v>
      </c>
      <c r="M209" t="str">
        <v>ﾍﾞﾄﾅﾑ</v>
      </c>
      <c r="N209" s="31">
        <v>31720</v>
      </c>
      <c r="O209">
        <v>39</v>
      </c>
      <c r="P209">
        <v>1400</v>
      </c>
      <c r="Q209">
        <v>0</v>
      </c>
      <c r="R209">
        <v>2000</v>
      </c>
      <c r="S209">
        <v>0</v>
      </c>
      <c r="T209">
        <v>600</v>
      </c>
      <c r="U209">
        <v>0</v>
      </c>
      <c r="V209" t="str">
        <v/>
      </c>
      <c r="W209" t="str">
        <v>0</v>
      </c>
      <c r="X209" t="str">
        <v/>
      </c>
      <c r="Y209" s="31">
        <v>44959</v>
      </c>
      <c r="Z209" t="str">
        <v/>
      </c>
      <c r="AA209" t="str">
        <v>技術・人文知識・国際業務</v>
      </c>
      <c r="AB209" t="str">
        <v>715-0024</v>
      </c>
      <c r="AC209" t="str">
        <v>岡山県井原市高屋町5丁目11-6</v>
      </c>
      <c r="AD209" t="str">
        <v>ﾀｶﾞﾐﾊｲﾑ102</v>
      </c>
      <c r="AE209" s="31">
        <v>44737</v>
      </c>
      <c r="AF209" s="31">
        <v>44494</v>
      </c>
      <c r="AG209" s="31">
        <v>44803</v>
      </c>
      <c r="AH209" s="31">
        <v>0</v>
      </c>
      <c r="AI209">
        <v>22.01</v>
      </c>
      <c r="AJ209" t="str">
        <v>OK</v>
      </c>
      <c r="AK209">
        <v>0</v>
      </c>
      <c r="AL209">
        <v>44494</v>
      </c>
      <c r="AM209">
        <v>0</v>
      </c>
      <c r="AN209">
        <v>0</v>
      </c>
      <c r="AO209">
        <v>0</v>
      </c>
      <c r="AP209">
        <v>0</v>
      </c>
      <c r="AQ209">
        <v>0</v>
      </c>
      <c r="AR209">
        <v>0</v>
      </c>
    </row>
    <row r="210" spans="1:44">
      <c r="A210" t="str">
        <f>H210&amp;COUNTIF($H$2:H210,H210)</f>
        <v>0111</v>
      </c>
      <c r="B210" t="str">
        <f>F210&amp;COUNTIF($F$2:F210,F210)</f>
        <v>プレテック5</v>
      </c>
      <c r="C210" t="str">
        <v>退社</v>
      </c>
      <c r="D210">
        <v>211027</v>
      </c>
      <c r="E210">
        <v>84030</v>
      </c>
      <c r="F210" t="str">
        <v>プレテック</v>
      </c>
      <c r="G210" t="str">
        <v>岡山工場製造部PE課６インチ担当</v>
      </c>
      <c r="H210">
        <v>0</v>
      </c>
      <c r="I210">
        <v>0</v>
      </c>
      <c r="J210" t="str">
        <v>NGUYEN HONG SON</v>
      </c>
      <c r="K210" t="str">
        <v>グエン　ホン　ソン</v>
      </c>
      <c r="L210" t="str">
        <v>男</v>
      </c>
      <c r="M210" t="str">
        <v>ﾍﾞﾄﾅﾑ</v>
      </c>
      <c r="N210" s="31">
        <v>35548</v>
      </c>
      <c r="O210">
        <v>28</v>
      </c>
      <c r="P210">
        <v>1400</v>
      </c>
      <c r="Q210" t="str">
        <v>22/1/21~1500</v>
      </c>
      <c r="R210">
        <v>1850</v>
      </c>
      <c r="S210">
        <v>0</v>
      </c>
      <c r="T210">
        <v>450</v>
      </c>
      <c r="U210">
        <v>280000</v>
      </c>
      <c r="V210">
        <v>14042</v>
      </c>
      <c r="W210" t="str">
        <v>0</v>
      </c>
      <c r="X210">
        <v>25620</v>
      </c>
      <c r="Y210" s="31">
        <v>46089</v>
      </c>
      <c r="Z210" t="str">
        <v/>
      </c>
      <c r="AA210" t="str">
        <v>技術・人文知識・国際業務</v>
      </c>
      <c r="AB210" t="str">
        <v>715-0014</v>
      </c>
      <c r="AC210" t="str">
        <v>岡山県井原市七日市町696-2</v>
      </c>
      <c r="AD210" t="str">
        <v>Florence1997 203</v>
      </c>
      <c r="AE210" s="31">
        <v>0</v>
      </c>
      <c r="AF210" s="31">
        <v>44494</v>
      </c>
      <c r="AG210" s="31">
        <v>45215</v>
      </c>
      <c r="AH210" s="31">
        <v>0</v>
      </c>
      <c r="AI210">
        <v>22.01</v>
      </c>
      <c r="AJ210" t="str">
        <v>OK</v>
      </c>
      <c r="AK210" t="str">
        <v>2023/2/6～ﾌｪﾆﾃｯｸ岡山からプレテックへ異動</v>
      </c>
      <c r="AL210">
        <v>44494</v>
      </c>
      <c r="AM210">
        <v>0</v>
      </c>
      <c r="AN210">
        <v>0</v>
      </c>
      <c r="AO210">
        <v>0</v>
      </c>
      <c r="AP210">
        <v>0</v>
      </c>
      <c r="AQ210">
        <v>0</v>
      </c>
      <c r="AR210">
        <v>0</v>
      </c>
    </row>
    <row r="211" spans="1:44">
      <c r="A211" t="str">
        <f>H211&amp;COUNTIF($H$2:H211,H211)</f>
        <v>HUB_第14</v>
      </c>
      <c r="B211" t="str">
        <f>F211&amp;COUNTIF($F$2:F211,F211)</f>
        <v>高雄工業 海南第一24</v>
      </c>
      <c r="C211" t="str">
        <v>退社</v>
      </c>
      <c r="D211">
        <v>211028</v>
      </c>
      <c r="E211">
        <v>222034</v>
      </c>
      <c r="F211" t="str">
        <v>高雄工業 海南第一</v>
      </c>
      <c r="G211" t="str">
        <v>高雄工業株式会社 愛知事業所海南第一工場製作1課</v>
      </c>
      <c r="H211" t="str">
        <v>HUB_第1</v>
      </c>
      <c r="I211" t="str">
        <v>ハブ加工　自動ラインの機械オペレーター、NCプログラム修正</v>
      </c>
      <c r="J211" t="str">
        <v>PHUNG QUANG TU</v>
      </c>
      <c r="K211" t="str">
        <v>フン　クアン　トゥ</v>
      </c>
      <c r="L211" t="str">
        <v>男</v>
      </c>
      <c r="M211" t="str">
        <v>ﾍﾞﾄﾅﾑ</v>
      </c>
      <c r="N211" s="31">
        <v>35038</v>
      </c>
      <c r="O211">
        <v>29</v>
      </c>
      <c r="P211">
        <v>1400</v>
      </c>
      <c r="Q211">
        <v>0</v>
      </c>
      <c r="R211">
        <v>1810</v>
      </c>
      <c r="S211" t="str">
        <v>9/16~ 1600円→1750円</v>
      </c>
      <c r="T211">
        <v>410</v>
      </c>
      <c r="U211">
        <v>260000</v>
      </c>
      <c r="V211">
        <v>13039</v>
      </c>
      <c r="W211" t="str">
        <v>0</v>
      </c>
      <c r="X211">
        <v>23790</v>
      </c>
      <c r="Y211" s="31">
        <v>45429</v>
      </c>
      <c r="Z211" t="str">
        <v/>
      </c>
      <c r="AA211" t="str">
        <v>技術・人文知識・国際業務</v>
      </c>
      <c r="AB211" t="str">
        <v>498-0027</v>
      </c>
      <c r="AC211" t="str">
        <v>愛知県弥富市鯏浦町南前新田83-1</v>
      </c>
      <c r="AD211" t="str">
        <v>ﾋﾞｰﾌﾘｰ8 203号</v>
      </c>
      <c r="AE211" s="31">
        <v>44492</v>
      </c>
      <c r="AF211" s="31">
        <v>44496</v>
      </c>
      <c r="AG211" s="31">
        <v>45401</v>
      </c>
      <c r="AH211" s="31">
        <v>0</v>
      </c>
      <c r="AI211">
        <v>22.01</v>
      </c>
      <c r="AJ211" t="str">
        <v>OK</v>
      </c>
      <c r="AK211">
        <v>0</v>
      </c>
      <c r="AL211">
        <v>44496</v>
      </c>
      <c r="AM211">
        <v>0</v>
      </c>
      <c r="AN211">
        <v>0</v>
      </c>
      <c r="AO211">
        <v>0</v>
      </c>
      <c r="AP211">
        <v>0</v>
      </c>
      <c r="AQ211">
        <v>0</v>
      </c>
      <c r="AR211">
        <v>0</v>
      </c>
    </row>
    <row r="212" spans="1:44">
      <c r="A212" t="str">
        <f>H212&amp;COUNTIF($H$2:H212,H212)</f>
        <v>0112</v>
      </c>
      <c r="B212" t="str">
        <f>F212&amp;COUNTIF($F$2:F212,F212)</f>
        <v>高雄工業 海南第一25</v>
      </c>
      <c r="C212" t="str">
        <v>退社</v>
      </c>
      <c r="D212">
        <v>211029</v>
      </c>
      <c r="E212">
        <v>222035</v>
      </c>
      <c r="F212" t="str">
        <v>高雄工業 海南第一</v>
      </c>
      <c r="G212" t="str">
        <v>高雄工業株式会社 愛知事業所海南第一工場製作1課</v>
      </c>
      <c r="H212">
        <v>0</v>
      </c>
      <c r="I212">
        <v>0</v>
      </c>
      <c r="J212" t="str">
        <v>VUONG PHUC HA</v>
      </c>
      <c r="K212" t="str">
        <v>ヴォン　フック　ハ</v>
      </c>
      <c r="L212" t="str">
        <v>男</v>
      </c>
      <c r="M212" t="str">
        <v>ﾍﾞﾄﾅﾑ</v>
      </c>
      <c r="N212" s="31">
        <v>35306</v>
      </c>
      <c r="O212">
        <v>29</v>
      </c>
      <c r="P212">
        <v>1400</v>
      </c>
      <c r="Q212">
        <v>0</v>
      </c>
      <c r="R212">
        <v>1770</v>
      </c>
      <c r="S212" t="str">
        <v>9/16~ 1600円→1750円</v>
      </c>
      <c r="T212">
        <v>370</v>
      </c>
      <c r="U212">
        <v>0</v>
      </c>
      <c r="V212" t="str">
        <v/>
      </c>
      <c r="W212" t="str">
        <v>0</v>
      </c>
      <c r="X212" t="str">
        <v/>
      </c>
      <c r="Y212" s="31">
        <v>45311</v>
      </c>
      <c r="Z212" t="str">
        <v/>
      </c>
      <c r="AA212" t="str">
        <v>技術・人文知識・国際業務</v>
      </c>
      <c r="AB212" t="str">
        <v>498-0032</v>
      </c>
      <c r="AC212" t="str">
        <v>愛知県弥富市平島中4丁目128</v>
      </c>
      <c r="AD212" t="str">
        <v>村上貸家</v>
      </c>
      <c r="AE212" s="31">
        <v>44489</v>
      </c>
      <c r="AF212" s="31">
        <v>44496</v>
      </c>
      <c r="AG212" s="31">
        <v>44844</v>
      </c>
      <c r="AH212" s="31">
        <v>0</v>
      </c>
      <c r="AI212">
        <v>22.01</v>
      </c>
      <c r="AJ212" t="str">
        <v>OK</v>
      </c>
      <c r="AK212">
        <v>0</v>
      </c>
      <c r="AL212">
        <v>44496</v>
      </c>
      <c r="AM212">
        <v>0</v>
      </c>
      <c r="AN212">
        <v>0</v>
      </c>
      <c r="AO212">
        <v>0</v>
      </c>
      <c r="AP212">
        <v>0</v>
      </c>
      <c r="AQ212">
        <v>0</v>
      </c>
      <c r="AR212">
        <v>0</v>
      </c>
    </row>
    <row r="213" spans="1:44">
      <c r="A213" t="str">
        <f>H213&amp;COUNTIF($H$2:H213,H213)</f>
        <v>一次旋係8</v>
      </c>
      <c r="B213" t="str">
        <f>F213&amp;COUNTIF($F$2:F213,F213)</f>
        <v>PATEC6</v>
      </c>
      <c r="C213" t="str">
        <v>退社</v>
      </c>
      <c r="D213">
        <v>211030</v>
      </c>
      <c r="E213">
        <v>0</v>
      </c>
      <c r="F213" t="str">
        <v>PATEC</v>
      </c>
      <c r="G213" t="str">
        <v>製造部素材課</v>
      </c>
      <c r="H213" t="str">
        <v>一次旋係</v>
      </c>
      <c r="I213">
        <v>0</v>
      </c>
      <c r="J213" t="str">
        <v>DANG XUAN LUAN</v>
      </c>
      <c r="K213" t="str">
        <v>ダン　スアン　ルアン</v>
      </c>
      <c r="L213" t="str">
        <v>男</v>
      </c>
      <c r="M213" t="str">
        <v>ﾍﾞﾄﾅﾑ</v>
      </c>
      <c r="N213" s="31">
        <v>31640</v>
      </c>
      <c r="O213">
        <v>39</v>
      </c>
      <c r="P213">
        <v>1600</v>
      </c>
      <c r="Q213" t="str">
        <v>5/21～\1500⇒1600</v>
      </c>
      <c r="R213">
        <v>2100</v>
      </c>
      <c r="S213">
        <v>0</v>
      </c>
      <c r="T213">
        <v>500</v>
      </c>
      <c r="U213">
        <v>0</v>
      </c>
      <c r="V213" t="str">
        <v/>
      </c>
      <c r="W213" t="str">
        <v>0</v>
      </c>
      <c r="X213" t="str">
        <v/>
      </c>
      <c r="Y213" s="31">
        <v>45034</v>
      </c>
      <c r="Z213" t="str">
        <v/>
      </c>
      <c r="AA213" t="str">
        <v>技術・人文知識・国際業務</v>
      </c>
      <c r="AB213" t="str">
        <v>747-0833</v>
      </c>
      <c r="AC213" t="str">
        <v>山口県防府市大字浜方716-15</v>
      </c>
      <c r="AD213" t="str">
        <v>ｱﾙｿｰﾚD103</v>
      </c>
      <c r="AE213" s="31">
        <v>44491</v>
      </c>
      <c r="AF213" s="31">
        <v>44496</v>
      </c>
      <c r="AG213" s="31">
        <v>44818</v>
      </c>
      <c r="AH213" s="31">
        <v>0</v>
      </c>
      <c r="AI213">
        <v>22.01</v>
      </c>
      <c r="AJ213" t="str">
        <v>OK</v>
      </c>
      <c r="AK213">
        <v>0</v>
      </c>
      <c r="AL213">
        <v>44496</v>
      </c>
      <c r="AM213">
        <v>0</v>
      </c>
      <c r="AN213">
        <v>0</v>
      </c>
      <c r="AO213">
        <v>0</v>
      </c>
      <c r="AP213">
        <v>0</v>
      </c>
      <c r="AQ213">
        <v>0</v>
      </c>
      <c r="AR213">
        <v>0</v>
      </c>
    </row>
    <row r="214" spans="1:44">
      <c r="A214" t="str">
        <f>H214&amp;COUNTIF($H$2:H214,H214)</f>
        <v>一次旋係9</v>
      </c>
      <c r="B214" t="str">
        <f>F214&amp;COUNTIF($F$2:F214,F214)</f>
        <v>セイビテック11</v>
      </c>
      <c r="C214" t="str">
        <v>退社</v>
      </c>
      <c r="D214">
        <v>211101</v>
      </c>
      <c r="E214">
        <v>500013</v>
      </c>
      <c r="F214" t="str">
        <v>セイビテック</v>
      </c>
      <c r="G214" t="str">
        <v>製造部DCG課検査CHIP</v>
      </c>
      <c r="H214" t="str">
        <v>一次旋係</v>
      </c>
      <c r="I214">
        <v>0</v>
      </c>
      <c r="J214" t="str">
        <v>DO THI DUYEN</v>
      </c>
      <c r="K214" t="str">
        <v>ド　ティ　デュエン</v>
      </c>
      <c r="L214" t="str">
        <v>女</v>
      </c>
      <c r="M214" t="str">
        <v>ﾍﾞﾄﾅﾑ</v>
      </c>
      <c r="N214" s="31">
        <v>34551</v>
      </c>
      <c r="O214">
        <v>31</v>
      </c>
      <c r="P214">
        <v>1300</v>
      </c>
      <c r="Q214" t="str">
        <v>2022/2/1（2/21）～1250円⇒1300UP</v>
      </c>
      <c r="R214">
        <v>1900</v>
      </c>
      <c r="S214" t="str">
        <v>12/1～1900円</v>
      </c>
      <c r="T214">
        <v>600</v>
      </c>
      <c r="U214">
        <v>0</v>
      </c>
      <c r="V214" t="str">
        <v/>
      </c>
      <c r="W214" t="str">
        <v>0</v>
      </c>
      <c r="X214" t="str">
        <v/>
      </c>
      <c r="Y214" s="31">
        <v>45867</v>
      </c>
      <c r="Z214" t="str">
        <v/>
      </c>
      <c r="AA214" t="str">
        <v>技術・人文知識・国際業務</v>
      </c>
      <c r="AB214" t="str">
        <v>715-0024</v>
      </c>
      <c r="AC214" t="str">
        <v>岡山県井原市高屋町1丁目26-6</v>
      </c>
      <c r="AD214" t="str">
        <v>ｺｰﾎﾟとりおか201号</v>
      </c>
      <c r="AE214" s="31">
        <v>44499</v>
      </c>
      <c r="AF214" s="31">
        <v>44501</v>
      </c>
      <c r="AG214" s="31">
        <v>44802</v>
      </c>
      <c r="AH214" s="31">
        <v>0</v>
      </c>
      <c r="AI214">
        <v>22.01</v>
      </c>
      <c r="AJ214" t="str">
        <v>OK</v>
      </c>
      <c r="AK214">
        <v>0</v>
      </c>
      <c r="AL214">
        <v>44501</v>
      </c>
      <c r="AM214">
        <v>0</v>
      </c>
      <c r="AN214">
        <v>0</v>
      </c>
      <c r="AO214">
        <v>0</v>
      </c>
      <c r="AP214">
        <v>0</v>
      </c>
      <c r="AQ214">
        <v>0</v>
      </c>
      <c r="AR214">
        <v>0</v>
      </c>
    </row>
    <row r="215" spans="1:44">
      <c r="A215" t="str">
        <f>H215&amp;COUNTIF($H$2:H215,H215)</f>
        <v>Gライン2</v>
      </c>
      <c r="B215" t="str">
        <f>F215&amp;COUNTIF($F$2:F215,F215)</f>
        <v>高雄工業 本社19</v>
      </c>
      <c r="C215" t="str">
        <v>退社</v>
      </c>
      <c r="D215">
        <v>211102</v>
      </c>
      <c r="E215">
        <v>212016</v>
      </c>
      <c r="F215" t="str">
        <v>高雄工業 本社</v>
      </c>
      <c r="G215" t="str">
        <v>高雄工業株式会社 愛知事業所本社工場製作課</v>
      </c>
      <c r="H215" t="str">
        <v>Gライン</v>
      </c>
      <c r="I215">
        <v>0</v>
      </c>
      <c r="J215" t="str">
        <v>LAM VAN THANH</v>
      </c>
      <c r="K215" t="str">
        <v>ラム　ヴァン　タン</v>
      </c>
      <c r="L215" t="str">
        <v>男</v>
      </c>
      <c r="M215" t="str">
        <v>ﾍﾞﾄﾅﾑ</v>
      </c>
      <c r="N215" s="31">
        <v>31725</v>
      </c>
      <c r="O215">
        <v>39</v>
      </c>
      <c r="P215">
        <v>1410</v>
      </c>
      <c r="Q215">
        <v>0</v>
      </c>
      <c r="R215">
        <v>1770</v>
      </c>
      <c r="S215">
        <v>0</v>
      </c>
      <c r="T215">
        <v>360</v>
      </c>
      <c r="U215">
        <v>0</v>
      </c>
      <c r="V215" t="str">
        <v/>
      </c>
      <c r="W215" t="str">
        <v>0</v>
      </c>
      <c r="X215" t="str">
        <v/>
      </c>
      <c r="Y215" s="31">
        <v>45242</v>
      </c>
      <c r="Z215" t="str">
        <v/>
      </c>
      <c r="AA215" t="str">
        <v>技術・人文知識・国際業務</v>
      </c>
      <c r="AB215" t="str">
        <v>453-0844</v>
      </c>
      <c r="AC215" t="str">
        <v>愛知県名古屋市中村区小鴨町72番地</v>
      </c>
      <c r="AD215" t="str">
        <v>ﾏﾝｼｮﾝ早河302号室</v>
      </c>
      <c r="AE215" s="31" t="str">
        <v>個人</v>
      </c>
      <c r="AF215" s="31">
        <v>44501</v>
      </c>
      <c r="AG215" s="31">
        <v>44923</v>
      </c>
      <c r="AH215" s="31">
        <v>0</v>
      </c>
      <c r="AI215">
        <v>22.01</v>
      </c>
      <c r="AJ215" t="str">
        <v>OK</v>
      </c>
      <c r="AK215" t="str">
        <v>2021/11/１（アルバイト）＝2021/11/16から　派遣社員</v>
      </c>
      <c r="AL215">
        <v>44501</v>
      </c>
      <c r="AM215">
        <v>0</v>
      </c>
      <c r="AN215">
        <v>0</v>
      </c>
      <c r="AO215">
        <v>0</v>
      </c>
      <c r="AP215">
        <v>0</v>
      </c>
      <c r="AQ215">
        <v>0</v>
      </c>
      <c r="AR215">
        <v>0</v>
      </c>
    </row>
    <row r="216" spans="1:44">
      <c r="A216" t="str">
        <f>H216&amp;COUNTIF($H$2:H216,H216)</f>
        <v>0113</v>
      </c>
      <c r="B216" t="str">
        <f>F216&amp;COUNTIF($F$2:F216,F216)</f>
        <v>高雄工業 岡山29</v>
      </c>
      <c r="C216" t="str">
        <v>退社</v>
      </c>
      <c r="D216">
        <v>211103</v>
      </c>
      <c r="E216">
        <v>0</v>
      </c>
      <c r="F216" t="str">
        <v>高雄工業 岡山</v>
      </c>
      <c r="G216">
        <v>0</v>
      </c>
      <c r="H216">
        <v>0</v>
      </c>
      <c r="I216">
        <v>0</v>
      </c>
      <c r="J216" t="str">
        <v>PHAM THI PHUONG</v>
      </c>
      <c r="K216" t="str">
        <v>ファム　ティ　フォン</v>
      </c>
      <c r="L216" t="str">
        <v>女</v>
      </c>
      <c r="M216" t="str">
        <v>ﾍﾞﾄﾅﾑ</v>
      </c>
      <c r="N216" s="31">
        <v>34112</v>
      </c>
      <c r="O216">
        <v>32</v>
      </c>
      <c r="P216">
        <v>1210</v>
      </c>
      <c r="Q216">
        <v>0</v>
      </c>
      <c r="R216">
        <v>1610</v>
      </c>
      <c r="S216" t="str">
        <v>9/16~ 1600円→1750円</v>
      </c>
      <c r="T216">
        <v>400</v>
      </c>
      <c r="U216">
        <v>0</v>
      </c>
      <c r="V216" t="str">
        <v/>
      </c>
      <c r="W216" t="str">
        <v>0</v>
      </c>
      <c r="X216" t="str">
        <v/>
      </c>
      <c r="Y216" s="31">
        <v>44653</v>
      </c>
      <c r="Z216" t="str">
        <v/>
      </c>
      <c r="AA216" t="str">
        <v>技術・人文知識・国際業務</v>
      </c>
      <c r="AB216" t="str">
        <v>712-8032</v>
      </c>
      <c r="AC216" t="str">
        <v>岡山県倉敷市北畝2-4-11</v>
      </c>
      <c r="AD216">
        <v>0</v>
      </c>
      <c r="AE216" s="31" t="str">
        <v>個人</v>
      </c>
      <c r="AF216" s="31">
        <v>44501</v>
      </c>
      <c r="AG216" s="31">
        <v>44666</v>
      </c>
      <c r="AH216" s="31">
        <v>0</v>
      </c>
      <c r="AI216">
        <v>22.01</v>
      </c>
      <c r="AJ216" t="str">
        <v>OK</v>
      </c>
      <c r="AK216">
        <v>0</v>
      </c>
      <c r="AL216">
        <v>44501</v>
      </c>
      <c r="AM216">
        <v>0</v>
      </c>
      <c r="AN216">
        <v>0</v>
      </c>
      <c r="AO216">
        <v>0</v>
      </c>
      <c r="AP216">
        <v>0</v>
      </c>
      <c r="AQ216">
        <v>0</v>
      </c>
      <c r="AR216">
        <v>0</v>
      </c>
    </row>
    <row r="217" spans="1:44">
      <c r="A217" t="str">
        <f>H217&amp;COUNTIF($H$2:H217,H217)</f>
        <v>一次旋係10</v>
      </c>
      <c r="B217" t="str">
        <f>F217&amp;COUNTIF($F$2:F217,F217)</f>
        <v>高雄工業 岡山30</v>
      </c>
      <c r="C217" t="str">
        <v>退社</v>
      </c>
      <c r="D217">
        <v>211104</v>
      </c>
      <c r="E217">
        <v>232029</v>
      </c>
      <c r="F217" t="str">
        <v>高雄工業 岡山</v>
      </c>
      <c r="G217" t="str">
        <v>高雄工業株式会社 岡山事業所HUB工場製作1課</v>
      </c>
      <c r="H217" t="str">
        <v>一次旋係</v>
      </c>
      <c r="I217">
        <v>0</v>
      </c>
      <c r="J217" t="str">
        <v>DUONG MINH NGHIA</v>
      </c>
      <c r="K217" t="str">
        <v>ズオン　ミン　ギャー</v>
      </c>
      <c r="L217" t="str">
        <v>男</v>
      </c>
      <c r="M217" t="str">
        <v>ﾍﾞﾄﾅﾑ</v>
      </c>
      <c r="N217" s="31">
        <v>33254</v>
      </c>
      <c r="O217">
        <v>34</v>
      </c>
      <c r="P217">
        <v>1400</v>
      </c>
      <c r="Q217">
        <v>0</v>
      </c>
      <c r="R217">
        <v>1770</v>
      </c>
      <c r="S217" t="str">
        <v>9/16~ 1600円→1750円</v>
      </c>
      <c r="T217">
        <v>370</v>
      </c>
      <c r="U217">
        <v>0</v>
      </c>
      <c r="V217" t="str">
        <v/>
      </c>
      <c r="W217" t="str">
        <v>0</v>
      </c>
      <c r="X217" t="str">
        <v/>
      </c>
      <c r="Y217" s="31">
        <v>45211</v>
      </c>
      <c r="Z217" t="str">
        <v/>
      </c>
      <c r="AA217" t="str">
        <v>技術・人文知識・国際業務</v>
      </c>
      <c r="AB217" t="str">
        <v>709-2107</v>
      </c>
      <c r="AC217" t="str">
        <v>岡山県岡山市北区美津下田77番地3</v>
      </c>
      <c r="AD217" t="str">
        <v>ﾋﾞﾚｯｼﾞﾊｳｽ宇甘川1棟402号</v>
      </c>
      <c r="AE217" s="31" t="str">
        <v>個人</v>
      </c>
      <c r="AF217" s="31">
        <v>44501</v>
      </c>
      <c r="AG217" s="31">
        <v>44894</v>
      </c>
      <c r="AH217" s="31">
        <v>0</v>
      </c>
      <c r="AI217">
        <v>22.01</v>
      </c>
      <c r="AJ217" t="str">
        <v>OK</v>
      </c>
      <c r="AK217" t="str">
        <v>2021/11/1~請負から高雄　岡山派遣へ転籍</v>
      </c>
      <c r="AL217">
        <v>44501</v>
      </c>
      <c r="AM217">
        <v>0</v>
      </c>
      <c r="AN217">
        <v>0</v>
      </c>
      <c r="AO217">
        <v>0</v>
      </c>
      <c r="AP217">
        <v>0</v>
      </c>
      <c r="AQ217">
        <v>0</v>
      </c>
      <c r="AR217">
        <v>0</v>
      </c>
    </row>
    <row r="218" spans="1:44">
      <c r="A218" t="str">
        <f>H218&amp;COUNTIF($H$2:H218,H218)</f>
        <v>転造3</v>
      </c>
      <c r="B218" t="str">
        <f>F218&amp;COUNTIF($F$2:F218,F218)</f>
        <v>高雄工業 静岡22</v>
      </c>
      <c r="C218" t="str">
        <v>退社</v>
      </c>
      <c r="D218">
        <v>211105</v>
      </c>
      <c r="E218">
        <v>242025</v>
      </c>
      <c r="F218" t="str">
        <v>高雄工業 静岡</v>
      </c>
      <c r="G218" t="str">
        <v>高雄工業株式会社 静岡事業所第一工場製作課</v>
      </c>
      <c r="H218" t="str">
        <v>転造</v>
      </c>
      <c r="I218" t="str">
        <v>ＣＶＪ短軸等速ジョイント旋削加工・ＮＣプログラム修正</v>
      </c>
      <c r="J218" t="str">
        <v>NGUYEN VAN MANH</v>
      </c>
      <c r="K218" t="str">
        <v>グエン　ヴァン　マン</v>
      </c>
      <c r="L218" t="str">
        <v>男</v>
      </c>
      <c r="M218" t="str">
        <v>ﾍﾞﾄﾅﾑ</v>
      </c>
      <c r="N218" s="31">
        <v>33833</v>
      </c>
      <c r="O218">
        <v>33</v>
      </c>
      <c r="P218">
        <v>1400</v>
      </c>
      <c r="Q218">
        <v>0</v>
      </c>
      <c r="R218">
        <v>1770</v>
      </c>
      <c r="S218">
        <v>0</v>
      </c>
      <c r="T218">
        <v>370</v>
      </c>
      <c r="U218">
        <v>280000</v>
      </c>
      <c r="V218">
        <v>14042</v>
      </c>
      <c r="W218" t="str">
        <v>0</v>
      </c>
      <c r="X218">
        <v>25620</v>
      </c>
      <c r="Y218" s="31">
        <v>45598</v>
      </c>
      <c r="Z218" t="str">
        <v/>
      </c>
      <c r="AA218" t="str">
        <v>技術・人文知識・国際業務</v>
      </c>
      <c r="AB218" t="str">
        <v>437-0061</v>
      </c>
      <c r="AC218" t="str">
        <v>静岡県袋井市久能2810番地1</v>
      </c>
      <c r="AD218" t="str">
        <v>ﾌｪﾘｽA103</v>
      </c>
      <c r="AE218" s="31">
        <v>44499</v>
      </c>
      <c r="AF218" s="31">
        <v>44501</v>
      </c>
      <c r="AG218" s="31">
        <v>45288</v>
      </c>
      <c r="AH218" s="31">
        <v>0</v>
      </c>
      <c r="AI218">
        <v>22.01</v>
      </c>
      <c r="AJ218" t="str">
        <v>OK</v>
      </c>
      <c r="AK218">
        <v>0</v>
      </c>
      <c r="AL218">
        <v>44501</v>
      </c>
      <c r="AM218">
        <v>0</v>
      </c>
      <c r="AN218">
        <v>0</v>
      </c>
      <c r="AO218">
        <v>0</v>
      </c>
      <c r="AP218">
        <v>0</v>
      </c>
      <c r="AQ218">
        <v>0</v>
      </c>
      <c r="AR218">
        <v>0</v>
      </c>
    </row>
    <row r="219" spans="1:44">
      <c r="A219" t="str">
        <f>H219&amp;COUNTIF($H$2:H219,H219)</f>
        <v>一次旋係11</v>
      </c>
      <c r="B219" t="str">
        <f>F219&amp;COUNTIF($F$2:F219,F219)</f>
        <v>西岡工作所1</v>
      </c>
      <c r="C219" t="str">
        <v>退社</v>
      </c>
      <c r="D219">
        <v>211106</v>
      </c>
      <c r="E219">
        <v>0</v>
      </c>
      <c r="F219" t="str">
        <v>西岡工作所</v>
      </c>
      <c r="G219">
        <v>0</v>
      </c>
      <c r="H219" t="str">
        <v>一次旋係</v>
      </c>
      <c r="I219">
        <v>0</v>
      </c>
      <c r="J219" t="str">
        <v>堤　浩二</v>
      </c>
      <c r="K219" t="str">
        <v>ツツミ　コウジ</v>
      </c>
      <c r="L219" t="str">
        <v>男</v>
      </c>
      <c r="M219" t="str">
        <v>日本</v>
      </c>
      <c r="N219" s="31">
        <v>27567</v>
      </c>
      <c r="O219">
        <v>50</v>
      </c>
      <c r="P219">
        <v>1200</v>
      </c>
      <c r="Q219">
        <v>0</v>
      </c>
      <c r="R219">
        <v>1750</v>
      </c>
      <c r="S219">
        <v>0</v>
      </c>
      <c r="T219">
        <v>550</v>
      </c>
      <c r="U219">
        <v>0</v>
      </c>
      <c r="V219" t="str">
        <v/>
      </c>
      <c r="W219" t="str">
        <v>0</v>
      </c>
      <c r="X219" t="str">
        <v/>
      </c>
      <c r="Y219" s="31">
        <v>0</v>
      </c>
      <c r="Z219" t="str">
        <v/>
      </c>
      <c r="AA219">
        <v>0</v>
      </c>
      <c r="AB219" t="str">
        <v>701-4265</v>
      </c>
      <c r="AC219" t="str">
        <v>岡山県瀬戸内市長船町福岡1193-13</v>
      </c>
      <c r="AD219">
        <v>0</v>
      </c>
      <c r="AE219" s="31" t="str">
        <v>個人</v>
      </c>
      <c r="AF219" s="31">
        <v>44502</v>
      </c>
      <c r="AG219" s="31">
        <v>44678</v>
      </c>
      <c r="AH219" s="31">
        <v>0</v>
      </c>
      <c r="AI219">
        <v>22.01</v>
      </c>
      <c r="AJ219" t="str">
        <v>OK</v>
      </c>
      <c r="AK219" t="str">
        <v>2022/4/27で終了⇒請負へ異動　2022/5/9～</v>
      </c>
      <c r="AL219">
        <v>44502</v>
      </c>
      <c r="AM219">
        <v>0</v>
      </c>
      <c r="AN219">
        <v>0</v>
      </c>
      <c r="AO219">
        <v>0</v>
      </c>
      <c r="AP219">
        <v>0</v>
      </c>
      <c r="AQ219">
        <v>0</v>
      </c>
      <c r="AR219">
        <v>0</v>
      </c>
    </row>
    <row r="220" spans="1:44">
      <c r="A220" t="str">
        <f>H220&amp;COUNTIF($H$2:H220,H220)</f>
        <v>H_2次旋4</v>
      </c>
      <c r="B220" t="str">
        <f>F220&amp;COUNTIF($F$2:F220,F220)</f>
        <v>高雄工業 海南第一26</v>
      </c>
      <c r="C220" t="str">
        <v>退社</v>
      </c>
      <c r="D220">
        <v>211107</v>
      </c>
      <c r="E220">
        <v>222036</v>
      </c>
      <c r="F220" t="str">
        <v>高雄工業 海南第一</v>
      </c>
      <c r="G220" t="str">
        <v>高雄工業株式会社 愛知事業所海南第一工場製作1課</v>
      </c>
      <c r="H220" t="str">
        <v>H_2次旋</v>
      </c>
      <c r="I220">
        <v>0</v>
      </c>
      <c r="J220" t="str">
        <v>HOANG VAN QUAN</v>
      </c>
      <c r="K220" t="str">
        <v>ホアン　ヴァン　クアン</v>
      </c>
      <c r="L220" t="str">
        <v>男</v>
      </c>
      <c r="M220" t="str">
        <v>ﾍﾞﾄﾅﾑ</v>
      </c>
      <c r="N220" s="31">
        <v>35128</v>
      </c>
      <c r="O220">
        <v>29</v>
      </c>
      <c r="P220">
        <v>1410</v>
      </c>
      <c r="Q220">
        <v>0</v>
      </c>
      <c r="R220">
        <v>1780</v>
      </c>
      <c r="S220" t="str">
        <v>9/16~ 1600円→1750円</v>
      </c>
      <c r="T220">
        <v>370</v>
      </c>
      <c r="U220">
        <v>0</v>
      </c>
      <c r="V220" t="str">
        <v/>
      </c>
      <c r="W220" t="str">
        <v>0</v>
      </c>
      <c r="X220" t="str">
        <v/>
      </c>
      <c r="Y220" s="31">
        <v>45391</v>
      </c>
      <c r="Z220" t="str">
        <v/>
      </c>
      <c r="AA220" t="str">
        <v>技術・人文知識・国際業務</v>
      </c>
      <c r="AB220" t="str">
        <v>498-0032</v>
      </c>
      <c r="AC220" t="str">
        <v>愛知県弥富市平島中4丁目128</v>
      </c>
      <c r="AD220" t="str">
        <v>村上貸家</v>
      </c>
      <c r="AE220" s="31">
        <v>44506</v>
      </c>
      <c r="AF220" s="31">
        <v>44508</v>
      </c>
      <c r="AG220" s="31">
        <v>44874</v>
      </c>
      <c r="AH220" s="31">
        <v>0</v>
      </c>
      <c r="AI220">
        <v>21.12</v>
      </c>
      <c r="AJ220" t="str">
        <v>OK</v>
      </c>
      <c r="AK220">
        <v>0</v>
      </c>
      <c r="AL220">
        <v>44508</v>
      </c>
      <c r="AM220">
        <v>0</v>
      </c>
      <c r="AN220">
        <v>0</v>
      </c>
      <c r="AO220">
        <v>0</v>
      </c>
      <c r="AP220">
        <v>0</v>
      </c>
      <c r="AQ220">
        <v>0</v>
      </c>
      <c r="AR220">
        <v>0</v>
      </c>
    </row>
    <row r="221" spans="1:44">
      <c r="A221" t="str">
        <f>H221&amp;COUNTIF($H$2:H221,H221)</f>
        <v>0114</v>
      </c>
      <c r="B221" t="str">
        <f>F221&amp;COUNTIF($F$2:F221,F221)</f>
        <v>ワーク 岡山1</v>
      </c>
      <c r="C221" t="str">
        <v>退社</v>
      </c>
      <c r="D221">
        <v>211108</v>
      </c>
      <c r="E221">
        <v>0</v>
      </c>
      <c r="F221" t="str">
        <v>ワーク 岡山</v>
      </c>
      <c r="G221" t="str">
        <v>岡山第２工場</v>
      </c>
      <c r="H221">
        <v>0</v>
      </c>
      <c r="I221">
        <v>0</v>
      </c>
      <c r="J221" t="str">
        <v>LE NGOC THANH</v>
      </c>
      <c r="K221" t="str">
        <v>レ　ゴック　タイン</v>
      </c>
      <c r="L221" t="str">
        <v>男</v>
      </c>
      <c r="M221" t="str">
        <v>ﾍﾞﾄﾅﾑ</v>
      </c>
      <c r="N221" s="31">
        <v>31963</v>
      </c>
      <c r="O221">
        <v>38</v>
      </c>
      <c r="P221">
        <v>1500</v>
      </c>
      <c r="Q221">
        <v>0</v>
      </c>
      <c r="R221">
        <v>1900</v>
      </c>
      <c r="S221">
        <v>0</v>
      </c>
      <c r="T221">
        <v>400</v>
      </c>
      <c r="U221">
        <v>320000</v>
      </c>
      <c r="V221">
        <v>16048</v>
      </c>
      <c r="W221" t="str">
        <v>0</v>
      </c>
      <c r="X221">
        <v>29280</v>
      </c>
      <c r="Y221" s="31">
        <v>46305</v>
      </c>
      <c r="Z221" t="str">
        <v/>
      </c>
      <c r="AA221" t="str">
        <v>技術・人文知識・国際業務</v>
      </c>
      <c r="AB221" t="str">
        <v>709-4222</v>
      </c>
      <c r="AC221" t="str">
        <v>岡山県美作市岩辺493-10</v>
      </c>
      <c r="AD221" t="str">
        <v>岩辺借家</v>
      </c>
      <c r="AE221" s="31">
        <v>44513</v>
      </c>
      <c r="AF221" s="31">
        <v>44517</v>
      </c>
      <c r="AG221" s="31">
        <v>45311</v>
      </c>
      <c r="AH221" s="31">
        <v>0</v>
      </c>
      <c r="AI221">
        <v>22.02</v>
      </c>
      <c r="AJ221" t="str">
        <v>OK</v>
      </c>
      <c r="AK221">
        <v>0</v>
      </c>
      <c r="AL221">
        <v>44517</v>
      </c>
      <c r="AM221">
        <v>0</v>
      </c>
      <c r="AN221">
        <v>0</v>
      </c>
      <c r="AO221">
        <v>0</v>
      </c>
      <c r="AP221">
        <v>0</v>
      </c>
      <c r="AQ221">
        <v>0</v>
      </c>
      <c r="AR221">
        <v>0</v>
      </c>
    </row>
    <row r="222" spans="1:44">
      <c r="A222" t="str">
        <f>H222&amp;COUNTIF($H$2:H222,H222)</f>
        <v>0115</v>
      </c>
      <c r="B222" t="str">
        <f>F222&amp;COUNTIF($F$2:F222,F222)</f>
        <v>PATEC7</v>
      </c>
      <c r="C222" t="str">
        <v>退社</v>
      </c>
      <c r="D222">
        <v>211109</v>
      </c>
      <c r="E222">
        <v>0</v>
      </c>
      <c r="F222" t="str">
        <v>PATEC</v>
      </c>
      <c r="G222" t="str">
        <v>製造部素材課</v>
      </c>
      <c r="H222">
        <v>0</v>
      </c>
      <c r="I222">
        <v>0</v>
      </c>
      <c r="J222" t="str">
        <v>HOANG THE VINH</v>
      </c>
      <c r="K222" t="str">
        <v>ホアン　テー　ヴィン</v>
      </c>
      <c r="L222" t="str">
        <v>男</v>
      </c>
      <c r="M222" t="str">
        <v>ﾍﾞﾄﾅﾑ</v>
      </c>
      <c r="N222" s="31">
        <v>32051</v>
      </c>
      <c r="O222">
        <v>38</v>
      </c>
      <c r="P222">
        <v>1600</v>
      </c>
      <c r="Q222" t="str">
        <v>6/21～\1500⇒1600</v>
      </c>
      <c r="R222">
        <v>2100</v>
      </c>
      <c r="S222">
        <v>0</v>
      </c>
      <c r="T222">
        <v>500</v>
      </c>
      <c r="U222">
        <v>410000</v>
      </c>
      <c r="V222">
        <v>20561</v>
      </c>
      <c r="W222" t="str">
        <v>0</v>
      </c>
      <c r="X222">
        <v>37515</v>
      </c>
      <c r="Y222" s="31">
        <v>46279</v>
      </c>
      <c r="Z222" t="str">
        <v/>
      </c>
      <c r="AA222" t="str">
        <v>技術・人文知識・国際業務</v>
      </c>
      <c r="AB222" t="str">
        <v>747-0833</v>
      </c>
      <c r="AC222" t="str">
        <v>山口県防府市大字浜方716-15</v>
      </c>
      <c r="AD222" t="str">
        <v>ｱﾙｿｰﾚD101</v>
      </c>
      <c r="AE222" s="31">
        <v>44520</v>
      </c>
      <c r="AF222" s="31">
        <v>44522</v>
      </c>
      <c r="AG222" s="31">
        <v>45503</v>
      </c>
      <c r="AH222" s="31">
        <v>0</v>
      </c>
      <c r="AI222">
        <v>22.02</v>
      </c>
      <c r="AJ222" t="str">
        <v>OK</v>
      </c>
      <c r="AK222">
        <v>0</v>
      </c>
      <c r="AL222">
        <v>44522</v>
      </c>
      <c r="AM222">
        <v>0</v>
      </c>
      <c r="AN222">
        <v>0</v>
      </c>
      <c r="AO222">
        <v>0</v>
      </c>
      <c r="AP222">
        <v>0</v>
      </c>
      <c r="AQ222">
        <v>0</v>
      </c>
      <c r="AR222">
        <v>0</v>
      </c>
    </row>
    <row r="223" spans="1:44">
      <c r="A223" t="str">
        <f>H223&amp;COUNTIF($H$2:H223,H223)</f>
        <v>内輪1</v>
      </c>
      <c r="B223" t="str">
        <f>F223&amp;COUNTIF($F$2:F223,F223)</f>
        <v>高雄工業 静岡23</v>
      </c>
      <c r="C223" t="str">
        <v>退社</v>
      </c>
      <c r="D223">
        <v>211110</v>
      </c>
      <c r="E223">
        <v>242026</v>
      </c>
      <c r="F223" t="str">
        <v>高雄工業 静岡</v>
      </c>
      <c r="G223" t="str">
        <v>高雄工業株式会社 静岡事業所第二工場製作課</v>
      </c>
      <c r="H223" t="str">
        <v>内輪</v>
      </c>
      <c r="I223" t="str">
        <v>産業機械部品の施削加工、NCプログラム修正</v>
      </c>
      <c r="J223" t="str">
        <v>PHAM DUC BAO</v>
      </c>
      <c r="K223" t="str">
        <v>ファム　ドゥック　バオ</v>
      </c>
      <c r="L223" t="str">
        <v>男</v>
      </c>
      <c r="M223" t="str">
        <v>ﾍﾞﾄﾅﾑ</v>
      </c>
      <c r="N223" s="31">
        <v>35059</v>
      </c>
      <c r="O223">
        <v>29</v>
      </c>
      <c r="P223">
        <v>1410</v>
      </c>
      <c r="Q223">
        <v>0</v>
      </c>
      <c r="R223">
        <v>1790</v>
      </c>
      <c r="S223">
        <v>0</v>
      </c>
      <c r="T223">
        <v>380</v>
      </c>
      <c r="U223">
        <v>280000</v>
      </c>
      <c r="V223">
        <v>14042</v>
      </c>
      <c r="W223" t="str">
        <v>0</v>
      </c>
      <c r="X223">
        <v>25620</v>
      </c>
      <c r="Y223" s="31">
        <v>47423</v>
      </c>
      <c r="Z223" t="str">
        <v/>
      </c>
      <c r="AA223" t="str">
        <v>技術・人文知識・国際業務</v>
      </c>
      <c r="AB223" t="str">
        <v>437-0061</v>
      </c>
      <c r="AC223" t="str">
        <v>静岡県袋井市久能1289-1</v>
      </c>
      <c r="AD223" t="str">
        <v>ｱｳﾛｰﾗⅡ101号</v>
      </c>
      <c r="AE223" s="31">
        <v>44519</v>
      </c>
      <c r="AF223" s="31">
        <v>44523</v>
      </c>
      <c r="AG223" s="31">
        <v>45552</v>
      </c>
      <c r="AH223" s="31">
        <v>0</v>
      </c>
      <c r="AI223">
        <v>22.02</v>
      </c>
      <c r="AJ223" t="str">
        <v>OK</v>
      </c>
      <c r="AK223">
        <v>0</v>
      </c>
      <c r="AL223">
        <v>44523</v>
      </c>
      <c r="AM223">
        <v>0</v>
      </c>
      <c r="AN223">
        <v>0</v>
      </c>
      <c r="AO223">
        <v>0</v>
      </c>
      <c r="AP223">
        <v>0</v>
      </c>
      <c r="AQ223">
        <v>0</v>
      </c>
      <c r="AR223">
        <v>0</v>
      </c>
    </row>
    <row r="224" spans="1:44">
      <c r="A224" t="str">
        <f>H224&amp;COUNTIF($H$2:H224,H224)</f>
        <v>手動旋削4</v>
      </c>
      <c r="B224" t="str">
        <f>F224&amp;COUNTIF($F$2:F224,F224)</f>
        <v>高雄工業 静岡24</v>
      </c>
      <c r="C224" t="str">
        <v>退社</v>
      </c>
      <c r="D224">
        <v>211111</v>
      </c>
      <c r="E224">
        <v>242027</v>
      </c>
      <c r="F224" t="str">
        <v>高雄工業 静岡</v>
      </c>
      <c r="G224" t="str">
        <v>高雄工業株式会社 静岡事業所第一工場製作課</v>
      </c>
      <c r="H224" t="str">
        <v>手動旋削</v>
      </c>
      <c r="I224">
        <v>0</v>
      </c>
      <c r="J224" t="str">
        <v>NGUYEN HUU THIEN</v>
      </c>
      <c r="K224" t="str">
        <v>グエン　フウ　ティエン</v>
      </c>
      <c r="L224" t="str">
        <v>男</v>
      </c>
      <c r="M224" t="str">
        <v>ﾍﾞﾄﾅﾑ</v>
      </c>
      <c r="N224" s="31">
        <v>35754</v>
      </c>
      <c r="O224">
        <v>28</v>
      </c>
      <c r="P224">
        <v>1410</v>
      </c>
      <c r="Q224">
        <v>0</v>
      </c>
      <c r="R224">
        <v>1770</v>
      </c>
      <c r="S224">
        <v>0</v>
      </c>
      <c r="T224">
        <v>360</v>
      </c>
      <c r="U224">
        <v>300000</v>
      </c>
      <c r="V224">
        <v>15045</v>
      </c>
      <c r="W224" t="str">
        <v>0</v>
      </c>
      <c r="X224">
        <v>27450</v>
      </c>
      <c r="Y224" s="31">
        <v>45583</v>
      </c>
      <c r="Z224" t="str">
        <v/>
      </c>
      <c r="AA224" t="str">
        <v>技術・人文知識・国際業務</v>
      </c>
      <c r="AB224" t="str">
        <v>437-0061</v>
      </c>
      <c r="AC224" t="str">
        <v>静岡県袋井市久能1889-2</v>
      </c>
      <c r="AD224" t="str">
        <v>ﾗﾌｨｰﾈ久能402号</v>
      </c>
      <c r="AE224" s="31">
        <v>44519</v>
      </c>
      <c r="AF224" s="31">
        <v>44523</v>
      </c>
      <c r="AG224" s="31">
        <v>45041</v>
      </c>
      <c r="AH224" s="31">
        <v>0</v>
      </c>
      <c r="AI224">
        <v>22.02</v>
      </c>
      <c r="AJ224" t="str">
        <v>OK</v>
      </c>
      <c r="AK224">
        <v>0</v>
      </c>
      <c r="AL224">
        <v>44523</v>
      </c>
      <c r="AM224">
        <v>0</v>
      </c>
      <c r="AN224">
        <v>0</v>
      </c>
      <c r="AO224">
        <v>0</v>
      </c>
      <c r="AP224">
        <v>0</v>
      </c>
      <c r="AQ224">
        <v>0</v>
      </c>
      <c r="AR224">
        <v>0</v>
      </c>
    </row>
    <row r="225" spans="1:44">
      <c r="A225" t="str">
        <f>H225&amp;COUNTIF($H$2:H225,H225)</f>
        <v>0116</v>
      </c>
      <c r="B225" t="str">
        <f>F225&amp;COUNTIF($F$2:F225,F225)</f>
        <v>コーリツ 州の崎10</v>
      </c>
      <c r="C225" t="str">
        <v>退社</v>
      </c>
      <c r="D225">
        <v>211112</v>
      </c>
      <c r="E225">
        <v>0</v>
      </c>
      <c r="F225" t="str">
        <v>コーリツ 州の崎</v>
      </c>
      <c r="G225">
        <v>0</v>
      </c>
      <c r="H225">
        <v>0</v>
      </c>
      <c r="I225">
        <v>0</v>
      </c>
      <c r="J225" t="str">
        <v>NGUYEN DANG KHANG</v>
      </c>
      <c r="K225" t="str">
        <v>グエン　ダン　クアン</v>
      </c>
      <c r="L225" t="str">
        <v>男</v>
      </c>
      <c r="M225" t="str">
        <v>ﾍﾞﾄﾅﾑ</v>
      </c>
      <c r="N225" s="31">
        <v>34178</v>
      </c>
      <c r="O225">
        <v>32</v>
      </c>
      <c r="P225">
        <v>1400</v>
      </c>
      <c r="Q225">
        <v>0</v>
      </c>
      <c r="R225">
        <v>1960</v>
      </c>
      <c r="S225">
        <v>0</v>
      </c>
      <c r="T225">
        <v>560</v>
      </c>
      <c r="U225">
        <v>0</v>
      </c>
      <c r="V225" t="str">
        <v/>
      </c>
      <c r="W225" t="str">
        <v>0</v>
      </c>
      <c r="X225" t="str">
        <v/>
      </c>
      <c r="Y225" s="31">
        <v>44937</v>
      </c>
      <c r="Z225" t="str">
        <v/>
      </c>
      <c r="AA225" t="str">
        <v>技術・人文知識・国際業務</v>
      </c>
      <c r="AB225" t="str">
        <v>475-0828</v>
      </c>
      <c r="AC225" t="str">
        <v>愛知県半田市瑞穂町9丁目6-9</v>
      </c>
      <c r="AD225" t="str">
        <v>ｽｶｲﾚｼﾞﾃﾞﾝｽ302</v>
      </c>
      <c r="AE225" s="31">
        <v>44522</v>
      </c>
      <c r="AF225" s="31">
        <v>44523</v>
      </c>
      <c r="AG225" s="31">
        <v>44592</v>
      </c>
      <c r="AH225" s="31">
        <v>0</v>
      </c>
      <c r="AI225">
        <v>21.12</v>
      </c>
      <c r="AJ225">
        <v>0</v>
      </c>
      <c r="AK225">
        <v>0</v>
      </c>
      <c r="AL225">
        <v>44523</v>
      </c>
      <c r="AM225">
        <v>0</v>
      </c>
      <c r="AN225">
        <v>0</v>
      </c>
      <c r="AO225">
        <v>0</v>
      </c>
      <c r="AP225">
        <v>0</v>
      </c>
      <c r="AQ225">
        <v>0</v>
      </c>
      <c r="AR225">
        <v>0</v>
      </c>
    </row>
    <row r="226" spans="1:44">
      <c r="A226" t="str">
        <f>H226&amp;COUNTIF($H$2:H226,H226)</f>
        <v>0117</v>
      </c>
      <c r="B226" t="str">
        <f>F226&amp;COUNTIF($F$2:F226,F226)</f>
        <v>コーリツ 州の崎11</v>
      </c>
      <c r="C226" t="str">
        <v>退社</v>
      </c>
      <c r="D226">
        <v>211113</v>
      </c>
      <c r="E226">
        <v>8210019</v>
      </c>
      <c r="F226" t="str">
        <v>コーリツ 州の崎</v>
      </c>
      <c r="G226" t="str">
        <v>州の埼第２工場　製造３課５工区７班</v>
      </c>
      <c r="H226">
        <v>0</v>
      </c>
      <c r="I226">
        <v>0</v>
      </c>
      <c r="J226" t="str">
        <v>DO DUC THUAN</v>
      </c>
      <c r="K226" t="str">
        <v>ドー　ドゥック　トゥアン</v>
      </c>
      <c r="L226" t="str">
        <v>男</v>
      </c>
      <c r="M226" t="str">
        <v>ﾍﾞﾄﾅﾑ</v>
      </c>
      <c r="N226" s="31">
        <v>35013</v>
      </c>
      <c r="O226">
        <v>30</v>
      </c>
      <c r="P226">
        <v>1400</v>
      </c>
      <c r="Q226">
        <v>0</v>
      </c>
      <c r="R226">
        <v>1990</v>
      </c>
      <c r="S226">
        <v>0</v>
      </c>
      <c r="T226">
        <v>590</v>
      </c>
      <c r="U226">
        <v>0</v>
      </c>
      <c r="V226" t="str">
        <v/>
      </c>
      <c r="W226" t="str">
        <v>0</v>
      </c>
      <c r="X226" t="str">
        <v/>
      </c>
      <c r="Y226" s="31">
        <v>45115</v>
      </c>
      <c r="Z226" t="str">
        <v/>
      </c>
      <c r="AA226" t="str">
        <v>技術・人文知識・国際業務</v>
      </c>
      <c r="AB226" t="str">
        <v>475-0071</v>
      </c>
      <c r="AC226" t="str">
        <v>愛知県半田市大伝根町2丁目2-16</v>
      </c>
      <c r="AD226" t="str">
        <v>ｻﾝﾋﾞﾚｯｼﾞ横川203</v>
      </c>
      <c r="AE226" s="31">
        <v>44522</v>
      </c>
      <c r="AF226" s="31">
        <v>44523</v>
      </c>
      <c r="AG226" s="31">
        <v>44876</v>
      </c>
      <c r="AH226" s="31">
        <v>0</v>
      </c>
      <c r="AI226">
        <v>22.02</v>
      </c>
      <c r="AJ226" t="str">
        <v>OK</v>
      </c>
      <c r="AK226">
        <v>0</v>
      </c>
      <c r="AL226">
        <v>44523</v>
      </c>
      <c r="AM226">
        <v>0</v>
      </c>
      <c r="AN226">
        <v>0</v>
      </c>
      <c r="AO226">
        <v>0</v>
      </c>
      <c r="AP226">
        <v>0</v>
      </c>
      <c r="AQ226">
        <v>0</v>
      </c>
      <c r="AR226">
        <v>0</v>
      </c>
    </row>
    <row r="227" spans="1:44">
      <c r="A227" t="str">
        <f>H227&amp;COUNTIF($H$2:H227,H227)</f>
        <v>CVJ長軸旋盤係6</v>
      </c>
      <c r="B227" t="str">
        <f>F227&amp;COUNTIF($F$2:F227,F227)</f>
        <v>高雄工業 岡山31</v>
      </c>
      <c r="C227" t="str">
        <v>退社</v>
      </c>
      <c r="D227">
        <v>211114</v>
      </c>
      <c r="E227">
        <v>232031</v>
      </c>
      <c r="F227" t="str">
        <v>高雄工業 岡山</v>
      </c>
      <c r="G227" t="str">
        <v>高雄工業株式会社 岡山事業所CVJ工場製作課</v>
      </c>
      <c r="H227" t="str">
        <v>CVJ長軸旋盤係</v>
      </c>
      <c r="I227" t="str">
        <v>ＣＶＪ長軸等速ジョイント旋削加工、ＮＣプログラム修正</v>
      </c>
      <c r="J227" t="str">
        <v>NGUYEN VAN HAO</v>
      </c>
      <c r="K227" t="str">
        <v>グエン　バン　ハオ</v>
      </c>
      <c r="L227" t="str">
        <v>男</v>
      </c>
      <c r="M227" t="str">
        <v>ﾍﾞﾄﾅﾑ</v>
      </c>
      <c r="N227" s="31">
        <v>31100</v>
      </c>
      <c r="O227">
        <v>40</v>
      </c>
      <c r="P227">
        <v>1420</v>
      </c>
      <c r="Q227">
        <v>0</v>
      </c>
      <c r="R227">
        <v>1770</v>
      </c>
      <c r="S227">
        <v>0</v>
      </c>
      <c r="T227">
        <v>350</v>
      </c>
      <c r="U227">
        <v>260000</v>
      </c>
      <c r="V227">
        <v>13039</v>
      </c>
      <c r="W227">
        <v>2067</v>
      </c>
      <c r="X227">
        <v>23790</v>
      </c>
      <c r="Y227" s="31">
        <v>46446</v>
      </c>
      <c r="Z227" t="str">
        <v/>
      </c>
      <c r="AA227" t="str">
        <v>技術・人文知識・国際業務</v>
      </c>
      <c r="AB227" t="str">
        <v>709-2107</v>
      </c>
      <c r="AC227" t="str">
        <v>岡山県岡山市北区御津矢原370</v>
      </c>
      <c r="AD227" t="str">
        <v>成広ｺｰﾎﾟⅠ205</v>
      </c>
      <c r="AE227" s="31">
        <v>44519</v>
      </c>
      <c r="AF227" s="31">
        <v>44524</v>
      </c>
      <c r="AG227" s="31">
        <v>45715</v>
      </c>
      <c r="AH227" s="31">
        <v>0</v>
      </c>
      <c r="AI227">
        <v>22.02</v>
      </c>
      <c r="AJ227" t="str">
        <v>OK</v>
      </c>
      <c r="AK227">
        <v>0</v>
      </c>
      <c r="AL227">
        <v>44524</v>
      </c>
      <c r="AM227">
        <v>0</v>
      </c>
      <c r="AN227">
        <v>0</v>
      </c>
      <c r="AO227">
        <v>0</v>
      </c>
      <c r="AP227">
        <v>0</v>
      </c>
      <c r="AQ227">
        <v>0</v>
      </c>
      <c r="AR227">
        <v>0</v>
      </c>
    </row>
    <row r="228" spans="1:44">
      <c r="A228" t="str">
        <f>H228&amp;COUNTIF($H$2:H228,H228)</f>
        <v>0118</v>
      </c>
      <c r="B228" t="str">
        <f>F228&amp;COUNTIF($F$2:F228,F228)</f>
        <v>高雄工業 岡山32</v>
      </c>
      <c r="C228" t="str">
        <v>退社</v>
      </c>
      <c r="D228">
        <v>211115</v>
      </c>
      <c r="E228">
        <v>0</v>
      </c>
      <c r="F228" t="str">
        <v>高雄工業 岡山</v>
      </c>
      <c r="G228">
        <v>0</v>
      </c>
      <c r="H228">
        <v>0</v>
      </c>
      <c r="I228">
        <v>0</v>
      </c>
      <c r="J228" t="str">
        <v>HOANG MINH LONG</v>
      </c>
      <c r="K228" t="str">
        <v>ホアン　ミン　ロン</v>
      </c>
      <c r="L228" t="str">
        <v>男</v>
      </c>
      <c r="M228" t="str">
        <v>ﾍﾞﾄﾅﾑ</v>
      </c>
      <c r="N228" s="31">
        <v>35181</v>
      </c>
      <c r="O228">
        <v>29</v>
      </c>
      <c r="P228">
        <v>1370</v>
      </c>
      <c r="Q228">
        <v>0</v>
      </c>
      <c r="R228">
        <v>1790</v>
      </c>
      <c r="S228">
        <v>0</v>
      </c>
      <c r="T228">
        <v>420</v>
      </c>
      <c r="U228">
        <v>0</v>
      </c>
      <c r="V228" t="str">
        <v/>
      </c>
      <c r="W228" t="str">
        <v>0</v>
      </c>
      <c r="X228" t="str">
        <v/>
      </c>
      <c r="Y228" s="31">
        <v>45020</v>
      </c>
      <c r="Z228" t="str">
        <v/>
      </c>
      <c r="AA228" t="str">
        <v>技術・人文知識・国際業務</v>
      </c>
      <c r="AB228" t="str">
        <v>700-0861</v>
      </c>
      <c r="AC228" t="str">
        <v>岡山県岡山市北区清輝橋2-7-18</v>
      </c>
      <c r="AD228" t="str">
        <v>103号室</v>
      </c>
      <c r="AE228" s="31" t="str">
        <v>個人</v>
      </c>
      <c r="AF228" s="31">
        <v>44529</v>
      </c>
      <c r="AG228" s="31">
        <v>44696</v>
      </c>
      <c r="AH228" s="31">
        <v>0</v>
      </c>
      <c r="AI228">
        <v>22.02</v>
      </c>
      <c r="AJ228" t="str">
        <v>OK</v>
      </c>
      <c r="AK228">
        <v>0</v>
      </c>
      <c r="AL228">
        <v>44529</v>
      </c>
      <c r="AM228">
        <v>0</v>
      </c>
      <c r="AN228">
        <v>0</v>
      </c>
      <c r="AO228">
        <v>0</v>
      </c>
      <c r="AP228">
        <v>0</v>
      </c>
      <c r="AQ228">
        <v>0</v>
      </c>
      <c r="AR228">
        <v>0</v>
      </c>
    </row>
    <row r="229" spans="1:44">
      <c r="A229" t="str">
        <f>H229&amp;COUNTIF($H$2:H229,H229)</f>
        <v>W研磨1</v>
      </c>
      <c r="B229" t="str">
        <f>F229&amp;COUNTIF($F$2:F229,F229)</f>
        <v>高雄工業 海南第二6</v>
      </c>
      <c r="C229" t="str">
        <v>退社</v>
      </c>
      <c r="D229">
        <v>211201</v>
      </c>
      <c r="E229">
        <v>222037</v>
      </c>
      <c r="F229" t="str">
        <v>高雄工業 海南第二</v>
      </c>
      <c r="G229" t="str">
        <v>高雄工業株式会社 愛知事業所海南第二工場製作課</v>
      </c>
      <c r="H229" t="str">
        <v>W研磨</v>
      </c>
      <c r="I229" t="str">
        <v>産業機械部品の研磨加工、NCプログラム修正</v>
      </c>
      <c r="J229" t="str">
        <v>NGUYEN VAN TIEP</v>
      </c>
      <c r="K229" t="str">
        <v>グエン　ヴァン　ティエップ</v>
      </c>
      <c r="L229" t="str">
        <v>男</v>
      </c>
      <c r="M229" t="str">
        <v>ﾍﾞﾄﾅﾑ</v>
      </c>
      <c r="N229" s="31">
        <v>33100</v>
      </c>
      <c r="O229">
        <v>35</v>
      </c>
      <c r="P229">
        <v>1410</v>
      </c>
      <c r="Q229">
        <v>0</v>
      </c>
      <c r="R229">
        <v>1840</v>
      </c>
      <c r="S229">
        <v>0</v>
      </c>
      <c r="T229">
        <v>430</v>
      </c>
      <c r="U229">
        <v>300000</v>
      </c>
      <c r="V229">
        <v>15045</v>
      </c>
      <c r="W229" t="str">
        <v>0</v>
      </c>
      <c r="X229">
        <v>27450</v>
      </c>
      <c r="Y229" s="31">
        <v>46709</v>
      </c>
      <c r="Z229" t="str">
        <v/>
      </c>
      <c r="AA229" t="str">
        <v>技術・人文知識・国際業務</v>
      </c>
      <c r="AB229" t="str">
        <v>498-0031</v>
      </c>
      <c r="AC229" t="str">
        <v>愛知県弥富市平島町北広畑10-1</v>
      </c>
      <c r="AD229" t="str">
        <v>ﾚﾌﾞﾗﾝｶﾐｰﾘｱA201</v>
      </c>
      <c r="AE229" s="31" t="str">
        <v>個人</v>
      </c>
      <c r="AF229" s="31">
        <v>44531</v>
      </c>
      <c r="AG229" s="31">
        <v>45947</v>
      </c>
      <c r="AH229" s="31">
        <v>0</v>
      </c>
      <c r="AI229">
        <v>22.02</v>
      </c>
      <c r="AJ229" t="str">
        <v>OK</v>
      </c>
      <c r="AK229">
        <v>0</v>
      </c>
      <c r="AL229">
        <v>44531</v>
      </c>
      <c r="AM229">
        <v>0</v>
      </c>
      <c r="AN229">
        <v>0</v>
      </c>
      <c r="AO229">
        <v>0</v>
      </c>
      <c r="AP229">
        <v>0</v>
      </c>
      <c r="AQ229">
        <v>0</v>
      </c>
      <c r="AR229">
        <v>0</v>
      </c>
    </row>
    <row r="230" spans="1:44">
      <c r="A230" t="str">
        <f>H230&amp;COUNTIF($H$2:H230,H230)</f>
        <v>0119</v>
      </c>
      <c r="B230" t="str">
        <f>F230&amp;COUNTIF($F$2:F230,F230)</f>
        <v>PATEC8</v>
      </c>
      <c r="C230" t="str">
        <v>退社</v>
      </c>
      <c r="D230">
        <v>211202</v>
      </c>
      <c r="E230">
        <v>0</v>
      </c>
      <c r="F230" t="str">
        <v>PATEC</v>
      </c>
      <c r="G230" t="str">
        <v>製造部機械加工課</v>
      </c>
      <c r="H230">
        <v>0</v>
      </c>
      <c r="I230">
        <v>0</v>
      </c>
      <c r="J230" t="str">
        <v>NGUYEN VAN CHUNG</v>
      </c>
      <c r="K230" t="str">
        <v>グエン　ヴァン　チュン</v>
      </c>
      <c r="L230" t="str">
        <v>男</v>
      </c>
      <c r="M230" t="str">
        <v>ﾍﾞﾄﾅﾑ</v>
      </c>
      <c r="N230" s="31">
        <v>33817</v>
      </c>
      <c r="O230">
        <v>33</v>
      </c>
      <c r="P230">
        <v>1500</v>
      </c>
      <c r="Q230" t="str">
        <v>6/21～\1400⇒1500</v>
      </c>
      <c r="R230">
        <v>2000</v>
      </c>
      <c r="S230">
        <v>0</v>
      </c>
      <c r="T230">
        <v>500</v>
      </c>
      <c r="U230">
        <v>340000</v>
      </c>
      <c r="V230">
        <v>17051</v>
      </c>
      <c r="W230" t="str">
        <v>0</v>
      </c>
      <c r="X230">
        <v>31110</v>
      </c>
      <c r="Y230" s="31">
        <v>45691</v>
      </c>
      <c r="Z230" t="str">
        <v/>
      </c>
      <c r="AA230" t="str">
        <v>技術・人文知識・国際業務</v>
      </c>
      <c r="AB230" t="str">
        <v>747-0834</v>
      </c>
      <c r="AC230" t="str">
        <v>山口県防府市大字田島531-1</v>
      </c>
      <c r="AD230" t="str">
        <v>ﾛｼﾞｭﾏﾝ千希A202号</v>
      </c>
      <c r="AE230" s="31">
        <v>44592</v>
      </c>
      <c r="AF230" s="31">
        <v>44532</v>
      </c>
      <c r="AG230" s="31">
        <v>45350</v>
      </c>
      <c r="AH230" s="31">
        <v>0</v>
      </c>
      <c r="AI230">
        <v>21.12</v>
      </c>
      <c r="AJ230" t="str">
        <v>OK</v>
      </c>
      <c r="AK230">
        <v>0</v>
      </c>
      <c r="AL230">
        <v>44532</v>
      </c>
      <c r="AM230">
        <v>0</v>
      </c>
      <c r="AN230">
        <v>0</v>
      </c>
      <c r="AO230">
        <v>0</v>
      </c>
      <c r="AP230">
        <v>0</v>
      </c>
      <c r="AQ230">
        <v>0</v>
      </c>
      <c r="AR230">
        <v>0</v>
      </c>
    </row>
    <row r="231" spans="1:44">
      <c r="A231" t="str">
        <f>H231&amp;COUNTIF($H$2:H231,H231)</f>
        <v>1次旋係4</v>
      </c>
      <c r="B231" t="str">
        <f>F231&amp;COUNTIF($F$2:F231,F231)</f>
        <v>高雄工業 岡山33</v>
      </c>
      <c r="C231" t="str">
        <v>退社</v>
      </c>
      <c r="D231">
        <v>211203</v>
      </c>
      <c r="E231">
        <v>232033</v>
      </c>
      <c r="F231" t="str">
        <v>高雄工業 岡山</v>
      </c>
      <c r="G231" t="str">
        <v>高雄工業株式会社 岡山事業所HUB工場製作1課</v>
      </c>
      <c r="H231" t="str">
        <v>1次旋係</v>
      </c>
      <c r="I231" t="str">
        <v>ハブ加工 自動機の操作、ＮＣプログラム修正</v>
      </c>
      <c r="J231" t="str">
        <v>NGUYEN QUOC KHANH</v>
      </c>
      <c r="K231" t="str">
        <v>グエン　クオック　カイン</v>
      </c>
      <c r="L231" t="str">
        <v>男</v>
      </c>
      <c r="M231" t="str">
        <v>ﾍﾞﾄﾅﾑ</v>
      </c>
      <c r="N231" s="31">
        <v>34986</v>
      </c>
      <c r="O231">
        <v>30</v>
      </c>
      <c r="P231">
        <v>1410</v>
      </c>
      <c r="Q231">
        <v>0</v>
      </c>
      <c r="R231">
        <v>1820</v>
      </c>
      <c r="S231">
        <v>0</v>
      </c>
      <c r="T231">
        <v>410</v>
      </c>
      <c r="U231">
        <v>300000</v>
      </c>
      <c r="V231">
        <v>15045</v>
      </c>
      <c r="W231" t="str">
        <v>0</v>
      </c>
      <c r="X231">
        <v>27450</v>
      </c>
      <c r="Y231" s="31">
        <v>46040</v>
      </c>
      <c r="Z231" t="str">
        <v/>
      </c>
      <c r="AA231" t="str">
        <v>技術・人文知識・国際業務</v>
      </c>
      <c r="AB231" t="str">
        <v>709-2107</v>
      </c>
      <c r="AC231" t="str">
        <v>岡山県岡山市北区御津矢原298-1</v>
      </c>
      <c r="AD231" t="str">
        <v>成広矢原ｺｰﾎﾟⅥ206</v>
      </c>
      <c r="AE231" s="31">
        <v>44970</v>
      </c>
      <c r="AF231" s="31">
        <v>44532</v>
      </c>
      <c r="AG231" s="31">
        <v>45491</v>
      </c>
      <c r="AH231" s="31">
        <v>45443</v>
      </c>
      <c r="AI231">
        <v>22.02</v>
      </c>
      <c r="AJ231" t="str">
        <v>OK</v>
      </c>
      <c r="AK231">
        <v>0</v>
      </c>
      <c r="AL231">
        <v>44532</v>
      </c>
      <c r="AM231">
        <v>0</v>
      </c>
      <c r="AN231">
        <v>0</v>
      </c>
      <c r="AO231">
        <v>0</v>
      </c>
      <c r="AP231">
        <v>0</v>
      </c>
      <c r="AQ231">
        <v>0</v>
      </c>
      <c r="AR231">
        <v>0</v>
      </c>
    </row>
    <row r="232" spans="1:44">
      <c r="A232" t="str">
        <f>H232&amp;COUNTIF($H$2:H232,H232)</f>
        <v>0120</v>
      </c>
      <c r="B232" t="str">
        <f>F232&amp;COUNTIF($F$2:F232,F232)</f>
        <v>高雄工業 静岡25</v>
      </c>
      <c r="C232" t="str">
        <v>退社</v>
      </c>
      <c r="D232">
        <v>211204</v>
      </c>
      <c r="E232">
        <v>0</v>
      </c>
      <c r="F232" t="str">
        <v>高雄工業 静岡</v>
      </c>
      <c r="G232">
        <v>0</v>
      </c>
      <c r="H232">
        <v>0</v>
      </c>
      <c r="I232">
        <v>0</v>
      </c>
      <c r="J232" t="str">
        <v>NGUYRN HUU CANH</v>
      </c>
      <c r="K232" t="str">
        <v>グエン　フー　カン</v>
      </c>
      <c r="L232" t="str">
        <v>男</v>
      </c>
      <c r="M232" t="str">
        <v>ﾍﾞﾄﾅﾑ</v>
      </c>
      <c r="N232" s="31">
        <v>35722</v>
      </c>
      <c r="O232">
        <v>28</v>
      </c>
      <c r="P232">
        <v>1350</v>
      </c>
      <c r="Q232">
        <v>0</v>
      </c>
      <c r="R232">
        <v>1750</v>
      </c>
      <c r="S232">
        <v>0</v>
      </c>
      <c r="T232">
        <v>400</v>
      </c>
      <c r="U232">
        <v>0</v>
      </c>
      <c r="V232" t="str">
        <v/>
      </c>
      <c r="W232" t="str">
        <v>0</v>
      </c>
      <c r="X232" t="str">
        <v/>
      </c>
      <c r="Y232" s="31">
        <v>45306</v>
      </c>
      <c r="Z232" t="str">
        <v/>
      </c>
      <c r="AA232" t="str">
        <v>技術・人文知識・国際業務</v>
      </c>
      <c r="AB232" t="str">
        <v>437-0061</v>
      </c>
      <c r="AC232" t="str">
        <v>静岡県袋井市久能1889-2</v>
      </c>
      <c r="AD232" t="str">
        <v>ﾗﾌｨｰﾈ久能402号</v>
      </c>
      <c r="AE232" s="31">
        <v>0</v>
      </c>
      <c r="AF232" s="31">
        <v>44536</v>
      </c>
      <c r="AG232" s="31">
        <v>44638</v>
      </c>
      <c r="AH232" s="31">
        <v>0</v>
      </c>
      <c r="AI232">
        <v>21.12</v>
      </c>
      <c r="AJ232" t="str">
        <v>OK</v>
      </c>
      <c r="AK232">
        <v>0</v>
      </c>
      <c r="AL232">
        <v>44536</v>
      </c>
      <c r="AM232">
        <v>0</v>
      </c>
      <c r="AN232">
        <v>0</v>
      </c>
      <c r="AO232">
        <v>0</v>
      </c>
      <c r="AP232">
        <v>0</v>
      </c>
      <c r="AQ232">
        <v>0</v>
      </c>
      <c r="AR232">
        <v>0</v>
      </c>
    </row>
    <row r="233" spans="1:44">
      <c r="A233" t="str">
        <f>H233&amp;COUNTIF($H$2:H233,H233)</f>
        <v>0121</v>
      </c>
      <c r="B233" t="str">
        <f>F233&amp;COUNTIF($F$2:F233,F233)</f>
        <v>六甲電子7</v>
      </c>
      <c r="C233" t="str">
        <v>退社</v>
      </c>
      <c r="D233">
        <v>211205</v>
      </c>
      <c r="E233">
        <v>0</v>
      </c>
      <c r="F233" t="str">
        <v>六甲電子</v>
      </c>
      <c r="G233">
        <v>0</v>
      </c>
      <c r="H233">
        <v>0</v>
      </c>
      <c r="I233">
        <v>0</v>
      </c>
      <c r="J233" t="str">
        <v>NGUYEN VAN DUY</v>
      </c>
      <c r="K233" t="str">
        <v>グエン　ヴァン　ズイ</v>
      </c>
      <c r="L233" t="str">
        <v>男</v>
      </c>
      <c r="M233" t="str">
        <v>ﾍﾞﾄﾅﾑ</v>
      </c>
      <c r="N233" s="31">
        <v>34136</v>
      </c>
      <c r="O233">
        <v>32</v>
      </c>
      <c r="P233">
        <v>1400</v>
      </c>
      <c r="Q233">
        <v>0</v>
      </c>
      <c r="R233">
        <v>2000</v>
      </c>
      <c r="S233">
        <v>0</v>
      </c>
      <c r="T233">
        <v>600</v>
      </c>
      <c r="U233">
        <v>0</v>
      </c>
      <c r="V233" t="str">
        <v/>
      </c>
      <c r="W233" t="str">
        <v>0</v>
      </c>
      <c r="X233" t="str">
        <v/>
      </c>
      <c r="Y233" s="31">
        <v>44628</v>
      </c>
      <c r="Z233" t="str">
        <v/>
      </c>
      <c r="AA233" t="str">
        <v>技術・人文知識・国際業務</v>
      </c>
      <c r="AB233" t="str">
        <v>663-8174</v>
      </c>
      <c r="AC233" t="str">
        <v>兵庫県西宮市甲子園四番町1-16</v>
      </c>
      <c r="AD233" t="str">
        <v>甲子園四番町ﾊｲﾂ1F号</v>
      </c>
      <c r="AE233" s="31">
        <v>44536</v>
      </c>
      <c r="AF233" s="31">
        <v>44537</v>
      </c>
      <c r="AG233" s="31">
        <v>44540</v>
      </c>
      <c r="AH233" s="31">
        <v>0</v>
      </c>
      <c r="AI233">
        <v>22.02</v>
      </c>
      <c r="AJ233">
        <v>0</v>
      </c>
      <c r="AK233">
        <v>0</v>
      </c>
      <c r="AL233">
        <v>44537</v>
      </c>
      <c r="AM233">
        <v>0</v>
      </c>
      <c r="AN233">
        <v>0</v>
      </c>
      <c r="AO233">
        <v>0</v>
      </c>
      <c r="AP233">
        <v>0</v>
      </c>
      <c r="AQ233">
        <v>0</v>
      </c>
      <c r="AR233">
        <v>0</v>
      </c>
    </row>
    <row r="234" spans="1:44">
      <c r="A234" t="str">
        <f>H234&amp;COUNTIF($H$2:H234,H234)</f>
        <v>CVJ9</v>
      </c>
      <c r="B234" t="str">
        <f>F234&amp;COUNTIF($F$2:F234,F234)</f>
        <v>瑞陵精機12</v>
      </c>
      <c r="C234" t="str">
        <v>退社</v>
      </c>
      <c r="D234">
        <v>211206</v>
      </c>
      <c r="E234">
        <v>0</v>
      </c>
      <c r="F234" t="str">
        <v>瑞陵精機</v>
      </c>
      <c r="G234" t="str">
        <v>製造1課</v>
      </c>
      <c r="H234" t="str">
        <v>CVJ</v>
      </c>
      <c r="I234">
        <v>0</v>
      </c>
      <c r="J234" t="str">
        <v>NGUYEN HOANG LAM</v>
      </c>
      <c r="K234" t="str">
        <v>グエン　ホアン　ラム</v>
      </c>
      <c r="L234" t="str">
        <v>男</v>
      </c>
      <c r="M234" t="str">
        <v>ﾍﾞﾄﾅﾑ</v>
      </c>
      <c r="N234" s="31">
        <v>34949</v>
      </c>
      <c r="O234">
        <v>30</v>
      </c>
      <c r="P234">
        <v>1320</v>
      </c>
      <c r="Q234">
        <v>0</v>
      </c>
      <c r="R234">
        <v>1700</v>
      </c>
      <c r="S234">
        <v>0</v>
      </c>
      <c r="T234">
        <v>380</v>
      </c>
      <c r="U234">
        <v>0</v>
      </c>
      <c r="V234" t="str">
        <v/>
      </c>
      <c r="W234" t="str">
        <v>0</v>
      </c>
      <c r="X234" t="str">
        <v/>
      </c>
      <c r="Y234" s="31">
        <v>45369</v>
      </c>
      <c r="Z234" t="str">
        <v/>
      </c>
      <c r="AA234" t="str">
        <v>技術・人文知識・国際業務</v>
      </c>
      <c r="AB234" t="str">
        <v>509-7201</v>
      </c>
      <c r="AC234" t="str">
        <v>岐阜県恵那市大井町2087-170</v>
      </c>
      <c r="AD234" t="str">
        <v>ﾋﾞﾚｯｼﾞﾊｳｽ1棟310号</v>
      </c>
      <c r="AE234" s="31" t="str">
        <v>個人</v>
      </c>
      <c r="AF234" s="31">
        <v>44543</v>
      </c>
      <c r="AG234" s="31">
        <v>44694</v>
      </c>
      <c r="AH234" s="31">
        <v>0</v>
      </c>
      <c r="AI234">
        <v>22.02</v>
      </c>
      <c r="AJ234" t="str">
        <v>OK</v>
      </c>
      <c r="AK234">
        <v>0</v>
      </c>
      <c r="AL234">
        <v>44543</v>
      </c>
      <c r="AM234">
        <v>0</v>
      </c>
      <c r="AN234">
        <v>0</v>
      </c>
      <c r="AO234">
        <v>0</v>
      </c>
      <c r="AP234">
        <v>0</v>
      </c>
      <c r="AQ234">
        <v>0</v>
      </c>
      <c r="AR234">
        <v>0</v>
      </c>
    </row>
    <row r="235" spans="1:44">
      <c r="A235" t="str">
        <f>H235&amp;COUNTIF($H$2:H235,H235)</f>
        <v>0122</v>
      </c>
      <c r="B235" t="str">
        <f>F235&amp;COUNTIF($F$2:F235,F235)</f>
        <v>ワーク 志紀1</v>
      </c>
      <c r="C235" t="str">
        <v>退社</v>
      </c>
      <c r="D235">
        <v>211207</v>
      </c>
      <c r="E235">
        <v>0</v>
      </c>
      <c r="F235" t="str">
        <v>ワーク 志紀</v>
      </c>
      <c r="G235">
        <v>0</v>
      </c>
      <c r="H235">
        <v>0</v>
      </c>
      <c r="I235">
        <v>0</v>
      </c>
      <c r="J235" t="str">
        <v>PHAM CHI BAC</v>
      </c>
      <c r="K235" t="str">
        <v>ファム　チー　バック</v>
      </c>
      <c r="L235" t="str">
        <v>男</v>
      </c>
      <c r="M235" t="str">
        <v>ﾍﾞﾄﾅﾑ</v>
      </c>
      <c r="N235" s="31">
        <v>32777</v>
      </c>
      <c r="O235">
        <v>36</v>
      </c>
      <c r="P235">
        <v>1400</v>
      </c>
      <c r="Q235">
        <v>0</v>
      </c>
      <c r="R235">
        <v>1900</v>
      </c>
      <c r="S235">
        <v>0</v>
      </c>
      <c r="T235">
        <v>500</v>
      </c>
      <c r="U235">
        <v>0</v>
      </c>
      <c r="V235" t="str">
        <v/>
      </c>
      <c r="W235" t="str">
        <v>0</v>
      </c>
      <c r="X235" t="str">
        <v/>
      </c>
      <c r="Y235" s="31">
        <v>45613</v>
      </c>
      <c r="Z235" t="str">
        <v/>
      </c>
      <c r="AA235" t="str">
        <v>技術・人文知識・国際業務</v>
      </c>
      <c r="AB235" t="str">
        <v>581-0884</v>
      </c>
      <c r="AC235" t="str">
        <v>大阪府八尾市恩智南町1ー130</v>
      </c>
      <c r="AD235" t="str">
        <v>ﾌﾟﾚｱｰﾙ恩智Ⅱ202号</v>
      </c>
      <c r="AE235" s="31" t="str">
        <v>個人</v>
      </c>
      <c r="AF235" s="31">
        <v>44543</v>
      </c>
      <c r="AG235" s="31">
        <v>44674</v>
      </c>
      <c r="AH235" s="31">
        <v>0</v>
      </c>
      <c r="AI235">
        <v>22.02</v>
      </c>
      <c r="AJ235" t="str">
        <v>OK</v>
      </c>
      <c r="AK235">
        <v>0</v>
      </c>
      <c r="AL235">
        <v>44543</v>
      </c>
      <c r="AM235">
        <v>0</v>
      </c>
      <c r="AN235">
        <v>0</v>
      </c>
      <c r="AO235">
        <v>0</v>
      </c>
      <c r="AP235">
        <v>0</v>
      </c>
      <c r="AQ235">
        <v>0</v>
      </c>
      <c r="AR235">
        <v>0</v>
      </c>
    </row>
    <row r="236" spans="1:44">
      <c r="A236" t="str">
        <f>H236&amp;COUNTIF($H$2:H236,H236)</f>
        <v>州の崎工場製造1課1工区1班1</v>
      </c>
      <c r="B236" t="str">
        <f>F236&amp;COUNTIF($F$2:F236,F236)</f>
        <v>コーリツ 州の崎12</v>
      </c>
      <c r="C236" t="str">
        <v>退社</v>
      </c>
      <c r="D236">
        <v>211208</v>
      </c>
      <c r="E236">
        <v>8210020</v>
      </c>
      <c r="F236" t="str">
        <v>コーリツ 州の崎</v>
      </c>
      <c r="G236" t="str">
        <v>州の埼工場　製造１課１工区１班</v>
      </c>
      <c r="H236" t="str">
        <v>州の崎工場製造1課1工区1班</v>
      </c>
      <c r="I236">
        <v>0</v>
      </c>
      <c r="J236" t="str">
        <v>CAO HUU SON</v>
      </c>
      <c r="K236" t="str">
        <v>カオ　フ　ソン</v>
      </c>
      <c r="L236" t="str">
        <v>男</v>
      </c>
      <c r="M236" t="str">
        <v>ﾍﾞﾄﾅﾑ</v>
      </c>
      <c r="N236" s="31">
        <v>33059</v>
      </c>
      <c r="O236">
        <v>35</v>
      </c>
      <c r="P236">
        <v>1400</v>
      </c>
      <c r="Q236">
        <v>0</v>
      </c>
      <c r="R236">
        <v>1990</v>
      </c>
      <c r="S236">
        <v>0</v>
      </c>
      <c r="T236">
        <v>590</v>
      </c>
      <c r="U236">
        <v>340000</v>
      </c>
      <c r="V236">
        <v>17051</v>
      </c>
      <c r="W236" t="str">
        <v>0</v>
      </c>
      <c r="X236">
        <v>31110</v>
      </c>
      <c r="Y236" s="31">
        <v>45595</v>
      </c>
      <c r="Z236" t="str">
        <v/>
      </c>
      <c r="AA236" t="str">
        <v>技術・人文知識・国際業務</v>
      </c>
      <c r="AB236" t="str">
        <v>475-0074</v>
      </c>
      <c r="AC236" t="str">
        <v>愛知県半田市長根町3丁目1番　</v>
      </c>
      <c r="AD236" t="str">
        <v>県営長根住宅1-306</v>
      </c>
      <c r="AE236" s="31" t="str">
        <v>個人</v>
      </c>
      <c r="AF236" s="31">
        <v>44543</v>
      </c>
      <c r="AG236" s="31">
        <v>45426</v>
      </c>
      <c r="AH236" s="31">
        <v>0</v>
      </c>
      <c r="AI236">
        <v>22.01</v>
      </c>
      <c r="AJ236" t="str">
        <v>OK</v>
      </c>
      <c r="AK236">
        <v>0</v>
      </c>
      <c r="AL236">
        <v>44543</v>
      </c>
      <c r="AM236">
        <v>0</v>
      </c>
      <c r="AN236">
        <v>0</v>
      </c>
      <c r="AO236">
        <v>0</v>
      </c>
      <c r="AP236">
        <v>0</v>
      </c>
      <c r="AQ236">
        <v>0</v>
      </c>
      <c r="AR236">
        <v>0</v>
      </c>
    </row>
    <row r="237" spans="1:44">
      <c r="A237" t="str">
        <f>H237&amp;COUNTIF($H$2:H237,H237)</f>
        <v>0123</v>
      </c>
      <c r="B237" t="str">
        <f>F237&amp;COUNTIF($F$2:F237,F237)</f>
        <v>コーリツ 州の崎13</v>
      </c>
      <c r="C237" t="str">
        <v>退社</v>
      </c>
      <c r="D237">
        <v>211209</v>
      </c>
      <c r="E237">
        <v>8210021</v>
      </c>
      <c r="F237" t="str">
        <v>コーリツ 州の崎</v>
      </c>
      <c r="G237" t="str">
        <v>州の埼工場　製造２課２工区３班</v>
      </c>
      <c r="H237">
        <v>0</v>
      </c>
      <c r="I237">
        <v>0</v>
      </c>
      <c r="J237" t="str">
        <v>LAI DUY HIEN</v>
      </c>
      <c r="K237" t="str">
        <v>ライ　ズイ　ヒエン</v>
      </c>
      <c r="L237" t="str">
        <v>男</v>
      </c>
      <c r="M237" t="str">
        <v>ﾍﾞﾄﾅﾑ</v>
      </c>
      <c r="N237" s="31">
        <v>32092</v>
      </c>
      <c r="O237">
        <v>38</v>
      </c>
      <c r="P237">
        <v>1400</v>
      </c>
      <c r="Q237">
        <v>0</v>
      </c>
      <c r="R237">
        <v>1990</v>
      </c>
      <c r="S237">
        <v>0</v>
      </c>
      <c r="T237">
        <v>590</v>
      </c>
      <c r="U237">
        <v>0</v>
      </c>
      <c r="V237" t="str">
        <v/>
      </c>
      <c r="W237" t="str">
        <v>0</v>
      </c>
      <c r="X237" t="str">
        <v/>
      </c>
      <c r="Y237" s="31">
        <v>45070</v>
      </c>
      <c r="Z237" t="str">
        <v/>
      </c>
      <c r="AA237" t="str">
        <v>技術・人文知識・国際業務</v>
      </c>
      <c r="AB237" t="str">
        <v>475-0024</v>
      </c>
      <c r="AC237" t="str">
        <v>愛知県半田市亀崎高根町2丁目20-7</v>
      </c>
      <c r="AD237" t="str">
        <v>ﾋﾞﾚｯｼﾞﾊｳｽ亀崎2号棟301</v>
      </c>
      <c r="AE237" s="31">
        <v>44539</v>
      </c>
      <c r="AF237" s="31">
        <v>44543</v>
      </c>
      <c r="AG237" s="31">
        <v>44816</v>
      </c>
      <c r="AH237" s="31">
        <v>0</v>
      </c>
      <c r="AI237">
        <v>22.02</v>
      </c>
      <c r="AJ237" t="str">
        <v>OK</v>
      </c>
      <c r="AK237">
        <v>0</v>
      </c>
      <c r="AL237">
        <v>44543</v>
      </c>
      <c r="AM237">
        <v>0</v>
      </c>
      <c r="AN237">
        <v>0</v>
      </c>
      <c r="AO237">
        <v>0</v>
      </c>
      <c r="AP237">
        <v>0</v>
      </c>
      <c r="AQ237">
        <v>0</v>
      </c>
      <c r="AR237">
        <v>0</v>
      </c>
    </row>
    <row r="238" spans="1:44">
      <c r="A238" t="str">
        <f>H238&amp;COUNTIF($H$2:H238,H238)</f>
        <v>0124</v>
      </c>
      <c r="B238" t="str">
        <f>F238&amp;COUNTIF($F$2:F238,F238)</f>
        <v>高雄工業 静岡26</v>
      </c>
      <c r="C238" t="str">
        <v>退社</v>
      </c>
      <c r="D238">
        <v>211210</v>
      </c>
      <c r="E238">
        <v>0</v>
      </c>
      <c r="F238" t="str">
        <v>高雄工業 静岡</v>
      </c>
      <c r="G238">
        <v>0</v>
      </c>
      <c r="H238">
        <v>0</v>
      </c>
      <c r="I238">
        <v>0</v>
      </c>
      <c r="J238" t="str">
        <v>LE HUU THANG</v>
      </c>
      <c r="K238" t="str">
        <v>レー　ヒュー　タン</v>
      </c>
      <c r="L238" t="str">
        <v>男</v>
      </c>
      <c r="M238" t="str">
        <v>ﾍﾞﾄﾅﾑ</v>
      </c>
      <c r="N238" s="31">
        <v>29933</v>
      </c>
      <c r="O238">
        <v>43</v>
      </c>
      <c r="P238">
        <v>1350</v>
      </c>
      <c r="Q238">
        <v>0</v>
      </c>
      <c r="R238">
        <v>1750</v>
      </c>
      <c r="S238">
        <v>0</v>
      </c>
      <c r="T238">
        <v>400</v>
      </c>
      <c r="U238">
        <v>0</v>
      </c>
      <c r="V238" t="str">
        <v/>
      </c>
      <c r="W238" t="str">
        <v>0</v>
      </c>
      <c r="X238" t="str">
        <v/>
      </c>
      <c r="Y238" s="31">
        <v>45597</v>
      </c>
      <c r="Z238" t="str">
        <v/>
      </c>
      <c r="AA238" t="str">
        <v>技術・人文知識・国際業務</v>
      </c>
      <c r="AB238" t="str">
        <v>437-0065</v>
      </c>
      <c r="AC238" t="str">
        <v>静岡県袋井市堀越1丁目21-9</v>
      </c>
      <c r="AD238" t="str">
        <v>ﾌﾟﾁｾｿﾞﾝ103号</v>
      </c>
      <c r="AE238" s="31">
        <v>44544</v>
      </c>
      <c r="AF238" s="31">
        <v>44546</v>
      </c>
      <c r="AG238" s="31">
        <v>44586</v>
      </c>
      <c r="AH238" s="31">
        <v>0</v>
      </c>
      <c r="AI238">
        <v>22.03</v>
      </c>
      <c r="AJ238">
        <v>0</v>
      </c>
      <c r="AK238">
        <v>0</v>
      </c>
      <c r="AL238">
        <v>44546</v>
      </c>
      <c r="AM238">
        <v>0</v>
      </c>
      <c r="AN238">
        <v>0</v>
      </c>
      <c r="AO238">
        <v>0</v>
      </c>
      <c r="AP238">
        <v>0</v>
      </c>
      <c r="AQ238">
        <v>0</v>
      </c>
      <c r="AR238">
        <v>0</v>
      </c>
    </row>
    <row r="239" spans="1:44">
      <c r="A239" t="str">
        <f>H239&amp;COUNTIF($H$2:H239,H239)</f>
        <v>乙川工場製造3課6工区9班3</v>
      </c>
      <c r="B239" t="str">
        <f>F239&amp;COUNTIF($F$2:F239,F239)</f>
        <v>コーリツ 乙川6</v>
      </c>
      <c r="C239" t="str">
        <v>退社</v>
      </c>
      <c r="D239">
        <v>211211</v>
      </c>
      <c r="E239">
        <v>8210024</v>
      </c>
      <c r="F239" t="str">
        <v>コーリツ 乙川</v>
      </c>
      <c r="G239" t="str">
        <v>乙川工場製造3課6工区9班</v>
      </c>
      <c r="H239" t="str">
        <v>乙川工場製造3課6工区9班</v>
      </c>
      <c r="I239">
        <v>0</v>
      </c>
      <c r="J239" t="str">
        <v>TRAN VAN THAN</v>
      </c>
      <c r="K239" t="str">
        <v>チャン　ヴァン　タン</v>
      </c>
      <c r="L239" t="str">
        <v>男</v>
      </c>
      <c r="M239" t="str">
        <v>ﾍﾞﾄﾅﾑ</v>
      </c>
      <c r="N239" s="31">
        <v>33865</v>
      </c>
      <c r="O239">
        <v>33</v>
      </c>
      <c r="P239">
        <v>1400</v>
      </c>
      <c r="Q239">
        <v>0</v>
      </c>
      <c r="R239">
        <v>1990</v>
      </c>
      <c r="S239">
        <v>0</v>
      </c>
      <c r="T239">
        <v>590</v>
      </c>
      <c r="U239">
        <v>360000</v>
      </c>
      <c r="V239">
        <v>18054</v>
      </c>
      <c r="W239" t="str">
        <v>0</v>
      </c>
      <c r="X239">
        <v>32940</v>
      </c>
      <c r="Y239" s="31">
        <v>45641</v>
      </c>
      <c r="Z239" t="str">
        <v/>
      </c>
      <c r="AA239" t="str">
        <v>技術・人文知識・国際業務</v>
      </c>
      <c r="AB239" t="str">
        <v>475-0828</v>
      </c>
      <c r="AC239" t="str">
        <v>愛知県半田市長根町1丁目104</v>
      </c>
      <c r="AD239" t="str">
        <v>ｺｯﾄﾝﾊｲﾂ105</v>
      </c>
      <c r="AE239" s="31" t="str">
        <v>個人</v>
      </c>
      <c r="AF239" s="31">
        <v>44550</v>
      </c>
      <c r="AG239" s="31">
        <v>45317</v>
      </c>
      <c r="AH239" s="31">
        <v>0</v>
      </c>
      <c r="AI239">
        <v>22.01</v>
      </c>
      <c r="AJ239" t="str">
        <v>OK</v>
      </c>
      <c r="AK239">
        <v>0</v>
      </c>
      <c r="AL239">
        <v>44550</v>
      </c>
      <c r="AM239">
        <v>0</v>
      </c>
      <c r="AN239">
        <v>0</v>
      </c>
      <c r="AO239">
        <v>0</v>
      </c>
      <c r="AP239">
        <v>0</v>
      </c>
      <c r="AQ239">
        <v>0</v>
      </c>
      <c r="AR239">
        <v>0</v>
      </c>
    </row>
    <row r="240" spans="1:44">
      <c r="A240" t="str">
        <f>H240&amp;COUNTIF($H$2:H240,H240)</f>
        <v>乙川工場製造3課5工区7班1</v>
      </c>
      <c r="B240" t="str">
        <f>F240&amp;COUNTIF($F$2:F240,F240)</f>
        <v>コーリツ 乙川7</v>
      </c>
      <c r="C240" t="str">
        <v>退社</v>
      </c>
      <c r="D240">
        <v>211212</v>
      </c>
      <c r="E240">
        <v>8210022</v>
      </c>
      <c r="F240" t="str">
        <v>コーリツ 乙川</v>
      </c>
      <c r="G240" t="str">
        <v>乙川工場　製造３課５工区７班</v>
      </c>
      <c r="H240" t="str">
        <v>乙川工場製造3課5工区7班</v>
      </c>
      <c r="I240">
        <v>0</v>
      </c>
      <c r="J240" t="str">
        <v>NGUYEN TIEN DUC</v>
      </c>
      <c r="K240" t="str">
        <v>グエン　テイエン　ドウク</v>
      </c>
      <c r="L240" t="str">
        <v>男</v>
      </c>
      <c r="M240" t="str">
        <v>ﾍﾞﾄﾅﾑ</v>
      </c>
      <c r="N240" s="31">
        <v>31479</v>
      </c>
      <c r="O240">
        <v>39</v>
      </c>
      <c r="P240">
        <v>1400</v>
      </c>
      <c r="Q240">
        <v>0</v>
      </c>
      <c r="R240">
        <v>1990</v>
      </c>
      <c r="S240">
        <v>0</v>
      </c>
      <c r="T240">
        <v>590</v>
      </c>
      <c r="U240">
        <v>360000</v>
      </c>
      <c r="V240">
        <v>18054</v>
      </c>
      <c r="W240" t="str">
        <v>0</v>
      </c>
      <c r="X240">
        <v>32940</v>
      </c>
      <c r="Y240" s="31">
        <v>45408</v>
      </c>
      <c r="Z240" t="str">
        <v/>
      </c>
      <c r="AA240" t="str">
        <v>技術・人文知識・国際業務</v>
      </c>
      <c r="AB240" t="str">
        <v>470-2300</v>
      </c>
      <c r="AC240" t="str">
        <v>愛知県知多郡武豊町堀割1-1</v>
      </c>
      <c r="AD240" t="str">
        <v>県営武豊住宅2-405</v>
      </c>
      <c r="AE240" s="31" t="str">
        <v>個人</v>
      </c>
      <c r="AF240" s="31">
        <v>44550</v>
      </c>
      <c r="AG240" s="31">
        <v>45128</v>
      </c>
      <c r="AH240" s="31">
        <v>0</v>
      </c>
      <c r="AI240">
        <v>22.02</v>
      </c>
      <c r="AJ240" t="str">
        <v>OK</v>
      </c>
      <c r="AK240">
        <v>0</v>
      </c>
      <c r="AL240">
        <v>44550</v>
      </c>
      <c r="AM240">
        <v>0</v>
      </c>
      <c r="AN240">
        <v>0</v>
      </c>
      <c r="AO240">
        <v>0</v>
      </c>
      <c r="AP240">
        <v>0</v>
      </c>
      <c r="AQ240">
        <v>0</v>
      </c>
      <c r="AR240">
        <v>0</v>
      </c>
    </row>
    <row r="241" spans="1:44">
      <c r="A241" t="str">
        <f>H241&amp;COUNTIF($H$2:H241,H241)</f>
        <v>0125</v>
      </c>
      <c r="B241" t="str">
        <f>F241&amp;COUNTIF($F$2:F241,F241)</f>
        <v>コーリツ 州の崎14</v>
      </c>
      <c r="C241" t="str">
        <v>退社</v>
      </c>
      <c r="D241">
        <v>211213</v>
      </c>
      <c r="E241">
        <v>8210025</v>
      </c>
      <c r="F241" t="str">
        <v>コーリツ 州の崎</v>
      </c>
      <c r="G241" t="str">
        <v>州の埼工場　製造２課２工区３班</v>
      </c>
      <c r="H241">
        <v>0</v>
      </c>
      <c r="I241">
        <v>0</v>
      </c>
      <c r="J241" t="str">
        <v>TRAN HUU DANG</v>
      </c>
      <c r="K241" t="str">
        <v>チャン　フュ　ダン</v>
      </c>
      <c r="L241" t="str">
        <v>男</v>
      </c>
      <c r="M241" t="str">
        <v>ﾍﾞﾄﾅﾑ</v>
      </c>
      <c r="N241" s="31">
        <v>34548</v>
      </c>
      <c r="O241">
        <v>31</v>
      </c>
      <c r="P241">
        <v>1400</v>
      </c>
      <c r="Q241">
        <v>0</v>
      </c>
      <c r="R241">
        <v>1990</v>
      </c>
      <c r="S241">
        <v>0</v>
      </c>
      <c r="T241">
        <v>590</v>
      </c>
      <c r="U241">
        <v>0</v>
      </c>
      <c r="V241" t="str">
        <v/>
      </c>
      <c r="W241" t="str">
        <v>0</v>
      </c>
      <c r="X241" t="str">
        <v/>
      </c>
      <c r="Y241" s="31">
        <v>45118</v>
      </c>
      <c r="Z241" t="str">
        <v/>
      </c>
      <c r="AA241" t="str">
        <v>技術・人文知識・国際業務</v>
      </c>
      <c r="AB241" t="str">
        <v>475-0024</v>
      </c>
      <c r="AC241" t="str">
        <v>愛知県半田市亀崎高根町2丁目20-7</v>
      </c>
      <c r="AD241" t="str">
        <v>ﾋﾞﾚｯｼﾞﾊｳｽ亀崎2号棟301</v>
      </c>
      <c r="AE241" s="31">
        <v>44555</v>
      </c>
      <c r="AF241" s="31">
        <v>44550</v>
      </c>
      <c r="AG241" s="31">
        <v>44742</v>
      </c>
      <c r="AH241" s="31">
        <v>0</v>
      </c>
      <c r="AI241">
        <v>22.03</v>
      </c>
      <c r="AJ241" t="str">
        <v>OK</v>
      </c>
      <c r="AK241">
        <v>0</v>
      </c>
      <c r="AL241">
        <v>44550</v>
      </c>
      <c r="AM241">
        <v>0</v>
      </c>
      <c r="AN241">
        <v>0</v>
      </c>
      <c r="AO241">
        <v>0</v>
      </c>
      <c r="AP241">
        <v>0</v>
      </c>
      <c r="AQ241">
        <v>0</v>
      </c>
      <c r="AR241">
        <v>0</v>
      </c>
    </row>
    <row r="242" spans="1:44">
      <c r="A242" t="str">
        <f>H242&amp;COUNTIF($H$2:H242,H242)</f>
        <v>0126</v>
      </c>
      <c r="B242" t="str">
        <f>F242&amp;COUNTIF($F$2:F242,F242)</f>
        <v>ワーク 志紀2</v>
      </c>
      <c r="C242" t="str">
        <v>在職中</v>
      </c>
      <c r="D242">
        <v>211214</v>
      </c>
      <c r="E242">
        <v>0</v>
      </c>
      <c r="F242" t="str">
        <v>ワーク 志紀</v>
      </c>
      <c r="G242" t="str">
        <v>志紀工場　製造部</v>
      </c>
      <c r="H242">
        <v>0</v>
      </c>
      <c r="I242">
        <v>0</v>
      </c>
      <c r="J242" t="str">
        <v>NGUYEN VAN DUC</v>
      </c>
      <c r="K242" t="str">
        <v>グエン　バン　ドック</v>
      </c>
      <c r="L242" t="str">
        <v>男</v>
      </c>
      <c r="M242" t="str">
        <v>ﾍﾞﾄﾅﾑ</v>
      </c>
      <c r="N242" s="31">
        <v>34177</v>
      </c>
      <c r="O242">
        <v>32</v>
      </c>
      <c r="P242">
        <v>1450</v>
      </c>
      <c r="Q242">
        <v>0</v>
      </c>
      <c r="R242">
        <v>1900</v>
      </c>
      <c r="S242">
        <v>0</v>
      </c>
      <c r="T242">
        <v>450</v>
      </c>
      <c r="U242">
        <v>240000</v>
      </c>
      <c r="V242">
        <v>12036</v>
      </c>
      <c r="W242" t="str">
        <v>0</v>
      </c>
      <c r="X242">
        <v>21960</v>
      </c>
      <c r="Y242" s="31">
        <v>47429</v>
      </c>
      <c r="Z242" t="str">
        <v/>
      </c>
      <c r="AA242" t="str">
        <v>技術・人文知識・国際業務</v>
      </c>
      <c r="AB242" t="str">
        <v>581-0094</v>
      </c>
      <c r="AC242" t="str">
        <v>大坂府八尾市志紀町西1丁目3番地</v>
      </c>
      <c r="AD242" t="str">
        <v>府営住宅6-1003号</v>
      </c>
      <c r="AE242" s="31" t="str">
        <v>個人</v>
      </c>
      <c r="AF242" s="31">
        <v>44550</v>
      </c>
      <c r="AG242" s="31">
        <v>0</v>
      </c>
      <c r="AH242" s="31">
        <v>0</v>
      </c>
      <c r="AI242">
        <v>22.02</v>
      </c>
      <c r="AJ242" t="str">
        <v>OK</v>
      </c>
      <c r="AK242">
        <v>0</v>
      </c>
      <c r="AL242">
        <v>44550</v>
      </c>
      <c r="AM242">
        <v>0</v>
      </c>
      <c r="AN242">
        <v>0</v>
      </c>
      <c r="AO242">
        <v>0</v>
      </c>
      <c r="AP242">
        <v>0</v>
      </c>
      <c r="AQ242">
        <v>0</v>
      </c>
      <c r="AR242">
        <v>0</v>
      </c>
    </row>
    <row r="243" spans="1:44">
      <c r="A243" t="str">
        <f>H243&amp;COUNTIF($H$2:H243,H243)</f>
        <v>0127</v>
      </c>
      <c r="B243" t="str">
        <f>F243&amp;COUNTIF($F$2:F243,F243)</f>
        <v>高雄工業 岡山34</v>
      </c>
      <c r="C243" t="str">
        <v>退社</v>
      </c>
      <c r="D243">
        <v>211215</v>
      </c>
      <c r="E243">
        <v>0</v>
      </c>
      <c r="F243" t="str">
        <v>高雄工業 岡山</v>
      </c>
      <c r="G243">
        <v>0</v>
      </c>
      <c r="H243">
        <v>0</v>
      </c>
      <c r="I243">
        <v>0</v>
      </c>
      <c r="J243" t="str">
        <v>HOANG HUY HOI</v>
      </c>
      <c r="K243" t="str">
        <v>ホアン　フイ　ホイ</v>
      </c>
      <c r="L243" t="str">
        <v>男</v>
      </c>
      <c r="M243" t="str">
        <v>ﾍﾞﾄﾅﾑ</v>
      </c>
      <c r="N243" s="31">
        <v>33748</v>
      </c>
      <c r="O243">
        <v>33</v>
      </c>
      <c r="P243">
        <v>1350</v>
      </c>
      <c r="Q243">
        <v>0</v>
      </c>
      <c r="R243">
        <v>1750</v>
      </c>
      <c r="S243">
        <v>0</v>
      </c>
      <c r="T243">
        <v>400</v>
      </c>
      <c r="U243">
        <v>0</v>
      </c>
      <c r="V243" t="str">
        <v/>
      </c>
      <c r="W243" t="str">
        <v>0</v>
      </c>
      <c r="X243" t="str">
        <v/>
      </c>
      <c r="Y243" s="31">
        <v>45313</v>
      </c>
      <c r="Z243" t="str">
        <v/>
      </c>
      <c r="AA243" t="str">
        <v>技術・人文知識・国際業務</v>
      </c>
      <c r="AB243" t="str">
        <v>709-2133</v>
      </c>
      <c r="AC243" t="str">
        <v>岡山県岡山市北区御津金川373番地1</v>
      </c>
      <c r="AD243" t="str">
        <v>ﾆｭｰｴﾙﾃﾞｨﾑ小西C201</v>
      </c>
      <c r="AE243" s="31">
        <v>44546</v>
      </c>
      <c r="AF243" s="31">
        <v>44551</v>
      </c>
      <c r="AG243" s="31">
        <v>44554</v>
      </c>
      <c r="AH243" s="31">
        <v>0</v>
      </c>
      <c r="AI243">
        <v>0</v>
      </c>
      <c r="AJ243">
        <v>0</v>
      </c>
      <c r="AK243">
        <v>0</v>
      </c>
      <c r="AL243">
        <v>44551</v>
      </c>
      <c r="AM243">
        <v>0</v>
      </c>
      <c r="AN243">
        <v>0</v>
      </c>
      <c r="AO243">
        <v>0</v>
      </c>
      <c r="AP243">
        <v>0</v>
      </c>
      <c r="AQ243">
        <v>0</v>
      </c>
      <c r="AR243">
        <v>0</v>
      </c>
    </row>
    <row r="244" spans="1:44">
      <c r="A244" t="str">
        <f>H244&amp;COUNTIF($H$2:H244,H244)</f>
        <v>0128</v>
      </c>
      <c r="B244" t="str">
        <f>F244&amp;COUNTIF($F$2:F244,F244)</f>
        <v>高雄工業 静岡27</v>
      </c>
      <c r="C244" t="str">
        <v>退社</v>
      </c>
      <c r="D244">
        <v>210204</v>
      </c>
      <c r="E244">
        <v>0</v>
      </c>
      <c r="F244" t="str">
        <v>高雄工業 静岡</v>
      </c>
      <c r="G244">
        <v>0</v>
      </c>
      <c r="H244">
        <v>0</v>
      </c>
      <c r="I244">
        <v>0</v>
      </c>
      <c r="J244" t="str">
        <v>近藤　ヨシオ</v>
      </c>
      <c r="K244" t="str">
        <v>コンドウ　ヨシオ</v>
      </c>
      <c r="L244" t="str">
        <v>男</v>
      </c>
      <c r="M244" t="str">
        <v>ﾌﾞﾗｼﾞﾙ</v>
      </c>
      <c r="N244" s="31">
        <v>23316</v>
      </c>
      <c r="O244">
        <v>62</v>
      </c>
      <c r="P244">
        <v>1300</v>
      </c>
      <c r="Q244">
        <v>0</v>
      </c>
      <c r="R244">
        <v>1750</v>
      </c>
      <c r="S244">
        <v>0</v>
      </c>
      <c r="T244">
        <v>450</v>
      </c>
      <c r="U244">
        <v>0</v>
      </c>
      <c r="V244" t="str">
        <v/>
      </c>
      <c r="W244" t="str">
        <v>0</v>
      </c>
      <c r="X244" t="str">
        <v/>
      </c>
      <c r="Y244" s="31">
        <v>450</v>
      </c>
      <c r="Z244" t="str">
        <v/>
      </c>
      <c r="AA244" t="str">
        <v>日本人の配偶者</v>
      </c>
      <c r="AB244" t="str">
        <v>437-0066</v>
      </c>
      <c r="AC244" t="str">
        <v>静岡県袋井市山科3388-1</v>
      </c>
      <c r="AD244" t="str">
        <v>鶴松203</v>
      </c>
      <c r="AE244" s="31">
        <v>44553</v>
      </c>
      <c r="AF244" s="31">
        <v>44554</v>
      </c>
      <c r="AG244" s="31">
        <v>44589</v>
      </c>
      <c r="AH244" s="31">
        <v>0</v>
      </c>
      <c r="AI244">
        <v>22.03</v>
      </c>
      <c r="AJ244">
        <v>0</v>
      </c>
      <c r="AK244">
        <v>0</v>
      </c>
      <c r="AL244">
        <v>44554</v>
      </c>
      <c r="AM244">
        <v>0</v>
      </c>
      <c r="AN244">
        <v>0</v>
      </c>
      <c r="AO244">
        <v>0</v>
      </c>
      <c r="AP244">
        <v>0</v>
      </c>
      <c r="AQ244">
        <v>0</v>
      </c>
      <c r="AR244">
        <v>0</v>
      </c>
    </row>
    <row r="245" spans="1:44">
      <c r="A245" t="str">
        <f>H245&amp;COUNTIF($H$2:H245,H245)</f>
        <v>0129</v>
      </c>
      <c r="B245" t="str">
        <f>F245&amp;COUNTIF($F$2:F245,F245)</f>
        <v>ワーク 志紀3</v>
      </c>
      <c r="C245" t="str">
        <v>退社</v>
      </c>
      <c r="D245">
        <v>211216</v>
      </c>
      <c r="E245">
        <v>0</v>
      </c>
      <c r="F245" t="str">
        <v>ワーク 志紀</v>
      </c>
      <c r="G245">
        <v>0</v>
      </c>
      <c r="H245">
        <v>0</v>
      </c>
      <c r="I245">
        <v>0</v>
      </c>
      <c r="J245" t="str">
        <v>NGUYEN HUU MANH</v>
      </c>
      <c r="K245" t="str">
        <v>グエン　フウ　マン</v>
      </c>
      <c r="L245" t="str">
        <v>男</v>
      </c>
      <c r="M245" t="str">
        <v>ﾍﾞﾄﾅﾑ</v>
      </c>
      <c r="N245" s="31">
        <v>30210</v>
      </c>
      <c r="O245">
        <v>43</v>
      </c>
      <c r="P245">
        <v>1400</v>
      </c>
      <c r="Q245">
        <v>0</v>
      </c>
      <c r="R245">
        <v>1900</v>
      </c>
      <c r="S245">
        <v>0</v>
      </c>
      <c r="T245">
        <v>500</v>
      </c>
      <c r="U245">
        <v>0</v>
      </c>
      <c r="V245" t="str">
        <v/>
      </c>
      <c r="W245" t="str">
        <v>0</v>
      </c>
      <c r="X245" t="str">
        <v/>
      </c>
      <c r="Y245" s="31">
        <v>44841</v>
      </c>
      <c r="Z245" t="str">
        <v/>
      </c>
      <c r="AA245" t="str">
        <v>技術・人文知識・国際業務</v>
      </c>
      <c r="AB245" t="str">
        <v>552-0001</v>
      </c>
      <c r="AC245" t="str">
        <v>大阪府大阪市港区波除5丁目3番9</v>
      </c>
      <c r="AD245" t="str">
        <v>304号</v>
      </c>
      <c r="AE245" s="31" t="str">
        <v>個人</v>
      </c>
      <c r="AF245" s="31">
        <v>44557</v>
      </c>
      <c r="AG245" s="31">
        <v>44701</v>
      </c>
      <c r="AH245" s="31">
        <v>0</v>
      </c>
      <c r="AI245">
        <v>22.02</v>
      </c>
      <c r="AJ245" t="str">
        <v>OK</v>
      </c>
      <c r="AK245">
        <v>0</v>
      </c>
      <c r="AL245">
        <v>44557</v>
      </c>
      <c r="AM245">
        <v>0</v>
      </c>
      <c r="AN245">
        <v>0</v>
      </c>
      <c r="AO245">
        <v>0</v>
      </c>
      <c r="AP245">
        <v>0</v>
      </c>
      <c r="AQ245">
        <v>0</v>
      </c>
      <c r="AR245">
        <v>0</v>
      </c>
    </row>
    <row r="246" spans="1:44">
      <c r="A246" t="str">
        <f>H246&amp;COUNTIF($H$2:H246,H246)</f>
        <v>CVJ長軸旋盤係7</v>
      </c>
      <c r="B246" t="str">
        <f>F246&amp;COUNTIF($F$2:F246,F246)</f>
        <v>高雄工業 岡山35</v>
      </c>
      <c r="C246" t="str">
        <v>退社</v>
      </c>
      <c r="D246">
        <v>211217</v>
      </c>
      <c r="E246">
        <v>232035</v>
      </c>
      <c r="F246" t="str">
        <v>高雄工業 岡山</v>
      </c>
      <c r="G246" t="str">
        <v>高雄工業株式会社 岡山事業所CVJ工場製作課</v>
      </c>
      <c r="H246" t="str">
        <v>CVJ長軸旋盤係</v>
      </c>
      <c r="I246" t="str">
        <v>ＣＶＪ長軸等速ジョイント旋削加工・ＮＣプログラム修正</v>
      </c>
      <c r="J246" t="str">
        <v>NGUYEN PHU CUONG</v>
      </c>
      <c r="K246" t="str">
        <v>グエン　フ　クオン</v>
      </c>
      <c r="L246" t="str">
        <v>男</v>
      </c>
      <c r="M246" t="str">
        <v>ﾍﾞﾄﾅﾑ</v>
      </c>
      <c r="N246" s="31">
        <v>34750</v>
      </c>
      <c r="O246">
        <v>30</v>
      </c>
      <c r="P246">
        <v>1400</v>
      </c>
      <c r="Q246">
        <v>0</v>
      </c>
      <c r="R246">
        <v>1790</v>
      </c>
      <c r="S246">
        <v>0</v>
      </c>
      <c r="T246">
        <v>390</v>
      </c>
      <c r="U246">
        <v>320000</v>
      </c>
      <c r="V246">
        <v>16048</v>
      </c>
      <c r="W246" t="str">
        <v>0</v>
      </c>
      <c r="X246">
        <v>29280</v>
      </c>
      <c r="Y246" s="31">
        <v>45626</v>
      </c>
      <c r="Z246" t="str">
        <v/>
      </c>
      <c r="AA246" t="str">
        <v>技術・人文知識・国際業務</v>
      </c>
      <c r="AB246" t="str">
        <v>709-2134</v>
      </c>
      <c r="AC246" t="str">
        <v>岡山県岡山市北区美津下田77－3</v>
      </c>
      <c r="AD246" t="str">
        <v>ﾋﾞﾚｯｼﾞﾊｳｽ宇甘川1棟402号</v>
      </c>
      <c r="AE246" s="31" t="str">
        <v>個人</v>
      </c>
      <c r="AF246" s="31">
        <v>44557</v>
      </c>
      <c r="AG246" s="31">
        <v>45320</v>
      </c>
      <c r="AH246" s="31">
        <v>0</v>
      </c>
      <c r="AI246">
        <v>22.03</v>
      </c>
      <c r="AJ246" t="str">
        <v>OK</v>
      </c>
      <c r="AK246">
        <v>0</v>
      </c>
      <c r="AL246">
        <v>44557</v>
      </c>
      <c r="AM246">
        <v>0</v>
      </c>
      <c r="AN246">
        <v>0</v>
      </c>
      <c r="AO246">
        <v>0</v>
      </c>
      <c r="AP246">
        <v>0</v>
      </c>
      <c r="AQ246">
        <v>0</v>
      </c>
      <c r="AR246">
        <v>0</v>
      </c>
    </row>
    <row r="247" spans="1:44">
      <c r="A247" t="str">
        <f>H247&amp;COUNTIF($H$2:H247,H247)</f>
        <v>0130</v>
      </c>
      <c r="B247" t="str">
        <f>F247&amp;COUNTIF($F$2:F247,F247)</f>
        <v>高雄工業 岡山36</v>
      </c>
      <c r="C247" t="str">
        <v>退社</v>
      </c>
      <c r="D247">
        <v>211218</v>
      </c>
      <c r="E247">
        <v>0</v>
      </c>
      <c r="F247" t="str">
        <v>高雄工業 岡山</v>
      </c>
      <c r="G247">
        <v>0</v>
      </c>
      <c r="H247">
        <v>0</v>
      </c>
      <c r="I247">
        <v>0</v>
      </c>
      <c r="J247" t="str">
        <v>PHAN VAN BINH</v>
      </c>
      <c r="K247" t="str">
        <v>ファン　バン　ビン</v>
      </c>
      <c r="L247" t="str">
        <v>男</v>
      </c>
      <c r="M247" t="str">
        <v>ﾍﾞﾄﾅﾑ</v>
      </c>
      <c r="N247" s="31">
        <v>33674</v>
      </c>
      <c r="O247">
        <v>33</v>
      </c>
      <c r="P247">
        <v>1350</v>
      </c>
      <c r="Q247">
        <v>0</v>
      </c>
      <c r="R247">
        <v>1750</v>
      </c>
      <c r="S247">
        <v>0</v>
      </c>
      <c r="T247">
        <v>400</v>
      </c>
      <c r="U247">
        <v>0</v>
      </c>
      <c r="V247" t="str">
        <v/>
      </c>
      <c r="W247" t="str">
        <v>0</v>
      </c>
      <c r="X247" t="str">
        <v/>
      </c>
      <c r="Y247" s="31">
        <v>45126</v>
      </c>
      <c r="Z247" t="str">
        <v/>
      </c>
      <c r="AA247" t="str">
        <v>技術・人文知識・国際業務</v>
      </c>
      <c r="AB247" t="str">
        <v>709-2133</v>
      </c>
      <c r="AC247" t="str">
        <v>岡山県岡山市北区御津下田77-3</v>
      </c>
      <c r="AD247" t="str">
        <v>ﾋﾞﾚｯｼﾞﾊｳｽ宇甘川2号棟A302</v>
      </c>
      <c r="AE247" s="31" t="str">
        <v>個人</v>
      </c>
      <c r="AF247" s="31">
        <v>44558</v>
      </c>
      <c r="AG247" s="31">
        <v>44616</v>
      </c>
      <c r="AH247" s="31">
        <v>0</v>
      </c>
      <c r="AI247">
        <v>22.03</v>
      </c>
      <c r="AJ247">
        <v>0</v>
      </c>
      <c r="AK247">
        <v>0</v>
      </c>
      <c r="AL247">
        <v>44558</v>
      </c>
      <c r="AM247">
        <v>0</v>
      </c>
      <c r="AN247">
        <v>0</v>
      </c>
      <c r="AO247">
        <v>0</v>
      </c>
      <c r="AP247">
        <v>0</v>
      </c>
      <c r="AQ247">
        <v>0</v>
      </c>
      <c r="AR247">
        <v>0</v>
      </c>
    </row>
    <row r="248" spans="1:44">
      <c r="A248" t="str">
        <f>H248&amp;COUNTIF($H$2:H248,H248)</f>
        <v>0131</v>
      </c>
      <c r="B248" t="str">
        <f>F248&amp;COUNTIF($F$2:F248,F248)</f>
        <v>六甲電子8</v>
      </c>
      <c r="C248" t="str">
        <v>退社</v>
      </c>
      <c r="D248">
        <v>220101</v>
      </c>
      <c r="E248">
        <v>0</v>
      </c>
      <c r="F248" t="str">
        <v>六甲電子</v>
      </c>
      <c r="G248">
        <v>0</v>
      </c>
      <c r="H248">
        <v>0</v>
      </c>
      <c r="I248">
        <v>0</v>
      </c>
      <c r="J248" t="str">
        <v>MA PHUC MINH</v>
      </c>
      <c r="K248" t="str">
        <v>マ　フック　ミン</v>
      </c>
      <c r="L248" t="str">
        <v>男</v>
      </c>
      <c r="M248" t="str">
        <v>ﾍﾞﾄﾅﾑ</v>
      </c>
      <c r="N248" s="31">
        <v>32412</v>
      </c>
      <c r="O248">
        <v>37</v>
      </c>
      <c r="P248">
        <v>1400</v>
      </c>
      <c r="Q248">
        <v>0</v>
      </c>
      <c r="R248">
        <v>2000</v>
      </c>
      <c r="S248">
        <v>0</v>
      </c>
      <c r="T248">
        <v>600</v>
      </c>
      <c r="U248">
        <v>0</v>
      </c>
      <c r="V248" t="str">
        <v/>
      </c>
      <c r="W248" t="str">
        <v>0</v>
      </c>
      <c r="X248" t="str">
        <v/>
      </c>
      <c r="Y248" s="31">
        <v>45004</v>
      </c>
      <c r="Z248" t="str">
        <v/>
      </c>
      <c r="AA248" t="str">
        <v>技術・人文知識・国際業務</v>
      </c>
      <c r="AB248" t="str">
        <v>663-8174</v>
      </c>
      <c r="AC248" t="str">
        <v>兵庫県西宮市甲子園四番町1-16</v>
      </c>
      <c r="AD248" t="str">
        <v>甲子園四番町ﾊｲﾂ1F号</v>
      </c>
      <c r="AE248" s="31">
        <v>44554</v>
      </c>
      <c r="AF248" s="31">
        <v>44566</v>
      </c>
      <c r="AG248" s="31">
        <v>44581</v>
      </c>
      <c r="AH248" s="31">
        <v>0</v>
      </c>
      <c r="AI248">
        <v>22.03</v>
      </c>
      <c r="AJ248">
        <v>0</v>
      </c>
      <c r="AK248">
        <v>0</v>
      </c>
      <c r="AL248">
        <v>44566</v>
      </c>
      <c r="AM248">
        <v>0</v>
      </c>
      <c r="AN248">
        <v>0</v>
      </c>
      <c r="AO248">
        <v>0</v>
      </c>
      <c r="AP248">
        <v>0</v>
      </c>
      <c r="AQ248">
        <v>0</v>
      </c>
      <c r="AR248">
        <v>0</v>
      </c>
    </row>
    <row r="249" spans="1:44">
      <c r="A249" t="str">
        <f>H249&amp;COUNTIF($H$2:H249,H249)</f>
        <v>0132</v>
      </c>
      <c r="B249" t="str">
        <f>F249&amp;COUNTIF($F$2:F249,F249)</f>
        <v>六甲電子9</v>
      </c>
      <c r="C249" t="str">
        <v>退社</v>
      </c>
      <c r="D249">
        <v>220102</v>
      </c>
      <c r="E249">
        <v>60058</v>
      </c>
      <c r="F249" t="str">
        <v>六甲電子</v>
      </c>
      <c r="G249" t="str">
        <v>製造部　製造１課　枚葉</v>
      </c>
      <c r="H249">
        <v>0</v>
      </c>
      <c r="I249">
        <v>0</v>
      </c>
      <c r="J249" t="str">
        <v>NGUYEN KHANH DUY</v>
      </c>
      <c r="K249" t="str">
        <v>グエン　カン　ユイ</v>
      </c>
      <c r="L249" t="str">
        <v>男</v>
      </c>
      <c r="M249" t="str">
        <v>ﾍﾞﾄﾅﾑ</v>
      </c>
      <c r="N249" s="31">
        <v>33728</v>
      </c>
      <c r="O249">
        <v>33</v>
      </c>
      <c r="P249">
        <v>1450</v>
      </c>
      <c r="Q249">
        <v>0</v>
      </c>
      <c r="R249">
        <v>2000</v>
      </c>
      <c r="S249">
        <v>0</v>
      </c>
      <c r="T249">
        <v>550</v>
      </c>
      <c r="U249">
        <v>300000</v>
      </c>
      <c r="V249">
        <v>15045</v>
      </c>
      <c r="W249" t="str">
        <v>0</v>
      </c>
      <c r="X249">
        <v>27450</v>
      </c>
      <c r="Y249" s="31">
        <v>46270</v>
      </c>
      <c r="Z249" t="str">
        <v/>
      </c>
      <c r="AA249" t="str">
        <v>技術・人文知識・国際業務</v>
      </c>
      <c r="AB249" t="str">
        <v>532-0024</v>
      </c>
      <c r="AC249" t="str">
        <v>大阪府大阪市淀川区十三本町3丁目5番19</v>
      </c>
      <c r="AD249" t="str">
        <v>405号</v>
      </c>
      <c r="AE249" s="31" t="str">
        <v>個人</v>
      </c>
      <c r="AF249" s="31">
        <v>44566</v>
      </c>
      <c r="AG249" s="31">
        <v>45642</v>
      </c>
      <c r="AH249" s="31">
        <v>0</v>
      </c>
      <c r="AI249">
        <v>22.03</v>
      </c>
      <c r="AJ249" t="str">
        <v>OK</v>
      </c>
      <c r="AK249">
        <v>0</v>
      </c>
      <c r="AL249">
        <v>44566</v>
      </c>
      <c r="AM249">
        <v>0</v>
      </c>
      <c r="AN249">
        <v>0</v>
      </c>
      <c r="AO249">
        <v>0</v>
      </c>
      <c r="AP249">
        <v>0</v>
      </c>
      <c r="AQ249">
        <v>0</v>
      </c>
      <c r="AR249">
        <v>0</v>
      </c>
    </row>
    <row r="250" spans="1:44">
      <c r="A250" t="str">
        <f>H250&amp;COUNTIF($H$2:H250,H250)</f>
        <v>0133</v>
      </c>
      <c r="B250" t="str">
        <f>F250&amp;COUNTIF($F$2:F250,F250)</f>
        <v>PATEC9</v>
      </c>
      <c r="C250" t="str">
        <v>退社</v>
      </c>
      <c r="D250">
        <v>220103</v>
      </c>
      <c r="E250">
        <v>0</v>
      </c>
      <c r="F250" t="str">
        <v>PATEC</v>
      </c>
      <c r="G250" t="str">
        <v>製造部素材課</v>
      </c>
      <c r="H250">
        <v>0</v>
      </c>
      <c r="I250">
        <v>0</v>
      </c>
      <c r="J250" t="str">
        <v>DAO ANH TUAN</v>
      </c>
      <c r="K250" t="str">
        <v>ダオ　アン　トゥアン</v>
      </c>
      <c r="L250" t="str">
        <v>男</v>
      </c>
      <c r="M250" t="str">
        <v>ﾍﾞﾄﾅﾑ</v>
      </c>
      <c r="N250" s="31">
        <v>30230</v>
      </c>
      <c r="O250">
        <v>43</v>
      </c>
      <c r="P250">
        <v>1600</v>
      </c>
      <c r="Q250" t="str">
        <v>7/21～\1500⇒1600</v>
      </c>
      <c r="R250">
        <v>2100</v>
      </c>
      <c r="S250">
        <v>0</v>
      </c>
      <c r="T250">
        <v>500</v>
      </c>
      <c r="U250">
        <v>380000</v>
      </c>
      <c r="V250">
        <v>19057</v>
      </c>
      <c r="W250">
        <v>3021</v>
      </c>
      <c r="X250">
        <v>34770</v>
      </c>
      <c r="Y250" s="31">
        <v>46109</v>
      </c>
      <c r="Z250" t="str">
        <v/>
      </c>
      <c r="AA250" t="str">
        <v>技術・人文知識・国際業務</v>
      </c>
      <c r="AB250" t="str">
        <v>747-0834</v>
      </c>
      <c r="AC250" t="str">
        <v>山口県防府市大字田島395番地</v>
      </c>
      <c r="AD250" t="str">
        <v>ﾗｸﾞﾘｼｰﾅⅠ104</v>
      </c>
      <c r="AE250" s="31">
        <v>44552</v>
      </c>
      <c r="AF250" s="31">
        <v>44566</v>
      </c>
      <c r="AG250" s="31">
        <v>45128</v>
      </c>
      <c r="AH250" s="31">
        <v>0</v>
      </c>
      <c r="AI250">
        <v>22.03</v>
      </c>
      <c r="AJ250" t="str">
        <v>OK</v>
      </c>
      <c r="AK250">
        <v>0</v>
      </c>
      <c r="AL250">
        <v>44566</v>
      </c>
      <c r="AM250">
        <v>0</v>
      </c>
      <c r="AN250">
        <v>0</v>
      </c>
      <c r="AO250">
        <v>0</v>
      </c>
      <c r="AP250">
        <v>0</v>
      </c>
      <c r="AQ250">
        <v>0</v>
      </c>
      <c r="AR250">
        <v>0</v>
      </c>
    </row>
    <row r="251" spans="1:44">
      <c r="A251" t="str">
        <f>H251&amp;COUNTIF($H$2:H251,H251)</f>
        <v>CVJ長軸旋盤係8</v>
      </c>
      <c r="B251" t="str">
        <f>F251&amp;COUNTIF($F$2:F251,F251)</f>
        <v>高雄工業 岡山37</v>
      </c>
      <c r="C251" t="str">
        <v>在職中</v>
      </c>
      <c r="D251">
        <v>220104</v>
      </c>
      <c r="E251">
        <v>232037</v>
      </c>
      <c r="F251" t="str">
        <v>高雄工業 岡山</v>
      </c>
      <c r="G251" t="str">
        <v>高雄工業株式会社 岡山事業所CVJ工場製作課</v>
      </c>
      <c r="H251" t="str">
        <v>CVJ長軸旋盤係</v>
      </c>
      <c r="I251" t="str">
        <v>ＣＶＪ長軸等速ジョイント旋削加工、ＮＣプログラム修正</v>
      </c>
      <c r="J251" t="str">
        <v>NGUYEN VAN CUONG</v>
      </c>
      <c r="K251" t="str">
        <v>グエン　ヴァン　クオン</v>
      </c>
      <c r="L251" t="str">
        <v>男</v>
      </c>
      <c r="M251" t="str">
        <v>ﾍﾞﾄﾅﾑ</v>
      </c>
      <c r="N251" s="31">
        <v>34597</v>
      </c>
      <c r="O251">
        <v>31</v>
      </c>
      <c r="P251">
        <v>1410</v>
      </c>
      <c r="Q251">
        <v>0</v>
      </c>
      <c r="R251">
        <v>1850</v>
      </c>
      <c r="S251">
        <v>0</v>
      </c>
      <c r="T251">
        <v>440</v>
      </c>
      <c r="U251">
        <v>280000</v>
      </c>
      <c r="V251">
        <v>14042</v>
      </c>
      <c r="W251" t="str">
        <v>0</v>
      </c>
      <c r="X251">
        <v>25620</v>
      </c>
      <c r="Y251" s="31">
        <v>46638</v>
      </c>
      <c r="Z251" t="str">
        <v/>
      </c>
      <c r="AA251" t="str">
        <v>技術・人文知識・国際業務</v>
      </c>
      <c r="AB251" t="str">
        <v>709-2107</v>
      </c>
      <c r="AC251" t="str">
        <v>岡山県岡山市北区御津矢原307</v>
      </c>
      <c r="AD251" t="str">
        <v>成広矢原ｺｰﾎﾟⅠ205</v>
      </c>
      <c r="AE251" s="31">
        <v>44558</v>
      </c>
      <c r="AF251" s="31">
        <v>44567</v>
      </c>
      <c r="AG251" s="31">
        <v>0</v>
      </c>
      <c r="AH251" s="31">
        <v>0</v>
      </c>
      <c r="AI251">
        <v>22.03</v>
      </c>
      <c r="AJ251" t="str">
        <v>OK</v>
      </c>
      <c r="AK251">
        <v>0</v>
      </c>
      <c r="AL251">
        <v>44567</v>
      </c>
      <c r="AM251">
        <v>0</v>
      </c>
      <c r="AN251">
        <v>0</v>
      </c>
      <c r="AO251">
        <v>0</v>
      </c>
      <c r="AP251">
        <v>0</v>
      </c>
      <c r="AQ251">
        <v>0</v>
      </c>
      <c r="AR251">
        <v>0</v>
      </c>
    </row>
    <row r="252" spans="1:44">
      <c r="A252" t="str">
        <f>H252&amp;COUNTIF($H$2:H252,H252)</f>
        <v>0134</v>
      </c>
      <c r="B252" t="str">
        <f>F252&amp;COUNTIF($F$2:F252,F252)</f>
        <v>高雄工業 本社20</v>
      </c>
      <c r="C252" t="str">
        <v>退社</v>
      </c>
      <c r="D252">
        <v>220105</v>
      </c>
      <c r="E252">
        <v>0</v>
      </c>
      <c r="F252" t="str">
        <v>高雄工業 本社</v>
      </c>
      <c r="G252" t="str">
        <v>高雄工業株式会社 愛知事業所本社工場製作課</v>
      </c>
      <c r="H252">
        <v>0</v>
      </c>
      <c r="I252">
        <v>0</v>
      </c>
      <c r="J252" t="str">
        <v>PHAM LE PUONG DUY</v>
      </c>
      <c r="K252" t="str">
        <v>ファム　レー　フウノ　ユイ</v>
      </c>
      <c r="L252" t="str">
        <v>男</v>
      </c>
      <c r="M252" t="str">
        <v>ﾍﾞﾄﾅﾑ</v>
      </c>
      <c r="N252" s="31">
        <v>35053</v>
      </c>
      <c r="O252">
        <v>29</v>
      </c>
      <c r="P252">
        <v>1350</v>
      </c>
      <c r="Q252">
        <v>0</v>
      </c>
      <c r="R252">
        <v>1750</v>
      </c>
      <c r="S252">
        <v>0</v>
      </c>
      <c r="T252">
        <v>400</v>
      </c>
      <c r="U252">
        <v>0</v>
      </c>
      <c r="V252" t="str">
        <v/>
      </c>
      <c r="W252" t="str">
        <v>0</v>
      </c>
      <c r="X252" t="str">
        <v/>
      </c>
      <c r="Y252" s="31">
        <v>46208</v>
      </c>
      <c r="Z252" t="str">
        <v/>
      </c>
      <c r="AA252" t="str">
        <v>技術・人文知識・国際業務</v>
      </c>
      <c r="AB252">
        <v>0</v>
      </c>
      <c r="AC252" t="str">
        <v>愛知県弥富市平島町中新田194-1</v>
      </c>
      <c r="AD252" t="str">
        <v>ｺﾝﾂｪﾙﾊｳｽⅡD棟202</v>
      </c>
      <c r="AE252" s="31">
        <v>0</v>
      </c>
      <c r="AF252" s="31">
        <v>44567</v>
      </c>
      <c r="AG252" s="31">
        <v>44573</v>
      </c>
      <c r="AH252" s="31">
        <v>0</v>
      </c>
      <c r="AI252">
        <v>0</v>
      </c>
      <c r="AJ252">
        <v>0</v>
      </c>
      <c r="AK252">
        <v>0</v>
      </c>
      <c r="AL252">
        <v>44567</v>
      </c>
      <c r="AM252">
        <v>0</v>
      </c>
      <c r="AN252">
        <v>0</v>
      </c>
      <c r="AO252">
        <v>0</v>
      </c>
      <c r="AP252">
        <v>0</v>
      </c>
      <c r="AQ252">
        <v>0</v>
      </c>
      <c r="AR252">
        <v>0</v>
      </c>
    </row>
    <row r="253" spans="1:44">
      <c r="A253" t="str">
        <f>H253&amp;COUNTIF($H$2:H253,H253)</f>
        <v>0135</v>
      </c>
      <c r="B253" t="str">
        <f>F253&amp;COUNTIF($F$2:F253,F253)</f>
        <v>コーリツ 本社4</v>
      </c>
      <c r="C253" t="str">
        <v>退社</v>
      </c>
      <c r="D253">
        <v>220106</v>
      </c>
      <c r="E253">
        <v>8210026</v>
      </c>
      <c r="F253" t="str">
        <v>コーリツ 本社</v>
      </c>
      <c r="G253" t="str">
        <v>第５工場　製造２課３工区６班</v>
      </c>
      <c r="H253">
        <v>0</v>
      </c>
      <c r="I253">
        <v>0</v>
      </c>
      <c r="J253" t="str">
        <v>NGUYEN VAN CUA</v>
      </c>
      <c r="K253" t="str">
        <v>グエン　ヴァン　クア</v>
      </c>
      <c r="L253" t="str">
        <v>男</v>
      </c>
      <c r="M253" t="str">
        <v>ﾍﾞﾄﾅﾑ</v>
      </c>
      <c r="N253" s="31">
        <v>34496</v>
      </c>
      <c r="O253">
        <v>31</v>
      </c>
      <c r="P253">
        <v>1400</v>
      </c>
      <c r="Q253">
        <v>0</v>
      </c>
      <c r="R253">
        <v>1990</v>
      </c>
      <c r="S253">
        <v>0</v>
      </c>
      <c r="T253">
        <v>590</v>
      </c>
      <c r="U253">
        <v>0</v>
      </c>
      <c r="V253" t="str">
        <v/>
      </c>
      <c r="W253" t="str">
        <v>0</v>
      </c>
      <c r="X253" t="str">
        <v/>
      </c>
      <c r="Y253" s="31">
        <v>44856</v>
      </c>
      <c r="Z253" t="str">
        <v/>
      </c>
      <c r="AA253" t="str">
        <v>技術・人文知識・国際業務</v>
      </c>
      <c r="AB253" t="str">
        <v>444-1313</v>
      </c>
      <c r="AC253" t="str">
        <v>愛知県高浜市向山町1丁目210番地3</v>
      </c>
      <c r="AD253" t="str">
        <v>ｻﾞ･ｼｯｸ101</v>
      </c>
      <c r="AE253" s="31">
        <v>44566</v>
      </c>
      <c r="AF253" s="31">
        <v>44567</v>
      </c>
      <c r="AG253" s="31">
        <v>44707</v>
      </c>
      <c r="AH253" s="31">
        <v>0</v>
      </c>
      <c r="AI253">
        <v>22.03</v>
      </c>
      <c r="AJ253" t="str">
        <v>OK</v>
      </c>
      <c r="AK253">
        <v>0</v>
      </c>
      <c r="AL253">
        <v>44567</v>
      </c>
      <c r="AM253">
        <v>0</v>
      </c>
      <c r="AN253">
        <v>0</v>
      </c>
      <c r="AO253">
        <v>0</v>
      </c>
      <c r="AP253">
        <v>0</v>
      </c>
      <c r="AQ253">
        <v>0</v>
      </c>
      <c r="AR253">
        <v>0</v>
      </c>
    </row>
    <row r="254" spans="1:44">
      <c r="A254" t="str">
        <f>H254&amp;COUNTIF($H$2:H254,H254)</f>
        <v>州の崎工場製造1課1工区1班2</v>
      </c>
      <c r="B254" t="str">
        <f>F254&amp;COUNTIF($F$2:F254,F254)</f>
        <v>コーリツ 州の崎15</v>
      </c>
      <c r="C254" t="str">
        <v>退社</v>
      </c>
      <c r="D254">
        <v>220107</v>
      </c>
      <c r="E254">
        <v>8210028</v>
      </c>
      <c r="F254" t="str">
        <v>コーリツ 州の崎</v>
      </c>
      <c r="G254" t="str">
        <v>州の崎工場製造1課1工区1班</v>
      </c>
      <c r="H254" t="str">
        <v>州の崎工場製造1課1工区1班</v>
      </c>
      <c r="I254">
        <v>0</v>
      </c>
      <c r="J254" t="str">
        <v>NGUYEN VAN KHOA</v>
      </c>
      <c r="K254" t="str">
        <v>グエン　ヴァン　コア</v>
      </c>
      <c r="L254" t="str">
        <v>男</v>
      </c>
      <c r="M254" t="str">
        <v>ﾍﾞﾄﾅﾑ</v>
      </c>
      <c r="N254" s="31">
        <v>33552</v>
      </c>
      <c r="O254">
        <v>34</v>
      </c>
      <c r="P254">
        <v>1500</v>
      </c>
      <c r="Q254">
        <v>0</v>
      </c>
      <c r="R254">
        <v>2150</v>
      </c>
      <c r="S254">
        <v>0</v>
      </c>
      <c r="T254">
        <v>650</v>
      </c>
      <c r="U254">
        <v>340000</v>
      </c>
      <c r="V254">
        <v>17051</v>
      </c>
      <c r="W254" t="str">
        <v>0</v>
      </c>
      <c r="X254">
        <v>31110</v>
      </c>
      <c r="Y254" s="31">
        <v>46189</v>
      </c>
      <c r="Z254" t="str">
        <v/>
      </c>
      <c r="AA254" t="str">
        <v>技術・人文知識・国際業務</v>
      </c>
      <c r="AB254" t="str">
        <v>444-1334</v>
      </c>
      <c r="AC254" t="str">
        <v>愛知県高浜市春日町1丁目２番地１</v>
      </c>
      <c r="AD254" t="str">
        <v>県営赤松住宅4棟202号</v>
      </c>
      <c r="AE254" s="31" t="str">
        <v>個人</v>
      </c>
      <c r="AF254" s="31">
        <v>44567</v>
      </c>
      <c r="AG254" s="31">
        <v>45919</v>
      </c>
      <c r="AH254" s="31">
        <v>0</v>
      </c>
      <c r="AI254">
        <v>22.03</v>
      </c>
      <c r="AJ254" t="str">
        <v>OK</v>
      </c>
      <c r="AK254">
        <v>0</v>
      </c>
      <c r="AL254">
        <v>44567</v>
      </c>
      <c r="AM254" t="str">
        <v>普通免許</v>
      </c>
      <c r="AN254">
        <v>46001</v>
      </c>
      <c r="AO254" t="str">
        <v>車</v>
      </c>
      <c r="AP254">
        <v>46221</v>
      </c>
      <c r="AQ254">
        <v>0</v>
      </c>
      <c r="AR254">
        <v>0</v>
      </c>
    </row>
    <row r="255" spans="1:44">
      <c r="A255" t="str">
        <f>H255&amp;COUNTIF($H$2:H255,H255)</f>
        <v>0136</v>
      </c>
      <c r="B255" t="str">
        <f>F255&amp;COUNTIF($F$2:F255,F255)</f>
        <v>ピーエムアイ12</v>
      </c>
      <c r="C255" t="str">
        <v>退社</v>
      </c>
      <c r="D255">
        <v>220109</v>
      </c>
      <c r="E255">
        <v>41</v>
      </c>
      <c r="F255" t="str">
        <v>ピーエムアイ</v>
      </c>
      <c r="G255">
        <v>0</v>
      </c>
      <c r="H255">
        <v>0</v>
      </c>
      <c r="I255">
        <v>0</v>
      </c>
      <c r="J255" t="str">
        <v>PHAM THANH TAM</v>
      </c>
      <c r="K255" t="str">
        <v>ファム　タン　タム</v>
      </c>
      <c r="L255" t="str">
        <v>男</v>
      </c>
      <c r="M255" t="str">
        <v>ﾍﾞﾄﾅﾑ</v>
      </c>
      <c r="N255" s="31">
        <v>33939</v>
      </c>
      <c r="O255">
        <v>33</v>
      </c>
      <c r="P255">
        <v>1300</v>
      </c>
      <c r="Q255">
        <v>0</v>
      </c>
      <c r="R255">
        <v>1800</v>
      </c>
      <c r="S255">
        <v>0</v>
      </c>
      <c r="T255">
        <v>500</v>
      </c>
      <c r="U255">
        <v>0</v>
      </c>
      <c r="V255" t="str">
        <v/>
      </c>
      <c r="W255" t="str">
        <v>0</v>
      </c>
      <c r="X255">
        <v>0</v>
      </c>
      <c r="Y255" s="31">
        <v>46140</v>
      </c>
      <c r="Z255" t="str">
        <v/>
      </c>
      <c r="AA255" t="str">
        <v>技術・人文知識・国際業務</v>
      </c>
      <c r="AB255" t="str">
        <v>471-0805</v>
      </c>
      <c r="AC255" t="str">
        <v>愛知県豊田市美里2-6-9</v>
      </c>
      <c r="AD255" t="str">
        <v>ﾚｼﾞｪﾝﾄﾞK203</v>
      </c>
      <c r="AE255" s="31">
        <v>0</v>
      </c>
      <c r="AF255" s="31">
        <v>44569</v>
      </c>
      <c r="AG255" s="31">
        <v>44984</v>
      </c>
      <c r="AH255" s="31">
        <v>44982</v>
      </c>
      <c r="AI255">
        <v>22.03</v>
      </c>
      <c r="AJ255" t="str">
        <v>OK</v>
      </c>
      <c r="AK255">
        <v>0</v>
      </c>
      <c r="AL255">
        <v>44569</v>
      </c>
      <c r="AM255">
        <v>0</v>
      </c>
      <c r="AN255">
        <v>0</v>
      </c>
      <c r="AO255">
        <v>0</v>
      </c>
      <c r="AP255">
        <v>0</v>
      </c>
      <c r="AQ255">
        <v>0</v>
      </c>
      <c r="AR255">
        <v>0</v>
      </c>
    </row>
    <row r="256" spans="1:44">
      <c r="A256" t="str">
        <f>H256&amp;COUNTIF($H$2:H256,H256)</f>
        <v>0137</v>
      </c>
      <c r="B256" t="str">
        <f>F256&amp;COUNTIF($F$2:F256,F256)</f>
        <v>コーリツ 乙川8</v>
      </c>
      <c r="C256" t="str">
        <v>退社</v>
      </c>
      <c r="D256">
        <v>220108</v>
      </c>
      <c r="E256">
        <v>8210027</v>
      </c>
      <c r="F256" t="str">
        <v>コーリツ 乙川</v>
      </c>
      <c r="G256" t="str">
        <v>乙川工場　製造３課５工区７班</v>
      </c>
      <c r="H256">
        <v>0</v>
      </c>
      <c r="I256">
        <v>0</v>
      </c>
      <c r="J256" t="str">
        <v>NGUYEN TIEN HAI</v>
      </c>
      <c r="K256" t="str">
        <v>グエン　ティエン　ハイ</v>
      </c>
      <c r="L256" t="str">
        <v>男</v>
      </c>
      <c r="M256" t="str">
        <v>ﾍﾞﾄﾅﾑ</v>
      </c>
      <c r="N256" s="31">
        <v>33230</v>
      </c>
      <c r="O256">
        <v>34</v>
      </c>
      <c r="P256">
        <v>1400</v>
      </c>
      <c r="Q256">
        <v>0</v>
      </c>
      <c r="R256">
        <v>1990</v>
      </c>
      <c r="S256">
        <v>0</v>
      </c>
      <c r="T256">
        <v>590</v>
      </c>
      <c r="U256">
        <v>280000</v>
      </c>
      <c r="V256">
        <v>14042</v>
      </c>
      <c r="W256" t="str">
        <v>0</v>
      </c>
      <c r="X256">
        <v>25620</v>
      </c>
      <c r="Y256" s="31">
        <v>45251</v>
      </c>
      <c r="Z256" t="str">
        <v/>
      </c>
      <c r="AA256" t="str">
        <v>技術・人文知識・国際業務</v>
      </c>
      <c r="AB256" t="str">
        <v>475-0828</v>
      </c>
      <c r="AC256" t="str">
        <v>愛知県半田市瑞穂町9丁目6-9</v>
      </c>
      <c r="AD256" t="str">
        <v>ｽｶｲﾚｼﾞﾃﾞﾝｽ302</v>
      </c>
      <c r="AE256" s="31">
        <v>44569</v>
      </c>
      <c r="AF256" s="31">
        <v>44571</v>
      </c>
      <c r="AG256" s="31">
        <v>44952</v>
      </c>
      <c r="AH256" s="31">
        <v>0</v>
      </c>
      <c r="AI256">
        <v>22.03</v>
      </c>
      <c r="AJ256" t="str">
        <v>OK</v>
      </c>
      <c r="AK256" t="str">
        <v>2022/02/05ﾋﾙｽﾞｻﾝﾊﾟﾃｨｰｸ203～スカイレジデンス302に移動</v>
      </c>
      <c r="AL256">
        <v>44571</v>
      </c>
      <c r="AM256">
        <v>0</v>
      </c>
      <c r="AN256">
        <v>0</v>
      </c>
      <c r="AO256">
        <v>0</v>
      </c>
      <c r="AP256">
        <v>0</v>
      </c>
      <c r="AQ256">
        <v>0</v>
      </c>
      <c r="AR256">
        <v>0</v>
      </c>
    </row>
    <row r="257" spans="1:44">
      <c r="A257" t="str">
        <f>H257&amp;COUNTIF($H$2:H257,H257)</f>
        <v>0138</v>
      </c>
      <c r="B257" t="str">
        <f>F257&amp;COUNTIF($F$2:F257,F257)</f>
        <v>ﾌｪﾆﾃｯｸｾﾐｺﾝﾀﾞｸﾀｰ 岡山17</v>
      </c>
      <c r="C257" t="str">
        <v>退社</v>
      </c>
      <c r="D257">
        <v>200801</v>
      </c>
      <c r="E257">
        <v>84105</v>
      </c>
      <c r="F257" t="str">
        <v>ﾌｪﾆﾃｯｸｾﾐｺﾝﾀﾞｸﾀｰ 岡山</v>
      </c>
      <c r="G257" t="str">
        <v>岡山工場製造部BM課</v>
      </c>
      <c r="H257">
        <v>0</v>
      </c>
      <c r="I257">
        <v>0</v>
      </c>
      <c r="J257" t="str">
        <v>NGUYEN QUANG THANG</v>
      </c>
      <c r="K257" t="str">
        <v>グエン　クアン　タン</v>
      </c>
      <c r="L257" t="str">
        <v>男</v>
      </c>
      <c r="M257" t="str">
        <v>ﾍﾞﾄﾅﾑ</v>
      </c>
      <c r="N257" s="31">
        <v>32431</v>
      </c>
      <c r="O257">
        <v>37</v>
      </c>
      <c r="P257">
        <v>1600</v>
      </c>
      <c r="Q257" t="str">
        <v>1/21~1500</v>
      </c>
      <c r="R257">
        <v>2300</v>
      </c>
      <c r="S257" t="str">
        <v>22.04.01~200円UP</v>
      </c>
      <c r="T257">
        <v>700</v>
      </c>
      <c r="U257">
        <v>320000</v>
      </c>
      <c r="V257">
        <v>16048</v>
      </c>
      <c r="W257" t="str">
        <v>0</v>
      </c>
      <c r="X257">
        <v>29280</v>
      </c>
      <c r="Y257" s="31">
        <v>46309</v>
      </c>
      <c r="Z257" t="str">
        <v/>
      </c>
      <c r="AA257" t="str">
        <v>技術・人文知識・国際業務</v>
      </c>
      <c r="AB257" t="str">
        <v>715-0014</v>
      </c>
      <c r="AC257" t="str">
        <v>岡山県井原市七日市町696-2</v>
      </c>
      <c r="AD257" t="str">
        <v>Florence1997 201</v>
      </c>
      <c r="AE257" s="31">
        <v>44571</v>
      </c>
      <c r="AF257" s="31">
        <v>44573</v>
      </c>
      <c r="AG257" s="31">
        <v>45370</v>
      </c>
      <c r="AH257" s="31">
        <v>0</v>
      </c>
      <c r="AI257">
        <v>22.03</v>
      </c>
      <c r="AJ257" t="str">
        <v>OK</v>
      </c>
      <c r="AK257" t="str">
        <v>2020/8/21～2021/3/31PMI所属　再入社</v>
      </c>
      <c r="AL257">
        <v>44573</v>
      </c>
      <c r="AM257">
        <v>0</v>
      </c>
      <c r="AN257">
        <v>0</v>
      </c>
      <c r="AO257">
        <v>0</v>
      </c>
      <c r="AP257">
        <v>0</v>
      </c>
      <c r="AQ257">
        <v>0</v>
      </c>
      <c r="AR257">
        <v>0</v>
      </c>
    </row>
    <row r="258" spans="1:44">
      <c r="A258" t="str">
        <f>H258&amp;COUNTIF($H$2:H258,H258)</f>
        <v>0139</v>
      </c>
      <c r="B258" t="str">
        <f>F258&amp;COUNTIF($F$2:F258,F258)</f>
        <v>高雄工業 岡山38</v>
      </c>
      <c r="C258" t="str">
        <v>退社</v>
      </c>
      <c r="D258">
        <v>220110</v>
      </c>
      <c r="E258">
        <v>0</v>
      </c>
      <c r="F258" t="str">
        <v>高雄工業 岡山</v>
      </c>
      <c r="G258">
        <v>0</v>
      </c>
      <c r="H258">
        <v>0</v>
      </c>
      <c r="I258">
        <v>0</v>
      </c>
      <c r="J258" t="str">
        <v>TRESYAN REZA PERMANA</v>
      </c>
      <c r="K258" t="str">
        <v>トレシャン　レザ　ペルマナ</v>
      </c>
      <c r="L258" t="str">
        <v>男</v>
      </c>
      <c r="M258" t="str">
        <v>ｲﾝﾄﾞﾈｼｱ</v>
      </c>
      <c r="N258" s="31">
        <v>32516</v>
      </c>
      <c r="O258">
        <v>36</v>
      </c>
      <c r="P258">
        <v>1350</v>
      </c>
      <c r="Q258">
        <v>0</v>
      </c>
      <c r="R258">
        <v>1750</v>
      </c>
      <c r="S258">
        <v>0</v>
      </c>
      <c r="T258">
        <v>400</v>
      </c>
      <c r="U258">
        <v>0</v>
      </c>
      <c r="V258" t="str">
        <v/>
      </c>
      <c r="W258" t="str">
        <v>0</v>
      </c>
      <c r="X258" t="str">
        <v/>
      </c>
      <c r="Y258" s="31">
        <v>44985</v>
      </c>
      <c r="Z258" t="str">
        <v/>
      </c>
      <c r="AA258" t="str">
        <v>技術・人文知識・国際業務</v>
      </c>
      <c r="AB258" t="str">
        <v>709-2107</v>
      </c>
      <c r="AC258" t="str">
        <v>岡山県岡山市北区御津矢原294番地１</v>
      </c>
      <c r="AD258" t="str">
        <v>成広矢原ｺｰﾎﾟⅢ207</v>
      </c>
      <c r="AE258" s="31">
        <v>44569</v>
      </c>
      <c r="AF258" s="31">
        <v>44573</v>
      </c>
      <c r="AG258" s="31">
        <v>44655</v>
      </c>
      <c r="AH258" s="31">
        <v>0</v>
      </c>
      <c r="AI258">
        <v>22.03</v>
      </c>
      <c r="AJ258" t="str">
        <v>OK</v>
      </c>
      <c r="AK258">
        <v>0</v>
      </c>
      <c r="AL258">
        <v>44573</v>
      </c>
      <c r="AM258">
        <v>0</v>
      </c>
      <c r="AN258">
        <v>0</v>
      </c>
      <c r="AO258">
        <v>0</v>
      </c>
      <c r="AP258">
        <v>0</v>
      </c>
      <c r="AQ258">
        <v>0</v>
      </c>
      <c r="AR258">
        <v>0</v>
      </c>
    </row>
    <row r="259" spans="1:44">
      <c r="A259" t="str">
        <f>H259&amp;COUNTIF($H$2:H259,H259)</f>
        <v>一次旋係12</v>
      </c>
      <c r="B259" t="str">
        <f>F259&amp;COUNTIF($F$2:F259,F259)</f>
        <v>高雄工業 岡山39</v>
      </c>
      <c r="C259" t="str">
        <v>退社</v>
      </c>
      <c r="D259">
        <v>220111</v>
      </c>
      <c r="E259">
        <v>232039</v>
      </c>
      <c r="F259" t="str">
        <v>高雄工業 岡山</v>
      </c>
      <c r="G259" t="str">
        <v>高雄工業株式会社 岡山事業所HUB工場製作1課</v>
      </c>
      <c r="H259" t="str">
        <v>一次旋係</v>
      </c>
      <c r="I259" t="str">
        <v>ハブ加工・自動機の操作・ＮＣプログラム修正</v>
      </c>
      <c r="J259" t="str">
        <v>SURYA INDRA WARDANA</v>
      </c>
      <c r="K259" t="str">
        <v>スリャ　インドラ　ワルダナ</v>
      </c>
      <c r="L259" t="str">
        <v>男</v>
      </c>
      <c r="M259" t="str">
        <v>ｲﾝﾄﾞﾈｼｱ</v>
      </c>
      <c r="N259" s="31">
        <v>34466</v>
      </c>
      <c r="O259">
        <v>31</v>
      </c>
      <c r="P259">
        <v>1400</v>
      </c>
      <c r="Q259">
        <v>0</v>
      </c>
      <c r="R259">
        <v>1790</v>
      </c>
      <c r="S259">
        <v>0</v>
      </c>
      <c r="T259">
        <v>390</v>
      </c>
      <c r="U259">
        <v>300000</v>
      </c>
      <c r="V259">
        <v>15045</v>
      </c>
      <c r="W259" t="str">
        <v>0</v>
      </c>
      <c r="X259">
        <v>27450</v>
      </c>
      <c r="Y259" s="31">
        <v>46078</v>
      </c>
      <c r="Z259" t="str">
        <v/>
      </c>
      <c r="AA259" t="str">
        <v>技術・人文知識・国際業務</v>
      </c>
      <c r="AB259" t="str">
        <v>709-2107</v>
      </c>
      <c r="AC259" t="str">
        <v>岡山県岡山市北区御津矢原307</v>
      </c>
      <c r="AD259" t="str">
        <v>成広矢原ｺｰﾎﾟⅠ103</v>
      </c>
      <c r="AE259" s="31">
        <v>44958</v>
      </c>
      <c r="AF259" s="31">
        <v>44573</v>
      </c>
      <c r="AG259" s="31">
        <v>45044</v>
      </c>
      <c r="AH259" s="31">
        <v>0</v>
      </c>
      <c r="AI259">
        <v>22.03</v>
      </c>
      <c r="AJ259" t="str">
        <v>OK</v>
      </c>
      <c r="AK259">
        <v>0</v>
      </c>
      <c r="AL259">
        <v>44573</v>
      </c>
      <c r="AM259">
        <v>0</v>
      </c>
      <c r="AN259">
        <v>0</v>
      </c>
      <c r="AO259">
        <v>0</v>
      </c>
      <c r="AP259">
        <v>0</v>
      </c>
      <c r="AQ259">
        <v>0</v>
      </c>
      <c r="AR259">
        <v>0</v>
      </c>
    </row>
    <row r="260" spans="1:44">
      <c r="A260" t="str">
        <f>H260&amp;COUNTIF($H$2:H260,H260)</f>
        <v>CVJ長軸旋盤係9</v>
      </c>
      <c r="B260" t="str">
        <f>F260&amp;COUNTIF($F$2:F260,F260)</f>
        <v>高雄工業 岡山40</v>
      </c>
      <c r="C260" t="str">
        <v>退社</v>
      </c>
      <c r="D260">
        <v>220112</v>
      </c>
      <c r="E260">
        <v>232038</v>
      </c>
      <c r="F260" t="str">
        <v>高雄工業 岡山</v>
      </c>
      <c r="G260" t="str">
        <v>高雄工業株式会社 岡山事業所CVJ工場製作課</v>
      </c>
      <c r="H260" t="str">
        <v>CVJ長軸旋盤係</v>
      </c>
      <c r="I260">
        <v>0</v>
      </c>
      <c r="J260" t="str">
        <v>NGUYEN ANH HOANG</v>
      </c>
      <c r="K260" t="str">
        <v>グエン　アン　ホアン</v>
      </c>
      <c r="L260" t="str">
        <v>男</v>
      </c>
      <c r="M260" t="str">
        <v>ﾍﾞﾄﾅﾑ</v>
      </c>
      <c r="N260" s="31">
        <v>33912</v>
      </c>
      <c r="O260">
        <v>33</v>
      </c>
      <c r="P260">
        <v>1400</v>
      </c>
      <c r="Q260">
        <v>0</v>
      </c>
      <c r="R260">
        <v>1770</v>
      </c>
      <c r="S260">
        <v>0</v>
      </c>
      <c r="T260">
        <v>370</v>
      </c>
      <c r="U260">
        <v>280000</v>
      </c>
      <c r="V260">
        <v>14042</v>
      </c>
      <c r="W260" t="str">
        <v>0</v>
      </c>
      <c r="X260">
        <v>25620</v>
      </c>
      <c r="Y260" s="31">
        <v>45258</v>
      </c>
      <c r="Z260" t="str">
        <v/>
      </c>
      <c r="AA260" t="str">
        <v>技術・人文知識・国際業務</v>
      </c>
      <c r="AB260" t="str">
        <v>709-2107</v>
      </c>
      <c r="AC260" t="str">
        <v>岡山県岡山市北区御津矢原307</v>
      </c>
      <c r="AD260" t="str">
        <v>成広矢原ｺｰﾎﾟⅠ205</v>
      </c>
      <c r="AE260" s="31">
        <v>44568</v>
      </c>
      <c r="AF260" s="31">
        <v>44573</v>
      </c>
      <c r="AG260" s="31">
        <v>44943</v>
      </c>
      <c r="AH260" s="31">
        <v>44936</v>
      </c>
      <c r="AI260">
        <v>22.03</v>
      </c>
      <c r="AJ260" t="str">
        <v>OK</v>
      </c>
      <c r="AK260">
        <v>0</v>
      </c>
      <c r="AL260">
        <v>44573</v>
      </c>
      <c r="AM260">
        <v>0</v>
      </c>
      <c r="AN260">
        <v>0</v>
      </c>
      <c r="AO260">
        <v>0</v>
      </c>
      <c r="AP260">
        <v>0</v>
      </c>
      <c r="AQ260">
        <v>0</v>
      </c>
      <c r="AR260">
        <v>0</v>
      </c>
    </row>
    <row r="261" spans="1:44">
      <c r="A261" t="str">
        <f>H261&amp;COUNTIF($H$2:H261,H261)</f>
        <v>転造4</v>
      </c>
      <c r="B261" t="str">
        <f>F261&amp;COUNTIF($F$2:F261,F261)</f>
        <v>高雄工業 静岡28</v>
      </c>
      <c r="C261" t="str">
        <v>退社</v>
      </c>
      <c r="D261">
        <v>220113</v>
      </c>
      <c r="E261">
        <v>242031</v>
      </c>
      <c r="F261" t="str">
        <v>高雄工業 静岡</v>
      </c>
      <c r="G261" t="str">
        <v>高雄工業株式会社 静岡事業所第一工場製作課</v>
      </c>
      <c r="H261" t="str">
        <v>転造</v>
      </c>
      <c r="I261">
        <v>0</v>
      </c>
      <c r="J261" t="str">
        <v>NGUYEN MINH TAN</v>
      </c>
      <c r="K261" t="str">
        <v>グエン　ミン　タン</v>
      </c>
      <c r="L261" t="str">
        <v>男</v>
      </c>
      <c r="M261" t="str">
        <v>ﾍﾞﾄﾅﾑ</v>
      </c>
      <c r="N261" s="31">
        <v>34870</v>
      </c>
      <c r="O261">
        <v>30</v>
      </c>
      <c r="P261">
        <v>1410</v>
      </c>
      <c r="Q261">
        <v>0</v>
      </c>
      <c r="R261">
        <v>1760</v>
      </c>
      <c r="S261">
        <v>0</v>
      </c>
      <c r="T261">
        <v>350</v>
      </c>
      <c r="U261">
        <v>340000</v>
      </c>
      <c r="V261">
        <v>17051</v>
      </c>
      <c r="W261" t="str">
        <v>0</v>
      </c>
      <c r="X261">
        <v>31110</v>
      </c>
      <c r="Y261" s="31">
        <v>45332</v>
      </c>
      <c r="Z261" t="str">
        <v/>
      </c>
      <c r="AA261" t="str">
        <v>技術・人文知識・国際業務</v>
      </c>
      <c r="AB261" t="str">
        <v>437-0065</v>
      </c>
      <c r="AC261" t="str">
        <v>静岡県袋井市堀越1丁目15-1</v>
      </c>
      <c r="AD261" t="str">
        <v>ﾃﾞｲﾌﾞﾚｲｸ406</v>
      </c>
      <c r="AE261" s="31" t="str">
        <v>個人</v>
      </c>
      <c r="AF261" s="31">
        <v>44575</v>
      </c>
      <c r="AG261" s="31">
        <v>45044</v>
      </c>
      <c r="AH261" s="31">
        <v>0</v>
      </c>
      <c r="AI261">
        <v>22.03</v>
      </c>
      <c r="AJ261" t="str">
        <v>OK</v>
      </c>
      <c r="AK261">
        <v>0</v>
      </c>
      <c r="AL261">
        <v>44575</v>
      </c>
      <c r="AM261">
        <v>0</v>
      </c>
      <c r="AN261">
        <v>0</v>
      </c>
      <c r="AO261">
        <v>0</v>
      </c>
      <c r="AP261">
        <v>0</v>
      </c>
      <c r="AQ261">
        <v>0</v>
      </c>
      <c r="AR261">
        <v>0</v>
      </c>
    </row>
    <row r="262" spans="1:44">
      <c r="A262" t="str">
        <f>H262&amp;COUNTIF($H$2:H262,H262)</f>
        <v>0140</v>
      </c>
      <c r="B262" t="str">
        <f>F262&amp;COUNTIF($F$2:F262,F262)</f>
        <v>コーリツ 州の崎16</v>
      </c>
      <c r="C262" t="str">
        <v>退社</v>
      </c>
      <c r="D262">
        <v>220114</v>
      </c>
      <c r="E262">
        <v>8210032</v>
      </c>
      <c r="F262" t="str">
        <v>コーリツ 州の崎</v>
      </c>
      <c r="G262" t="str">
        <v>州の埼２工場　製造3課５工区７班</v>
      </c>
      <c r="H262">
        <v>0</v>
      </c>
      <c r="I262">
        <v>0</v>
      </c>
      <c r="J262" t="str">
        <v>HOANG MANH TIEN</v>
      </c>
      <c r="K262" t="str">
        <v>ホアン　マン　ティエン</v>
      </c>
      <c r="L262" t="str">
        <v>男</v>
      </c>
      <c r="M262" t="str">
        <v>ﾍﾞﾄﾅﾑ</v>
      </c>
      <c r="N262" s="31">
        <v>34201</v>
      </c>
      <c r="O262">
        <v>32</v>
      </c>
      <c r="P262">
        <v>1400</v>
      </c>
      <c r="Q262">
        <v>0</v>
      </c>
      <c r="R262">
        <v>1990</v>
      </c>
      <c r="S262">
        <v>0</v>
      </c>
      <c r="T262">
        <v>590</v>
      </c>
      <c r="U262">
        <v>0</v>
      </c>
      <c r="V262" t="str">
        <v/>
      </c>
      <c r="W262" t="str">
        <v>0</v>
      </c>
      <c r="X262" t="str">
        <v/>
      </c>
      <c r="Y262" s="31">
        <v>45366</v>
      </c>
      <c r="Z262" t="str">
        <v/>
      </c>
      <c r="AA262" t="str">
        <v>技術・人文知識・国際業務</v>
      </c>
      <c r="AB262" t="str">
        <v>475-0024</v>
      </c>
      <c r="AC262" t="str">
        <v>愛知県半田市亀崎高根町2丁目20-7</v>
      </c>
      <c r="AD262" t="str">
        <v>ﾋﾞﾚｯｼﾞﾊｳｽ亀崎2号棟301</v>
      </c>
      <c r="AE262" s="31">
        <v>0</v>
      </c>
      <c r="AF262" s="31">
        <v>44578</v>
      </c>
      <c r="AG262" s="31">
        <v>44742</v>
      </c>
      <c r="AH262" s="31">
        <v>0</v>
      </c>
      <c r="AI262">
        <v>22.04</v>
      </c>
      <c r="AJ262" t="str">
        <v>OK</v>
      </c>
      <c r="AK262">
        <v>0</v>
      </c>
      <c r="AL262">
        <v>44578</v>
      </c>
      <c r="AM262">
        <v>0</v>
      </c>
      <c r="AN262">
        <v>0</v>
      </c>
      <c r="AO262">
        <v>0</v>
      </c>
      <c r="AP262">
        <v>0</v>
      </c>
      <c r="AQ262">
        <v>0</v>
      </c>
      <c r="AR262">
        <v>0</v>
      </c>
    </row>
    <row r="263" spans="1:44">
      <c r="A263" t="str">
        <f>H263&amp;COUNTIF($H$2:H263,H263)</f>
        <v>州の崎工場製造1課1工区2班2</v>
      </c>
      <c r="B263" t="str">
        <f>F263&amp;COUNTIF($F$2:F263,F263)</f>
        <v>コーリツ 州の崎17</v>
      </c>
      <c r="C263" t="str">
        <v>退社</v>
      </c>
      <c r="D263">
        <v>220115</v>
      </c>
      <c r="E263">
        <v>8210029</v>
      </c>
      <c r="F263" t="str">
        <v>コーリツ 州の崎</v>
      </c>
      <c r="G263" t="str">
        <v>州の崎工場製造1課1工区2班</v>
      </c>
      <c r="H263" t="str">
        <v>州の崎工場製造1課1工区2班</v>
      </c>
      <c r="I263">
        <v>0</v>
      </c>
      <c r="J263" t="str">
        <v>LE XUAN QUYNH</v>
      </c>
      <c r="K263" t="str">
        <v>レー　スァン　クイン</v>
      </c>
      <c r="L263" t="str">
        <v>男</v>
      </c>
      <c r="M263" t="str">
        <v>ﾍﾞﾄﾅﾑ</v>
      </c>
      <c r="N263" s="31">
        <v>35393</v>
      </c>
      <c r="O263">
        <v>29</v>
      </c>
      <c r="P263">
        <v>1400</v>
      </c>
      <c r="Q263">
        <v>0</v>
      </c>
      <c r="R263">
        <v>1990</v>
      </c>
      <c r="S263">
        <v>0</v>
      </c>
      <c r="T263">
        <v>590</v>
      </c>
      <c r="U263">
        <v>320000</v>
      </c>
      <c r="V263">
        <v>16048</v>
      </c>
      <c r="W263" t="str">
        <v>0</v>
      </c>
      <c r="X263">
        <v>29280</v>
      </c>
      <c r="Y263" s="31">
        <v>46720</v>
      </c>
      <c r="Z263" t="str">
        <v/>
      </c>
      <c r="AA263" t="str">
        <v>技術・人文知識・国際業務</v>
      </c>
      <c r="AB263" t="str">
        <v>475-0006</v>
      </c>
      <c r="AC263" t="str">
        <v>愛知県半田市南大矢知町4丁目205番地2</v>
      </c>
      <c r="AD263" t="str">
        <v>ﾒｿﾞﾝﾄﾞﾗﾊﾟﾝⅡ203</v>
      </c>
      <c r="AE263" s="31">
        <v>44575</v>
      </c>
      <c r="AF263" s="31">
        <v>44578</v>
      </c>
      <c r="AG263" s="31">
        <v>45684</v>
      </c>
      <c r="AH263" s="31">
        <v>0</v>
      </c>
      <c r="AI263">
        <v>22.04</v>
      </c>
      <c r="AJ263" t="str">
        <v>OK</v>
      </c>
      <c r="AK263">
        <v>0</v>
      </c>
      <c r="AL263">
        <v>44578</v>
      </c>
      <c r="AM263" t="str">
        <v>原付免許</v>
      </c>
      <c r="AN263">
        <v>45650</v>
      </c>
      <c r="AO263" t="str">
        <v>原付</v>
      </c>
      <c r="AP263">
        <v>45900</v>
      </c>
      <c r="AQ263">
        <v>0</v>
      </c>
      <c r="AR263">
        <v>0</v>
      </c>
    </row>
    <row r="264" spans="1:44">
      <c r="A264" t="str">
        <f>H264&amp;COUNTIF($H$2:H264,H264)</f>
        <v>0141</v>
      </c>
      <c r="B264" t="str">
        <f>F264&amp;COUNTIF($F$2:F264,F264)</f>
        <v>コーリツ 州の崎18</v>
      </c>
      <c r="C264" t="str">
        <v>退社</v>
      </c>
      <c r="D264">
        <v>220117</v>
      </c>
      <c r="E264">
        <v>8210031</v>
      </c>
      <c r="F264" t="str">
        <v>コーリツ 州の崎</v>
      </c>
      <c r="G264" t="str">
        <v>州の埼２工場　製造3課５工区７班</v>
      </c>
      <c r="H264">
        <v>0</v>
      </c>
      <c r="I264">
        <v>0</v>
      </c>
      <c r="J264" t="str">
        <v>VU VAN LONG</v>
      </c>
      <c r="K264" t="str">
        <v>ブー　バン　ロン</v>
      </c>
      <c r="L264" t="str">
        <v>男</v>
      </c>
      <c r="M264" t="str">
        <v>ﾍﾞﾄﾅﾑ</v>
      </c>
      <c r="N264" s="31">
        <v>34808</v>
      </c>
      <c r="O264">
        <v>30</v>
      </c>
      <c r="P264">
        <v>1400</v>
      </c>
      <c r="Q264">
        <v>0</v>
      </c>
      <c r="R264">
        <v>1960</v>
      </c>
      <c r="S264">
        <v>0</v>
      </c>
      <c r="T264">
        <v>560</v>
      </c>
      <c r="U264">
        <v>0</v>
      </c>
      <c r="V264" t="str">
        <v/>
      </c>
      <c r="W264" t="str">
        <v>0</v>
      </c>
      <c r="X264" t="str">
        <v/>
      </c>
      <c r="Y264" s="31">
        <v>45625</v>
      </c>
      <c r="Z264" t="str">
        <v/>
      </c>
      <c r="AA264" t="str">
        <v>技術・人文知識・国際業務</v>
      </c>
      <c r="AB264" t="str">
        <v>475-0006</v>
      </c>
      <c r="AC264" t="str">
        <v>愛知県半田市南大矢知町4丁目205番地2</v>
      </c>
      <c r="AD264" t="str">
        <v>ﾒｿﾞﾝﾄﾞﾗﾊﾟﾝⅡ203</v>
      </c>
      <c r="AE264" s="31">
        <v>44575</v>
      </c>
      <c r="AF264" s="31">
        <v>44578</v>
      </c>
      <c r="AG264" s="31">
        <v>44715</v>
      </c>
      <c r="AH264" s="31">
        <v>45198</v>
      </c>
      <c r="AI264">
        <v>22.04</v>
      </c>
      <c r="AJ264" t="str">
        <v>OK</v>
      </c>
      <c r="AK264">
        <v>0</v>
      </c>
      <c r="AL264">
        <v>44578</v>
      </c>
      <c r="AM264">
        <v>0</v>
      </c>
      <c r="AN264">
        <v>0</v>
      </c>
      <c r="AO264">
        <v>0</v>
      </c>
      <c r="AP264">
        <v>0</v>
      </c>
      <c r="AQ264">
        <v>0</v>
      </c>
      <c r="AR264">
        <v>0</v>
      </c>
    </row>
    <row r="265" spans="1:44">
      <c r="A265" t="str">
        <f>H265&amp;COUNTIF($H$2:H265,H265)</f>
        <v>0142</v>
      </c>
      <c r="B265" t="str">
        <f>F265&amp;COUNTIF($F$2:F265,F265)</f>
        <v>ピーエムアイ13</v>
      </c>
      <c r="C265" t="str">
        <v>退社</v>
      </c>
      <c r="D265">
        <v>220118</v>
      </c>
      <c r="E265">
        <v>44</v>
      </c>
      <c r="F265" t="str">
        <v>ピーエムアイ</v>
      </c>
      <c r="G265">
        <v>0</v>
      </c>
      <c r="H265">
        <v>0</v>
      </c>
      <c r="I265">
        <v>0</v>
      </c>
      <c r="J265" t="str">
        <v>NGUYEN CHI LINH</v>
      </c>
      <c r="K265" t="str">
        <v>グエン　チ　リン</v>
      </c>
      <c r="L265" t="str">
        <v>男</v>
      </c>
      <c r="M265" t="str">
        <v>ﾍﾞﾄﾅﾑ</v>
      </c>
      <c r="N265" s="31">
        <v>34418</v>
      </c>
      <c r="O265">
        <v>31</v>
      </c>
      <c r="P265">
        <v>1300</v>
      </c>
      <c r="Q265">
        <v>0</v>
      </c>
      <c r="R265">
        <v>1800</v>
      </c>
      <c r="S265">
        <v>0</v>
      </c>
      <c r="T265">
        <v>500</v>
      </c>
      <c r="U265">
        <v>0</v>
      </c>
      <c r="V265" t="str">
        <v/>
      </c>
      <c r="W265" t="str">
        <v>0</v>
      </c>
      <c r="X265" t="str">
        <v/>
      </c>
      <c r="Y265" s="31">
        <v>45132</v>
      </c>
      <c r="Z265" t="str">
        <v/>
      </c>
      <c r="AA265" t="str">
        <v>技術・人文知識・国際業務</v>
      </c>
      <c r="AB265" t="str">
        <v>471-0805</v>
      </c>
      <c r="AC265" t="str">
        <v>愛知県豊田市美里2‐6‐9</v>
      </c>
      <c r="AD265" t="str">
        <v>ﾚｼﾞｪﾝﾄﾞK301</v>
      </c>
      <c r="AE265" s="31">
        <v>44576</v>
      </c>
      <c r="AF265" s="31">
        <v>44578</v>
      </c>
      <c r="AG265" s="31">
        <v>44845</v>
      </c>
      <c r="AH265" s="31">
        <v>44834</v>
      </c>
      <c r="AI265">
        <v>22.04</v>
      </c>
      <c r="AJ265" t="str">
        <v>OK</v>
      </c>
      <c r="AK265">
        <v>0</v>
      </c>
      <c r="AL265">
        <v>44578</v>
      </c>
      <c r="AM265">
        <v>0</v>
      </c>
      <c r="AN265">
        <v>0</v>
      </c>
      <c r="AO265">
        <v>0</v>
      </c>
      <c r="AP265">
        <v>0</v>
      </c>
      <c r="AQ265">
        <v>0</v>
      </c>
      <c r="AR265">
        <v>0</v>
      </c>
    </row>
    <row r="266" spans="1:44">
      <c r="A266" t="str">
        <f>H266&amp;COUNTIF($H$2:H266,H266)</f>
        <v>旋盤ライン11</v>
      </c>
      <c r="B266" t="str">
        <f>F266&amp;COUNTIF($F$2:F266,F266)</f>
        <v>川原鉄工所11</v>
      </c>
      <c r="C266" t="str">
        <v>退社</v>
      </c>
      <c r="D266">
        <v>220119</v>
      </c>
      <c r="E266">
        <v>0</v>
      </c>
      <c r="F266" t="str">
        <v>川原鉄工所</v>
      </c>
      <c r="G266" t="str">
        <v>製造部</v>
      </c>
      <c r="H266" t="str">
        <v>旋盤ライン</v>
      </c>
      <c r="I266" t="str">
        <v>ATミッション部品をはじめとする、各種自動車部品の製造</v>
      </c>
      <c r="J266" t="str">
        <v>BITENCOURT CELIK SELIA</v>
      </c>
      <c r="K266" t="str">
        <v>ビテンコウルト　シエリク　セリア</v>
      </c>
      <c r="L266" t="str">
        <v>女</v>
      </c>
      <c r="M266" t="str">
        <v>ﾌﾞﾗｼﾞﾙ</v>
      </c>
      <c r="N266" s="31">
        <v>26141</v>
      </c>
      <c r="O266">
        <v>54</v>
      </c>
      <c r="P266">
        <v>1300</v>
      </c>
      <c r="Q266" t="str">
        <v>入社3か月後50円UP</v>
      </c>
      <c r="R266">
        <v>1650</v>
      </c>
      <c r="S266">
        <v>0</v>
      </c>
      <c r="T266">
        <v>350</v>
      </c>
      <c r="U266">
        <v>0</v>
      </c>
      <c r="V266" t="str">
        <v/>
      </c>
      <c r="W266" t="str">
        <v>0</v>
      </c>
      <c r="X266" t="str">
        <v/>
      </c>
      <c r="Y266" s="31">
        <v>44822</v>
      </c>
      <c r="Z266" t="str">
        <v/>
      </c>
      <c r="AA266" t="str">
        <v>定住者</v>
      </c>
      <c r="AB266" t="str">
        <v>455-0078</v>
      </c>
      <c r="AC266" t="str">
        <v>愛知県名古屋市港区丸池町1丁目1-1</v>
      </c>
      <c r="AD266" t="str">
        <v>丸池荘4棟1108号</v>
      </c>
      <c r="AE266" s="31">
        <v>0</v>
      </c>
      <c r="AF266" s="31">
        <v>44578</v>
      </c>
      <c r="AG266" s="31">
        <v>44811</v>
      </c>
      <c r="AH266" s="31">
        <v>0</v>
      </c>
      <c r="AI266">
        <v>22.02</v>
      </c>
      <c r="AJ266" t="str">
        <v>OK</v>
      </c>
      <c r="AK266">
        <v>0</v>
      </c>
      <c r="AL266">
        <v>44578</v>
      </c>
      <c r="AM266">
        <v>0</v>
      </c>
      <c r="AN266">
        <v>0</v>
      </c>
      <c r="AO266">
        <v>0</v>
      </c>
      <c r="AP266">
        <v>0</v>
      </c>
      <c r="AQ266">
        <v>0</v>
      </c>
      <c r="AR266">
        <v>0</v>
      </c>
    </row>
    <row r="267" spans="1:44">
      <c r="A267" t="str">
        <f>H267&amp;COUNTIF($H$2:H267,H267)</f>
        <v>旋盤ライン12</v>
      </c>
      <c r="B267" t="str">
        <f>F267&amp;COUNTIF($F$2:F267,F267)</f>
        <v>川原鉄工所12</v>
      </c>
      <c r="C267" t="str">
        <v>退社</v>
      </c>
      <c r="D267">
        <v>220120</v>
      </c>
      <c r="E267">
        <v>0</v>
      </c>
      <c r="F267" t="str">
        <v>川原鉄工所</v>
      </c>
      <c r="G267" t="str">
        <v>製造部</v>
      </c>
      <c r="H267" t="str">
        <v>旋盤ライン</v>
      </c>
      <c r="I267" t="str">
        <v>ATミッション部品をはじめとする、各種自動車部品の製造</v>
      </c>
      <c r="J267" t="str">
        <v>SILVA BITENCOURT SELMA</v>
      </c>
      <c r="K267" t="str">
        <v>シルバ　ビテンコウルト　セルマ</v>
      </c>
      <c r="L267" t="str">
        <v>女</v>
      </c>
      <c r="M267" t="str">
        <v>ﾌﾞﾗｼﾞﾙ</v>
      </c>
      <c r="N267" s="31">
        <v>25487</v>
      </c>
      <c r="O267">
        <v>56</v>
      </c>
      <c r="P267">
        <v>1250</v>
      </c>
      <c r="Q267" t="str">
        <v>入社3か月後50円UP</v>
      </c>
      <c r="R267">
        <v>1650</v>
      </c>
      <c r="S267">
        <v>0</v>
      </c>
      <c r="T267">
        <v>400</v>
      </c>
      <c r="U267">
        <v>0</v>
      </c>
      <c r="V267" t="str">
        <v/>
      </c>
      <c r="W267" t="str">
        <v>0</v>
      </c>
      <c r="X267" t="str">
        <v/>
      </c>
      <c r="Y267" s="31">
        <v>45059</v>
      </c>
      <c r="Z267" t="str">
        <v/>
      </c>
      <c r="AA267" t="str">
        <v>永住者の配偶者</v>
      </c>
      <c r="AB267" t="str">
        <v>457-0824</v>
      </c>
      <c r="AC267" t="str">
        <v>愛知県名古屋市港区丸池町1丁目1-1</v>
      </c>
      <c r="AD267" t="str">
        <v>丸池荘3棟902号</v>
      </c>
      <c r="AE267" s="31" t="str">
        <v>個人</v>
      </c>
      <c r="AF267" s="31">
        <v>44578</v>
      </c>
      <c r="AG267" s="31">
        <v>44824</v>
      </c>
      <c r="AH267" s="31">
        <v>0</v>
      </c>
      <c r="AI267">
        <v>22.02</v>
      </c>
      <c r="AJ267" t="str">
        <v>OK</v>
      </c>
      <c r="AK267">
        <v>0</v>
      </c>
      <c r="AL267">
        <v>44578</v>
      </c>
      <c r="AM267">
        <v>0</v>
      </c>
      <c r="AN267">
        <v>0</v>
      </c>
      <c r="AO267">
        <v>0</v>
      </c>
      <c r="AP267">
        <v>0</v>
      </c>
      <c r="AQ267">
        <v>0</v>
      </c>
      <c r="AR267">
        <v>0</v>
      </c>
    </row>
    <row r="268" spans="1:44">
      <c r="A268" t="str">
        <f>H268&amp;COUNTIF($H$2:H268,H268)</f>
        <v>Fライン7</v>
      </c>
      <c r="B268" t="str">
        <f>F268&amp;COUNTIF($F$2:F268,F268)</f>
        <v>高雄工業 本社21</v>
      </c>
      <c r="C268" t="str">
        <v>在職中</v>
      </c>
      <c r="D268">
        <v>240317</v>
      </c>
      <c r="E268">
        <v>212047</v>
      </c>
      <c r="F268" t="str">
        <v>高雄工業 本社</v>
      </c>
      <c r="G268" t="str">
        <v>高雄工業株式会社 愛知事業所本社工場製作課</v>
      </c>
      <c r="H268" t="str">
        <v>Fライン</v>
      </c>
      <c r="I268" t="str">
        <v>CVJ部品短軸品の施削加工、NCプログラム修正</v>
      </c>
      <c r="J268" t="str">
        <v>NGUYEN ANH TUAN</v>
      </c>
      <c r="K268" t="str">
        <v>グエン　アイン　トゥアン</v>
      </c>
      <c r="L268" t="str">
        <v>男</v>
      </c>
      <c r="M268" t="str">
        <v>ﾍﾞﾄﾅﾑ</v>
      </c>
      <c r="N268" s="31">
        <v>37041</v>
      </c>
      <c r="O268">
        <v>24</v>
      </c>
      <c r="P268">
        <v>1300</v>
      </c>
      <c r="Q268">
        <v>0</v>
      </c>
      <c r="R268">
        <v>1670</v>
      </c>
      <c r="S268">
        <v>0</v>
      </c>
      <c r="T268">
        <v>370</v>
      </c>
      <c r="U268">
        <v>240000</v>
      </c>
      <c r="V268">
        <v>12036</v>
      </c>
      <c r="W268" t="str">
        <v>0</v>
      </c>
      <c r="X268">
        <v>21960</v>
      </c>
      <c r="Y268" s="31">
        <v>46106</v>
      </c>
      <c r="Z268" t="str">
        <v/>
      </c>
      <c r="AA268" t="str">
        <v>技術・人文知識・国際業務</v>
      </c>
      <c r="AB268" t="str">
        <v>498-0031</v>
      </c>
      <c r="AC268" t="str">
        <v>愛知県弥富市平島町甲新田72-6</v>
      </c>
      <c r="AD268" t="str">
        <v>ﾊｯﾋﾟｰｳｲﾝ長尾201</v>
      </c>
      <c r="AE268" s="31">
        <v>0</v>
      </c>
      <c r="AF268" s="31">
        <v>45366</v>
      </c>
      <c r="AG268" s="31">
        <v>0</v>
      </c>
      <c r="AH268" s="31">
        <v>0</v>
      </c>
      <c r="AI268" t="str">
        <v>24.3.15</v>
      </c>
      <c r="AJ268" t="str">
        <v>3/27林</v>
      </c>
      <c r="AK268">
        <v>0</v>
      </c>
      <c r="AL268">
        <v>45366</v>
      </c>
      <c r="AM268">
        <v>0</v>
      </c>
      <c r="AN268">
        <v>0</v>
      </c>
      <c r="AO268">
        <v>0</v>
      </c>
      <c r="AP268">
        <v>0</v>
      </c>
      <c r="AQ268" t="str">
        <v>JLPT-N4</v>
      </c>
      <c r="AR268">
        <v>0</v>
      </c>
    </row>
    <row r="269" spans="1:44">
      <c r="A269" t="str">
        <f>H269&amp;COUNTIF($H$2:H269,H269)</f>
        <v>0143</v>
      </c>
      <c r="B269" t="str">
        <f>F269&amp;COUNTIF($F$2:F269,F269)</f>
        <v>六甲電子10</v>
      </c>
      <c r="C269" t="str">
        <v>退社</v>
      </c>
      <c r="D269">
        <v>220122</v>
      </c>
      <c r="E269">
        <v>60060</v>
      </c>
      <c r="F269" t="str">
        <v>六甲電子</v>
      </c>
      <c r="G269" t="str">
        <v>製造部　製造１課　枚葉</v>
      </c>
      <c r="H269">
        <v>0</v>
      </c>
      <c r="I269">
        <v>0</v>
      </c>
      <c r="J269" t="str">
        <v>TRAN TRONG TU</v>
      </c>
      <c r="K269" t="str">
        <v>チャン　チョン　トゥ</v>
      </c>
      <c r="L269" t="str">
        <v>男</v>
      </c>
      <c r="M269" t="str">
        <v>ﾍﾞﾄﾅﾑ</v>
      </c>
      <c r="N269" s="31">
        <v>34656</v>
      </c>
      <c r="O269">
        <v>31</v>
      </c>
      <c r="P269">
        <v>1400</v>
      </c>
      <c r="Q269">
        <v>0</v>
      </c>
      <c r="R269">
        <v>2000</v>
      </c>
      <c r="S269">
        <v>0</v>
      </c>
      <c r="T269">
        <v>600</v>
      </c>
      <c r="U269">
        <v>0</v>
      </c>
      <c r="V269" t="str">
        <v/>
      </c>
      <c r="W269" t="str">
        <v>0</v>
      </c>
      <c r="X269" t="str">
        <v/>
      </c>
      <c r="Y269" s="31">
        <v>45170</v>
      </c>
      <c r="Z269" t="str">
        <v/>
      </c>
      <c r="AA269" t="str">
        <v>技術・人文知識・国際業務</v>
      </c>
      <c r="AB269" t="str">
        <v>663-8122</v>
      </c>
      <c r="AC269" t="str">
        <v>兵庫県西宮市小曽根町1丁目4-28</v>
      </c>
      <c r="AD269" t="str">
        <v>ｸﾞﾘｰﾝﾊｲﾂ小曽根403</v>
      </c>
      <c r="AE269" s="31">
        <v>44582</v>
      </c>
      <c r="AF269" s="31">
        <v>44579</v>
      </c>
      <c r="AG269" s="31">
        <v>44802</v>
      </c>
      <c r="AH269" s="31">
        <v>0</v>
      </c>
      <c r="AI269">
        <v>22.04</v>
      </c>
      <c r="AJ269" t="str">
        <v>OK</v>
      </c>
      <c r="AK269">
        <v>0</v>
      </c>
      <c r="AL269">
        <v>44579</v>
      </c>
      <c r="AM269">
        <v>0</v>
      </c>
      <c r="AN269">
        <v>0</v>
      </c>
      <c r="AO269">
        <v>0</v>
      </c>
      <c r="AP269">
        <v>0</v>
      </c>
      <c r="AQ269">
        <v>0</v>
      </c>
      <c r="AR269">
        <v>0</v>
      </c>
    </row>
    <row r="270" spans="1:44">
      <c r="A270" t="str">
        <f>H270&amp;COUNTIF($H$2:H270,H270)</f>
        <v>0144</v>
      </c>
      <c r="B270" t="str">
        <f>F270&amp;COUNTIF($F$2:F270,F270)</f>
        <v>高雄工業 岡山41</v>
      </c>
      <c r="C270" t="str">
        <v>退社</v>
      </c>
      <c r="D270">
        <v>220123</v>
      </c>
      <c r="E270">
        <v>0</v>
      </c>
      <c r="F270" t="str">
        <v>高雄工業 岡山</v>
      </c>
      <c r="G270">
        <v>0</v>
      </c>
      <c r="H270">
        <v>0</v>
      </c>
      <c r="I270">
        <v>0</v>
      </c>
      <c r="J270" t="str">
        <v>ALI RASYIID MUHAMMAD</v>
      </c>
      <c r="K270" t="str">
        <v>アリ　ラシド　ムハマド</v>
      </c>
      <c r="L270" t="str">
        <v>男</v>
      </c>
      <c r="M270" t="str">
        <v>ｲﾝﾄﾞﾈｼｱ</v>
      </c>
      <c r="N270" s="31">
        <v>35415</v>
      </c>
      <c r="O270">
        <v>28</v>
      </c>
      <c r="P270">
        <v>1350</v>
      </c>
      <c r="Q270">
        <v>0</v>
      </c>
      <c r="R270">
        <v>1750</v>
      </c>
      <c r="S270">
        <v>0</v>
      </c>
      <c r="T270">
        <v>400</v>
      </c>
      <c r="U270">
        <v>0</v>
      </c>
      <c r="V270" t="str">
        <v/>
      </c>
      <c r="W270" t="str">
        <v>0</v>
      </c>
      <c r="X270" t="str">
        <v/>
      </c>
      <c r="Y270" s="31">
        <v>45867</v>
      </c>
      <c r="Z270" t="str">
        <v/>
      </c>
      <c r="AA270" t="str">
        <v>技術・人文知識・国際業務</v>
      </c>
      <c r="AB270">
        <v>0</v>
      </c>
      <c r="AC270">
        <v>0</v>
      </c>
      <c r="AD270">
        <v>0</v>
      </c>
      <c r="AE270" s="31">
        <v>0</v>
      </c>
      <c r="AF270" s="31">
        <v>44579</v>
      </c>
      <c r="AG270" s="31">
        <v>44582</v>
      </c>
      <c r="AH270" s="31">
        <v>0</v>
      </c>
      <c r="AI270">
        <v>0</v>
      </c>
      <c r="AJ270">
        <v>0</v>
      </c>
      <c r="AK270">
        <v>0</v>
      </c>
      <c r="AL270">
        <v>44579</v>
      </c>
      <c r="AM270">
        <v>0</v>
      </c>
      <c r="AN270">
        <v>0</v>
      </c>
      <c r="AO270">
        <v>0</v>
      </c>
      <c r="AP270">
        <v>0</v>
      </c>
      <c r="AQ270">
        <v>0</v>
      </c>
      <c r="AR270">
        <v>0</v>
      </c>
    </row>
    <row r="271" spans="1:44">
      <c r="A271" t="str">
        <f>H271&amp;COUNTIF($H$2:H271,H271)</f>
        <v>Gライン3</v>
      </c>
      <c r="B271" t="str">
        <f>F271&amp;COUNTIF($F$2:F271,F271)</f>
        <v>高雄工業 本社22</v>
      </c>
      <c r="C271" t="str">
        <v>退社</v>
      </c>
      <c r="D271">
        <v>220121</v>
      </c>
      <c r="E271">
        <v>212018</v>
      </c>
      <c r="F271" t="str">
        <v>高雄工業 本社</v>
      </c>
      <c r="G271" t="str">
        <v>高雄工業株式会社 愛知事業所本社工場製作課</v>
      </c>
      <c r="H271" t="str">
        <v>Gライン</v>
      </c>
      <c r="I271" t="str">
        <v>CVJ部品長軸品の施削加工、NCプログラム修正</v>
      </c>
      <c r="J271" t="str">
        <v>NGO VAN HIEP</v>
      </c>
      <c r="K271" t="str">
        <v>ゴー　ヴァン　ヒエップ</v>
      </c>
      <c r="L271" t="str">
        <v>男</v>
      </c>
      <c r="M271" t="str">
        <v>ﾍﾞﾄﾅﾑ</v>
      </c>
      <c r="N271" s="31">
        <v>35377</v>
      </c>
      <c r="O271">
        <v>29</v>
      </c>
      <c r="P271">
        <v>1410</v>
      </c>
      <c r="Q271">
        <v>0</v>
      </c>
      <c r="R271">
        <v>1830</v>
      </c>
      <c r="S271">
        <v>0</v>
      </c>
      <c r="T271">
        <v>420</v>
      </c>
      <c r="U271">
        <v>320000</v>
      </c>
      <c r="V271">
        <v>16048</v>
      </c>
      <c r="W271" t="str">
        <v>0</v>
      </c>
      <c r="X271">
        <v>29280</v>
      </c>
      <c r="Y271" s="31">
        <v>46496</v>
      </c>
      <c r="Z271" t="str">
        <v/>
      </c>
      <c r="AA271" t="str">
        <v>技術・人文知識・国際業務</v>
      </c>
      <c r="AB271" t="str">
        <v>498-0031</v>
      </c>
      <c r="AC271" t="str">
        <v>愛知県弥富市平島町中新田194-1</v>
      </c>
      <c r="AD271" t="str">
        <v>ｺﾝﾂｪﾙﾊｳｽⅡD棟202</v>
      </c>
      <c r="AE271" s="31">
        <v>44558</v>
      </c>
      <c r="AF271" s="31">
        <v>44579</v>
      </c>
      <c r="AG271" s="31">
        <v>45889</v>
      </c>
      <c r="AH271" s="31">
        <v>0</v>
      </c>
      <c r="AI271">
        <v>22.04</v>
      </c>
      <c r="AJ271" t="str">
        <v>OK</v>
      </c>
      <c r="AK271">
        <v>0</v>
      </c>
      <c r="AL271">
        <v>44579</v>
      </c>
      <c r="AM271">
        <v>0</v>
      </c>
      <c r="AN271">
        <v>0</v>
      </c>
      <c r="AO271">
        <v>0</v>
      </c>
      <c r="AP271">
        <v>0</v>
      </c>
      <c r="AQ271">
        <v>0</v>
      </c>
      <c r="AR271">
        <v>0</v>
      </c>
    </row>
    <row r="272" spans="1:44">
      <c r="A272" t="str">
        <f>H272&amp;COUNTIF($H$2:H272,H272)</f>
        <v>0145</v>
      </c>
      <c r="B272" t="str">
        <f>F272&amp;COUNTIF($F$2:F272,F272)</f>
        <v>PATEC10</v>
      </c>
      <c r="C272" t="str">
        <v>退社</v>
      </c>
      <c r="D272">
        <v>220124</v>
      </c>
      <c r="E272">
        <v>0</v>
      </c>
      <c r="F272" t="str">
        <v>PATEC</v>
      </c>
      <c r="G272" t="str">
        <v>製造部機械加工課</v>
      </c>
      <c r="H272">
        <v>0</v>
      </c>
      <c r="I272">
        <v>0</v>
      </c>
      <c r="J272" t="str">
        <v>BUI DUC ANH</v>
      </c>
      <c r="K272" t="str">
        <v>ブイ　ドゥック　アイン</v>
      </c>
      <c r="L272" t="str">
        <v>男</v>
      </c>
      <c r="M272" t="str">
        <v>ﾍﾞﾄﾅﾑ</v>
      </c>
      <c r="N272" s="31">
        <v>32542</v>
      </c>
      <c r="O272">
        <v>36</v>
      </c>
      <c r="P272">
        <v>1500</v>
      </c>
      <c r="Q272" t="str">
        <v>7/21～\1400⇒1500</v>
      </c>
      <c r="R272">
        <v>2000</v>
      </c>
      <c r="S272">
        <v>0</v>
      </c>
      <c r="T272">
        <v>500</v>
      </c>
      <c r="U272">
        <v>300000</v>
      </c>
      <c r="V272">
        <v>15045</v>
      </c>
      <c r="W272" t="str">
        <v>0</v>
      </c>
      <c r="X272">
        <v>27450</v>
      </c>
      <c r="Y272" s="31">
        <v>45463</v>
      </c>
      <c r="Z272" t="str">
        <v/>
      </c>
      <c r="AA272" t="str">
        <v>技術・人文知識・国際業務</v>
      </c>
      <c r="AB272" t="str">
        <v>747-0833</v>
      </c>
      <c r="AC272" t="str">
        <v>山口県防府市大字浜方716-15</v>
      </c>
      <c r="AD272" t="str">
        <v>ｱﾙｿｰﾚC201</v>
      </c>
      <c r="AE272" s="31">
        <v>44921</v>
      </c>
      <c r="AF272" s="31">
        <v>44581</v>
      </c>
      <c r="AG272" s="31">
        <v>45122</v>
      </c>
      <c r="AH272" s="31">
        <v>0</v>
      </c>
      <c r="AI272">
        <v>22.03</v>
      </c>
      <c r="AJ272" t="str">
        <v>OK</v>
      </c>
      <c r="AK272">
        <v>0</v>
      </c>
      <c r="AL272">
        <v>44581</v>
      </c>
      <c r="AM272">
        <v>0</v>
      </c>
      <c r="AN272">
        <v>0</v>
      </c>
      <c r="AO272">
        <v>0</v>
      </c>
      <c r="AP272">
        <v>0</v>
      </c>
      <c r="AQ272">
        <v>0</v>
      </c>
      <c r="AR272">
        <v>0</v>
      </c>
    </row>
    <row r="273" spans="1:44">
      <c r="A273" t="str">
        <f>H273&amp;COUNTIF($H$2:H273,H273)</f>
        <v>Aライン4</v>
      </c>
      <c r="B273" t="str">
        <f>F273&amp;COUNTIF($F$2:F273,F273)</f>
        <v>高雄工業 本社23</v>
      </c>
      <c r="C273" t="str">
        <v>退社</v>
      </c>
      <c r="D273">
        <v>210105</v>
      </c>
      <c r="E273">
        <v>212019</v>
      </c>
      <c r="F273" t="str">
        <v>高雄工業 本社</v>
      </c>
      <c r="G273" t="str">
        <v>高雄工業株式会社 愛知事業所本社工場製作課</v>
      </c>
      <c r="H273" t="str">
        <v>Aライン</v>
      </c>
      <c r="I273">
        <v>0</v>
      </c>
      <c r="J273" t="str">
        <v>PHAM CONG HA</v>
      </c>
      <c r="K273" t="str">
        <v>ファム　コン　ハー</v>
      </c>
      <c r="L273" t="str">
        <v>男</v>
      </c>
      <c r="M273" t="str">
        <v>ﾍﾞﾄﾅﾑ</v>
      </c>
      <c r="N273" s="31">
        <v>35053</v>
      </c>
      <c r="O273">
        <v>29</v>
      </c>
      <c r="P273">
        <v>1400</v>
      </c>
      <c r="Q273">
        <v>0</v>
      </c>
      <c r="R273">
        <v>1770</v>
      </c>
      <c r="S273">
        <v>0</v>
      </c>
      <c r="T273">
        <v>370</v>
      </c>
      <c r="U273">
        <v>0</v>
      </c>
      <c r="V273" t="str">
        <v/>
      </c>
      <c r="W273" t="str">
        <v>0</v>
      </c>
      <c r="X273" t="str">
        <v/>
      </c>
      <c r="Y273" s="31">
        <v>44990</v>
      </c>
      <c r="Z273" t="str">
        <v/>
      </c>
      <c r="AA273" t="str">
        <v>技術・人文知識・国際業務</v>
      </c>
      <c r="AB273" t="str">
        <v>498-0017</v>
      </c>
      <c r="AC273" t="str">
        <v>愛知県弥富市前ヶ須町西勘助207</v>
      </c>
      <c r="AD273" t="str">
        <v>CASA弥冨B203</v>
      </c>
      <c r="AE273" s="31">
        <v>0</v>
      </c>
      <c r="AF273" s="31">
        <v>44585</v>
      </c>
      <c r="AG273" s="31">
        <v>44881</v>
      </c>
      <c r="AH273" s="31">
        <v>0</v>
      </c>
      <c r="AI273">
        <v>22.04</v>
      </c>
      <c r="AJ273" t="str">
        <v>OK</v>
      </c>
      <c r="AK273" t="str">
        <v>2021/1/6～2021/4/23川原鉄工所所属　再入社</v>
      </c>
      <c r="AL273">
        <v>44585</v>
      </c>
      <c r="AM273">
        <v>0</v>
      </c>
      <c r="AN273">
        <v>0</v>
      </c>
      <c r="AO273">
        <v>0</v>
      </c>
      <c r="AP273">
        <v>0</v>
      </c>
      <c r="AQ273">
        <v>0</v>
      </c>
      <c r="AR273">
        <v>0</v>
      </c>
    </row>
    <row r="274" spans="1:44">
      <c r="A274" t="str">
        <f>H274&amp;COUNTIF($H$2:H274,H274)</f>
        <v>乙川工場製造3課6工区8班1</v>
      </c>
      <c r="B274" t="str">
        <f>F274&amp;COUNTIF($F$2:F274,F274)</f>
        <v>コーリツ 乙川9</v>
      </c>
      <c r="C274" t="str">
        <v>退社</v>
      </c>
      <c r="D274">
        <v>220125</v>
      </c>
      <c r="E274">
        <v>8210033</v>
      </c>
      <c r="F274" t="str">
        <v>コーリツ 乙川</v>
      </c>
      <c r="G274" t="str">
        <v>乙川工場製造3課6工区8班</v>
      </c>
      <c r="H274" t="str">
        <v>乙川工場製造3課6工区8班</v>
      </c>
      <c r="I274">
        <v>0</v>
      </c>
      <c r="J274" t="str">
        <v>BUI DUC THANG</v>
      </c>
      <c r="K274" t="str">
        <v>ブイ　ドック　タン</v>
      </c>
      <c r="L274" t="str">
        <v>男</v>
      </c>
      <c r="M274" t="str">
        <v>ﾍﾞﾄﾅﾑ</v>
      </c>
      <c r="N274" s="31">
        <v>35389</v>
      </c>
      <c r="O274">
        <v>29</v>
      </c>
      <c r="P274">
        <v>1400</v>
      </c>
      <c r="Q274">
        <v>0</v>
      </c>
      <c r="R274">
        <v>1990</v>
      </c>
      <c r="S274">
        <v>0</v>
      </c>
      <c r="T274">
        <v>590</v>
      </c>
      <c r="U274">
        <v>380000</v>
      </c>
      <c r="V274">
        <v>19057</v>
      </c>
      <c r="W274" t="str">
        <v>0</v>
      </c>
      <c r="X274">
        <v>34770</v>
      </c>
      <c r="Y274" s="31">
        <v>46720</v>
      </c>
      <c r="Z274" t="str">
        <v/>
      </c>
      <c r="AA274" t="str">
        <v>技術・人文知識・国際業務</v>
      </c>
      <c r="AB274" t="str">
        <v>475-0006</v>
      </c>
      <c r="AC274" t="str">
        <v>愛知県半田市南大矢知町4丁目205番地2</v>
      </c>
      <c r="AD274" t="str">
        <v>ﾒｿﾞﾝﾄﾞﾗﾊﾟﾝⅡ203</v>
      </c>
      <c r="AE274" s="31">
        <v>44582</v>
      </c>
      <c r="AF274" s="31">
        <v>44585</v>
      </c>
      <c r="AG274" s="31">
        <v>45700</v>
      </c>
      <c r="AH274" s="31">
        <v>0</v>
      </c>
      <c r="AI274">
        <v>22.04</v>
      </c>
      <c r="AJ274" t="str">
        <v>OK</v>
      </c>
      <c r="AK274">
        <v>0</v>
      </c>
      <c r="AL274">
        <v>44585</v>
      </c>
      <c r="AM274" t="str">
        <v>原付</v>
      </c>
      <c r="AN274">
        <v>45646</v>
      </c>
      <c r="AO274" t="str">
        <v>原付</v>
      </c>
      <c r="AP274">
        <v>45898</v>
      </c>
      <c r="AQ274">
        <v>0</v>
      </c>
      <c r="AR274">
        <v>0</v>
      </c>
    </row>
    <row r="275" spans="1:44">
      <c r="A275" t="str">
        <f>H275&amp;COUNTIF($H$2:H275,H275)</f>
        <v>旋盤ライン13</v>
      </c>
      <c r="B275" t="str">
        <f>F275&amp;COUNTIF($F$2:F275,F275)</f>
        <v>川原鉄工所13</v>
      </c>
      <c r="C275" t="str">
        <v>退社</v>
      </c>
      <c r="D275">
        <v>220126</v>
      </c>
      <c r="E275">
        <v>0</v>
      </c>
      <c r="F275" t="str">
        <v>川原鉄工所</v>
      </c>
      <c r="G275" t="str">
        <v>製造部</v>
      </c>
      <c r="H275" t="str">
        <v>旋盤ライン</v>
      </c>
      <c r="I275" t="str">
        <v>ATミッション部品をはじめとする、各種自動車部品の製造</v>
      </c>
      <c r="J275" t="str">
        <v>SANDY NACAYA JOELMA</v>
      </c>
      <c r="K275" t="str">
        <v>サンディー　ナカヤ　ジョエルマ</v>
      </c>
      <c r="L275" t="str">
        <v>女</v>
      </c>
      <c r="M275" t="str">
        <v>ﾌﾞﾗｼﾞﾙ</v>
      </c>
      <c r="N275" s="31">
        <v>28786</v>
      </c>
      <c r="O275">
        <v>47</v>
      </c>
      <c r="P275">
        <v>1250</v>
      </c>
      <c r="Q275" t="str">
        <v>入社3か月後50円UP</v>
      </c>
      <c r="R275">
        <v>1650</v>
      </c>
      <c r="S275">
        <v>0</v>
      </c>
      <c r="T275">
        <v>400</v>
      </c>
      <c r="U275">
        <v>0</v>
      </c>
      <c r="V275" t="str">
        <v/>
      </c>
      <c r="W275" t="str">
        <v>0</v>
      </c>
      <c r="X275" t="str">
        <v/>
      </c>
      <c r="Y275" s="31">
        <v>46425</v>
      </c>
      <c r="Z275" t="str">
        <v/>
      </c>
      <c r="AA275" t="str">
        <v>永住者</v>
      </c>
      <c r="AB275" t="str">
        <v>455-0078</v>
      </c>
      <c r="AC275" t="str">
        <v>愛知県名古屋市港区丸池町1丁目1-1</v>
      </c>
      <c r="AD275" t="str">
        <v>丸池荘4棟1109号</v>
      </c>
      <c r="AE275" s="31" t="str">
        <v>個人</v>
      </c>
      <c r="AF275" s="31">
        <v>44585</v>
      </c>
      <c r="AG275" s="31">
        <v>44595</v>
      </c>
      <c r="AH275" s="31">
        <v>0</v>
      </c>
      <c r="AI275" t="str">
        <v>なし</v>
      </c>
      <c r="AJ275">
        <v>0</v>
      </c>
      <c r="AK275">
        <v>0</v>
      </c>
      <c r="AL275">
        <v>44585</v>
      </c>
      <c r="AM275">
        <v>0</v>
      </c>
      <c r="AN275">
        <v>0</v>
      </c>
      <c r="AO275">
        <v>0</v>
      </c>
      <c r="AP275">
        <v>0</v>
      </c>
      <c r="AQ275">
        <v>0</v>
      </c>
      <c r="AR275">
        <v>0</v>
      </c>
    </row>
    <row r="276" spans="1:44">
      <c r="A276" t="str">
        <f>H276&amp;COUNTIF($H$2:H276,H276)</f>
        <v>旋盤ライン14</v>
      </c>
      <c r="B276" t="str">
        <f>F276&amp;COUNTIF($F$2:F276,F276)</f>
        <v>川原鉄工所14</v>
      </c>
      <c r="C276" t="str">
        <v>退社</v>
      </c>
      <c r="D276">
        <v>220127</v>
      </c>
      <c r="E276">
        <v>0</v>
      </c>
      <c r="F276" t="str">
        <v>川原鉄工所</v>
      </c>
      <c r="G276" t="str">
        <v>製造部</v>
      </c>
      <c r="H276" t="str">
        <v>旋盤ライン</v>
      </c>
      <c r="I276" t="str">
        <v>ATミッション部品をはじめとする、各種自動車部品の製造</v>
      </c>
      <c r="J276" t="str">
        <v>ODORIZZI SANDRA</v>
      </c>
      <c r="K276" t="str">
        <v>オードリージ　サンドラ</v>
      </c>
      <c r="L276" t="str">
        <v>女</v>
      </c>
      <c r="M276" t="str">
        <v>ﾌﾞﾗｼﾞﾙ</v>
      </c>
      <c r="N276" s="31">
        <v>26871</v>
      </c>
      <c r="O276">
        <v>52</v>
      </c>
      <c r="P276">
        <v>1250</v>
      </c>
      <c r="Q276" t="str">
        <v>入社3か月後50円UP</v>
      </c>
      <c r="R276">
        <v>1650</v>
      </c>
      <c r="S276">
        <v>0</v>
      </c>
      <c r="T276">
        <v>400</v>
      </c>
      <c r="U276">
        <v>0</v>
      </c>
      <c r="V276" t="str">
        <v/>
      </c>
      <c r="W276" t="str">
        <v>0</v>
      </c>
      <c r="X276" t="str">
        <v/>
      </c>
      <c r="Y276" s="31">
        <v>46680</v>
      </c>
      <c r="Z276" t="str">
        <v/>
      </c>
      <c r="AA276" t="str">
        <v>永住者</v>
      </c>
      <c r="AB276" t="str">
        <v>455-0072</v>
      </c>
      <c r="AC276" t="str">
        <v>愛知県名古屋市港区須成町2丁目14番地</v>
      </c>
      <c r="AD276" t="str">
        <v>須成荘3棟302号</v>
      </c>
      <c r="AE276" s="31" t="str">
        <v>個人</v>
      </c>
      <c r="AF276" s="31">
        <v>44585</v>
      </c>
      <c r="AG276" s="31">
        <v>44603</v>
      </c>
      <c r="AH276" s="31">
        <v>0</v>
      </c>
      <c r="AI276" t="str">
        <v>なし</v>
      </c>
      <c r="AJ276">
        <v>0</v>
      </c>
      <c r="AK276">
        <v>0</v>
      </c>
      <c r="AL276">
        <v>44585</v>
      </c>
      <c r="AM276">
        <v>0</v>
      </c>
      <c r="AN276">
        <v>0</v>
      </c>
      <c r="AO276">
        <v>0</v>
      </c>
      <c r="AP276">
        <v>0</v>
      </c>
      <c r="AQ276">
        <v>0</v>
      </c>
      <c r="AR276">
        <v>0</v>
      </c>
    </row>
    <row r="277" spans="1:44">
      <c r="A277" t="str">
        <f>H277&amp;COUNTIF($H$2:H277,H277)</f>
        <v>0146</v>
      </c>
      <c r="B277" t="str">
        <f>F277&amp;COUNTIF($F$2:F277,F277)</f>
        <v>ワーク 堺1</v>
      </c>
      <c r="C277" t="str">
        <v>退社</v>
      </c>
      <c r="D277">
        <v>220128</v>
      </c>
      <c r="E277">
        <v>0</v>
      </c>
      <c r="F277" t="str">
        <v>ワーク 堺</v>
      </c>
      <c r="G277" t="str">
        <v>堺工場　製造部</v>
      </c>
      <c r="H277">
        <v>0</v>
      </c>
      <c r="I277">
        <v>0</v>
      </c>
      <c r="J277" t="str">
        <v>VU DUC THACH</v>
      </c>
      <c r="K277" t="str">
        <v>ヴー　ドゥック　タック</v>
      </c>
      <c r="L277" t="str">
        <v>男</v>
      </c>
      <c r="M277" t="str">
        <v>ﾍﾞﾄﾅﾑ</v>
      </c>
      <c r="N277" s="31">
        <v>33926</v>
      </c>
      <c r="O277">
        <v>33</v>
      </c>
      <c r="P277">
        <v>1450</v>
      </c>
      <c r="Q277">
        <v>0</v>
      </c>
      <c r="R277">
        <v>1900</v>
      </c>
      <c r="S277">
        <v>0</v>
      </c>
      <c r="T277">
        <v>450</v>
      </c>
      <c r="U277">
        <v>240000</v>
      </c>
      <c r="V277">
        <v>12036</v>
      </c>
      <c r="W277" t="str">
        <v>0</v>
      </c>
      <c r="X277">
        <v>21960</v>
      </c>
      <c r="Y277" s="31">
        <v>46311</v>
      </c>
      <c r="Z277" t="str">
        <v/>
      </c>
      <c r="AA277" t="str">
        <v>技術・人文知識・国際業務</v>
      </c>
      <c r="AB277" t="str">
        <v>559-0007</v>
      </c>
      <c r="AC277" t="str">
        <v>大阪府大阪市住之江区粉浜西3丁目1番</v>
      </c>
      <c r="AD277" t="str">
        <v>4-805</v>
      </c>
      <c r="AE277" s="31" t="str">
        <v>個人</v>
      </c>
      <c r="AF277" s="31">
        <v>44585</v>
      </c>
      <c r="AG277" s="31">
        <v>45950</v>
      </c>
      <c r="AH277" s="31">
        <v>0</v>
      </c>
      <c r="AI277">
        <v>22.02</v>
      </c>
      <c r="AJ277" t="str">
        <v>OK</v>
      </c>
      <c r="AK277">
        <v>0</v>
      </c>
      <c r="AL277">
        <v>44585</v>
      </c>
      <c r="AM277">
        <v>0</v>
      </c>
      <c r="AN277">
        <v>0</v>
      </c>
      <c r="AO277">
        <v>0</v>
      </c>
      <c r="AP277">
        <v>0</v>
      </c>
      <c r="AQ277">
        <v>0</v>
      </c>
      <c r="AR277">
        <v>0</v>
      </c>
    </row>
    <row r="278" spans="1:44">
      <c r="A278" t="str">
        <f>H278&amp;COUNTIF($H$2:H278,H278)</f>
        <v>0147</v>
      </c>
      <c r="B278" t="str">
        <f>F278&amp;COUNTIF($F$2:F278,F278)</f>
        <v>ﾌｪﾆﾃｯｸｾﾐｺﾝﾀﾞｸﾀｰ 岡山18</v>
      </c>
      <c r="C278" t="str">
        <v>退社</v>
      </c>
      <c r="D278">
        <v>220129</v>
      </c>
      <c r="E278">
        <v>84112</v>
      </c>
      <c r="F278" t="str">
        <v>ﾌｪﾆﾃｯｸｾﾐｺﾝﾀﾞｸﾀｰ 岡山</v>
      </c>
      <c r="G278" t="str">
        <v>岡山工場製造部PE課５インチ担当</v>
      </c>
      <c r="H278">
        <v>0</v>
      </c>
      <c r="I278">
        <v>0</v>
      </c>
      <c r="J278" t="str">
        <v>HO THANH BAO TRUNG</v>
      </c>
      <c r="K278" t="str">
        <v>ホー　タン　バオ　チュン</v>
      </c>
      <c r="L278" t="str">
        <v>男</v>
      </c>
      <c r="M278" t="str">
        <v>ﾍﾞﾄﾅﾑ</v>
      </c>
      <c r="N278" s="31">
        <v>33462</v>
      </c>
      <c r="O278">
        <v>34</v>
      </c>
      <c r="P278">
        <v>1500</v>
      </c>
      <c r="Q278" t="str">
        <v>4/21~1500</v>
      </c>
      <c r="R278">
        <v>2300</v>
      </c>
      <c r="S278" t="str">
        <v>22.04.01~200円UP</v>
      </c>
      <c r="T278">
        <v>800</v>
      </c>
      <c r="U278">
        <v>280000</v>
      </c>
      <c r="V278">
        <v>14042</v>
      </c>
      <c r="W278" t="str">
        <v>0</v>
      </c>
      <c r="X278">
        <v>25620</v>
      </c>
      <c r="Y278" s="31">
        <v>46372</v>
      </c>
      <c r="Z278" t="str">
        <v/>
      </c>
      <c r="AA278" t="str">
        <v>技術・人文知識・国際業務</v>
      </c>
      <c r="AB278" t="str">
        <v>714-1227</v>
      </c>
      <c r="AC278" t="str">
        <v>岡山県小田郡矢掛町小田5518-1</v>
      </c>
      <c r="AD278" t="str">
        <v>ｺｰﾎﾟ小田206</v>
      </c>
      <c r="AE278" s="31" t="str">
        <v>個人</v>
      </c>
      <c r="AF278" s="31">
        <v>44585</v>
      </c>
      <c r="AG278" s="31">
        <v>44946</v>
      </c>
      <c r="AH278" s="31">
        <v>0</v>
      </c>
      <c r="AI278">
        <v>22.02</v>
      </c>
      <c r="AJ278" t="str">
        <v>OK</v>
      </c>
      <c r="AK278">
        <v>0</v>
      </c>
      <c r="AL278">
        <v>44585</v>
      </c>
      <c r="AM278">
        <v>0</v>
      </c>
      <c r="AN278">
        <v>0</v>
      </c>
      <c r="AO278">
        <v>0</v>
      </c>
      <c r="AP278">
        <v>0</v>
      </c>
      <c r="AQ278">
        <v>0</v>
      </c>
      <c r="AR278">
        <v>0</v>
      </c>
    </row>
    <row r="279" spans="1:44">
      <c r="A279" t="str">
        <f>H279&amp;COUNTIF($H$2:H279,H279)</f>
        <v>旋盤ライン15</v>
      </c>
      <c r="B279" t="str">
        <f>F279&amp;COUNTIF($F$2:F279,F279)</f>
        <v>川原鉄工所15</v>
      </c>
      <c r="C279" t="str">
        <v>在職中</v>
      </c>
      <c r="D279">
        <v>220130</v>
      </c>
      <c r="E279">
        <v>0</v>
      </c>
      <c r="F279" t="str">
        <v>川原鉄工所</v>
      </c>
      <c r="G279" t="str">
        <v>製造部</v>
      </c>
      <c r="H279" t="str">
        <v>旋盤ライン</v>
      </c>
      <c r="I279" t="str">
        <v>ATミッション部品をはじめとする、各種自動車部品の製造</v>
      </c>
      <c r="J279" t="str">
        <v>NGUYEN VAN HUNG</v>
      </c>
      <c r="K279" t="str">
        <v>グエン　バン　フン</v>
      </c>
      <c r="L279" t="str">
        <v>男</v>
      </c>
      <c r="M279" t="str">
        <v>ﾍﾞﾄﾅﾑ</v>
      </c>
      <c r="N279" s="31">
        <v>32486</v>
      </c>
      <c r="O279">
        <v>36</v>
      </c>
      <c r="P279">
        <v>1300</v>
      </c>
      <c r="Q279" t="str">
        <v>入社3か月後50円UP</v>
      </c>
      <c r="R279">
        <v>1650</v>
      </c>
      <c r="S279">
        <v>0</v>
      </c>
      <c r="T279">
        <v>350</v>
      </c>
      <c r="U279">
        <v>320000</v>
      </c>
      <c r="V279">
        <v>16048</v>
      </c>
      <c r="W279" t="str">
        <v>0</v>
      </c>
      <c r="X279">
        <v>29280</v>
      </c>
      <c r="Y279" s="31">
        <v>46727</v>
      </c>
      <c r="Z279" t="str">
        <v/>
      </c>
      <c r="AA279" t="str">
        <v>技術・人文知識・国際業務</v>
      </c>
      <c r="AB279" t="str">
        <v>455-0046</v>
      </c>
      <c r="AC279" t="str">
        <v>愛知県名古屋市港区大手町2丁目31</v>
      </c>
      <c r="AD279" t="str">
        <v>ﾀﾞｲｺｰﾏﾝｼｮﾝ302</v>
      </c>
      <c r="AE279" s="31">
        <v>44632</v>
      </c>
      <c r="AF279" s="31">
        <v>44586</v>
      </c>
      <c r="AG279" s="31">
        <v>0</v>
      </c>
      <c r="AH279" s="31">
        <v>0</v>
      </c>
      <c r="AI279">
        <v>22.04</v>
      </c>
      <c r="AJ279" t="str">
        <v>OK</v>
      </c>
      <c r="AK279">
        <v>0</v>
      </c>
      <c r="AL279">
        <v>44586</v>
      </c>
      <c r="AM279">
        <v>0</v>
      </c>
      <c r="AN279">
        <v>0</v>
      </c>
      <c r="AO279">
        <v>0</v>
      </c>
      <c r="AP279">
        <v>0</v>
      </c>
      <c r="AQ279">
        <v>0</v>
      </c>
      <c r="AR279">
        <v>0</v>
      </c>
    </row>
    <row r="280" spans="1:44">
      <c r="A280" t="str">
        <f>H280&amp;COUNTIF($H$2:H280,H280)</f>
        <v>0148</v>
      </c>
      <c r="B280" t="str">
        <f>F280&amp;COUNTIF($F$2:F280,F280)</f>
        <v>六甲電子11</v>
      </c>
      <c r="C280" t="str">
        <v>退社</v>
      </c>
      <c r="D280">
        <v>220131</v>
      </c>
      <c r="E280">
        <v>0</v>
      </c>
      <c r="F280" t="str">
        <v>六甲電子</v>
      </c>
      <c r="G280">
        <v>0</v>
      </c>
      <c r="H280">
        <v>0</v>
      </c>
      <c r="I280">
        <v>0</v>
      </c>
      <c r="J280" t="str">
        <v>DO VAN TRONG</v>
      </c>
      <c r="K280" t="str">
        <v>ド　ヴァン　チョン</v>
      </c>
      <c r="L280" t="str">
        <v>男</v>
      </c>
      <c r="M280" t="str">
        <v>ﾍﾞﾄﾅﾑ</v>
      </c>
      <c r="N280" s="31">
        <v>34688</v>
      </c>
      <c r="O280">
        <v>30</v>
      </c>
      <c r="P280">
        <v>1400</v>
      </c>
      <c r="Q280">
        <v>0</v>
      </c>
      <c r="R280">
        <v>2000</v>
      </c>
      <c r="S280">
        <v>0</v>
      </c>
      <c r="T280">
        <v>600</v>
      </c>
      <c r="U280">
        <v>0</v>
      </c>
      <c r="V280" t="str">
        <v/>
      </c>
      <c r="W280" t="str">
        <v>0</v>
      </c>
      <c r="X280" t="str">
        <v/>
      </c>
      <c r="Y280" s="31">
        <v>45635</v>
      </c>
      <c r="Z280" t="str">
        <v/>
      </c>
      <c r="AA280" t="str">
        <v>技術・人文知識・国際業務</v>
      </c>
      <c r="AB280" t="str">
        <v>658-0021</v>
      </c>
      <c r="AC280" t="str">
        <v>兵庫県神戸市東灘区深江本町2-7-3</v>
      </c>
      <c r="AD280" t="str">
        <v>305号</v>
      </c>
      <c r="AE280" s="31" t="str">
        <v>個人</v>
      </c>
      <c r="AF280" s="31">
        <v>44588</v>
      </c>
      <c r="AG280" s="31">
        <v>44662</v>
      </c>
      <c r="AH280" s="31">
        <v>0</v>
      </c>
      <c r="AI280">
        <v>22.04</v>
      </c>
      <c r="AJ280" t="str">
        <v>OK</v>
      </c>
      <c r="AK280">
        <v>0</v>
      </c>
      <c r="AL280">
        <v>44588</v>
      </c>
      <c r="AM280">
        <v>0</v>
      </c>
      <c r="AN280">
        <v>0</v>
      </c>
      <c r="AO280">
        <v>0</v>
      </c>
      <c r="AP280">
        <v>0</v>
      </c>
      <c r="AQ280">
        <v>0</v>
      </c>
      <c r="AR280">
        <v>0</v>
      </c>
    </row>
    <row r="281" spans="1:44">
      <c r="A281" t="str">
        <f>H281&amp;COUNTIF($H$2:H281,H281)</f>
        <v>0149</v>
      </c>
      <c r="B281" t="str">
        <f>F281&amp;COUNTIF($F$2:F281,F281)</f>
        <v>高雄工業 本社24</v>
      </c>
      <c r="C281" t="str">
        <v>退社</v>
      </c>
      <c r="D281">
        <v>220132</v>
      </c>
      <c r="E281">
        <v>0</v>
      </c>
      <c r="F281" t="str">
        <v>高雄工業 本社</v>
      </c>
      <c r="G281" t="str">
        <v>高雄工業株式会社 愛知事業所本社工場製作課</v>
      </c>
      <c r="H281">
        <v>0</v>
      </c>
      <c r="I281">
        <v>0</v>
      </c>
      <c r="J281" t="str">
        <v>THAN TRUNG TIEN</v>
      </c>
      <c r="K281" t="str">
        <v>タン　チュン　ティエン</v>
      </c>
      <c r="L281" t="str">
        <v>男</v>
      </c>
      <c r="M281" t="str">
        <v>ﾍﾞﾄﾅﾑ</v>
      </c>
      <c r="N281" s="31">
        <v>33937</v>
      </c>
      <c r="O281">
        <v>33</v>
      </c>
      <c r="P281">
        <v>1350</v>
      </c>
      <c r="Q281">
        <v>0</v>
      </c>
      <c r="R281">
        <v>1750</v>
      </c>
      <c r="S281">
        <v>0</v>
      </c>
      <c r="T281">
        <v>400</v>
      </c>
      <c r="U281">
        <v>0</v>
      </c>
      <c r="V281" t="str">
        <v/>
      </c>
      <c r="W281" t="str">
        <v>0</v>
      </c>
      <c r="X281" t="str">
        <v/>
      </c>
      <c r="Y281" s="31">
        <v>44882</v>
      </c>
      <c r="Z281" t="str">
        <v/>
      </c>
      <c r="AA281" t="str">
        <v>技術・人文知識・国際業務</v>
      </c>
      <c r="AB281" t="str">
        <v>498-0017</v>
      </c>
      <c r="AC281" t="str">
        <v>愛知県弥富市前ヶ須町東勘助138</v>
      </c>
      <c r="AD281" t="str">
        <v>安井ﾋﾞﾙ2C</v>
      </c>
      <c r="AE281" s="31">
        <v>0</v>
      </c>
      <c r="AF281" s="31">
        <v>44592</v>
      </c>
      <c r="AG281" s="31">
        <v>44601</v>
      </c>
      <c r="AH281" s="31">
        <v>0</v>
      </c>
      <c r="AI281">
        <v>22.04</v>
      </c>
      <c r="AJ281">
        <v>0</v>
      </c>
      <c r="AK281">
        <v>0</v>
      </c>
      <c r="AL281">
        <v>44592</v>
      </c>
      <c r="AM281">
        <v>0</v>
      </c>
      <c r="AN281">
        <v>0</v>
      </c>
      <c r="AO281">
        <v>0</v>
      </c>
      <c r="AP281">
        <v>0</v>
      </c>
      <c r="AQ281">
        <v>0</v>
      </c>
      <c r="AR281">
        <v>0</v>
      </c>
    </row>
    <row r="282" spans="1:44">
      <c r="A282" t="str">
        <f>H282&amp;COUNTIF($H$2:H282,H282)</f>
        <v>CVJ長軸旋盤係10</v>
      </c>
      <c r="B282" t="str">
        <f>F282&amp;COUNTIF($F$2:F282,F282)</f>
        <v>高雄工業 岡山42</v>
      </c>
      <c r="C282" t="str">
        <v>退社</v>
      </c>
      <c r="D282">
        <v>220201</v>
      </c>
      <c r="E282">
        <v>232044</v>
      </c>
      <c r="F282" t="str">
        <v>高雄工業 岡山</v>
      </c>
      <c r="G282" t="str">
        <v>高雄工業株式会社 岡山事業所CVJ工場製作課</v>
      </c>
      <c r="H282" t="str">
        <v>CVJ長軸旋盤係</v>
      </c>
      <c r="I282">
        <v>0</v>
      </c>
      <c r="J282" t="str">
        <v>NGUYEN DUC DUY</v>
      </c>
      <c r="K282" t="str">
        <v>グエン　ドック　ユイ</v>
      </c>
      <c r="L282" t="str">
        <v>男</v>
      </c>
      <c r="M282" t="str">
        <v>ﾍﾞﾄﾅﾑ</v>
      </c>
      <c r="N282" s="31">
        <v>31904</v>
      </c>
      <c r="O282">
        <v>38</v>
      </c>
      <c r="P282">
        <v>1400</v>
      </c>
      <c r="Q282">
        <v>0</v>
      </c>
      <c r="R282">
        <v>1760</v>
      </c>
      <c r="S282">
        <v>0</v>
      </c>
      <c r="T282">
        <v>360</v>
      </c>
      <c r="U282">
        <v>0</v>
      </c>
      <c r="V282" t="str">
        <v/>
      </c>
      <c r="W282" t="str">
        <v>0</v>
      </c>
      <c r="X282" t="str">
        <v/>
      </c>
      <c r="Y282" s="31">
        <v>45595</v>
      </c>
      <c r="Z282" t="str">
        <v/>
      </c>
      <c r="AA282" t="str">
        <v>技術・人文知識・国際業務</v>
      </c>
      <c r="AB282" t="str">
        <v>709-2107</v>
      </c>
      <c r="AC282" t="str">
        <v>岡山県岡山市北区御津矢原307-1</v>
      </c>
      <c r="AD282" t="str">
        <v>成広矢原ｺｰﾎﾟⅡ102</v>
      </c>
      <c r="AE282" s="31">
        <v>44588</v>
      </c>
      <c r="AF282" s="31">
        <v>44594</v>
      </c>
      <c r="AG282" s="31">
        <v>44933</v>
      </c>
      <c r="AH282" s="31">
        <v>0</v>
      </c>
      <c r="AI282">
        <v>22.04</v>
      </c>
      <c r="AJ282" t="str">
        <v>OK</v>
      </c>
      <c r="AK282">
        <v>0</v>
      </c>
      <c r="AL282">
        <v>44594</v>
      </c>
      <c r="AM282">
        <v>0</v>
      </c>
      <c r="AN282">
        <v>0</v>
      </c>
      <c r="AO282">
        <v>0</v>
      </c>
      <c r="AP282">
        <v>0</v>
      </c>
      <c r="AQ282">
        <v>0</v>
      </c>
      <c r="AR282">
        <v>0</v>
      </c>
    </row>
    <row r="283" spans="1:44">
      <c r="A283" t="str">
        <f>H283&amp;COUNTIF($H$2:H283,H283)</f>
        <v>0150</v>
      </c>
      <c r="B283" t="str">
        <f>F283&amp;COUNTIF($F$2:F283,F283)</f>
        <v>高雄工業 岡山43</v>
      </c>
      <c r="C283" t="str">
        <v>退社</v>
      </c>
      <c r="D283">
        <v>220202</v>
      </c>
      <c r="E283">
        <v>232043</v>
      </c>
      <c r="F283" t="str">
        <v>高雄工業 岡山</v>
      </c>
      <c r="G283" t="str">
        <v>007210 高雄工業株式会社 岡山事業所CVJ工場製作課</v>
      </c>
      <c r="H283">
        <v>0</v>
      </c>
      <c r="I283">
        <v>0</v>
      </c>
      <c r="J283" t="str">
        <v>DAO XUAN TRINH</v>
      </c>
      <c r="K283" t="str">
        <v>ダオ　スアン　チン</v>
      </c>
      <c r="L283" t="str">
        <v>男</v>
      </c>
      <c r="M283" t="str">
        <v>ﾍﾞﾄﾅﾑ</v>
      </c>
      <c r="N283" s="31">
        <v>34386</v>
      </c>
      <c r="O283">
        <v>31</v>
      </c>
      <c r="P283">
        <v>1350</v>
      </c>
      <c r="Q283">
        <v>0</v>
      </c>
      <c r="R283">
        <v>1760</v>
      </c>
      <c r="S283">
        <v>0</v>
      </c>
      <c r="T283">
        <v>410</v>
      </c>
      <c r="U283">
        <v>0</v>
      </c>
      <c r="V283" t="str">
        <v/>
      </c>
      <c r="W283" t="str">
        <v>0</v>
      </c>
      <c r="X283" t="str">
        <v/>
      </c>
      <c r="Y283" s="31">
        <v>44938</v>
      </c>
      <c r="Z283" t="str">
        <v/>
      </c>
      <c r="AA283" t="str">
        <v>技術・人文知識・国際業務</v>
      </c>
      <c r="AB283" t="str">
        <v>709-2107</v>
      </c>
      <c r="AC283" t="str">
        <v>岡山県岡山市北区御津矢原311</v>
      </c>
      <c r="AD283" t="str">
        <v>新矢原1F</v>
      </c>
      <c r="AE283" s="31">
        <v>44589</v>
      </c>
      <c r="AF283" s="31">
        <v>44594</v>
      </c>
      <c r="AG283" s="31">
        <v>44719</v>
      </c>
      <c r="AH283" s="31">
        <v>0</v>
      </c>
      <c r="AI283" t="str">
        <v>なし</v>
      </c>
      <c r="AJ283" t="str">
        <v>OK</v>
      </c>
      <c r="AK283">
        <v>0</v>
      </c>
      <c r="AL283">
        <v>44594</v>
      </c>
      <c r="AM283">
        <v>0</v>
      </c>
      <c r="AN283">
        <v>0</v>
      </c>
      <c r="AO283">
        <v>0</v>
      </c>
      <c r="AP283">
        <v>0</v>
      </c>
      <c r="AQ283">
        <v>0</v>
      </c>
      <c r="AR283">
        <v>0</v>
      </c>
    </row>
    <row r="284" spans="1:44">
      <c r="A284" t="str">
        <f>H284&amp;COUNTIF($H$2:H284,H284)</f>
        <v>一次旋係13</v>
      </c>
      <c r="B284" t="str">
        <f>F284&amp;COUNTIF($F$2:F284,F284)</f>
        <v>高雄工業 岡山44</v>
      </c>
      <c r="C284" t="str">
        <v>退社</v>
      </c>
      <c r="D284">
        <v>220203</v>
      </c>
      <c r="E284">
        <v>232042</v>
      </c>
      <c r="F284" t="str">
        <v>高雄工業 岡山</v>
      </c>
      <c r="G284" t="str">
        <v>高雄工業株式会社 岡山事業所HUB工場製作1課</v>
      </c>
      <c r="H284" t="str">
        <v>一次旋係</v>
      </c>
      <c r="I284" t="str">
        <v>ハブ加工・自動機の操作・ＮＣプログラム修正</v>
      </c>
      <c r="J284" t="str">
        <v>FARID RIZAL</v>
      </c>
      <c r="K284" t="str">
        <v>ファリド　リザル</v>
      </c>
      <c r="L284" t="str">
        <v>男</v>
      </c>
      <c r="M284" t="str">
        <v>ｲﾝﾄﾞﾈｼｱ</v>
      </c>
      <c r="N284" s="31">
        <v>33535</v>
      </c>
      <c r="O284">
        <v>34</v>
      </c>
      <c r="P284">
        <v>1410</v>
      </c>
      <c r="Q284">
        <v>0</v>
      </c>
      <c r="R284">
        <v>1840</v>
      </c>
      <c r="S284">
        <v>0</v>
      </c>
      <c r="T284">
        <v>430</v>
      </c>
      <c r="U284">
        <v>280000</v>
      </c>
      <c r="V284">
        <v>14042</v>
      </c>
      <c r="W284" t="str">
        <v>0</v>
      </c>
      <c r="X284">
        <v>25620</v>
      </c>
      <c r="Y284" s="31">
        <v>46117</v>
      </c>
      <c r="Z284" t="str">
        <v/>
      </c>
      <c r="AA284" t="str">
        <v>技術・人文知識・国際業務</v>
      </c>
      <c r="AB284" t="str">
        <v>709-2134</v>
      </c>
      <c r="AC284" t="str">
        <v>岡山県岡山市北区御津下田77</v>
      </c>
      <c r="AD284" t="str">
        <v>ﾋﾞﾚｯｼﾞﾊｳｽ2号棟304</v>
      </c>
      <c r="AE284" s="31" t="str">
        <v>個人</v>
      </c>
      <c r="AF284" s="31">
        <v>44594</v>
      </c>
      <c r="AG284" s="31">
        <v>45433</v>
      </c>
      <c r="AH284" s="31">
        <v>0</v>
      </c>
      <c r="AI284">
        <v>22.02</v>
      </c>
      <c r="AJ284" t="str">
        <v>OK</v>
      </c>
      <c r="AK284">
        <v>0</v>
      </c>
      <c r="AL284">
        <v>44594</v>
      </c>
      <c r="AM284">
        <v>0</v>
      </c>
      <c r="AN284">
        <v>0</v>
      </c>
      <c r="AO284">
        <v>0</v>
      </c>
      <c r="AP284">
        <v>0</v>
      </c>
      <c r="AQ284">
        <v>0</v>
      </c>
      <c r="AR284">
        <v>0</v>
      </c>
    </row>
    <row r="285" spans="1:44">
      <c r="A285" t="str">
        <f>H285&amp;COUNTIF($H$2:H285,H285)</f>
        <v>Gライン4</v>
      </c>
      <c r="B285" t="str">
        <f>F285&amp;COUNTIF($F$2:F285,F285)</f>
        <v>高雄工業 本社25</v>
      </c>
      <c r="C285" t="str">
        <v>退社</v>
      </c>
      <c r="D285">
        <v>220204</v>
      </c>
      <c r="E285">
        <v>212021</v>
      </c>
      <c r="F285" t="str">
        <v>高雄工業 本社</v>
      </c>
      <c r="G285" t="str">
        <v>高雄工業株式会社 愛知事業所本社工場製作課</v>
      </c>
      <c r="H285" t="str">
        <v>Gライン</v>
      </c>
      <c r="I285">
        <v>0</v>
      </c>
      <c r="J285" t="str">
        <v>VU VAN QUYNH</v>
      </c>
      <c r="K285" t="str">
        <v>ヴー　ヴァン　クイン</v>
      </c>
      <c r="L285" t="str">
        <v>男</v>
      </c>
      <c r="M285" t="str">
        <v>ﾍﾞﾄﾅﾑ</v>
      </c>
      <c r="N285" s="31">
        <v>35733</v>
      </c>
      <c r="O285">
        <v>28</v>
      </c>
      <c r="P285">
        <v>1400</v>
      </c>
      <c r="Q285">
        <v>0</v>
      </c>
      <c r="R285">
        <v>1760</v>
      </c>
      <c r="S285">
        <v>0</v>
      </c>
      <c r="T285">
        <v>360</v>
      </c>
      <c r="U285">
        <v>180000</v>
      </c>
      <c r="V285">
        <v>9027</v>
      </c>
      <c r="W285" t="str">
        <v>0</v>
      </c>
      <c r="X285">
        <v>16470</v>
      </c>
      <c r="Y285" s="31">
        <v>45284</v>
      </c>
      <c r="Z285" t="str">
        <v/>
      </c>
      <c r="AA285" t="str">
        <v>技術・人文知識・国際業務</v>
      </c>
      <c r="AB285" t="str">
        <v>498-0025</v>
      </c>
      <c r="AC285" t="str">
        <v>愛知県弥富市平島町喜右味名78-1</v>
      </c>
      <c r="AD285" t="str">
        <v>ﾌﾚｸﾞﾗﾝｽ桂E棟102号</v>
      </c>
      <c r="AE285" s="31">
        <v>44602</v>
      </c>
      <c r="AF285" s="31">
        <v>44599</v>
      </c>
      <c r="AG285" s="31">
        <v>45020</v>
      </c>
      <c r="AH285" s="31">
        <v>45020</v>
      </c>
      <c r="AI285">
        <v>22.04</v>
      </c>
      <c r="AJ285" t="str">
        <v>OK</v>
      </c>
      <c r="AK285">
        <v>0</v>
      </c>
      <c r="AL285">
        <v>44599</v>
      </c>
      <c r="AM285">
        <v>0</v>
      </c>
      <c r="AN285">
        <v>0</v>
      </c>
      <c r="AO285">
        <v>0</v>
      </c>
      <c r="AP285">
        <v>0</v>
      </c>
      <c r="AQ285">
        <v>0</v>
      </c>
      <c r="AR285">
        <v>0</v>
      </c>
    </row>
    <row r="286" spans="1:44">
      <c r="A286" t="str">
        <f>H286&amp;COUNTIF($H$2:H286,H286)</f>
        <v>0151</v>
      </c>
      <c r="B286" t="str">
        <f>F286&amp;COUNTIF($F$2:F286,F286)</f>
        <v>高雄工業 本社26</v>
      </c>
      <c r="C286" t="str">
        <v>退社</v>
      </c>
      <c r="D286">
        <v>220205</v>
      </c>
      <c r="E286">
        <v>0</v>
      </c>
      <c r="F286" t="str">
        <v>高雄工業 本社</v>
      </c>
      <c r="G286" t="str">
        <v>高雄工業株式会社 愛知事業所本社工場製作課</v>
      </c>
      <c r="H286">
        <v>0</v>
      </c>
      <c r="I286">
        <v>0</v>
      </c>
      <c r="J286" t="str">
        <v>NGO VAN CHUONG</v>
      </c>
      <c r="K286" t="str">
        <v>ゴー　バン　チュオン</v>
      </c>
      <c r="L286" t="str">
        <v>男</v>
      </c>
      <c r="M286" t="str">
        <v>ﾍﾞﾄﾅﾑ</v>
      </c>
      <c r="N286" s="31">
        <v>34726</v>
      </c>
      <c r="O286">
        <v>30</v>
      </c>
      <c r="P286">
        <v>1350</v>
      </c>
      <c r="Q286">
        <v>0</v>
      </c>
      <c r="R286">
        <v>1760</v>
      </c>
      <c r="S286">
        <v>0</v>
      </c>
      <c r="T286">
        <v>410</v>
      </c>
      <c r="U286">
        <v>0</v>
      </c>
      <c r="V286" t="str">
        <v/>
      </c>
      <c r="W286" t="str">
        <v>0</v>
      </c>
      <c r="X286" t="str">
        <v/>
      </c>
      <c r="Y286" s="31">
        <v>44919</v>
      </c>
      <c r="Z286" t="str">
        <v/>
      </c>
      <c r="AA286" t="str">
        <v>技術・人文知識・国際業務</v>
      </c>
      <c r="AB286" t="str">
        <v>498-0025</v>
      </c>
      <c r="AC286" t="str">
        <v>愛知県弥富市平島町喜右味名78-1</v>
      </c>
      <c r="AD286" t="str">
        <v>ﾌﾚｸﾞﾗﾝｽ桂E棟102号</v>
      </c>
      <c r="AE286" s="31">
        <v>44602</v>
      </c>
      <c r="AF286" s="31">
        <v>44599</v>
      </c>
      <c r="AG286" s="31">
        <v>44680</v>
      </c>
      <c r="AH286" s="31">
        <v>0</v>
      </c>
      <c r="AI286">
        <v>22.04</v>
      </c>
      <c r="AJ286" t="str">
        <v>OK</v>
      </c>
      <c r="AK286">
        <v>0</v>
      </c>
      <c r="AL286">
        <v>44599</v>
      </c>
      <c r="AM286">
        <v>0</v>
      </c>
      <c r="AN286">
        <v>0</v>
      </c>
      <c r="AO286">
        <v>0</v>
      </c>
      <c r="AP286">
        <v>0</v>
      </c>
      <c r="AQ286">
        <v>0</v>
      </c>
      <c r="AR286">
        <v>0</v>
      </c>
    </row>
    <row r="287" spans="1:44">
      <c r="A287" t="str">
        <f>H287&amp;COUNTIF($H$2:H287,H287)</f>
        <v>1次旋係5</v>
      </c>
      <c r="B287" t="str">
        <f>F287&amp;COUNTIF($F$2:F287,F287)</f>
        <v>高雄工業 岡山45</v>
      </c>
      <c r="C287" t="str">
        <v>退社</v>
      </c>
      <c r="D287">
        <v>220206</v>
      </c>
      <c r="E287">
        <v>232045</v>
      </c>
      <c r="F287" t="str">
        <v>高雄工業 岡山</v>
      </c>
      <c r="G287" t="str">
        <v>高雄工業株式会社 岡山事業所HUB工場製作1課</v>
      </c>
      <c r="H287" t="str">
        <v>1次旋係</v>
      </c>
      <c r="I287" t="str">
        <v>ハブ加工 自動機の操作、ＮＣプログラム修正</v>
      </c>
      <c r="J287" t="str">
        <v>DANG DUY VINH</v>
      </c>
      <c r="K287" t="str">
        <v>ダン　ズイ　ビン</v>
      </c>
      <c r="L287" t="str">
        <v>男</v>
      </c>
      <c r="M287" t="str">
        <v>ﾍﾞﾄﾅﾑ</v>
      </c>
      <c r="N287" s="31">
        <v>33746</v>
      </c>
      <c r="O287">
        <v>33</v>
      </c>
      <c r="P287">
        <v>1410</v>
      </c>
      <c r="Q287">
        <v>0</v>
      </c>
      <c r="R287">
        <v>1810</v>
      </c>
      <c r="S287">
        <v>0</v>
      </c>
      <c r="T287">
        <v>400</v>
      </c>
      <c r="U287">
        <v>240000</v>
      </c>
      <c r="V287">
        <v>12036</v>
      </c>
      <c r="W287" t="str">
        <v>0</v>
      </c>
      <c r="X287">
        <v>21960</v>
      </c>
      <c r="Y287" s="31">
        <v>46600</v>
      </c>
      <c r="Z287" t="str">
        <v/>
      </c>
      <c r="AA287" t="str">
        <v>技術・人文知識・国際業務</v>
      </c>
      <c r="AB287" t="str">
        <v>709-2107</v>
      </c>
      <c r="AC287" t="str">
        <v>岡山県岡山市北区御津矢原312番地１</v>
      </c>
      <c r="AD287" t="str">
        <v>中須賀ｺｰﾎﾟⅡ202</v>
      </c>
      <c r="AE287" s="31">
        <v>44594</v>
      </c>
      <c r="AF287" s="31">
        <v>44599</v>
      </c>
      <c r="AG287" s="31">
        <v>45625</v>
      </c>
      <c r="AH287" s="31">
        <v>0</v>
      </c>
      <c r="AI287">
        <v>22.04</v>
      </c>
      <c r="AJ287" t="str">
        <v>OK</v>
      </c>
      <c r="AK287">
        <v>0</v>
      </c>
      <c r="AL287">
        <v>44599</v>
      </c>
      <c r="AM287">
        <v>0</v>
      </c>
      <c r="AN287">
        <v>0</v>
      </c>
      <c r="AO287">
        <v>0</v>
      </c>
      <c r="AP287">
        <v>0</v>
      </c>
      <c r="AQ287">
        <v>0</v>
      </c>
      <c r="AR287">
        <v>0</v>
      </c>
    </row>
    <row r="288" spans="1:44">
      <c r="A288" t="str">
        <f>H288&amp;COUNTIF($H$2:H288,H288)</f>
        <v>0152</v>
      </c>
      <c r="B288" t="str">
        <f>F288&amp;COUNTIF($F$2:F288,F288)</f>
        <v>高雄工業 海南第二7</v>
      </c>
      <c r="C288" t="str">
        <v>退社</v>
      </c>
      <c r="D288">
        <v>220207</v>
      </c>
      <c r="E288">
        <v>222039</v>
      </c>
      <c r="F288" t="str">
        <v>高雄工業 海南第二</v>
      </c>
      <c r="G288" t="str">
        <v>高雄工業株式会社 愛知事業所海南第二工場製作課</v>
      </c>
      <c r="H288">
        <v>0</v>
      </c>
      <c r="I288">
        <v>0</v>
      </c>
      <c r="J288" t="str">
        <v>TRINH HOANG ANH</v>
      </c>
      <c r="K288" t="str">
        <v>チン　ホアン　アイン</v>
      </c>
      <c r="L288" t="str">
        <v>男</v>
      </c>
      <c r="M288" t="str">
        <v>ﾍﾞﾄﾅﾑ</v>
      </c>
      <c r="N288" s="31">
        <v>35681</v>
      </c>
      <c r="O288">
        <v>28</v>
      </c>
      <c r="P288">
        <v>1360</v>
      </c>
      <c r="Q288">
        <v>0</v>
      </c>
      <c r="R288">
        <v>1760</v>
      </c>
      <c r="S288">
        <v>0</v>
      </c>
      <c r="T288">
        <v>400</v>
      </c>
      <c r="U288">
        <v>0</v>
      </c>
      <c r="V288" t="str">
        <v/>
      </c>
      <c r="W288" t="str">
        <v>0</v>
      </c>
      <c r="X288" t="str">
        <v/>
      </c>
      <c r="Y288" s="31">
        <v>44916</v>
      </c>
      <c r="Z288" t="str">
        <v/>
      </c>
      <c r="AA288" t="str">
        <v>技術・人文知識・国際業務</v>
      </c>
      <c r="AB288" t="str">
        <v>498-0017</v>
      </c>
      <c r="AC288" t="str">
        <v>愛知県弥富市前ヶ須町西勘助207</v>
      </c>
      <c r="AD288" t="str">
        <v>CASA弥冨A105</v>
      </c>
      <c r="AE288" s="31">
        <v>44595</v>
      </c>
      <c r="AF288" s="31">
        <v>44599</v>
      </c>
      <c r="AG288" s="31">
        <v>44709</v>
      </c>
      <c r="AH288" s="31">
        <v>0</v>
      </c>
      <c r="AI288">
        <v>22.04</v>
      </c>
      <c r="AJ288" t="str">
        <v>OK</v>
      </c>
      <c r="AK288">
        <v>0</v>
      </c>
      <c r="AL288">
        <v>44599</v>
      </c>
      <c r="AM288">
        <v>0</v>
      </c>
      <c r="AN288">
        <v>0</v>
      </c>
      <c r="AO288">
        <v>0</v>
      </c>
      <c r="AP288">
        <v>0</v>
      </c>
      <c r="AQ288">
        <v>0</v>
      </c>
      <c r="AR288">
        <v>0</v>
      </c>
    </row>
    <row r="289" spans="1:44">
      <c r="A289" t="str">
        <f>H289&amp;COUNTIF($H$2:H289,H289)</f>
        <v>Gライン5</v>
      </c>
      <c r="B289" t="str">
        <f>F289&amp;COUNTIF($F$2:F289,F289)</f>
        <v>高雄工業 本社27</v>
      </c>
      <c r="C289" t="str">
        <v>退社</v>
      </c>
      <c r="D289">
        <v>220208</v>
      </c>
      <c r="E289">
        <v>212024</v>
      </c>
      <c r="F289" t="str">
        <v>高雄工業 本社</v>
      </c>
      <c r="G289" t="str">
        <v>高雄工業株式会社 愛知事業所本社工場製作課</v>
      </c>
      <c r="H289" t="str">
        <v>Gライン</v>
      </c>
      <c r="I289">
        <v>0</v>
      </c>
      <c r="J289" t="str">
        <v>NGO QUOC THINH</v>
      </c>
      <c r="K289" t="str">
        <v>ゴ　クオック　テイン</v>
      </c>
      <c r="L289" t="str">
        <v>男</v>
      </c>
      <c r="M289" t="str">
        <v>ﾍﾞﾄﾅﾑ</v>
      </c>
      <c r="N289" s="31">
        <v>35358</v>
      </c>
      <c r="O289">
        <v>29</v>
      </c>
      <c r="P289">
        <v>1400</v>
      </c>
      <c r="Q289">
        <v>0</v>
      </c>
      <c r="R289">
        <v>1760</v>
      </c>
      <c r="S289">
        <v>0</v>
      </c>
      <c r="T289">
        <v>360</v>
      </c>
      <c r="U289">
        <v>180000</v>
      </c>
      <c r="V289">
        <v>9027</v>
      </c>
      <c r="W289" t="str">
        <v>0</v>
      </c>
      <c r="X289">
        <v>16470</v>
      </c>
      <c r="Y289" s="31">
        <v>45281</v>
      </c>
      <c r="Z289" t="str">
        <v/>
      </c>
      <c r="AA289" t="str">
        <v>技術・人文知識・国際業務</v>
      </c>
      <c r="AB289" t="str">
        <v>498-0031</v>
      </c>
      <c r="AC289" t="str">
        <v>愛知県弥富市平島町甲新田82番地１</v>
      </c>
      <c r="AD289" t="str">
        <v>ﾊﾟｰｸﾀｳﾝ平島D201</v>
      </c>
      <c r="AE289" s="31">
        <v>44632</v>
      </c>
      <c r="AF289" s="31">
        <v>44599</v>
      </c>
      <c r="AG289" s="31">
        <v>45002</v>
      </c>
      <c r="AH289" s="31">
        <v>44995</v>
      </c>
      <c r="AI289">
        <v>22.04</v>
      </c>
      <c r="AJ289" t="str">
        <v>OK</v>
      </c>
      <c r="AK289">
        <v>0</v>
      </c>
      <c r="AL289">
        <v>44599</v>
      </c>
      <c r="AM289">
        <v>0</v>
      </c>
      <c r="AN289">
        <v>0</v>
      </c>
      <c r="AO289">
        <v>0</v>
      </c>
      <c r="AP289">
        <v>0</v>
      </c>
      <c r="AQ289">
        <v>0</v>
      </c>
      <c r="AR289">
        <v>0</v>
      </c>
    </row>
    <row r="290" spans="1:44">
      <c r="A290" t="str">
        <f>H290&amp;COUNTIF($H$2:H290,H290)</f>
        <v>Gライン6</v>
      </c>
      <c r="B290" t="str">
        <f>F290&amp;COUNTIF($F$2:F290,F290)</f>
        <v>高雄工業 本社28</v>
      </c>
      <c r="C290" t="str">
        <v>退社</v>
      </c>
      <c r="D290">
        <v>220209</v>
      </c>
      <c r="E290">
        <v>212023</v>
      </c>
      <c r="F290" t="str">
        <v>高雄工業 本社</v>
      </c>
      <c r="G290" t="str">
        <v>高雄工業株式会社 愛知事業所本社工場製作課</v>
      </c>
      <c r="H290" t="str">
        <v>Gライン</v>
      </c>
      <c r="I290" t="str">
        <v>CVJ部品長軸品の施削加工、NCプログラム修正</v>
      </c>
      <c r="J290" t="str">
        <v>NGUYEN VAN LAP</v>
      </c>
      <c r="K290" t="str">
        <v>グエン　ヴァン　ラップ</v>
      </c>
      <c r="L290" t="str">
        <v>男</v>
      </c>
      <c r="M290" t="str">
        <v>ﾍﾞﾄﾅﾑ</v>
      </c>
      <c r="N290" s="31">
        <v>35544</v>
      </c>
      <c r="O290">
        <v>28</v>
      </c>
      <c r="P290">
        <v>1410</v>
      </c>
      <c r="Q290">
        <v>0</v>
      </c>
      <c r="R290">
        <v>1830</v>
      </c>
      <c r="S290">
        <v>0</v>
      </c>
      <c r="T290">
        <v>420</v>
      </c>
      <c r="U290">
        <v>320000</v>
      </c>
      <c r="V290">
        <v>16048</v>
      </c>
      <c r="W290" t="str">
        <v>0</v>
      </c>
      <c r="X290">
        <v>29280</v>
      </c>
      <c r="Y290" s="31">
        <v>46742</v>
      </c>
      <c r="Z290" t="str">
        <v/>
      </c>
      <c r="AA290" t="str">
        <v>技術・人文知識・国際業務</v>
      </c>
      <c r="AB290" t="str">
        <v>498-0031</v>
      </c>
      <c r="AC290" t="str">
        <v>愛知県弥富市平島町甲新田82番地１</v>
      </c>
      <c r="AD290" t="str">
        <v>ﾊﾟｰｸﾀｳﾝ平島D201</v>
      </c>
      <c r="AE290" s="31">
        <v>44632</v>
      </c>
      <c r="AF290" s="31">
        <v>44599</v>
      </c>
      <c r="AG290" s="31">
        <v>45751</v>
      </c>
      <c r="AH290" s="31">
        <v>0</v>
      </c>
      <c r="AI290">
        <v>22.04</v>
      </c>
      <c r="AJ290" t="str">
        <v>OK</v>
      </c>
      <c r="AK290">
        <v>0</v>
      </c>
      <c r="AL290">
        <v>44599</v>
      </c>
      <c r="AM290">
        <v>0</v>
      </c>
      <c r="AN290">
        <v>0</v>
      </c>
      <c r="AO290">
        <v>0</v>
      </c>
      <c r="AP290">
        <v>0</v>
      </c>
      <c r="AQ290">
        <v>0</v>
      </c>
      <c r="AR290">
        <v>0</v>
      </c>
    </row>
    <row r="291" spans="1:44">
      <c r="A291" t="str">
        <f>H291&amp;COUNTIF($H$2:H291,H291)</f>
        <v>Fライン8</v>
      </c>
      <c r="B291" t="str">
        <f>F291&amp;COUNTIF($F$2:F291,F291)</f>
        <v>高雄工業 本社29</v>
      </c>
      <c r="C291" t="str">
        <v>在職中</v>
      </c>
      <c r="D291">
        <v>240504</v>
      </c>
      <c r="E291">
        <v>212050</v>
      </c>
      <c r="F291" t="str">
        <v>高雄工業 本社</v>
      </c>
      <c r="G291" t="str">
        <v>高雄工業株式会社 愛知事業所本社工場製作課</v>
      </c>
      <c r="H291" t="str">
        <v>Fライン</v>
      </c>
      <c r="I291" t="str">
        <v>CVJ部品短軸品の施削加工、NCプログラム修正</v>
      </c>
      <c r="J291" t="str">
        <v>NGUYEN HOANG TRUNG</v>
      </c>
      <c r="K291" t="str">
        <v>グエン　ホアン　チュン</v>
      </c>
      <c r="L291" t="str">
        <v>男</v>
      </c>
      <c r="M291" t="str">
        <v>ﾍﾞﾄﾅﾑ</v>
      </c>
      <c r="N291" s="31">
        <v>36870</v>
      </c>
      <c r="O291">
        <v>24</v>
      </c>
      <c r="P291">
        <v>1310</v>
      </c>
      <c r="Q291">
        <v>0</v>
      </c>
      <c r="R291">
        <v>1660</v>
      </c>
      <c r="S291">
        <v>0</v>
      </c>
      <c r="T291">
        <v>350</v>
      </c>
      <c r="U291">
        <v>220000</v>
      </c>
      <c r="V291">
        <v>11033</v>
      </c>
      <c r="W291" t="str">
        <v>0</v>
      </c>
      <c r="X291">
        <v>20130</v>
      </c>
      <c r="Y291" s="31">
        <v>46140</v>
      </c>
      <c r="Z291" t="str">
        <v/>
      </c>
      <c r="AA291" t="str">
        <v>技術・人文知識・国際業務</v>
      </c>
      <c r="AB291" t="str">
        <v>498-0017</v>
      </c>
      <c r="AC291" t="str">
        <v>愛知県弥富市前ケ須町勘助走29-1</v>
      </c>
      <c r="AD291" t="str">
        <v>ﾌﾟﾚｼﾞｵC202</v>
      </c>
      <c r="AE291" s="31">
        <v>0</v>
      </c>
      <c r="AF291" s="31">
        <v>45422</v>
      </c>
      <c r="AG291" s="31">
        <v>0</v>
      </c>
      <c r="AH291" s="31">
        <v>0</v>
      </c>
      <c r="AI291" t="str">
        <v>2024.5.13</v>
      </c>
      <c r="AJ291" t="str">
        <v>5/23林</v>
      </c>
      <c r="AK291">
        <v>0</v>
      </c>
      <c r="AL291">
        <v>45422</v>
      </c>
      <c r="AM291">
        <v>0</v>
      </c>
      <c r="AN291">
        <v>0</v>
      </c>
      <c r="AO291">
        <v>0</v>
      </c>
      <c r="AP291">
        <v>0</v>
      </c>
      <c r="AQ291" t="str">
        <v>JLPT-N4</v>
      </c>
      <c r="AR291">
        <v>0</v>
      </c>
    </row>
    <row r="292" spans="1:44">
      <c r="A292" t="str">
        <f>H292&amp;COUNTIF($H$2:H292,H292)</f>
        <v>0153</v>
      </c>
      <c r="B292" t="str">
        <f>F292&amp;COUNTIF($F$2:F292,F292)</f>
        <v>ワーク 堺2</v>
      </c>
      <c r="C292" t="str">
        <v>退社</v>
      </c>
      <c r="D292">
        <v>220211</v>
      </c>
      <c r="E292">
        <v>0</v>
      </c>
      <c r="F292" t="str">
        <v>ワーク 堺</v>
      </c>
      <c r="G292" t="str">
        <v>堺工場　製造部</v>
      </c>
      <c r="H292">
        <v>0</v>
      </c>
      <c r="I292">
        <v>0</v>
      </c>
      <c r="J292" t="str">
        <v>NGUYEN VAN CUONG</v>
      </c>
      <c r="K292" t="str">
        <v>グエン　ヴァン　クオン</v>
      </c>
      <c r="L292" t="str">
        <v>男</v>
      </c>
      <c r="M292" t="str">
        <v>ﾍﾞﾄﾅﾑ</v>
      </c>
      <c r="N292" s="31">
        <v>34432</v>
      </c>
      <c r="O292">
        <v>31</v>
      </c>
      <c r="P292">
        <v>1400</v>
      </c>
      <c r="Q292">
        <v>0</v>
      </c>
      <c r="R292">
        <v>1900</v>
      </c>
      <c r="S292">
        <v>0</v>
      </c>
      <c r="T292">
        <v>500</v>
      </c>
      <c r="U292">
        <v>240000</v>
      </c>
      <c r="V292">
        <v>12036</v>
      </c>
      <c r="W292" t="str">
        <v>0</v>
      </c>
      <c r="X292">
        <v>21960</v>
      </c>
      <c r="Y292" s="31">
        <v>46341</v>
      </c>
      <c r="Z292" t="str">
        <v/>
      </c>
      <c r="AA292" t="str">
        <v>技術・人文知識・国際業務</v>
      </c>
      <c r="AB292" t="str">
        <v>558-0033</v>
      </c>
      <c r="AC292" t="str">
        <v>大阪府大阪市住吉区清水丘1-29-13</v>
      </c>
      <c r="AD292" t="str">
        <v>ｸｲｰﾝﾊｲﾂ清水ヶ丘403号</v>
      </c>
      <c r="AE292" s="31">
        <v>44600</v>
      </c>
      <c r="AF292" s="31">
        <v>44601</v>
      </c>
      <c r="AG292" s="31">
        <v>45321</v>
      </c>
      <c r="AH292" s="31">
        <v>0</v>
      </c>
      <c r="AI292">
        <v>22.04</v>
      </c>
      <c r="AJ292" t="str">
        <v>OK</v>
      </c>
      <c r="AK292">
        <v>0</v>
      </c>
      <c r="AL292">
        <v>44601</v>
      </c>
      <c r="AM292">
        <v>0</v>
      </c>
      <c r="AN292">
        <v>0</v>
      </c>
      <c r="AO292">
        <v>0</v>
      </c>
      <c r="AP292">
        <v>0</v>
      </c>
      <c r="AQ292">
        <v>0</v>
      </c>
      <c r="AR292">
        <v>0</v>
      </c>
    </row>
    <row r="293" spans="1:44">
      <c r="A293" t="str">
        <f>H293&amp;COUNTIF($H$2:H293,H293)</f>
        <v>Fライン9</v>
      </c>
      <c r="B293" t="str">
        <f>F293&amp;COUNTIF($F$2:F293,F293)</f>
        <v>高雄工業 本社30</v>
      </c>
      <c r="C293" t="str">
        <v>退社</v>
      </c>
      <c r="D293">
        <v>220212</v>
      </c>
      <c r="E293">
        <v>212025</v>
      </c>
      <c r="F293" t="str">
        <v>高雄工業 本社</v>
      </c>
      <c r="G293" t="str">
        <v>高雄工業株式会社 愛知事業所本社工場製作課</v>
      </c>
      <c r="H293" t="str">
        <v>Fライン</v>
      </c>
      <c r="I293" t="str">
        <v>CVJ部品短軸品の施削加工、NCプログラム修正</v>
      </c>
      <c r="J293" t="str">
        <v>NGUYEN NGOC TUNG</v>
      </c>
      <c r="K293" t="str">
        <v>グエン　ゴック　トゥン</v>
      </c>
      <c r="L293" t="str">
        <v>男</v>
      </c>
      <c r="M293" t="str">
        <v>ﾍﾞﾄﾅﾑ</v>
      </c>
      <c r="N293" s="31">
        <v>34669</v>
      </c>
      <c r="O293">
        <v>31</v>
      </c>
      <c r="P293">
        <v>1400</v>
      </c>
      <c r="Q293">
        <v>0</v>
      </c>
      <c r="R293">
        <v>1770</v>
      </c>
      <c r="S293">
        <v>0</v>
      </c>
      <c r="T293">
        <v>370</v>
      </c>
      <c r="U293">
        <v>180000</v>
      </c>
      <c r="V293">
        <v>9027</v>
      </c>
      <c r="W293" t="str">
        <v>0</v>
      </c>
      <c r="X293">
        <v>16470</v>
      </c>
      <c r="Y293" s="31">
        <v>45283</v>
      </c>
      <c r="Z293" t="str">
        <v/>
      </c>
      <c r="AA293" t="str">
        <v>技術・人文知識・国際業務</v>
      </c>
      <c r="AB293" t="str">
        <v>498-0031</v>
      </c>
      <c r="AC293" t="str">
        <v>愛知県弥富市平島町甲新田72-4</v>
      </c>
      <c r="AD293" t="str">
        <v>ｲｰｽﾄｺｰﾄ202</v>
      </c>
      <c r="AE293" s="31">
        <v>44596</v>
      </c>
      <c r="AF293" s="31">
        <v>44602</v>
      </c>
      <c r="AG293" s="31">
        <v>45058</v>
      </c>
      <c r="AH293" s="31">
        <v>45071</v>
      </c>
      <c r="AI293">
        <v>22.04</v>
      </c>
      <c r="AJ293" t="str">
        <v>OK</v>
      </c>
      <c r="AK293">
        <v>0</v>
      </c>
      <c r="AL293">
        <v>44602</v>
      </c>
      <c r="AM293">
        <v>0</v>
      </c>
      <c r="AN293">
        <v>0</v>
      </c>
      <c r="AO293">
        <v>0</v>
      </c>
      <c r="AP293">
        <v>0</v>
      </c>
      <c r="AQ293">
        <v>0</v>
      </c>
      <c r="AR293">
        <v>0</v>
      </c>
    </row>
    <row r="294" spans="1:44">
      <c r="A294" t="str">
        <f>H294&amp;COUNTIF($H$2:H294,H294)</f>
        <v>0154</v>
      </c>
      <c r="B294" t="str">
        <f>F294&amp;COUNTIF($F$2:F294,F294)</f>
        <v>高雄工業 本社31</v>
      </c>
      <c r="C294" t="str">
        <v>退社</v>
      </c>
      <c r="D294">
        <v>220213</v>
      </c>
      <c r="E294">
        <v>0</v>
      </c>
      <c r="F294" t="str">
        <v>高雄工業 本社</v>
      </c>
      <c r="G294" t="str">
        <v>高雄工業株式会社 愛知事業所本社工場製作課</v>
      </c>
      <c r="H294">
        <v>0</v>
      </c>
      <c r="I294">
        <v>0</v>
      </c>
      <c r="J294" t="str">
        <v>NGUYEN SON TUNG</v>
      </c>
      <c r="K294" t="str">
        <v>グエン　ソン　トゥン</v>
      </c>
      <c r="L294" t="str">
        <v>男</v>
      </c>
      <c r="M294" t="str">
        <v>ﾍﾞﾄﾅﾑ</v>
      </c>
      <c r="N294" s="31">
        <v>34150</v>
      </c>
      <c r="O294">
        <v>32</v>
      </c>
      <c r="P294">
        <v>1360</v>
      </c>
      <c r="Q294">
        <v>0</v>
      </c>
      <c r="R294">
        <v>1750</v>
      </c>
      <c r="S294">
        <v>0</v>
      </c>
      <c r="T294">
        <v>390</v>
      </c>
      <c r="U294">
        <v>0</v>
      </c>
      <c r="V294" t="str">
        <v/>
      </c>
      <c r="W294" t="str">
        <v>0</v>
      </c>
      <c r="X294" t="str">
        <v/>
      </c>
      <c r="Y294" s="31">
        <v>44877</v>
      </c>
      <c r="Z294" t="str">
        <v/>
      </c>
      <c r="AA294" t="str">
        <v>技術・人文知識・国際業務</v>
      </c>
      <c r="AB294" t="str">
        <v>498-0028</v>
      </c>
      <c r="AC294" t="str">
        <v>愛知県弥富市鯏浦町中六109-1</v>
      </c>
      <c r="AD294" t="str">
        <v>ｾﾗﾀｳﾝ弥富C棟201</v>
      </c>
      <c r="AE294" s="31">
        <v>44602</v>
      </c>
      <c r="AF294" s="31">
        <v>44606</v>
      </c>
      <c r="AG294" s="31">
        <v>44680</v>
      </c>
      <c r="AH294" s="31">
        <v>0</v>
      </c>
      <c r="AI294">
        <v>22.04</v>
      </c>
      <c r="AJ294" t="str">
        <v>OK</v>
      </c>
      <c r="AK294">
        <v>0</v>
      </c>
      <c r="AL294">
        <v>44606</v>
      </c>
      <c r="AM294">
        <v>0</v>
      </c>
      <c r="AN294">
        <v>0</v>
      </c>
      <c r="AO294">
        <v>0</v>
      </c>
      <c r="AP294">
        <v>0</v>
      </c>
      <c r="AQ294">
        <v>0</v>
      </c>
      <c r="AR294">
        <v>0</v>
      </c>
    </row>
    <row r="295" spans="1:44">
      <c r="A295" t="str">
        <f>H295&amp;COUNTIF($H$2:H295,H295)</f>
        <v>0155</v>
      </c>
      <c r="B295" t="str">
        <f>F295&amp;COUNTIF($F$2:F295,F295)</f>
        <v>ﾌｪﾆﾃｯｸｾﾐｺﾝﾀﾞｸﾀｰ 鹿児島11</v>
      </c>
      <c r="C295" t="str">
        <v>退社</v>
      </c>
      <c r="D295">
        <v>220214</v>
      </c>
      <c r="E295">
        <v>0</v>
      </c>
      <c r="F295" t="str">
        <v>ﾌｪﾆﾃｯｸｾﾐｺﾝﾀﾞｸﾀｰ 鹿児島</v>
      </c>
      <c r="G295" t="str">
        <v>鹿児島工場　製造部　製造課</v>
      </c>
      <c r="H295">
        <v>0</v>
      </c>
      <c r="I295">
        <v>0</v>
      </c>
      <c r="J295" t="str">
        <v>NGUYEN DUY HONG</v>
      </c>
      <c r="K295" t="str">
        <v>グエン　ドゥイ　ホン</v>
      </c>
      <c r="L295" t="str">
        <v>男</v>
      </c>
      <c r="M295" t="str">
        <v>ﾍﾞﾄﾅﾑ</v>
      </c>
      <c r="N295" s="31">
        <v>36030</v>
      </c>
      <c r="O295">
        <v>27</v>
      </c>
      <c r="P295">
        <v>1400</v>
      </c>
      <c r="Q295">
        <v>0</v>
      </c>
      <c r="R295">
        <v>2000</v>
      </c>
      <c r="S295" t="str">
        <v>2022/7/1~ 1900円⇒2000円</v>
      </c>
      <c r="T295">
        <v>600</v>
      </c>
      <c r="U295">
        <v>300000</v>
      </c>
      <c r="V295">
        <v>15045</v>
      </c>
      <c r="W295" t="str">
        <v>0</v>
      </c>
      <c r="X295">
        <v>27450</v>
      </c>
      <c r="Y295" s="31">
        <v>45342</v>
      </c>
      <c r="Z295" t="str">
        <v/>
      </c>
      <c r="AA295" t="str">
        <v>技術・人文知識・国際業務</v>
      </c>
      <c r="AB295" t="str">
        <v>899-6201</v>
      </c>
      <c r="AC295" t="str">
        <v>鹿児島県姶良郡湧水町木場280-3</v>
      </c>
      <c r="AD295" t="str">
        <v>宮前ﾂｲﾝﾊｲﾂA101</v>
      </c>
      <c r="AE295" s="31">
        <v>44605</v>
      </c>
      <c r="AF295" s="31">
        <v>44606</v>
      </c>
      <c r="AG295" s="31">
        <v>45287</v>
      </c>
      <c r="AH295" s="31">
        <v>0</v>
      </c>
      <c r="AI295">
        <v>22.04</v>
      </c>
      <c r="AJ295" t="str">
        <v>OK</v>
      </c>
      <c r="AK295">
        <v>0</v>
      </c>
      <c r="AL295">
        <v>44606</v>
      </c>
      <c r="AM295">
        <v>0</v>
      </c>
      <c r="AN295">
        <v>0</v>
      </c>
      <c r="AO295">
        <v>0</v>
      </c>
      <c r="AP295">
        <v>0</v>
      </c>
      <c r="AQ295">
        <v>0</v>
      </c>
      <c r="AR295">
        <v>0</v>
      </c>
    </row>
    <row r="296" spans="1:44">
      <c r="A296" t="str">
        <f>H296&amp;COUNTIF($H$2:H296,H296)</f>
        <v>0156</v>
      </c>
      <c r="B296" t="str">
        <f>F296&amp;COUNTIF($F$2:F296,F296)</f>
        <v>六甲電子12</v>
      </c>
      <c r="C296" t="str">
        <v>退社</v>
      </c>
      <c r="D296">
        <v>220215</v>
      </c>
      <c r="E296">
        <v>60062</v>
      </c>
      <c r="F296" t="str">
        <v>六甲電子</v>
      </c>
      <c r="G296" t="str">
        <v>製造部　製造２課</v>
      </c>
      <c r="H296">
        <v>0</v>
      </c>
      <c r="I296">
        <v>0</v>
      </c>
      <c r="J296" t="str">
        <v>LUYEN HUY TUAN</v>
      </c>
      <c r="K296" t="str">
        <v>ルイエン　フィ　トゥアン</v>
      </c>
      <c r="L296" t="str">
        <v>男</v>
      </c>
      <c r="M296" t="str">
        <v>ﾍﾞﾄﾅﾑ</v>
      </c>
      <c r="N296" s="31">
        <v>33924</v>
      </c>
      <c r="O296">
        <v>33</v>
      </c>
      <c r="P296">
        <v>1500</v>
      </c>
      <c r="Q296">
        <v>0</v>
      </c>
      <c r="R296">
        <v>2200</v>
      </c>
      <c r="S296">
        <v>0</v>
      </c>
      <c r="T296">
        <v>700</v>
      </c>
      <c r="U296">
        <v>0</v>
      </c>
      <c r="V296" t="str">
        <v/>
      </c>
      <c r="W296" t="str">
        <v>0</v>
      </c>
      <c r="X296" t="str">
        <v/>
      </c>
      <c r="Y296" s="31">
        <v>45517</v>
      </c>
      <c r="Z296" t="str">
        <v/>
      </c>
      <c r="AA296" t="str">
        <v>技術・人文知識・国際業務</v>
      </c>
      <c r="AB296" t="str">
        <v>663-8122</v>
      </c>
      <c r="AC296" t="str">
        <v>兵庫県西宮市小曽根町1丁目4-28</v>
      </c>
      <c r="AD296" t="str">
        <v>ｸﾞﾘｰﾝﾊｲﾂ小曽根403</v>
      </c>
      <c r="AE296" s="31">
        <v>44601</v>
      </c>
      <c r="AF296" s="31">
        <v>44608</v>
      </c>
      <c r="AG296" s="31">
        <v>44875</v>
      </c>
      <c r="AH296" s="31">
        <v>0</v>
      </c>
      <c r="AI296">
        <v>22.04</v>
      </c>
      <c r="AJ296" t="str">
        <v>OK</v>
      </c>
      <c r="AK296">
        <v>0</v>
      </c>
      <c r="AL296">
        <v>44608</v>
      </c>
      <c r="AM296">
        <v>0</v>
      </c>
      <c r="AN296">
        <v>0</v>
      </c>
      <c r="AO296">
        <v>0</v>
      </c>
      <c r="AP296">
        <v>0</v>
      </c>
      <c r="AQ296">
        <v>0</v>
      </c>
      <c r="AR296">
        <v>0</v>
      </c>
    </row>
    <row r="297" spans="1:44">
      <c r="A297" t="str">
        <f>H297&amp;COUNTIF($H$2:H297,H297)</f>
        <v>HUB_第15</v>
      </c>
      <c r="B297" t="str">
        <f>F297&amp;COUNTIF($F$2:F297,F297)</f>
        <v>高雄工業 海南第一27</v>
      </c>
      <c r="C297" t="str">
        <v>退社</v>
      </c>
      <c r="D297">
        <v>220216</v>
      </c>
      <c r="E297">
        <v>222040</v>
      </c>
      <c r="F297" t="str">
        <v>高雄工業 海南第一</v>
      </c>
      <c r="G297" t="str">
        <v>高雄工業株式会社 愛知事業所海南第一工場製作1課</v>
      </c>
      <c r="H297" t="str">
        <v>HUB_第1</v>
      </c>
      <c r="I297">
        <v>0</v>
      </c>
      <c r="J297" t="str">
        <v>THAI DOAN PHONG</v>
      </c>
      <c r="K297" t="str">
        <v>タイ　ゾアン　フォン</v>
      </c>
      <c r="L297" t="str">
        <v>男</v>
      </c>
      <c r="M297" t="str">
        <v>ﾍﾞﾄﾅﾑ</v>
      </c>
      <c r="N297" s="31">
        <v>32553</v>
      </c>
      <c r="O297">
        <v>36</v>
      </c>
      <c r="P297">
        <v>1400</v>
      </c>
      <c r="Q297">
        <v>0</v>
      </c>
      <c r="R297">
        <v>1770</v>
      </c>
      <c r="S297">
        <v>0</v>
      </c>
      <c r="T297">
        <v>370</v>
      </c>
      <c r="U297">
        <v>0</v>
      </c>
      <c r="V297" t="str">
        <v/>
      </c>
      <c r="W297" t="str">
        <v>0</v>
      </c>
      <c r="X297" t="str">
        <v/>
      </c>
      <c r="Y297" s="31">
        <v>45185</v>
      </c>
      <c r="Z297" t="str">
        <v/>
      </c>
      <c r="AA297" t="str">
        <v>技術・人文知識・国際業務</v>
      </c>
      <c r="AB297" t="str">
        <v>498-0017</v>
      </c>
      <c r="AC297" t="str">
        <v>愛知県弥富市前ヶ須町東勘助138</v>
      </c>
      <c r="AD297" t="str">
        <v>安井ﾋﾞﾙ2C</v>
      </c>
      <c r="AE297" s="31">
        <v>44608</v>
      </c>
      <c r="AF297" s="31">
        <v>44613</v>
      </c>
      <c r="AG297" s="31">
        <v>44923</v>
      </c>
      <c r="AH297" s="31">
        <v>0</v>
      </c>
      <c r="AI297">
        <v>22.04</v>
      </c>
      <c r="AJ297" t="str">
        <v>OK</v>
      </c>
      <c r="AK297">
        <v>0</v>
      </c>
      <c r="AL297">
        <v>44613</v>
      </c>
      <c r="AM297">
        <v>0</v>
      </c>
      <c r="AN297">
        <v>0</v>
      </c>
      <c r="AO297">
        <v>0</v>
      </c>
      <c r="AP297">
        <v>0</v>
      </c>
      <c r="AQ297">
        <v>0</v>
      </c>
      <c r="AR297">
        <v>0</v>
      </c>
    </row>
    <row r="298" spans="1:44">
      <c r="A298" t="str">
        <f>H298&amp;COUNTIF($H$2:H298,H298)</f>
        <v>0157</v>
      </c>
      <c r="B298" t="str">
        <f>F298&amp;COUNTIF($F$2:F298,F298)</f>
        <v>ﾌｪﾆﾃｯｸｾﾐｺﾝﾀﾞｸﾀｰ 岡山19</v>
      </c>
      <c r="C298" t="str">
        <v>退社</v>
      </c>
      <c r="D298">
        <v>220217</v>
      </c>
      <c r="E298">
        <v>662522</v>
      </c>
      <c r="F298" t="str">
        <v>ﾌｪﾆﾃｯｸｾﾐｺﾝﾀﾞｸﾀｰ 岡山</v>
      </c>
      <c r="G298" t="str">
        <v>岡山工場製造部PR課５インチ担当</v>
      </c>
      <c r="H298">
        <v>0</v>
      </c>
      <c r="I298">
        <v>0</v>
      </c>
      <c r="J298" t="str">
        <v>TRAN VAN LUC</v>
      </c>
      <c r="K298" t="str">
        <v>トラン　バン　ルック</v>
      </c>
      <c r="L298" t="str">
        <v>男</v>
      </c>
      <c r="M298" t="str">
        <v>ﾍﾞﾄﾅﾑ</v>
      </c>
      <c r="N298" s="31">
        <v>31254</v>
      </c>
      <c r="O298">
        <v>40</v>
      </c>
      <c r="P298">
        <v>1500</v>
      </c>
      <c r="Q298" t="str">
        <v>5/21～1500</v>
      </c>
      <c r="R298">
        <v>2300</v>
      </c>
      <c r="S298" t="str">
        <v>22.05.01～200円UP</v>
      </c>
      <c r="T298">
        <v>800</v>
      </c>
      <c r="U298">
        <v>0</v>
      </c>
      <c r="V298" t="str">
        <v/>
      </c>
      <c r="W298">
        <v>-1</v>
      </c>
      <c r="X298">
        <v>0</v>
      </c>
      <c r="Y298" s="31">
        <v>45301</v>
      </c>
      <c r="Z298" t="str">
        <v/>
      </c>
      <c r="AA298" t="str">
        <v>技術・人文知識・国際業務</v>
      </c>
      <c r="AB298" t="str">
        <v>715-0004</v>
      </c>
      <c r="AC298" t="str">
        <v>岡山県井原市木之子町82-1</v>
      </c>
      <c r="AD298" t="str">
        <v>ﾋﾞｱﾝｺ・ﾈﾛB102</v>
      </c>
      <c r="AE298" s="31">
        <v>44611</v>
      </c>
      <c r="AF298" s="31">
        <v>44613</v>
      </c>
      <c r="AG298" s="31">
        <v>44950</v>
      </c>
      <c r="AH298" s="31">
        <v>0</v>
      </c>
      <c r="AI298">
        <v>22.05</v>
      </c>
      <c r="AJ298" t="str">
        <v>OK</v>
      </c>
      <c r="AK298" t="str">
        <v>退社日修正1/30→1/24　他社1/25より就労の為</v>
      </c>
      <c r="AL298">
        <v>44613</v>
      </c>
      <c r="AM298">
        <v>0</v>
      </c>
      <c r="AN298">
        <v>0</v>
      </c>
      <c r="AO298">
        <v>0</v>
      </c>
      <c r="AP298">
        <v>0</v>
      </c>
      <c r="AQ298">
        <v>0</v>
      </c>
      <c r="AR298">
        <v>0</v>
      </c>
    </row>
    <row r="299" spans="1:44">
      <c r="A299" t="str">
        <f>H299&amp;COUNTIF($H$2:H299,H299)</f>
        <v>0158</v>
      </c>
      <c r="B299" t="str">
        <f>F299&amp;COUNTIF($F$2:F299,F299)</f>
        <v>高雄工業 海南第一28</v>
      </c>
      <c r="C299" t="str">
        <v>退社</v>
      </c>
      <c r="D299">
        <v>220218</v>
      </c>
      <c r="E299">
        <v>0</v>
      </c>
      <c r="F299" t="str">
        <v>高雄工業 海南第一</v>
      </c>
      <c r="G299" t="str">
        <v>高雄工業株式会社 愛知事業所海南第一工場製作1課</v>
      </c>
      <c r="H299">
        <v>0</v>
      </c>
      <c r="I299">
        <v>0</v>
      </c>
      <c r="J299" t="str">
        <v>仲間　ルイス　幸一</v>
      </c>
      <c r="K299" t="str">
        <v>ナカマ　ルイス　コウイチ</v>
      </c>
      <c r="L299" t="str">
        <v>男</v>
      </c>
      <c r="M299" t="str">
        <v>ﾌﾞﾗｼﾞﾙ</v>
      </c>
      <c r="N299" s="31">
        <v>22906</v>
      </c>
      <c r="O299">
        <v>63</v>
      </c>
      <c r="P299">
        <v>1400</v>
      </c>
      <c r="Q299">
        <v>0</v>
      </c>
      <c r="R299">
        <v>1750</v>
      </c>
      <c r="S299">
        <v>0</v>
      </c>
      <c r="T299">
        <v>350</v>
      </c>
      <c r="U299">
        <v>0</v>
      </c>
      <c r="V299" t="str">
        <v/>
      </c>
      <c r="W299" t="str">
        <v>0</v>
      </c>
      <c r="X299" t="str">
        <v/>
      </c>
      <c r="Y299" s="31">
        <v>46198</v>
      </c>
      <c r="Z299" t="str">
        <v/>
      </c>
      <c r="AA299" t="str">
        <v>永住者</v>
      </c>
      <c r="AB299" t="str">
        <v>455-0044</v>
      </c>
      <c r="AC299" t="str">
        <v>愛知県名古屋市港区築三町1丁目26-1</v>
      </c>
      <c r="AD299">
        <v>0</v>
      </c>
      <c r="AE299" s="31">
        <v>0</v>
      </c>
      <c r="AF299" s="31">
        <v>44613</v>
      </c>
      <c r="AG299" s="31">
        <v>44638</v>
      </c>
      <c r="AH299" s="31">
        <v>0</v>
      </c>
      <c r="AI299" t="str">
        <v>なし</v>
      </c>
      <c r="AJ299">
        <v>0</v>
      </c>
      <c r="AK299">
        <v>0</v>
      </c>
      <c r="AL299">
        <v>44613</v>
      </c>
      <c r="AM299">
        <v>0</v>
      </c>
      <c r="AN299">
        <v>0</v>
      </c>
      <c r="AO299">
        <v>0</v>
      </c>
      <c r="AP299">
        <v>0</v>
      </c>
      <c r="AQ299">
        <v>0</v>
      </c>
      <c r="AR299">
        <v>0</v>
      </c>
    </row>
    <row r="300" spans="1:44">
      <c r="A300" t="str">
        <f>H300&amp;COUNTIF($H$2:H300,H300)</f>
        <v>旋盤ライン16</v>
      </c>
      <c r="B300" t="str">
        <f>F300&amp;COUNTIF($F$2:F300,F300)</f>
        <v>川原鉄工所16</v>
      </c>
      <c r="C300" t="str">
        <v>退社</v>
      </c>
      <c r="D300">
        <v>220219</v>
      </c>
      <c r="E300">
        <v>0</v>
      </c>
      <c r="F300" t="str">
        <v>川原鉄工所</v>
      </c>
      <c r="G300" t="str">
        <v>製造部</v>
      </c>
      <c r="H300" t="str">
        <v>旋盤ライン</v>
      </c>
      <c r="I300" t="str">
        <v>ATミッション部品をはじめとする、各種自動車部品の製造</v>
      </c>
      <c r="J300" t="str">
        <v>RODRIGUES YAKABE ACHERAIBER ELIZA</v>
      </c>
      <c r="K300" t="str">
        <v>ロドリゲス　ヤカベ　シライベル　エリザ</v>
      </c>
      <c r="L300" t="str">
        <v>女</v>
      </c>
      <c r="M300" t="str">
        <v>ﾌﾞﾗｼﾞﾙ</v>
      </c>
      <c r="N300" s="31">
        <v>27559</v>
      </c>
      <c r="O300">
        <v>50</v>
      </c>
      <c r="P300">
        <v>1250</v>
      </c>
      <c r="Q300" t="str">
        <v>入社3か月後50円UP</v>
      </c>
      <c r="R300">
        <v>1650</v>
      </c>
      <c r="S300">
        <v>0</v>
      </c>
      <c r="T300">
        <v>400</v>
      </c>
      <c r="U300">
        <v>0</v>
      </c>
      <c r="V300" t="str">
        <v/>
      </c>
      <c r="W300" t="str">
        <v>0</v>
      </c>
      <c r="X300" t="str">
        <v/>
      </c>
      <c r="Y300" s="31">
        <v>44848</v>
      </c>
      <c r="Z300" t="str">
        <v/>
      </c>
      <c r="AA300" t="str">
        <v>日本人の配偶者</v>
      </c>
      <c r="AB300" t="str">
        <v>455-0078</v>
      </c>
      <c r="AC300" t="str">
        <v>愛知県名古屋市港区丸池町1丁目1番</v>
      </c>
      <c r="AD300" t="str">
        <v>丸池荘4棟802号</v>
      </c>
      <c r="AE300" s="31" t="str">
        <v>個人</v>
      </c>
      <c r="AF300" s="31">
        <v>44613</v>
      </c>
      <c r="AG300" s="31">
        <v>44811</v>
      </c>
      <c r="AH300" s="31">
        <v>0</v>
      </c>
      <c r="AI300">
        <v>22.04</v>
      </c>
      <c r="AJ300" t="str">
        <v>OK</v>
      </c>
      <c r="AK300">
        <v>0</v>
      </c>
      <c r="AL300">
        <v>44613</v>
      </c>
      <c r="AM300">
        <v>0</v>
      </c>
      <c r="AN300">
        <v>0</v>
      </c>
      <c r="AO300">
        <v>0</v>
      </c>
      <c r="AP300">
        <v>0</v>
      </c>
      <c r="AQ300">
        <v>0</v>
      </c>
      <c r="AR300">
        <v>0</v>
      </c>
    </row>
    <row r="301" spans="1:44">
      <c r="A301" t="str">
        <f>H301&amp;COUNTIF($H$2:H301,H301)</f>
        <v>0159</v>
      </c>
      <c r="B301" t="str">
        <f>F301&amp;COUNTIF($F$2:F301,F301)</f>
        <v>六甲電子13</v>
      </c>
      <c r="C301" t="str">
        <v>退社</v>
      </c>
      <c r="D301">
        <v>220220</v>
      </c>
      <c r="E301">
        <v>60063</v>
      </c>
      <c r="F301" t="str">
        <v>六甲電子</v>
      </c>
      <c r="G301" t="str">
        <v>製造部　製造２課</v>
      </c>
      <c r="H301">
        <v>0</v>
      </c>
      <c r="I301">
        <v>0</v>
      </c>
      <c r="J301" t="str">
        <v>HOANG XUAN QUOC</v>
      </c>
      <c r="K301" t="str">
        <v>ホアン　スアン　クオック</v>
      </c>
      <c r="L301" t="str">
        <v>男</v>
      </c>
      <c r="M301" t="str">
        <v>ﾍﾞﾄﾅﾑ</v>
      </c>
      <c r="N301" s="31">
        <v>35079</v>
      </c>
      <c r="O301">
        <v>29</v>
      </c>
      <c r="P301">
        <v>1550</v>
      </c>
      <c r="Q301">
        <v>0</v>
      </c>
      <c r="R301">
        <v>2200</v>
      </c>
      <c r="S301">
        <v>0</v>
      </c>
      <c r="T301">
        <v>650</v>
      </c>
      <c r="U301">
        <v>300000</v>
      </c>
      <c r="V301">
        <v>15045</v>
      </c>
      <c r="W301" t="str">
        <v>0</v>
      </c>
      <c r="X301">
        <v>27450</v>
      </c>
      <c r="Y301" s="31">
        <v>46772</v>
      </c>
      <c r="Z301" t="str">
        <v/>
      </c>
      <c r="AA301" t="str">
        <v>技術・人文知識・国際業務</v>
      </c>
      <c r="AB301" t="str">
        <v>663-8183</v>
      </c>
      <c r="AC301" t="str">
        <v>兵庫県西宮市里中町3丁目2番17</v>
      </c>
      <c r="AD301" t="str">
        <v>707号</v>
      </c>
      <c r="AE301" s="31" t="str">
        <v>個人</v>
      </c>
      <c r="AF301" s="31">
        <v>44614</v>
      </c>
      <c r="AG301" s="31">
        <v>45806</v>
      </c>
      <c r="AH301" s="31">
        <v>0</v>
      </c>
      <c r="AI301">
        <v>22.05</v>
      </c>
      <c r="AJ301" t="str">
        <v>OK</v>
      </c>
      <c r="AK301">
        <v>0</v>
      </c>
      <c r="AL301">
        <v>44614</v>
      </c>
      <c r="AM301">
        <v>0</v>
      </c>
      <c r="AN301">
        <v>0</v>
      </c>
      <c r="AO301">
        <v>0</v>
      </c>
      <c r="AP301">
        <v>0</v>
      </c>
      <c r="AQ301">
        <v>0</v>
      </c>
      <c r="AR301">
        <v>0</v>
      </c>
    </row>
    <row r="302" spans="1:44">
      <c r="A302" t="str">
        <f>H302&amp;COUNTIF($H$2:H302,H302)</f>
        <v>1次旋係6</v>
      </c>
      <c r="B302" t="str">
        <f>F302&amp;COUNTIF($F$2:F302,F302)</f>
        <v>高雄工業 岡山46</v>
      </c>
      <c r="C302" t="str">
        <v>退社</v>
      </c>
      <c r="D302">
        <v>220221</v>
      </c>
      <c r="E302">
        <v>232046</v>
      </c>
      <c r="F302" t="str">
        <v>高雄工業 岡山</v>
      </c>
      <c r="G302" t="str">
        <v>高雄工業株式会社 岡山事業所HUB工場製作1課</v>
      </c>
      <c r="H302" t="str">
        <v>1次旋係</v>
      </c>
      <c r="I302" t="str">
        <v>ハブ加工 自動機の操作、ＮＣプログラム修正</v>
      </c>
      <c r="J302" t="str">
        <v>HUYNH DUC MINH</v>
      </c>
      <c r="K302" t="str">
        <v>フィン　ドック　ミン</v>
      </c>
      <c r="L302" t="str">
        <v>男</v>
      </c>
      <c r="M302" t="str">
        <v>ﾍﾞﾄﾅﾑ</v>
      </c>
      <c r="N302" s="31">
        <v>35046</v>
      </c>
      <c r="O302">
        <v>29</v>
      </c>
      <c r="P302">
        <v>1420</v>
      </c>
      <c r="Q302">
        <v>0</v>
      </c>
      <c r="R302">
        <v>1840</v>
      </c>
      <c r="S302">
        <v>0</v>
      </c>
      <c r="T302">
        <v>420</v>
      </c>
      <c r="U302">
        <v>280000</v>
      </c>
      <c r="V302">
        <v>14042</v>
      </c>
      <c r="W302" t="str">
        <v>0</v>
      </c>
      <c r="X302">
        <v>25620</v>
      </c>
      <c r="Y302" s="31">
        <v>46152</v>
      </c>
      <c r="Z302" t="str">
        <v/>
      </c>
      <c r="AA302" t="str">
        <v>技術・人文知識・国際業務</v>
      </c>
      <c r="AB302" t="str">
        <v>709-2107</v>
      </c>
      <c r="AC302" t="str">
        <v>岡山県岡山市北区御津矢原311番地</v>
      </c>
      <c r="AD302" t="str">
        <v>中須賀ｺｰﾎﾟⅢ208</v>
      </c>
      <c r="AE302" s="31">
        <v>44613</v>
      </c>
      <c r="AF302" s="31">
        <v>44620</v>
      </c>
      <c r="AG302" s="31">
        <v>45731</v>
      </c>
      <c r="AH302" s="31">
        <v>0</v>
      </c>
      <c r="AI302">
        <v>22.05</v>
      </c>
      <c r="AJ302" t="str">
        <v>OK</v>
      </c>
      <c r="AK302">
        <v>0</v>
      </c>
      <c r="AL302">
        <v>44620</v>
      </c>
      <c r="AM302">
        <v>0</v>
      </c>
      <c r="AN302">
        <v>0</v>
      </c>
      <c r="AO302">
        <v>0</v>
      </c>
      <c r="AP302">
        <v>0</v>
      </c>
      <c r="AQ302">
        <v>0</v>
      </c>
      <c r="AR302">
        <v>0</v>
      </c>
    </row>
    <row r="303" spans="1:44">
      <c r="A303" t="str">
        <f>H303&amp;COUNTIF($H$2:H303,H303)</f>
        <v>チャンファー1</v>
      </c>
      <c r="B303" t="str">
        <f>F303&amp;COUNTIF($F$2:F303,F303)</f>
        <v>高雄工業 静岡29</v>
      </c>
      <c r="C303" t="str">
        <v>退社</v>
      </c>
      <c r="D303">
        <v>220301</v>
      </c>
      <c r="E303">
        <v>242033</v>
      </c>
      <c r="F303" t="str">
        <v>高雄工業 静岡</v>
      </c>
      <c r="G303" t="str">
        <v>高雄工業株式会社 静岡事業所第一工場製作課</v>
      </c>
      <c r="H303" t="str">
        <v>チャンファー</v>
      </c>
      <c r="I303" t="str">
        <v>産業機械部品の研磨加工、NCプログラム修正</v>
      </c>
      <c r="J303" t="str">
        <v>TRAN VAN HIEN</v>
      </c>
      <c r="K303" t="str">
        <v>チャン　ヴァン　ヒエン</v>
      </c>
      <c r="L303" t="str">
        <v>男</v>
      </c>
      <c r="M303" t="str">
        <v>ﾍﾞﾄﾅﾑ</v>
      </c>
      <c r="N303" s="31">
        <v>34262</v>
      </c>
      <c r="O303">
        <v>32</v>
      </c>
      <c r="P303">
        <v>1400</v>
      </c>
      <c r="Q303">
        <v>0</v>
      </c>
      <c r="R303">
        <v>1800</v>
      </c>
      <c r="S303">
        <v>0</v>
      </c>
      <c r="T303">
        <v>400</v>
      </c>
      <c r="U303">
        <v>280000</v>
      </c>
      <c r="V303">
        <v>14042</v>
      </c>
      <c r="W303" t="str">
        <v>0</v>
      </c>
      <c r="X303">
        <v>25620</v>
      </c>
      <c r="Y303" s="31">
        <v>45462</v>
      </c>
      <c r="Z303" t="str">
        <v/>
      </c>
      <c r="AA303" t="str">
        <v>技術・人文知識・国際業務</v>
      </c>
      <c r="AB303" t="str">
        <v>437-0065</v>
      </c>
      <c r="AC303" t="str">
        <v>静岡県袋井市堀越1丁目21-9</v>
      </c>
      <c r="AD303" t="str">
        <v>ﾌﾟﾁｾｿﾞﾝ203号</v>
      </c>
      <c r="AE303" s="31">
        <v>44620</v>
      </c>
      <c r="AF303" s="31">
        <v>44621</v>
      </c>
      <c r="AG303" s="31">
        <v>45442</v>
      </c>
      <c r="AH303" s="31">
        <v>0</v>
      </c>
      <c r="AI303">
        <v>22.05</v>
      </c>
      <c r="AJ303" t="str">
        <v>OK</v>
      </c>
      <c r="AK303">
        <v>0</v>
      </c>
      <c r="AL303">
        <v>44621</v>
      </c>
      <c r="AM303">
        <v>0</v>
      </c>
      <c r="AN303">
        <v>0</v>
      </c>
      <c r="AO303">
        <v>0</v>
      </c>
      <c r="AP303">
        <v>0</v>
      </c>
      <c r="AQ303">
        <v>0</v>
      </c>
      <c r="AR303">
        <v>0</v>
      </c>
    </row>
    <row r="304" spans="1:44">
      <c r="A304" t="str">
        <f>H304&amp;COUNTIF($H$2:H304,H304)</f>
        <v>0160</v>
      </c>
      <c r="B304" t="str">
        <f>F304&amp;COUNTIF($F$2:F304,F304)</f>
        <v>コーリツ 州の崎19</v>
      </c>
      <c r="C304" t="str">
        <v>退社</v>
      </c>
      <c r="D304">
        <v>220303</v>
      </c>
      <c r="E304">
        <v>8210036</v>
      </c>
      <c r="F304" t="str">
        <v>コーリツ 州の崎</v>
      </c>
      <c r="G304" t="str">
        <v>州の埼工場　製造２課２工区３班</v>
      </c>
      <c r="H304">
        <v>0</v>
      </c>
      <c r="I304">
        <v>0</v>
      </c>
      <c r="J304" t="str">
        <v>BUI VAN DOAN</v>
      </c>
      <c r="K304" t="str">
        <v>ブイ　ヴァン　ドアン</v>
      </c>
      <c r="L304" t="str">
        <v>男</v>
      </c>
      <c r="M304" t="str">
        <v>ﾍﾞﾄﾅﾑ</v>
      </c>
      <c r="N304" s="31">
        <v>33068</v>
      </c>
      <c r="O304">
        <v>35</v>
      </c>
      <c r="P304">
        <v>1400</v>
      </c>
      <c r="Q304">
        <v>0</v>
      </c>
      <c r="R304">
        <v>1990</v>
      </c>
      <c r="S304">
        <v>0</v>
      </c>
      <c r="T304">
        <v>590</v>
      </c>
      <c r="U304">
        <v>0</v>
      </c>
      <c r="V304" t="str">
        <v/>
      </c>
      <c r="W304" t="str">
        <v>0</v>
      </c>
      <c r="X304">
        <v>0</v>
      </c>
      <c r="Y304" s="31">
        <v>45155</v>
      </c>
      <c r="Z304" t="str">
        <v/>
      </c>
      <c r="AA304" t="str">
        <v>技術・人文知識・国際業務</v>
      </c>
      <c r="AB304" t="str">
        <v>475-0075</v>
      </c>
      <c r="AC304" t="str">
        <v>愛知県半田市苗代町2丁目19番地</v>
      </c>
      <c r="AD304" t="str">
        <v>ｼｬﾙﾏﾝ苗代102号</v>
      </c>
      <c r="AE304" s="31">
        <v>44619</v>
      </c>
      <c r="AF304" s="31">
        <v>44621</v>
      </c>
      <c r="AG304" s="31">
        <v>44952</v>
      </c>
      <c r="AH304" s="31">
        <v>0</v>
      </c>
      <c r="AI304">
        <v>22.05</v>
      </c>
      <c r="AJ304" t="str">
        <v>OK</v>
      </c>
      <c r="AK304">
        <v>0</v>
      </c>
      <c r="AL304">
        <v>44621</v>
      </c>
      <c r="AM304">
        <v>0</v>
      </c>
      <c r="AN304">
        <v>0</v>
      </c>
      <c r="AO304">
        <v>0</v>
      </c>
      <c r="AP304">
        <v>0</v>
      </c>
      <c r="AQ304">
        <v>0</v>
      </c>
      <c r="AR304">
        <v>0</v>
      </c>
    </row>
    <row r="305" spans="1:44">
      <c r="A305" t="str">
        <f>H305&amp;COUNTIF($H$2:H305,H305)</f>
        <v>0161</v>
      </c>
      <c r="B305" t="str">
        <f>F305&amp;COUNTIF($F$2:F305,F305)</f>
        <v>コーリツ 本社5</v>
      </c>
      <c r="C305" t="str">
        <v>退社</v>
      </c>
      <c r="D305">
        <v>220304</v>
      </c>
      <c r="E305">
        <v>8210035</v>
      </c>
      <c r="F305" t="str">
        <v>コーリツ 本社</v>
      </c>
      <c r="G305" t="str">
        <v>本社工場　製造１課２工区２班</v>
      </c>
      <c r="H305">
        <v>0</v>
      </c>
      <c r="I305">
        <v>0</v>
      </c>
      <c r="J305" t="str">
        <v>VU VAN TOAN</v>
      </c>
      <c r="K305" t="str">
        <v>ヴー　ヴァン　トアン</v>
      </c>
      <c r="L305" t="str">
        <v>男</v>
      </c>
      <c r="M305" t="str">
        <v>ﾍﾞﾄﾅﾑ</v>
      </c>
      <c r="N305" s="31">
        <v>34536</v>
      </c>
      <c r="O305">
        <v>31</v>
      </c>
      <c r="P305">
        <v>1400</v>
      </c>
      <c r="Q305">
        <v>0</v>
      </c>
      <c r="R305">
        <v>1990</v>
      </c>
      <c r="S305">
        <v>0</v>
      </c>
      <c r="T305">
        <v>590</v>
      </c>
      <c r="U305">
        <v>0</v>
      </c>
      <c r="V305" t="str">
        <v/>
      </c>
      <c r="W305" t="str">
        <v>0</v>
      </c>
      <c r="X305" t="str">
        <v/>
      </c>
      <c r="Y305" s="31">
        <v>45340</v>
      </c>
      <c r="Z305" t="str">
        <v/>
      </c>
      <c r="AA305" t="str">
        <v>技術・人文知識・国際業務</v>
      </c>
      <c r="AB305" t="str">
        <v>444-1302</v>
      </c>
      <c r="AC305" t="str">
        <v>愛知県高浜市八幡町6-1-9</v>
      </c>
      <c r="AD305" t="str">
        <v>ﾙﾐｴｰﾙ KATO201</v>
      </c>
      <c r="AE305" s="31">
        <v>44617</v>
      </c>
      <c r="AF305" s="31">
        <v>44621</v>
      </c>
      <c r="AG305" s="31">
        <v>44923</v>
      </c>
      <c r="AH305" s="31">
        <v>0</v>
      </c>
      <c r="AI305">
        <v>22.05</v>
      </c>
      <c r="AJ305" t="str">
        <v>OK</v>
      </c>
      <c r="AK305" t="str">
        <v>2022/2//28ﾋﾙｽﾞｻﾝﾊﾟﾃｨｰｸ203~ザ・シック101に移動 ,
 2022/03/13ザ・シック101~KATO201に移動</v>
      </c>
      <c r="AL305">
        <v>44621</v>
      </c>
      <c r="AM305">
        <v>0</v>
      </c>
      <c r="AN305">
        <v>0</v>
      </c>
      <c r="AO305">
        <v>0</v>
      </c>
      <c r="AP305">
        <v>0</v>
      </c>
      <c r="AQ305">
        <v>0</v>
      </c>
      <c r="AR305">
        <v>0</v>
      </c>
    </row>
    <row r="306" spans="1:44">
      <c r="A306" t="str">
        <f>H306&amp;COUNTIF($H$2:H306,H306)</f>
        <v>州の崎工場製造2課2工区３班1</v>
      </c>
      <c r="B306" t="str">
        <f>F306&amp;COUNTIF($F$2:F306,F306)</f>
        <v>コーリツ 乙川10</v>
      </c>
      <c r="C306" t="str">
        <v>在職中</v>
      </c>
      <c r="D306">
        <v>220302</v>
      </c>
      <c r="E306">
        <v>8210034</v>
      </c>
      <c r="F306" t="str">
        <v>コーリツ 乙川</v>
      </c>
      <c r="G306" t="str">
        <v>州の崎工場製造2課2工区３班</v>
      </c>
      <c r="H306" t="str">
        <v>州の崎工場製造2課2工区３班</v>
      </c>
      <c r="I306">
        <v>0</v>
      </c>
      <c r="J306" t="str">
        <v>TRAN VAN NHAT</v>
      </c>
      <c r="K306" t="str">
        <v>チャン　バン　ニャット</v>
      </c>
      <c r="L306" t="str">
        <v>男</v>
      </c>
      <c r="M306" t="str">
        <v>ﾍﾞﾄﾅﾑ</v>
      </c>
      <c r="N306" s="31">
        <v>34640</v>
      </c>
      <c r="O306">
        <v>31</v>
      </c>
      <c r="P306">
        <v>1500</v>
      </c>
      <c r="Q306">
        <v>0</v>
      </c>
      <c r="R306">
        <v>2150</v>
      </c>
      <c r="S306">
        <v>0</v>
      </c>
      <c r="T306">
        <v>650</v>
      </c>
      <c r="U306">
        <v>380000</v>
      </c>
      <c r="V306">
        <v>19057</v>
      </c>
      <c r="W306" t="str">
        <v>0</v>
      </c>
      <c r="X306">
        <v>34770</v>
      </c>
      <c r="Y306" s="31">
        <v>46777</v>
      </c>
      <c r="Z306" t="str">
        <v/>
      </c>
      <c r="AA306" t="str">
        <v>技術・人文知識・国際業務</v>
      </c>
      <c r="AB306" t="str">
        <v>470-2385</v>
      </c>
      <c r="AC306" t="str">
        <v>愛知県知多郡武豊町北中根4-1</v>
      </c>
      <c r="AD306" t="str">
        <v>ﾋﾞﾚｯｼﾞﾊｳｽ1-204</v>
      </c>
      <c r="AE306" s="31" t="str">
        <v>個人</v>
      </c>
      <c r="AF306" s="31">
        <v>44621</v>
      </c>
      <c r="AG306" s="31">
        <v>0</v>
      </c>
      <c r="AH306" s="31">
        <v>0</v>
      </c>
      <c r="AI306">
        <v>22.05</v>
      </c>
      <c r="AJ306" t="str">
        <v>OK</v>
      </c>
      <c r="AK306">
        <v>0</v>
      </c>
      <c r="AL306">
        <v>44621</v>
      </c>
      <c r="AM306" t="str">
        <v>小型二輪</v>
      </c>
      <c r="AN306">
        <v>45628</v>
      </c>
      <c r="AO306" t="str">
        <v>車</v>
      </c>
      <c r="AP306">
        <v>45716</v>
      </c>
      <c r="AQ306">
        <v>0</v>
      </c>
      <c r="AR306">
        <v>0</v>
      </c>
    </row>
    <row r="307" spans="1:44">
      <c r="A307" t="str">
        <f>H307&amp;COUNTIF($H$2:H307,H307)</f>
        <v>0162</v>
      </c>
      <c r="B307" t="str">
        <f>F307&amp;COUNTIF($F$2:F307,F307)</f>
        <v>高雄工業 岡山47</v>
      </c>
      <c r="C307" t="str">
        <v>退社</v>
      </c>
      <c r="D307">
        <v>220305</v>
      </c>
      <c r="E307">
        <v>0</v>
      </c>
      <c r="F307" t="str">
        <v>高雄工業 岡山</v>
      </c>
      <c r="G307">
        <v>0</v>
      </c>
      <c r="H307">
        <v>0</v>
      </c>
      <c r="I307">
        <v>0</v>
      </c>
      <c r="J307" t="str">
        <v>VO VAN LUONG</v>
      </c>
      <c r="K307" t="str">
        <v>ボ　バン　ルン</v>
      </c>
      <c r="L307" t="str">
        <v>男</v>
      </c>
      <c r="M307" t="str">
        <v>ﾍﾞﾄﾅﾑ</v>
      </c>
      <c r="N307" s="31">
        <v>34542</v>
      </c>
      <c r="O307">
        <v>31</v>
      </c>
      <c r="P307">
        <v>1350</v>
      </c>
      <c r="Q307">
        <v>0</v>
      </c>
      <c r="R307">
        <v>1750</v>
      </c>
      <c r="S307">
        <v>0</v>
      </c>
      <c r="T307">
        <v>400</v>
      </c>
      <c r="U307">
        <v>0</v>
      </c>
      <c r="V307" t="str">
        <v/>
      </c>
      <c r="W307" t="str">
        <v>0</v>
      </c>
      <c r="X307" t="str">
        <v/>
      </c>
      <c r="Y307" s="31">
        <v>44902</v>
      </c>
      <c r="Z307" t="str">
        <v/>
      </c>
      <c r="AA307" t="str">
        <v>技術・人文知識・国際業務</v>
      </c>
      <c r="AB307" t="str">
        <v>709-2107</v>
      </c>
      <c r="AC307" t="str">
        <v xml:space="preserve">岡山県岡山市北区御津矢原288番地1 </v>
      </c>
      <c r="AD307" t="str">
        <v>ｸﾞﾗﾝﾃﾞｰｻﾞ202</v>
      </c>
      <c r="AE307" s="31">
        <v>0</v>
      </c>
      <c r="AF307" s="31">
        <v>44622</v>
      </c>
      <c r="AG307" s="31">
        <v>44627</v>
      </c>
      <c r="AH307" s="31">
        <v>0</v>
      </c>
      <c r="AI307">
        <v>0</v>
      </c>
      <c r="AJ307">
        <v>0</v>
      </c>
      <c r="AK307">
        <v>0</v>
      </c>
      <c r="AL307">
        <v>44622</v>
      </c>
      <c r="AM307">
        <v>0</v>
      </c>
      <c r="AN307">
        <v>0</v>
      </c>
      <c r="AO307">
        <v>0</v>
      </c>
      <c r="AP307">
        <v>0</v>
      </c>
      <c r="AQ307">
        <v>0</v>
      </c>
      <c r="AR307">
        <v>0</v>
      </c>
    </row>
    <row r="308" spans="1:44">
      <c r="A308" t="str">
        <f>H308&amp;COUNTIF($H$2:H308,H308)</f>
        <v>0163</v>
      </c>
      <c r="B308" t="str">
        <f>F308&amp;COUNTIF($F$2:F308,F308)</f>
        <v>高雄工業 岡山48</v>
      </c>
      <c r="C308" t="str">
        <v>退社</v>
      </c>
      <c r="D308">
        <v>220306</v>
      </c>
      <c r="E308">
        <v>0</v>
      </c>
      <c r="F308" t="str">
        <v>高雄工業 岡山</v>
      </c>
      <c r="G308">
        <v>0</v>
      </c>
      <c r="H308">
        <v>0</v>
      </c>
      <c r="I308">
        <v>0</v>
      </c>
      <c r="J308" t="str">
        <v>DAO TRINH HOANG</v>
      </c>
      <c r="K308" t="str">
        <v>ダオ　チン　ホアン</v>
      </c>
      <c r="L308" t="str">
        <v>男</v>
      </c>
      <c r="M308" t="str">
        <v>ﾍﾞﾄﾅﾑ</v>
      </c>
      <c r="N308" s="31">
        <v>34705</v>
      </c>
      <c r="O308">
        <v>30</v>
      </c>
      <c r="P308">
        <v>1350</v>
      </c>
      <c r="Q308">
        <v>0</v>
      </c>
      <c r="R308">
        <v>1750</v>
      </c>
      <c r="S308">
        <v>0</v>
      </c>
      <c r="T308">
        <v>400</v>
      </c>
      <c r="U308">
        <v>0</v>
      </c>
      <c r="V308" t="str">
        <v/>
      </c>
      <c r="W308" t="str">
        <v>0</v>
      </c>
      <c r="X308" t="str">
        <v/>
      </c>
      <c r="Y308" s="31">
        <v>44902</v>
      </c>
      <c r="Z308" t="str">
        <v/>
      </c>
      <c r="AA308" t="str">
        <v>技術・人文知識・国際業務</v>
      </c>
      <c r="AB308" t="str">
        <v>709-2107</v>
      </c>
      <c r="AC308" t="str">
        <v xml:space="preserve">岡山県岡山市北区御津矢原288番地1 </v>
      </c>
      <c r="AD308" t="str">
        <v>ｸﾞﾗﾝﾃﾞｰｻﾞ202</v>
      </c>
      <c r="AE308" s="31">
        <v>0</v>
      </c>
      <c r="AF308" s="31">
        <v>44622</v>
      </c>
      <c r="AG308" s="31">
        <v>44696</v>
      </c>
      <c r="AH308" s="31">
        <v>0</v>
      </c>
      <c r="AI308">
        <v>22.05</v>
      </c>
      <c r="AJ308" t="str">
        <v>OK</v>
      </c>
      <c r="AK308">
        <v>0</v>
      </c>
      <c r="AL308">
        <v>44622</v>
      </c>
      <c r="AM308">
        <v>0</v>
      </c>
      <c r="AN308">
        <v>0</v>
      </c>
      <c r="AO308">
        <v>0</v>
      </c>
      <c r="AP308">
        <v>0</v>
      </c>
      <c r="AQ308">
        <v>0</v>
      </c>
      <c r="AR308">
        <v>0</v>
      </c>
    </row>
    <row r="309" spans="1:44">
      <c r="A309" t="str">
        <f>H309&amp;COUNTIF($H$2:H309,H309)</f>
        <v>本社工場製造1課1工区1班2</v>
      </c>
      <c r="B309" t="str">
        <f>F309&amp;COUNTIF($F$2:F309,F309)</f>
        <v>コーリツ 本社6</v>
      </c>
      <c r="C309" t="str">
        <v>在職中</v>
      </c>
      <c r="D309">
        <v>220308</v>
      </c>
      <c r="E309">
        <v>8210066</v>
      </c>
      <c r="F309" t="str">
        <v>コーリツ 本社</v>
      </c>
      <c r="G309" t="str">
        <v>本社工場製造1課1工区1班</v>
      </c>
      <c r="H309" t="str">
        <v>本社工場製造1課1工区1班</v>
      </c>
      <c r="I309">
        <v>0</v>
      </c>
      <c r="J309" t="str">
        <v>NGUYEN KHAC THIEN</v>
      </c>
      <c r="K309" t="str">
        <v>グエン　カック　ティエン</v>
      </c>
      <c r="L309" t="str">
        <v>男</v>
      </c>
      <c r="M309" t="str">
        <v>ﾍﾞﾄﾅﾑ</v>
      </c>
      <c r="N309" s="31">
        <v>32237</v>
      </c>
      <c r="O309">
        <v>37</v>
      </c>
      <c r="P309">
        <v>1500</v>
      </c>
      <c r="Q309" t="str">
        <v>入社3か月後50円UP(6/21~1400</v>
      </c>
      <c r="R309">
        <v>2150</v>
      </c>
      <c r="S309">
        <v>0</v>
      </c>
      <c r="T309">
        <v>650</v>
      </c>
      <c r="U309">
        <v>380000</v>
      </c>
      <c r="V309">
        <v>19057</v>
      </c>
      <c r="W309" t="str">
        <v>0</v>
      </c>
      <c r="X309">
        <v>34770</v>
      </c>
      <c r="Y309" s="31">
        <v>46779</v>
      </c>
      <c r="Z309" t="str">
        <v/>
      </c>
      <c r="AA309" t="str">
        <v>技術・人文知識・国際業務</v>
      </c>
      <c r="AB309" t="str">
        <v>448-0832</v>
      </c>
      <c r="AC309" t="str">
        <v>愛知県刈谷市八幡町7丁目16-1</v>
      </c>
      <c r="AD309" t="str">
        <v>花水木C</v>
      </c>
      <c r="AE309" s="31">
        <v>45044</v>
      </c>
      <c r="AF309" s="31">
        <v>44623</v>
      </c>
      <c r="AG309" s="31">
        <v>0</v>
      </c>
      <c r="AH309" s="31">
        <v>0</v>
      </c>
      <c r="AI309">
        <v>22.05</v>
      </c>
      <c r="AJ309" t="str">
        <v>OK</v>
      </c>
      <c r="AK309" t="str">
        <v>新日本ホイール 2023/4/21退社　加藤木材工業本社に移動　2023/7/31～コーリツ本社へ異動</v>
      </c>
      <c r="AL309">
        <v>44623</v>
      </c>
      <c r="AM309">
        <v>0</v>
      </c>
      <c r="AN309">
        <v>0</v>
      </c>
      <c r="AO309" t="str">
        <v>自転車</v>
      </c>
      <c r="AP309">
        <v>45505</v>
      </c>
      <c r="AQ309">
        <v>0</v>
      </c>
      <c r="AR309">
        <v>0</v>
      </c>
    </row>
    <row r="310" spans="1:44">
      <c r="A310" t="str">
        <f>H310&amp;COUNTIF($H$2:H310,H310)</f>
        <v>0164</v>
      </c>
      <c r="B310" t="str">
        <f>F310&amp;COUNTIF($F$2:F310,F310)</f>
        <v>ワーク 堺3</v>
      </c>
      <c r="C310" t="str">
        <v>在職中</v>
      </c>
      <c r="D310">
        <v>220309</v>
      </c>
      <c r="E310">
        <v>0</v>
      </c>
      <c r="F310" t="str">
        <v>ワーク 堺</v>
      </c>
      <c r="G310" t="str">
        <v>堺工場　製造部</v>
      </c>
      <c r="H310">
        <v>0</v>
      </c>
      <c r="I310">
        <v>0</v>
      </c>
      <c r="J310" t="str">
        <v>DANG DUC CHIEN</v>
      </c>
      <c r="K310" t="str">
        <v>ダン　ドゥック　チェン</v>
      </c>
      <c r="L310" t="str">
        <v>男</v>
      </c>
      <c r="M310" t="str">
        <v>ﾍﾞﾄﾅﾑ</v>
      </c>
      <c r="N310" s="31">
        <v>32273</v>
      </c>
      <c r="O310">
        <v>37</v>
      </c>
      <c r="P310">
        <v>1450</v>
      </c>
      <c r="Q310">
        <v>0</v>
      </c>
      <c r="R310">
        <v>1900</v>
      </c>
      <c r="S310">
        <v>0</v>
      </c>
      <c r="T310">
        <v>450</v>
      </c>
      <c r="U310">
        <v>260000</v>
      </c>
      <c r="V310">
        <v>13039</v>
      </c>
      <c r="W310" t="str">
        <v>0</v>
      </c>
      <c r="X310">
        <v>23790</v>
      </c>
      <c r="Y310" s="31">
        <v>46825</v>
      </c>
      <c r="Z310" t="str">
        <v/>
      </c>
      <c r="AA310" t="str">
        <v>技術・人文知識・国際業務</v>
      </c>
      <c r="AB310" t="str">
        <v>558-0033</v>
      </c>
      <c r="AC310" t="str">
        <v>大阪府大阪市住吉区清水丘2-9-16</v>
      </c>
      <c r="AD310" t="str">
        <v>ﾍﾞﾙﾄﾋﾟｱ住吉307号室</v>
      </c>
      <c r="AE310" s="31">
        <v>44632</v>
      </c>
      <c r="AF310" s="31">
        <v>44627</v>
      </c>
      <c r="AG310" s="31">
        <v>0</v>
      </c>
      <c r="AH310" s="31">
        <v>0</v>
      </c>
      <c r="AI310">
        <v>22.05</v>
      </c>
      <c r="AJ310" t="str">
        <v>OK</v>
      </c>
      <c r="AK310">
        <v>0</v>
      </c>
      <c r="AL310">
        <v>44627</v>
      </c>
      <c r="AM310">
        <v>0</v>
      </c>
      <c r="AN310">
        <v>0</v>
      </c>
      <c r="AO310">
        <v>0</v>
      </c>
      <c r="AP310">
        <v>0</v>
      </c>
      <c r="AQ310">
        <v>0</v>
      </c>
      <c r="AR310">
        <v>0</v>
      </c>
    </row>
    <row r="311" spans="1:44">
      <c r="A311" t="str">
        <f>H311&amp;COUNTIF($H$2:H311,H311)</f>
        <v>CVJ10</v>
      </c>
      <c r="B311" t="str">
        <f>F311&amp;COUNTIF($F$2:F311,F311)</f>
        <v>瑞陵精機13</v>
      </c>
      <c r="C311" t="str">
        <v>退社</v>
      </c>
      <c r="D311">
        <v>220310</v>
      </c>
      <c r="E311">
        <v>0</v>
      </c>
      <c r="F311" t="str">
        <v>瑞陵精機</v>
      </c>
      <c r="G311" t="str">
        <v>製造1課</v>
      </c>
      <c r="H311" t="str">
        <v>CVJ</v>
      </c>
      <c r="I311">
        <v>0</v>
      </c>
      <c r="J311" t="str">
        <v>NGUYEN VAN QUAN</v>
      </c>
      <c r="K311" t="str">
        <v>グエン　ヴァン　クアン</v>
      </c>
      <c r="L311" t="str">
        <v>男</v>
      </c>
      <c r="M311" t="str">
        <v>ﾍﾞﾄﾅﾑ</v>
      </c>
      <c r="N311" s="31">
        <v>34392</v>
      </c>
      <c r="O311">
        <v>31</v>
      </c>
      <c r="P311">
        <v>1300</v>
      </c>
      <c r="Q311">
        <v>0</v>
      </c>
      <c r="R311">
        <v>1700</v>
      </c>
      <c r="S311">
        <v>0</v>
      </c>
      <c r="T311">
        <v>400</v>
      </c>
      <c r="U311">
        <v>0</v>
      </c>
      <c r="V311" t="str">
        <v/>
      </c>
      <c r="W311" t="str">
        <v>0</v>
      </c>
      <c r="X311" t="str">
        <v/>
      </c>
      <c r="Y311" s="31">
        <v>44875</v>
      </c>
      <c r="Z311" t="str">
        <v/>
      </c>
      <c r="AA311" t="str">
        <v>技術・人文知識・国際業務</v>
      </c>
      <c r="AB311" t="str">
        <v>509-7201</v>
      </c>
      <c r="AC311" t="str">
        <v>岐阜県恵那市大井町1120-303</v>
      </c>
      <c r="AD311" t="str">
        <v>各務ﾊｲﾂ4J</v>
      </c>
      <c r="AE311" s="31">
        <v>44623</v>
      </c>
      <c r="AF311" s="31">
        <v>44628</v>
      </c>
      <c r="AG311" s="31">
        <v>44719</v>
      </c>
      <c r="AH311" s="31">
        <v>0</v>
      </c>
      <c r="AI311">
        <v>22.05</v>
      </c>
      <c r="AJ311" t="str">
        <v>OK</v>
      </c>
      <c r="AK311">
        <v>0</v>
      </c>
      <c r="AL311">
        <v>44628</v>
      </c>
      <c r="AM311">
        <v>0</v>
      </c>
      <c r="AN311">
        <v>0</v>
      </c>
      <c r="AO311">
        <v>0</v>
      </c>
      <c r="AP311">
        <v>0</v>
      </c>
      <c r="AQ311">
        <v>0</v>
      </c>
      <c r="AR311">
        <v>0</v>
      </c>
    </row>
    <row r="312" spans="1:44">
      <c r="A312" t="str">
        <f>H312&amp;COUNTIF($H$2:H312,H312)</f>
        <v>内輪2</v>
      </c>
      <c r="B312" t="str">
        <f>F312&amp;COUNTIF($F$2:F312,F312)</f>
        <v>高雄工業 静岡30</v>
      </c>
      <c r="C312" t="str">
        <v>退社</v>
      </c>
      <c r="D312">
        <v>220311</v>
      </c>
      <c r="E312">
        <v>242035</v>
      </c>
      <c r="F312" t="str">
        <v>高雄工業 静岡</v>
      </c>
      <c r="G312" t="str">
        <v>高雄工業株式会社 静岡事業所第二工場製作課</v>
      </c>
      <c r="H312" t="str">
        <v>内輪</v>
      </c>
      <c r="I312" t="str">
        <v>産業機械部品の施削加工、NCプログラム修正</v>
      </c>
      <c r="J312" t="str">
        <v>LE MINH CHINH</v>
      </c>
      <c r="K312" t="str">
        <v>レ　ミン　チン</v>
      </c>
      <c r="L312" t="str">
        <v>男</v>
      </c>
      <c r="M312" t="str">
        <v>ﾍﾞﾄﾅﾑ</v>
      </c>
      <c r="N312" s="31">
        <v>30422</v>
      </c>
      <c r="O312">
        <v>42</v>
      </c>
      <c r="P312">
        <v>1400</v>
      </c>
      <c r="Q312">
        <v>0</v>
      </c>
      <c r="R312">
        <v>1760</v>
      </c>
      <c r="S312">
        <v>0</v>
      </c>
      <c r="T312">
        <v>360</v>
      </c>
      <c r="U312">
        <v>180000</v>
      </c>
      <c r="V312">
        <v>9027</v>
      </c>
      <c r="W312">
        <v>1431</v>
      </c>
      <c r="X312">
        <v>16470</v>
      </c>
      <c r="Y312" s="31">
        <v>45400</v>
      </c>
      <c r="Z312" t="str">
        <v/>
      </c>
      <c r="AA312" t="str">
        <v>技術・人文知識・国際業務</v>
      </c>
      <c r="AB312" t="str">
        <v>437-0066</v>
      </c>
      <c r="AC312" t="str">
        <v>静岡県袋井市山科3388-1</v>
      </c>
      <c r="AD312" t="str">
        <v>鶴松203</v>
      </c>
      <c r="AE312" s="31">
        <v>44626</v>
      </c>
      <c r="AF312" s="31">
        <v>44628</v>
      </c>
      <c r="AG312" s="31">
        <v>45169</v>
      </c>
      <c r="AH312" s="31">
        <v>45182</v>
      </c>
      <c r="AI312">
        <v>22.05</v>
      </c>
      <c r="AJ312" t="str">
        <v>OK</v>
      </c>
      <c r="AK312">
        <v>0</v>
      </c>
      <c r="AL312">
        <v>44628</v>
      </c>
      <c r="AM312">
        <v>0</v>
      </c>
      <c r="AN312">
        <v>0</v>
      </c>
      <c r="AO312">
        <v>0</v>
      </c>
      <c r="AP312">
        <v>0</v>
      </c>
      <c r="AQ312">
        <v>0</v>
      </c>
      <c r="AR312">
        <v>0</v>
      </c>
    </row>
    <row r="313" spans="1:44">
      <c r="A313" t="str">
        <f>H313&amp;COUNTIF($H$2:H313,H313)</f>
        <v>0165</v>
      </c>
      <c r="B313" t="str">
        <f>F313&amp;COUNTIF($F$2:F313,F313)</f>
        <v>高雄工業 静岡31</v>
      </c>
      <c r="C313" t="str">
        <v>退社</v>
      </c>
      <c r="D313">
        <v>220312</v>
      </c>
      <c r="E313">
        <v>242034</v>
      </c>
      <c r="F313" t="str">
        <v>高雄工業 静岡</v>
      </c>
      <c r="G313" t="str">
        <v>008110 高雄工業株式会社 静岡事業所第一工場製作課</v>
      </c>
      <c r="H313">
        <v>0</v>
      </c>
      <c r="I313">
        <v>0</v>
      </c>
      <c r="J313" t="str">
        <v>TRAN HOANG DIEU</v>
      </c>
      <c r="K313" t="str">
        <v>チャン　ホアン　ジェウ</v>
      </c>
      <c r="L313" t="str">
        <v>男</v>
      </c>
      <c r="M313" t="str">
        <v>ﾍﾞﾄﾅﾑ</v>
      </c>
      <c r="N313" s="31">
        <v>35779</v>
      </c>
      <c r="O313">
        <v>27</v>
      </c>
      <c r="P313">
        <v>1350</v>
      </c>
      <c r="Q313">
        <v>0</v>
      </c>
      <c r="R313">
        <v>1750</v>
      </c>
      <c r="S313">
        <v>0</v>
      </c>
      <c r="T313">
        <v>400</v>
      </c>
      <c r="U313">
        <v>0</v>
      </c>
      <c r="V313" t="str">
        <v/>
      </c>
      <c r="W313" t="str">
        <v>0</v>
      </c>
      <c r="X313" t="str">
        <v/>
      </c>
      <c r="Y313" s="31">
        <v>44954</v>
      </c>
      <c r="Z313" t="str">
        <v/>
      </c>
      <c r="AA313" t="str">
        <v>技術・人文知識・国際業務</v>
      </c>
      <c r="AB313" t="str">
        <v>437-0065</v>
      </c>
      <c r="AC313" t="str">
        <v>静岡県袋井市堀越1丁目21-9</v>
      </c>
      <c r="AD313" t="str">
        <v>ﾌﾟﾁｾｿﾞﾝ203号</v>
      </c>
      <c r="AE313" s="31">
        <v>0</v>
      </c>
      <c r="AF313" s="31">
        <v>44628</v>
      </c>
      <c r="AG313" s="31">
        <v>44742</v>
      </c>
      <c r="AH313" s="31">
        <v>0</v>
      </c>
      <c r="AI313">
        <v>22.05</v>
      </c>
      <c r="AJ313" t="str">
        <v>OK</v>
      </c>
      <c r="AK313">
        <v>0</v>
      </c>
      <c r="AL313">
        <v>44628</v>
      </c>
      <c r="AM313">
        <v>0</v>
      </c>
      <c r="AN313">
        <v>0</v>
      </c>
      <c r="AO313">
        <v>0</v>
      </c>
      <c r="AP313">
        <v>0</v>
      </c>
      <c r="AQ313">
        <v>0</v>
      </c>
      <c r="AR313">
        <v>0</v>
      </c>
    </row>
    <row r="314" spans="1:44">
      <c r="A314" t="str">
        <f>H314&amp;COUNTIF($H$2:H314,H314)</f>
        <v>清掃作業1</v>
      </c>
      <c r="B314" t="str">
        <f>F314&amp;COUNTIF($F$2:F314,F314)</f>
        <v>高雄工業 静岡32</v>
      </c>
      <c r="C314" t="str">
        <v>退社</v>
      </c>
      <c r="D314">
        <v>220313</v>
      </c>
      <c r="E314">
        <v>242036</v>
      </c>
      <c r="F314" t="str">
        <v>高雄工業 静岡</v>
      </c>
      <c r="G314" t="str">
        <v>高雄工業株式会社 静岡事業所第一工場製作課</v>
      </c>
      <c r="H314" t="str">
        <v>清掃作業</v>
      </c>
      <c r="I314" t="str">
        <v>機械のクーラント液を補給する。NC施盤から排出される金属くずの回収</v>
      </c>
      <c r="J314" t="str">
        <v>栗原　ガブリエル</v>
      </c>
      <c r="K314" t="str">
        <v>クリハラ　ガブリエル</v>
      </c>
      <c r="L314" t="str">
        <v>男</v>
      </c>
      <c r="M314" t="str">
        <v>ﾌﾞﾗｼﾞﾙ</v>
      </c>
      <c r="N314" s="31">
        <v>35182</v>
      </c>
      <c r="O314">
        <v>29</v>
      </c>
      <c r="P314">
        <v>1300</v>
      </c>
      <c r="Q314">
        <v>0</v>
      </c>
      <c r="R314">
        <v>1750</v>
      </c>
      <c r="S314">
        <v>0</v>
      </c>
      <c r="T314">
        <v>450</v>
      </c>
      <c r="U314">
        <v>260000</v>
      </c>
      <c r="V314">
        <v>13039</v>
      </c>
      <c r="W314" t="str">
        <v>0</v>
      </c>
      <c r="X314">
        <v>23790</v>
      </c>
      <c r="Y314" s="31">
        <v>46321</v>
      </c>
      <c r="Z314" t="str">
        <v/>
      </c>
      <c r="AA314" t="str">
        <v>定住者</v>
      </c>
      <c r="AB314" t="str">
        <v>437-0126</v>
      </c>
      <c r="AC314" t="str">
        <v>静岡県袋井市月見町1-11</v>
      </c>
      <c r="AD314" t="str">
        <v>ﾑｰﾝｼｬﾄｰ3M4号</v>
      </c>
      <c r="AE314" s="31" t="str">
        <v>個人</v>
      </c>
      <c r="AF314" s="31">
        <v>44628</v>
      </c>
      <c r="AG314" s="31">
        <v>45251</v>
      </c>
      <c r="AH314" s="31">
        <v>0</v>
      </c>
      <c r="AI314">
        <v>22.05</v>
      </c>
      <c r="AJ314" t="str">
        <v>OK</v>
      </c>
      <c r="AK314">
        <v>0</v>
      </c>
      <c r="AL314">
        <v>44628</v>
      </c>
      <c r="AM314">
        <v>0</v>
      </c>
      <c r="AN314">
        <v>0</v>
      </c>
      <c r="AO314">
        <v>0</v>
      </c>
      <c r="AP314">
        <v>0</v>
      </c>
      <c r="AQ314">
        <v>0</v>
      </c>
      <c r="AR314">
        <v>0</v>
      </c>
    </row>
    <row r="315" spans="1:44">
      <c r="A315" t="str">
        <f>H315&amp;COUNTIF($H$2:H315,H315)</f>
        <v>0166</v>
      </c>
      <c r="B315" t="str">
        <f>F315&amp;COUNTIF($F$2:F315,F315)</f>
        <v>コーリツ 本社7</v>
      </c>
      <c r="C315" t="str">
        <v>退社</v>
      </c>
      <c r="D315">
        <v>220315</v>
      </c>
      <c r="E315">
        <v>8210037</v>
      </c>
      <c r="F315" t="str">
        <v>コーリツ 本社</v>
      </c>
      <c r="G315" t="str">
        <v>本社工場　製造１課２工区２班</v>
      </c>
      <c r="H315">
        <v>0</v>
      </c>
      <c r="I315">
        <v>0</v>
      </c>
      <c r="J315" t="str">
        <v>VU VAN NGHIA</v>
      </c>
      <c r="K315" t="str">
        <v>ヴー　ヴァン　ギエ</v>
      </c>
      <c r="L315" t="str">
        <v>男</v>
      </c>
      <c r="M315" t="str">
        <v>ﾍﾞﾄﾅﾑ</v>
      </c>
      <c r="N315" s="31">
        <v>34262</v>
      </c>
      <c r="O315">
        <v>32</v>
      </c>
      <c r="P315">
        <v>1400</v>
      </c>
      <c r="Q315">
        <v>0</v>
      </c>
      <c r="R315">
        <v>1960</v>
      </c>
      <c r="S315">
        <v>0</v>
      </c>
      <c r="T315">
        <v>560</v>
      </c>
      <c r="U315">
        <v>0</v>
      </c>
      <c r="V315" t="str">
        <v/>
      </c>
      <c r="W315" t="str">
        <v>0</v>
      </c>
      <c r="X315" t="str">
        <v/>
      </c>
      <c r="Y315" s="31">
        <v>45482</v>
      </c>
      <c r="Z315" t="str">
        <v/>
      </c>
      <c r="AA315" t="str">
        <v>技術・人文知識・国際業務</v>
      </c>
      <c r="AB315" t="str">
        <v>444-1313</v>
      </c>
      <c r="AC315" t="str">
        <v>愛知県高浜市向山町1丁目210番地3</v>
      </c>
      <c r="AD315" t="str">
        <v>ｻﾞ･ｼｯｸ101</v>
      </c>
      <c r="AE315" s="31">
        <v>44633</v>
      </c>
      <c r="AF315" s="31">
        <v>44634</v>
      </c>
      <c r="AG315" s="31">
        <v>44951</v>
      </c>
      <c r="AH315" s="31">
        <v>0</v>
      </c>
      <c r="AI315">
        <v>22.05</v>
      </c>
      <c r="AJ315" t="str">
        <v>OK</v>
      </c>
      <c r="AK315">
        <v>0</v>
      </c>
      <c r="AL315">
        <v>44634</v>
      </c>
      <c r="AM315">
        <v>0</v>
      </c>
      <c r="AN315">
        <v>0</v>
      </c>
      <c r="AO315">
        <v>0</v>
      </c>
      <c r="AP315">
        <v>0</v>
      </c>
      <c r="AQ315">
        <v>0</v>
      </c>
      <c r="AR315">
        <v>0</v>
      </c>
    </row>
    <row r="316" spans="1:44">
      <c r="A316" t="str">
        <f>H316&amp;COUNTIF($H$2:H316,H316)</f>
        <v>1次旋係7</v>
      </c>
      <c r="B316" t="str">
        <f>F316&amp;COUNTIF($F$2:F316,F316)</f>
        <v>高雄工業 岡山49</v>
      </c>
      <c r="C316" t="str">
        <v>退社</v>
      </c>
      <c r="D316">
        <v>220317</v>
      </c>
      <c r="E316">
        <v>232050</v>
      </c>
      <c r="F316" t="str">
        <v>高雄工業 岡山</v>
      </c>
      <c r="G316" t="str">
        <v>高雄工業株式会社 岡山事業所HUB工場製作1課</v>
      </c>
      <c r="H316" t="str">
        <v>1次旋係</v>
      </c>
      <c r="I316" t="str">
        <v>ハブ加工 自動機の操作、ＮＣプログラム修正</v>
      </c>
      <c r="J316" t="str">
        <v>NGUYEN DINH THANH</v>
      </c>
      <c r="K316" t="str">
        <v>グエン　ディン　タン</v>
      </c>
      <c r="L316" t="str">
        <v>男</v>
      </c>
      <c r="M316" t="str">
        <v>ﾍﾞﾄﾅﾑ</v>
      </c>
      <c r="N316" s="31">
        <v>34464</v>
      </c>
      <c r="O316">
        <v>31</v>
      </c>
      <c r="P316">
        <v>1420</v>
      </c>
      <c r="Q316">
        <v>0</v>
      </c>
      <c r="R316">
        <v>1860</v>
      </c>
      <c r="S316">
        <v>0</v>
      </c>
      <c r="T316">
        <v>440</v>
      </c>
      <c r="U316">
        <v>260000</v>
      </c>
      <c r="V316">
        <v>13039</v>
      </c>
      <c r="W316" t="str">
        <v>0</v>
      </c>
      <c r="X316">
        <v>23790</v>
      </c>
      <c r="Y316" s="31">
        <v>46446</v>
      </c>
      <c r="Z316" t="str">
        <v/>
      </c>
      <c r="AA316" t="str">
        <v>技術・人文知識・国際業務</v>
      </c>
      <c r="AB316" t="str">
        <v>709-2107</v>
      </c>
      <c r="AC316" t="str">
        <v>岡山県岡山市北区御津矢原370</v>
      </c>
      <c r="AD316" t="str">
        <v>成広ｺｰﾎﾟⅡ206</v>
      </c>
      <c r="AE316" s="31">
        <v>0</v>
      </c>
      <c r="AF316" s="31">
        <v>44637</v>
      </c>
      <c r="AG316" s="31">
        <v>45868</v>
      </c>
      <c r="AH316" s="31">
        <v>0</v>
      </c>
      <c r="AI316">
        <v>22.06</v>
      </c>
      <c r="AJ316" t="str">
        <v>OK</v>
      </c>
      <c r="AK316">
        <v>0</v>
      </c>
      <c r="AL316">
        <v>44637</v>
      </c>
      <c r="AM316">
        <v>0</v>
      </c>
      <c r="AN316">
        <v>0</v>
      </c>
      <c r="AO316">
        <v>0</v>
      </c>
      <c r="AP316">
        <v>0</v>
      </c>
      <c r="AQ316">
        <v>0</v>
      </c>
      <c r="AR316">
        <v>0</v>
      </c>
    </row>
    <row r="317" spans="1:44">
      <c r="A317" t="str">
        <f>H317&amp;COUNTIF($H$2:H317,H317)</f>
        <v>0167</v>
      </c>
      <c r="B317" t="str">
        <f>F317&amp;COUNTIF($F$2:F317,F317)</f>
        <v>六甲電子14</v>
      </c>
      <c r="C317" t="str">
        <v>退社</v>
      </c>
      <c r="D317">
        <v>220316</v>
      </c>
      <c r="E317">
        <v>60064</v>
      </c>
      <c r="F317" t="str">
        <v>六甲電子</v>
      </c>
      <c r="G317" t="str">
        <v>製造部　製造１課　バッチ</v>
      </c>
      <c r="H317">
        <v>0</v>
      </c>
      <c r="I317">
        <v>0</v>
      </c>
      <c r="J317" t="str">
        <v>LE VAN MINH</v>
      </c>
      <c r="K317" t="str">
        <v>レー　バン　ミン</v>
      </c>
      <c r="L317" t="str">
        <v>男</v>
      </c>
      <c r="M317" t="str">
        <v>ﾍﾞﾄﾅﾑ</v>
      </c>
      <c r="N317" s="31">
        <v>35348</v>
      </c>
      <c r="O317">
        <v>29</v>
      </c>
      <c r="P317">
        <v>1450</v>
      </c>
      <c r="Q317">
        <v>0</v>
      </c>
      <c r="R317">
        <v>2000</v>
      </c>
      <c r="S317">
        <v>0</v>
      </c>
      <c r="T317">
        <v>550</v>
      </c>
      <c r="U317">
        <v>360000</v>
      </c>
      <c r="V317">
        <v>18054</v>
      </c>
      <c r="W317" t="str">
        <v>0</v>
      </c>
      <c r="X317">
        <v>32940</v>
      </c>
      <c r="Y317" s="31">
        <v>47491</v>
      </c>
      <c r="Z317" t="str">
        <v/>
      </c>
      <c r="AA317" t="str">
        <v>技術・人文知識・国際業務</v>
      </c>
      <c r="AB317" t="str">
        <v>663-8112</v>
      </c>
      <c r="AC317" t="str">
        <v>兵庫県西宮市甲子園口北町4番15-201</v>
      </c>
      <c r="AD317">
        <v>0</v>
      </c>
      <c r="AE317" s="31" t="str">
        <v>個人</v>
      </c>
      <c r="AF317" s="31">
        <v>44637</v>
      </c>
      <c r="AG317" s="31">
        <v>45834</v>
      </c>
      <c r="AH317" s="31">
        <v>45192</v>
      </c>
      <c r="AI317">
        <v>22.04</v>
      </c>
      <c r="AJ317" t="str">
        <v>OK</v>
      </c>
      <c r="AK317">
        <v>0</v>
      </c>
      <c r="AL317">
        <v>44637</v>
      </c>
      <c r="AM317">
        <v>0</v>
      </c>
      <c r="AN317">
        <v>0</v>
      </c>
      <c r="AO317">
        <v>0</v>
      </c>
      <c r="AP317">
        <v>0</v>
      </c>
      <c r="AQ317">
        <v>0</v>
      </c>
      <c r="AR317">
        <v>0</v>
      </c>
    </row>
    <row r="318" spans="1:44">
      <c r="A318" t="str">
        <f>H318&amp;COUNTIF($H$2:H318,H318)</f>
        <v>一次旋係14</v>
      </c>
      <c r="B318" t="str">
        <f>F318&amp;COUNTIF($F$2:F318,F318)</f>
        <v>高雄工業 岡山50</v>
      </c>
      <c r="C318" t="str">
        <v>退社</v>
      </c>
      <c r="D318">
        <v>220318</v>
      </c>
      <c r="E318">
        <v>232051</v>
      </c>
      <c r="F318" t="str">
        <v>高雄工業 岡山</v>
      </c>
      <c r="G318" t="str">
        <v>高雄工業株式会社 岡山事業所HUB工場製作1課</v>
      </c>
      <c r="H318" t="str">
        <v>一次旋係</v>
      </c>
      <c r="I318">
        <v>0</v>
      </c>
      <c r="J318" t="str">
        <v>PHAN TAT HOAN</v>
      </c>
      <c r="K318" t="str">
        <v>ファン　タット　ホアン</v>
      </c>
      <c r="L318" t="str">
        <v>男</v>
      </c>
      <c r="M318" t="str">
        <v>ﾍﾞﾄﾅﾑ</v>
      </c>
      <c r="N318" s="31">
        <v>34977</v>
      </c>
      <c r="O318">
        <v>30</v>
      </c>
      <c r="P318">
        <v>1400</v>
      </c>
      <c r="Q318">
        <v>0</v>
      </c>
      <c r="R318">
        <v>1750</v>
      </c>
      <c r="S318">
        <v>0</v>
      </c>
      <c r="T318">
        <v>350</v>
      </c>
      <c r="U318">
        <v>180000</v>
      </c>
      <c r="V318">
        <v>9027</v>
      </c>
      <c r="W318" t="str">
        <v>0</v>
      </c>
      <c r="X318">
        <v>16470</v>
      </c>
      <c r="Y318" s="31">
        <v>45351</v>
      </c>
      <c r="Z318" t="str">
        <v/>
      </c>
      <c r="AA318" t="str">
        <v>技術・人文知識・国際業務</v>
      </c>
      <c r="AB318" t="str">
        <v>709-2107</v>
      </c>
      <c r="AC318" t="str">
        <v>岡山県岡山市北区御津矢原370</v>
      </c>
      <c r="AD318" t="str">
        <v>成広ｺｰﾎﾟⅠ103</v>
      </c>
      <c r="AE318" s="31">
        <v>0</v>
      </c>
      <c r="AF318" s="31">
        <v>44637</v>
      </c>
      <c r="AG318" s="31">
        <v>44999</v>
      </c>
      <c r="AH318" s="31">
        <v>0</v>
      </c>
      <c r="AI318">
        <v>22.06</v>
      </c>
      <c r="AJ318" t="str">
        <v>OK</v>
      </c>
      <c r="AK318">
        <v>0</v>
      </c>
      <c r="AL318">
        <v>44637</v>
      </c>
      <c r="AM318">
        <v>0</v>
      </c>
      <c r="AN318">
        <v>0</v>
      </c>
      <c r="AO318">
        <v>0</v>
      </c>
      <c r="AP318">
        <v>0</v>
      </c>
      <c r="AQ318">
        <v>0</v>
      </c>
      <c r="AR318">
        <v>0</v>
      </c>
    </row>
    <row r="319" spans="1:44">
      <c r="A319" t="str">
        <f>H319&amp;COUNTIF($H$2:H319,H319)</f>
        <v>0168</v>
      </c>
      <c r="B319" t="str">
        <f>F319&amp;COUNTIF($F$2:F319,F319)</f>
        <v>六甲電子15</v>
      </c>
      <c r="C319" t="str">
        <v>退社</v>
      </c>
      <c r="D319">
        <v>220319</v>
      </c>
      <c r="E319">
        <v>0</v>
      </c>
      <c r="F319" t="str">
        <v>六甲電子</v>
      </c>
      <c r="G319">
        <v>0</v>
      </c>
      <c r="H319">
        <v>0</v>
      </c>
      <c r="I319">
        <v>0</v>
      </c>
      <c r="J319" t="str">
        <v>VU HUY KHOI</v>
      </c>
      <c r="K319" t="str">
        <v>ヴー　フイ　クオイ</v>
      </c>
      <c r="L319" t="str">
        <v>男</v>
      </c>
      <c r="M319" t="str">
        <v>ﾍﾞﾄﾅﾑ</v>
      </c>
      <c r="N319" s="31">
        <v>34107</v>
      </c>
      <c r="O319">
        <v>32</v>
      </c>
      <c r="P319">
        <v>1400</v>
      </c>
      <c r="Q319">
        <v>0</v>
      </c>
      <c r="R319">
        <v>2000</v>
      </c>
      <c r="S319">
        <v>0</v>
      </c>
      <c r="T319">
        <v>600</v>
      </c>
      <c r="U319">
        <v>0</v>
      </c>
      <c r="V319" t="str">
        <v/>
      </c>
      <c r="W319" t="str">
        <v>0</v>
      </c>
      <c r="X319" t="str">
        <v/>
      </c>
      <c r="Y319" s="31">
        <v>45341</v>
      </c>
      <c r="Z319" t="str">
        <v/>
      </c>
      <c r="AA319" t="str">
        <v>技術・人文知識・国際業務</v>
      </c>
      <c r="AB319" t="str">
        <v>715-0024</v>
      </c>
      <c r="AC319" t="str">
        <v>岡山県井原市高屋町1丁目20-11</v>
      </c>
      <c r="AD319" t="str">
        <v>ｲﾌﾟｼﾛﾝB102</v>
      </c>
      <c r="AE319" s="31">
        <v>44635</v>
      </c>
      <c r="AF319" s="31">
        <v>44637</v>
      </c>
      <c r="AG319" s="31">
        <v>44803</v>
      </c>
      <c r="AH319" s="31">
        <v>0</v>
      </c>
      <c r="AI319">
        <v>22.06</v>
      </c>
      <c r="AJ319" t="str">
        <v>OK3/28</v>
      </c>
      <c r="AK319" t="str">
        <v>2022/3/17～2022/8/10までｾｲﾋﾞﾃｯｸ所属　2022/8/15～六甲電子所属</v>
      </c>
      <c r="AL319">
        <v>44637</v>
      </c>
      <c r="AM319">
        <v>0</v>
      </c>
      <c r="AN319">
        <v>0</v>
      </c>
      <c r="AO319">
        <v>0</v>
      </c>
      <c r="AP319">
        <v>0</v>
      </c>
      <c r="AQ319">
        <v>0</v>
      </c>
      <c r="AR319">
        <v>0</v>
      </c>
    </row>
    <row r="320" spans="1:44">
      <c r="A320" t="str">
        <f>H320&amp;COUNTIF($H$2:H320,H320)</f>
        <v>乙川工場製造3課6工区9班4</v>
      </c>
      <c r="B320" t="str">
        <f>F320&amp;COUNTIF($F$2:F320,F320)</f>
        <v>コーリツ 乙川11</v>
      </c>
      <c r="C320" t="str">
        <v>退社</v>
      </c>
      <c r="D320">
        <v>220320</v>
      </c>
      <c r="E320">
        <v>8210038</v>
      </c>
      <c r="F320" t="str">
        <v>コーリツ 乙川</v>
      </c>
      <c r="G320" t="str">
        <v>乙川第２工場　製造３課６工区９班</v>
      </c>
      <c r="H320" t="str">
        <v>乙川工場製造3課6工区9班</v>
      </c>
      <c r="I320">
        <v>0</v>
      </c>
      <c r="J320" t="str">
        <v>NGUYEN QUANG HUY</v>
      </c>
      <c r="K320" t="str">
        <v>グエン　クアン　フィ</v>
      </c>
      <c r="L320" t="str">
        <v>男</v>
      </c>
      <c r="M320" t="str">
        <v>ﾍﾞﾄﾅﾑ</v>
      </c>
      <c r="N320" s="31">
        <v>33921</v>
      </c>
      <c r="O320">
        <v>33</v>
      </c>
      <c r="P320">
        <v>1400</v>
      </c>
      <c r="Q320">
        <v>0</v>
      </c>
      <c r="R320">
        <v>1960</v>
      </c>
      <c r="S320">
        <v>0</v>
      </c>
      <c r="T320">
        <v>560</v>
      </c>
      <c r="U320">
        <v>180000</v>
      </c>
      <c r="V320">
        <v>9027</v>
      </c>
      <c r="W320" t="str">
        <v>0</v>
      </c>
      <c r="X320">
        <v>16470</v>
      </c>
      <c r="Y320" s="31">
        <v>45691</v>
      </c>
      <c r="Z320" t="str">
        <v/>
      </c>
      <c r="AA320" t="str">
        <v>技術・人文知識・国際業務</v>
      </c>
      <c r="AB320" t="str">
        <v>444-1332</v>
      </c>
      <c r="AC320" t="str">
        <v>愛知県高浜市湯山町4丁目9番地6</v>
      </c>
      <c r="AD320" t="str">
        <v>ﾋﾞﾚｯｼﾞﾊｳｽ高取4号棟110号室</v>
      </c>
      <c r="AE320" s="31" t="str">
        <v>個人</v>
      </c>
      <c r="AF320" s="31">
        <v>44638</v>
      </c>
      <c r="AG320" s="31">
        <v>45119</v>
      </c>
      <c r="AH320" s="31">
        <v>0</v>
      </c>
      <c r="AI320">
        <v>22.06</v>
      </c>
      <c r="AJ320" t="str">
        <v>OK</v>
      </c>
      <c r="AK320">
        <v>0</v>
      </c>
      <c r="AL320">
        <v>44638</v>
      </c>
      <c r="AM320">
        <v>0</v>
      </c>
      <c r="AN320">
        <v>0</v>
      </c>
      <c r="AO320">
        <v>0</v>
      </c>
      <c r="AP320">
        <v>0</v>
      </c>
      <c r="AQ320">
        <v>0</v>
      </c>
      <c r="AR320">
        <v>0</v>
      </c>
    </row>
    <row r="321" spans="1:44">
      <c r="A321" t="str">
        <f>H321&amp;COUNTIF($H$2:H321,H321)</f>
        <v>亀崎工場製造5課6工区8班1</v>
      </c>
      <c r="B321" t="str">
        <f>F321&amp;COUNTIF($F$2:F321,F321)</f>
        <v>コーリツ 亀崎5</v>
      </c>
      <c r="C321" t="str">
        <v>在職中</v>
      </c>
      <c r="D321">
        <v>220321</v>
      </c>
      <c r="E321">
        <v>8210039</v>
      </c>
      <c r="F321" t="str">
        <v>コーリツ 亀崎</v>
      </c>
      <c r="G321" t="str">
        <v>亀崎工場製造5課6工区8班</v>
      </c>
      <c r="H321" t="str">
        <v>亀崎工場製造5課6工区8班</v>
      </c>
      <c r="I321">
        <v>0</v>
      </c>
      <c r="J321" t="str">
        <v>VU DUC THINH</v>
      </c>
      <c r="K321" t="str">
        <v>ヴー　ドゥック　ティン</v>
      </c>
      <c r="L321" t="str">
        <v>男</v>
      </c>
      <c r="M321" t="str">
        <v>ﾍﾞﾄﾅﾑ</v>
      </c>
      <c r="N321" s="31">
        <v>35710</v>
      </c>
      <c r="O321">
        <v>28</v>
      </c>
      <c r="P321">
        <v>1500</v>
      </c>
      <c r="Q321">
        <v>0</v>
      </c>
      <c r="R321">
        <v>2150</v>
      </c>
      <c r="S321">
        <v>0</v>
      </c>
      <c r="T321">
        <v>650</v>
      </c>
      <c r="U321">
        <v>360000</v>
      </c>
      <c r="V321">
        <v>18054</v>
      </c>
      <c r="W321" t="str">
        <v>0</v>
      </c>
      <c r="X321">
        <v>32940</v>
      </c>
      <c r="Y321" s="31">
        <v>46058</v>
      </c>
      <c r="Z321">
        <v>63</v>
      </c>
      <c r="AA321" t="str">
        <v>技術・人文知識・国際業務</v>
      </c>
      <c r="AB321" t="str">
        <v>475-0078</v>
      </c>
      <c r="AC321" t="str">
        <v>愛知県半田市亀崎高根町2丁目20-7</v>
      </c>
      <c r="AD321" t="str">
        <v>ﾋﾞﾚｯｼﾞﾊｳｽ亀崎2号棟301</v>
      </c>
      <c r="AE321" s="31">
        <v>44955</v>
      </c>
      <c r="AF321" s="31">
        <v>44641</v>
      </c>
      <c r="AG321" s="31">
        <v>0</v>
      </c>
      <c r="AH321" s="31">
        <v>0</v>
      </c>
      <c r="AI321">
        <v>22.06</v>
      </c>
      <c r="AJ321" t="str">
        <v>OK</v>
      </c>
      <c r="AK321" t="str">
        <v>2022/6/27友達のアパートへ引っ越ししました</v>
      </c>
      <c r="AL321">
        <v>44641</v>
      </c>
      <c r="AM321">
        <v>0</v>
      </c>
      <c r="AN321">
        <v>0</v>
      </c>
      <c r="AO321" t="str">
        <v>自転車</v>
      </c>
      <c r="AP321">
        <v>45903</v>
      </c>
      <c r="AQ321">
        <v>0</v>
      </c>
      <c r="AR321">
        <v>0</v>
      </c>
    </row>
    <row r="322" spans="1:44">
      <c r="A322" t="str">
        <f>H322&amp;COUNTIF($H$2:H322,H322)</f>
        <v>P1</v>
      </c>
      <c r="B322" t="str">
        <f>F322&amp;COUNTIF($F$2:F322,F322)</f>
        <v>高雄工業 海南第二8</v>
      </c>
      <c r="C322" t="str">
        <v>退社</v>
      </c>
      <c r="D322">
        <v>220322</v>
      </c>
      <c r="E322">
        <v>222043</v>
      </c>
      <c r="F322" t="str">
        <v>高雄工業 海南第二</v>
      </c>
      <c r="G322" t="str">
        <v>高雄工業株式会社 愛知事業所海南第二工場製作課</v>
      </c>
      <c r="H322" t="str">
        <v>P</v>
      </c>
      <c r="I322">
        <v>0</v>
      </c>
      <c r="J322" t="str">
        <v>NGUYEN TUAN CUONG</v>
      </c>
      <c r="K322" t="str">
        <v>グエン　トゥアン　クオン</v>
      </c>
      <c r="L322" t="str">
        <v>男</v>
      </c>
      <c r="M322" t="str">
        <v>ﾍﾞﾄﾅﾑ</v>
      </c>
      <c r="N322" s="31">
        <v>35247</v>
      </c>
      <c r="O322">
        <v>29</v>
      </c>
      <c r="P322">
        <v>1370</v>
      </c>
      <c r="Q322">
        <v>0</v>
      </c>
      <c r="R322">
        <v>1770</v>
      </c>
      <c r="S322">
        <v>0</v>
      </c>
      <c r="T322">
        <v>400</v>
      </c>
      <c r="U322">
        <v>0</v>
      </c>
      <c r="V322" t="str">
        <v/>
      </c>
      <c r="W322" t="str">
        <v>0</v>
      </c>
      <c r="X322" t="str">
        <v/>
      </c>
      <c r="Y322" s="31">
        <v>45226</v>
      </c>
      <c r="Z322" t="str">
        <v/>
      </c>
      <c r="AA322" t="str">
        <v>技術・人文知識・国際業務</v>
      </c>
      <c r="AB322" t="str">
        <v>498-0017</v>
      </c>
      <c r="AC322" t="str">
        <v>愛知県弥富市前ヶ須町西勘助207</v>
      </c>
      <c r="AD322" t="str">
        <v>CASA弥冨A105</v>
      </c>
      <c r="AE322" s="31">
        <v>44637</v>
      </c>
      <c r="AF322" s="31">
        <v>44643</v>
      </c>
      <c r="AG322" s="31">
        <v>44862</v>
      </c>
      <c r="AH322" s="31">
        <v>0</v>
      </c>
      <c r="AI322">
        <v>44682</v>
      </c>
      <c r="AJ322">
        <v>44669</v>
      </c>
      <c r="AK322">
        <v>0</v>
      </c>
      <c r="AL322">
        <v>44643</v>
      </c>
      <c r="AM322">
        <v>0</v>
      </c>
      <c r="AN322">
        <v>0</v>
      </c>
      <c r="AO322">
        <v>0</v>
      </c>
      <c r="AP322">
        <v>0</v>
      </c>
      <c r="AQ322">
        <v>0</v>
      </c>
      <c r="AR322">
        <v>0</v>
      </c>
    </row>
    <row r="323" spans="1:44">
      <c r="A323" t="str">
        <f>H323&amp;COUNTIF($H$2:H323,H323)</f>
        <v>0169</v>
      </c>
      <c r="B323" t="str">
        <f>F323&amp;COUNTIF($F$2:F323,F323)</f>
        <v>六甲電子16</v>
      </c>
      <c r="C323" t="str">
        <v>退社</v>
      </c>
      <c r="D323">
        <v>220323</v>
      </c>
      <c r="E323">
        <v>60065</v>
      </c>
      <c r="F323" t="str">
        <v>六甲電子</v>
      </c>
      <c r="G323" t="str">
        <v>製造部　製造２課</v>
      </c>
      <c r="H323">
        <v>0</v>
      </c>
      <c r="I323">
        <v>0</v>
      </c>
      <c r="J323" t="str">
        <v>DO VAN MINH</v>
      </c>
      <c r="K323" t="str">
        <v>ドー　バン　ミン</v>
      </c>
      <c r="L323" t="str">
        <v>男</v>
      </c>
      <c r="M323" t="str">
        <v>ﾍﾞﾄﾅﾑ</v>
      </c>
      <c r="N323" s="31">
        <v>33826</v>
      </c>
      <c r="O323">
        <v>33</v>
      </c>
      <c r="P323">
        <v>1500</v>
      </c>
      <c r="Q323">
        <v>0</v>
      </c>
      <c r="R323">
        <v>2200</v>
      </c>
      <c r="S323">
        <v>0</v>
      </c>
      <c r="T323">
        <v>700</v>
      </c>
      <c r="U323">
        <v>0</v>
      </c>
      <c r="V323" t="str">
        <v/>
      </c>
      <c r="W323" t="str">
        <v>0</v>
      </c>
      <c r="X323" t="str">
        <v/>
      </c>
      <c r="Y323" s="31">
        <v>45712</v>
      </c>
      <c r="Z323" t="str">
        <v/>
      </c>
      <c r="AA323" t="str">
        <v>技術・人文知識・国際業務</v>
      </c>
      <c r="AB323" t="str">
        <v>663-8222</v>
      </c>
      <c r="AC323" t="str">
        <v>兵庫県西宮市今津久寿川町6-7</v>
      </c>
      <c r="AD323" t="str">
        <v>久寿川岡田ﾏﾝｼｮﾝ402</v>
      </c>
      <c r="AE323" s="31">
        <v>44661</v>
      </c>
      <c r="AF323" s="31">
        <v>44645</v>
      </c>
      <c r="AG323" s="31">
        <v>44854</v>
      </c>
      <c r="AH323" s="31">
        <v>0</v>
      </c>
      <c r="AI323">
        <v>44713</v>
      </c>
      <c r="AJ323">
        <v>44669</v>
      </c>
      <c r="AK323">
        <v>0</v>
      </c>
      <c r="AL323">
        <v>44645</v>
      </c>
      <c r="AM323">
        <v>0</v>
      </c>
      <c r="AN323">
        <v>0</v>
      </c>
      <c r="AO323">
        <v>0</v>
      </c>
      <c r="AP323">
        <v>0</v>
      </c>
      <c r="AQ323">
        <v>0</v>
      </c>
      <c r="AR323">
        <v>0</v>
      </c>
    </row>
    <row r="324" spans="1:44">
      <c r="A324" t="str">
        <f>H324&amp;COUNTIF($H$2:H324,H324)</f>
        <v>内輪3</v>
      </c>
      <c r="B324" t="str">
        <f>F324&amp;COUNTIF($F$2:F324,F324)</f>
        <v>高雄工業 静岡33</v>
      </c>
      <c r="C324" t="str">
        <v>退社</v>
      </c>
      <c r="D324">
        <v>220324</v>
      </c>
      <c r="E324">
        <v>242042</v>
      </c>
      <c r="F324" t="str">
        <v>高雄工業 静岡</v>
      </c>
      <c r="G324" t="str">
        <v>高雄工業株式会社 静岡事業所第二工場製作課</v>
      </c>
      <c r="H324" t="str">
        <v>内輪</v>
      </c>
      <c r="I324" t="str">
        <v>産業機械部品の研磨加工、NCプログラム修正</v>
      </c>
      <c r="J324" t="str">
        <v>CHU TRONG AN</v>
      </c>
      <c r="K324" t="str">
        <v>チュ　チョン　アン</v>
      </c>
      <c r="L324" t="str">
        <v>男</v>
      </c>
      <c r="M324" t="str">
        <v>ﾍﾞﾄﾅﾑ</v>
      </c>
      <c r="N324" s="31">
        <v>35332</v>
      </c>
      <c r="O324">
        <v>29</v>
      </c>
      <c r="P324">
        <v>1400</v>
      </c>
      <c r="Q324">
        <v>0</v>
      </c>
      <c r="R324">
        <v>1760</v>
      </c>
      <c r="S324">
        <v>0</v>
      </c>
      <c r="T324">
        <v>360</v>
      </c>
      <c r="U324">
        <v>280000</v>
      </c>
      <c r="V324">
        <v>14042</v>
      </c>
      <c r="W324" t="str">
        <v>0</v>
      </c>
      <c r="X324">
        <v>25620</v>
      </c>
      <c r="Y324" s="31">
        <v>45587</v>
      </c>
      <c r="Z324" t="str">
        <v/>
      </c>
      <c r="AA324" t="str">
        <v>技術・人文知識・国際業務</v>
      </c>
      <c r="AB324" t="str">
        <v>437-0015</v>
      </c>
      <c r="AC324" t="str">
        <v>静岡県袋井市旭町2-7-5</v>
      </c>
      <c r="AD324" t="str">
        <v>ﾌｨﾌﾃｨⅠ101</v>
      </c>
      <c r="AE324" s="31">
        <v>44681</v>
      </c>
      <c r="AF324" s="31">
        <v>44649</v>
      </c>
      <c r="AG324" s="31">
        <v>45285</v>
      </c>
      <c r="AH324" s="31">
        <v>0</v>
      </c>
      <c r="AI324" t="str">
        <v>22.06.01</v>
      </c>
      <c r="AJ324">
        <v>44671</v>
      </c>
      <c r="AK324" t="str">
        <v>新日本ホイール 2022/4/29退社　5/10より高雄静岡へ配属</v>
      </c>
      <c r="AL324">
        <v>44649</v>
      </c>
      <c r="AM324">
        <v>0</v>
      </c>
      <c r="AN324">
        <v>0</v>
      </c>
      <c r="AO324">
        <v>0</v>
      </c>
      <c r="AP324">
        <v>0</v>
      </c>
      <c r="AQ324">
        <v>0</v>
      </c>
      <c r="AR324">
        <v>0</v>
      </c>
    </row>
    <row r="325" spans="1:44">
      <c r="A325" t="str">
        <f>H325&amp;COUNTIF($H$2:H325,H325)</f>
        <v>1次旋係8</v>
      </c>
      <c r="B325" t="str">
        <f>F325&amp;COUNTIF($F$2:F325,F325)</f>
        <v>高雄工業 岡山51</v>
      </c>
      <c r="C325" t="str">
        <v>退社</v>
      </c>
      <c r="D325">
        <v>220325</v>
      </c>
      <c r="E325">
        <v>232052</v>
      </c>
      <c r="F325" t="str">
        <v>高雄工業 岡山</v>
      </c>
      <c r="G325" t="str">
        <v>高雄工業株式会社 岡山事業所HUB工場製作1課</v>
      </c>
      <c r="H325" t="str">
        <v>1次旋係</v>
      </c>
      <c r="I325" t="str">
        <v>ハブ加工 自動機の操作、ＮＣプログラム修正</v>
      </c>
      <c r="J325" t="str">
        <v>LE THANH LUAN</v>
      </c>
      <c r="K325" t="str">
        <v>レ　タイン　ルアン</v>
      </c>
      <c r="L325" t="str">
        <v>男</v>
      </c>
      <c r="M325" t="str">
        <v>ﾍﾞﾄﾅﾑ</v>
      </c>
      <c r="N325" s="31">
        <v>32632</v>
      </c>
      <c r="O325">
        <v>36</v>
      </c>
      <c r="P325">
        <v>1410</v>
      </c>
      <c r="Q325">
        <v>0</v>
      </c>
      <c r="R325">
        <v>1820</v>
      </c>
      <c r="S325">
        <v>0</v>
      </c>
      <c r="T325">
        <v>410</v>
      </c>
      <c r="U325">
        <v>260000</v>
      </c>
      <c r="V325">
        <v>13039</v>
      </c>
      <c r="W325" t="str">
        <v>0</v>
      </c>
      <c r="X325">
        <v>23790</v>
      </c>
      <c r="Y325" s="31">
        <v>46464</v>
      </c>
      <c r="Z325" t="str">
        <v/>
      </c>
      <c r="AA325" t="str">
        <v>技術・人文知識・国際業務</v>
      </c>
      <c r="AB325" t="str">
        <v>709-2134</v>
      </c>
      <c r="AC325" t="str">
        <v>岡山県岡山市北区御津下田77番地3</v>
      </c>
      <c r="AD325" t="str">
        <v>ﾋﾞﾚｯｼﾞﾊｳｽ1-307</v>
      </c>
      <c r="AE325" s="31" t="str">
        <v>個人</v>
      </c>
      <c r="AF325" s="31">
        <v>44649</v>
      </c>
      <c r="AG325" s="31">
        <v>45727</v>
      </c>
      <c r="AH325" s="31">
        <v>0</v>
      </c>
      <c r="AI325" t="str">
        <v>22.04.01</v>
      </c>
      <c r="AJ325" t="str">
        <v>3/28再連絡</v>
      </c>
      <c r="AK325">
        <v>0</v>
      </c>
      <c r="AL325">
        <v>44649</v>
      </c>
      <c r="AM325">
        <v>0</v>
      </c>
      <c r="AN325">
        <v>0</v>
      </c>
      <c r="AO325">
        <v>0</v>
      </c>
      <c r="AP325">
        <v>0</v>
      </c>
      <c r="AQ325">
        <v>0</v>
      </c>
      <c r="AR325">
        <v>0</v>
      </c>
    </row>
    <row r="326" spans="1:44">
      <c r="A326" t="str">
        <f>H326&amp;COUNTIF($H$2:H326,H326)</f>
        <v>0170</v>
      </c>
      <c r="B326" t="str">
        <f>F326&amp;COUNTIF($F$2:F326,F326)</f>
        <v>ﾌｪﾆﾃｯｸｾﾐｺﾝﾀﾞｸﾀｰ 鹿児島12</v>
      </c>
      <c r="C326" t="str">
        <v>退社</v>
      </c>
      <c r="D326">
        <v>220326</v>
      </c>
      <c r="E326">
        <v>0</v>
      </c>
      <c r="F326" t="str">
        <v>ﾌｪﾆﾃｯｸｾﾐｺﾝﾀﾞｸﾀｰ 鹿児島</v>
      </c>
      <c r="G326" t="str">
        <v>鹿児島工場　製造部　製造課</v>
      </c>
      <c r="H326">
        <v>0</v>
      </c>
      <c r="I326">
        <v>0</v>
      </c>
      <c r="J326" t="str">
        <v>NGUYEN MINH VUONG</v>
      </c>
      <c r="K326" t="str">
        <v>グエン　ミン　ヴオン</v>
      </c>
      <c r="L326" t="str">
        <v>男</v>
      </c>
      <c r="M326" t="str">
        <v>ﾍﾞﾄﾅﾑ</v>
      </c>
      <c r="N326" s="31">
        <v>34602</v>
      </c>
      <c r="O326">
        <v>31</v>
      </c>
      <c r="P326">
        <v>1400</v>
      </c>
      <c r="Q326">
        <v>0</v>
      </c>
      <c r="R326">
        <v>2000</v>
      </c>
      <c r="S326" t="str">
        <v>2022/7/1~ 1900円⇒2000円</v>
      </c>
      <c r="T326">
        <v>600</v>
      </c>
      <c r="U326">
        <v>260000</v>
      </c>
      <c r="V326">
        <v>13039</v>
      </c>
      <c r="W326" t="str">
        <v>0</v>
      </c>
      <c r="X326">
        <v>23790</v>
      </c>
      <c r="Y326" s="31">
        <v>45325</v>
      </c>
      <c r="Z326" t="str">
        <v/>
      </c>
      <c r="AA326" t="str">
        <v>技術・人文知識・国際業務</v>
      </c>
      <c r="AB326" t="str">
        <v>899-6200</v>
      </c>
      <c r="AC326" t="str">
        <v>鹿児島県姶良郡湧水町木場1214番地1</v>
      </c>
      <c r="AD326" t="str">
        <v>尾鉢第3住宅2号棟</v>
      </c>
      <c r="AE326" s="31">
        <v>44649</v>
      </c>
      <c r="AF326" s="31">
        <v>44650</v>
      </c>
      <c r="AG326" s="31">
        <v>45247</v>
      </c>
      <c r="AH326" s="31">
        <v>0</v>
      </c>
      <c r="AI326" t="str">
        <v>22.03.30</v>
      </c>
      <c r="AJ326">
        <v>44671</v>
      </c>
      <c r="AK326">
        <v>0</v>
      </c>
      <c r="AL326">
        <v>44650</v>
      </c>
      <c r="AM326">
        <v>0</v>
      </c>
      <c r="AN326">
        <v>0</v>
      </c>
      <c r="AO326">
        <v>0</v>
      </c>
      <c r="AP326">
        <v>0</v>
      </c>
      <c r="AQ326">
        <v>0</v>
      </c>
      <c r="AR326">
        <v>0</v>
      </c>
    </row>
    <row r="327" spans="1:44">
      <c r="A327" t="str">
        <f>H327&amp;COUNTIF($H$2:H327,H327)</f>
        <v>一次旋係15</v>
      </c>
      <c r="B327" t="str">
        <f>F327&amp;COUNTIF($F$2:F327,F327)</f>
        <v>高雄工業 岡山52</v>
      </c>
      <c r="C327" t="str">
        <v>退社</v>
      </c>
      <c r="D327">
        <v>220327</v>
      </c>
      <c r="E327">
        <v>232053</v>
      </c>
      <c r="F327" t="str">
        <v>高雄工業 岡山</v>
      </c>
      <c r="G327" t="str">
        <v>高雄工業株式会社 岡山事業所HUB工場製作1課</v>
      </c>
      <c r="H327" t="str">
        <v>一次旋係</v>
      </c>
      <c r="I327">
        <v>0</v>
      </c>
      <c r="J327" t="str">
        <v>LE MINH QUANG</v>
      </c>
      <c r="K327" t="str">
        <v>レー　ミン　クアン</v>
      </c>
      <c r="L327" t="str">
        <v>男</v>
      </c>
      <c r="M327" t="str">
        <v>ﾍﾞﾄﾅﾑ</v>
      </c>
      <c r="N327" s="31">
        <v>34277</v>
      </c>
      <c r="O327">
        <v>32</v>
      </c>
      <c r="P327">
        <v>1350</v>
      </c>
      <c r="Q327">
        <v>0</v>
      </c>
      <c r="R327">
        <v>1750</v>
      </c>
      <c r="S327">
        <v>0</v>
      </c>
      <c r="T327">
        <v>400</v>
      </c>
      <c r="U327">
        <v>0</v>
      </c>
      <c r="V327" t="str">
        <v/>
      </c>
      <c r="W327" t="str">
        <v>0</v>
      </c>
      <c r="X327" t="str">
        <v/>
      </c>
      <c r="Y327" s="31">
        <v>44940</v>
      </c>
      <c r="Z327" t="str">
        <v/>
      </c>
      <c r="AA327" t="str">
        <v>技術・人文知識・国際業務</v>
      </c>
      <c r="AB327" t="str">
        <v>709-2107</v>
      </c>
      <c r="AC327" t="str">
        <v>岡山県岡山市北区御津矢原297-1</v>
      </c>
      <c r="AD327" t="str">
        <v>成広矢原ｺｰﾎﾟⅤ205</v>
      </c>
      <c r="AE327" s="31">
        <v>44647</v>
      </c>
      <c r="AF327" s="31">
        <v>44651</v>
      </c>
      <c r="AG327" s="31">
        <v>44831</v>
      </c>
      <c r="AH327" s="31">
        <v>44849</v>
      </c>
      <c r="AI327" t="str">
        <v>22.06.01</v>
      </c>
      <c r="AJ327">
        <v>44671</v>
      </c>
      <c r="AK327">
        <v>0</v>
      </c>
      <c r="AL327">
        <v>44651</v>
      </c>
      <c r="AM327">
        <v>0</v>
      </c>
      <c r="AN327">
        <v>0</v>
      </c>
      <c r="AO327">
        <v>0</v>
      </c>
      <c r="AP327">
        <v>0</v>
      </c>
      <c r="AQ327">
        <v>0</v>
      </c>
      <c r="AR327">
        <v>0</v>
      </c>
    </row>
    <row r="328" spans="1:44">
      <c r="A328" t="str">
        <f>H328&amp;COUNTIF($H$2:H328,H328)</f>
        <v>業務係CVJ1</v>
      </c>
      <c r="B328" t="str">
        <f>F328&amp;COUNTIF($F$2:F328,F328)</f>
        <v>高雄工業 岡山53</v>
      </c>
      <c r="C328" t="str">
        <v>退社</v>
      </c>
      <c r="D328">
        <v>220401</v>
      </c>
      <c r="E328">
        <v>232054</v>
      </c>
      <c r="F328" t="str">
        <v>高雄工業 岡山</v>
      </c>
      <c r="G328" t="str">
        <v>高雄工業株式会社 岡山事業所業務</v>
      </c>
      <c r="H328" t="str">
        <v>業務係CVJ</v>
      </c>
      <c r="I328">
        <v>0</v>
      </c>
      <c r="J328" t="str">
        <v>NGUYEN THI MAI PHUONG</v>
      </c>
      <c r="K328" t="str">
        <v>グエン　ティ　マイ　フォン</v>
      </c>
      <c r="L328" t="str">
        <v>女</v>
      </c>
      <c r="M328" t="str">
        <v>ﾍﾞﾄﾅﾑ</v>
      </c>
      <c r="N328" s="31">
        <v>35437</v>
      </c>
      <c r="O328">
        <v>28</v>
      </c>
      <c r="P328">
        <v>1250</v>
      </c>
      <c r="Q328">
        <v>0</v>
      </c>
      <c r="R328">
        <v>1660</v>
      </c>
      <c r="S328">
        <v>0</v>
      </c>
      <c r="T328">
        <v>410</v>
      </c>
      <c r="U328">
        <v>180000</v>
      </c>
      <c r="V328">
        <v>9027</v>
      </c>
      <c r="W328" t="str">
        <v>0</v>
      </c>
      <c r="X328">
        <v>16470</v>
      </c>
      <c r="Y328" s="31">
        <v>45098</v>
      </c>
      <c r="Z328" t="str">
        <v/>
      </c>
      <c r="AA328" t="str">
        <v>技術・人文知識・国際業務</v>
      </c>
      <c r="AB328" t="str">
        <v>709-2107</v>
      </c>
      <c r="AC328" t="str">
        <v>岡山県岡山市北区御津金川373番地1</v>
      </c>
      <c r="AD328" t="str">
        <v>ﾆｭｰｴﾙﾃﾞｨﾑ小西A202</v>
      </c>
      <c r="AE328" s="31">
        <v>44963</v>
      </c>
      <c r="AF328" s="31">
        <v>44655</v>
      </c>
      <c r="AG328" s="31">
        <v>45040</v>
      </c>
      <c r="AH328" s="31">
        <v>0</v>
      </c>
      <c r="AI328" t="str">
        <v>22.06.01</v>
      </c>
      <c r="AJ328">
        <v>44671</v>
      </c>
      <c r="AK328">
        <v>0</v>
      </c>
      <c r="AL328">
        <v>44655</v>
      </c>
      <c r="AM328">
        <v>0</v>
      </c>
      <c r="AN328">
        <v>0</v>
      </c>
      <c r="AO328">
        <v>0</v>
      </c>
      <c r="AP328">
        <v>0</v>
      </c>
      <c r="AQ328">
        <v>0</v>
      </c>
      <c r="AR328">
        <v>0</v>
      </c>
    </row>
    <row r="329" spans="1:44">
      <c r="A329" t="str">
        <f>H329&amp;COUNTIF($H$2:H329,H329)</f>
        <v>0171</v>
      </c>
      <c r="B329" t="str">
        <f>F329&amp;COUNTIF($F$2:F329,F329)</f>
        <v>新日本ﾎｲｰﾙ工業1</v>
      </c>
      <c r="C329" t="str">
        <v>退社</v>
      </c>
      <c r="D329">
        <v>220402</v>
      </c>
      <c r="E329">
        <v>0</v>
      </c>
      <c r="F329" t="str">
        <v>新日本ﾎｲｰﾙ工業</v>
      </c>
      <c r="G329">
        <v>0</v>
      </c>
      <c r="H329">
        <v>0</v>
      </c>
      <c r="I329">
        <v>0</v>
      </c>
      <c r="J329" t="str">
        <v>LE VAN TUAN PHONG</v>
      </c>
      <c r="K329" t="str">
        <v>レ　ヴァン　トゥアン　フォン</v>
      </c>
      <c r="L329" t="str">
        <v>男</v>
      </c>
      <c r="M329" t="str">
        <v>ﾍﾞﾄﾅﾑ</v>
      </c>
      <c r="N329" s="31">
        <v>31531</v>
      </c>
      <c r="O329">
        <v>39</v>
      </c>
      <c r="P329">
        <v>1400</v>
      </c>
      <c r="Q329">
        <v>0</v>
      </c>
      <c r="R329">
        <v>1800</v>
      </c>
      <c r="S329">
        <v>0</v>
      </c>
      <c r="T329">
        <v>400</v>
      </c>
      <c r="U329">
        <v>180000</v>
      </c>
      <c r="V329">
        <v>9027</v>
      </c>
      <c r="W329" t="str">
        <v>0</v>
      </c>
      <c r="X329">
        <v>16470</v>
      </c>
      <c r="Y329" s="31">
        <v>45273</v>
      </c>
      <c r="Z329" t="str">
        <v/>
      </c>
      <c r="AA329" t="str">
        <v>技術・人文知識・国際業務</v>
      </c>
      <c r="AB329" t="str">
        <v>433-8111</v>
      </c>
      <c r="AC329" t="str">
        <v>静岡県浜松市中区葵西6丁目22-12</v>
      </c>
      <c r="AD329" t="str">
        <v>県営葵団地2-207</v>
      </c>
      <c r="AE329" s="31" t="str">
        <v>個人</v>
      </c>
      <c r="AF329" s="31">
        <v>44655</v>
      </c>
      <c r="AG329" s="31">
        <v>45105</v>
      </c>
      <c r="AH329" s="31">
        <v>0</v>
      </c>
      <c r="AI329" t="str">
        <v>22.05.01</v>
      </c>
      <c r="AJ329">
        <v>44671</v>
      </c>
      <c r="AK329">
        <v>0</v>
      </c>
      <c r="AL329">
        <v>44655</v>
      </c>
      <c r="AM329">
        <v>0</v>
      </c>
      <c r="AN329">
        <v>0</v>
      </c>
      <c r="AO329">
        <v>0</v>
      </c>
      <c r="AP329">
        <v>0</v>
      </c>
      <c r="AQ329">
        <v>0</v>
      </c>
      <c r="AR329">
        <v>0</v>
      </c>
    </row>
    <row r="330" spans="1:44">
      <c r="A330" t="str">
        <f>H330&amp;COUNTIF($H$2:H330,H330)</f>
        <v>トラニオン1</v>
      </c>
      <c r="B330" t="str">
        <f>F330&amp;COUNTIF($F$2:F330,F330)</f>
        <v>高雄工業 静岡34</v>
      </c>
      <c r="C330" t="str">
        <v>退社</v>
      </c>
      <c r="D330">
        <v>220403</v>
      </c>
      <c r="E330">
        <v>242038</v>
      </c>
      <c r="F330" t="str">
        <v>高雄工業 静岡</v>
      </c>
      <c r="G330" t="str">
        <v>高雄工業株式会社 静岡事業所第二工場製作課</v>
      </c>
      <c r="H330" t="str">
        <v>トラニオン</v>
      </c>
      <c r="I330" t="str">
        <v>産業機械部品の研磨加工、NCプログラム修正</v>
      </c>
      <c r="J330" t="str">
        <v>TRAN NGOC SON</v>
      </c>
      <c r="K330" t="str">
        <v>チャン　ゴック　ソン</v>
      </c>
      <c r="L330" t="str">
        <v>男</v>
      </c>
      <c r="M330" t="str">
        <v>ﾍﾞﾄﾅﾑ</v>
      </c>
      <c r="N330" s="31">
        <v>34748</v>
      </c>
      <c r="O330">
        <v>30</v>
      </c>
      <c r="P330">
        <v>1420</v>
      </c>
      <c r="Q330">
        <v>0</v>
      </c>
      <c r="R330">
        <v>1820</v>
      </c>
      <c r="S330">
        <v>0</v>
      </c>
      <c r="T330">
        <v>400</v>
      </c>
      <c r="U330">
        <v>300000</v>
      </c>
      <c r="V330">
        <v>15045</v>
      </c>
      <c r="W330" t="str">
        <v>0</v>
      </c>
      <c r="X330">
        <v>27450</v>
      </c>
      <c r="Y330" s="31">
        <v>46723</v>
      </c>
      <c r="Z330" t="str">
        <v/>
      </c>
      <c r="AA330" t="str">
        <v>技術・人文知識・国際業務</v>
      </c>
      <c r="AB330" t="str">
        <v>437-0065</v>
      </c>
      <c r="AC330" t="str">
        <v>静岡県袋井市堀越3丁目19-2</v>
      </c>
      <c r="AD330" t="str">
        <v>ｴｸｾｰﾗ305号室</v>
      </c>
      <c r="AE330" s="31" t="str">
        <v>個人</v>
      </c>
      <c r="AF330" s="31">
        <v>44658</v>
      </c>
      <c r="AG330" s="31">
        <v>45762</v>
      </c>
      <c r="AH330" s="31">
        <v>0</v>
      </c>
      <c r="AI330" t="str">
        <v>22.04.01</v>
      </c>
      <c r="AJ330">
        <v>44671</v>
      </c>
      <c r="AK330">
        <v>0</v>
      </c>
      <c r="AL330">
        <v>44658</v>
      </c>
      <c r="AM330">
        <v>0</v>
      </c>
      <c r="AN330">
        <v>0</v>
      </c>
      <c r="AO330">
        <v>0</v>
      </c>
      <c r="AP330">
        <v>0</v>
      </c>
      <c r="AQ330" t="str">
        <v>JLPT-N3</v>
      </c>
      <c r="AR330">
        <v>0</v>
      </c>
    </row>
    <row r="331" spans="1:44">
      <c r="A331" t="str">
        <f>H331&amp;COUNTIF($H$2:H331,H331)</f>
        <v>1次旋係9</v>
      </c>
      <c r="B331" t="str">
        <f>F331&amp;COUNTIF($F$2:F331,F331)</f>
        <v>高雄工業 岡山54</v>
      </c>
      <c r="C331" t="str">
        <v>在職中</v>
      </c>
      <c r="D331">
        <v>220406</v>
      </c>
      <c r="E331">
        <v>232055</v>
      </c>
      <c r="F331" t="str">
        <v>高雄工業 岡山</v>
      </c>
      <c r="G331" t="str">
        <v>高雄工業株式会社 岡山事業所HUB工場製作1課</v>
      </c>
      <c r="H331" t="str">
        <v>1次旋係</v>
      </c>
      <c r="I331" t="str">
        <v>ハブ加工 自動機の操作、ＮＣプログラム修正</v>
      </c>
      <c r="J331" t="str">
        <v>IPAL FEBRI NARTA</v>
      </c>
      <c r="K331" t="str">
        <v>イパール　フェブリ　ナルタ</v>
      </c>
      <c r="L331" t="str">
        <v>男</v>
      </c>
      <c r="M331" t="str">
        <v>ｲﾝﾄﾞﾈｼｱ</v>
      </c>
      <c r="N331" s="31">
        <v>32908</v>
      </c>
      <c r="O331">
        <v>35</v>
      </c>
      <c r="P331">
        <v>1410</v>
      </c>
      <c r="Q331">
        <v>0</v>
      </c>
      <c r="R331">
        <v>1850</v>
      </c>
      <c r="S331">
        <v>0</v>
      </c>
      <c r="T331">
        <v>440</v>
      </c>
      <c r="U331">
        <v>300000</v>
      </c>
      <c r="V331">
        <v>15045</v>
      </c>
      <c r="W331" t="str">
        <v>0</v>
      </c>
      <c r="X331">
        <v>27450</v>
      </c>
      <c r="Y331" s="31">
        <v>46017</v>
      </c>
      <c r="Z331">
        <v>22</v>
      </c>
      <c r="AA331" t="str">
        <v>技術・人文知識・国際業務</v>
      </c>
      <c r="AB331" t="str">
        <v>709-2107</v>
      </c>
      <c r="AC331" t="str">
        <v>岡山県岡山市北区御津矢原297-1</v>
      </c>
      <c r="AD331" t="str">
        <v>成広矢原ｺｰﾎﾟⅤ202</v>
      </c>
      <c r="AE331" s="31">
        <v>44656</v>
      </c>
      <c r="AF331" s="31">
        <v>44659</v>
      </c>
      <c r="AG331" s="31">
        <v>46017</v>
      </c>
      <c r="AH331" s="31">
        <v>0</v>
      </c>
      <c r="AI331" t="str">
        <v>22.06.01</v>
      </c>
      <c r="AJ331">
        <v>44679</v>
      </c>
      <c r="AK331">
        <v>0</v>
      </c>
      <c r="AL331">
        <v>44659</v>
      </c>
      <c r="AM331">
        <v>0</v>
      </c>
      <c r="AN331">
        <v>0</v>
      </c>
      <c r="AO331">
        <v>0</v>
      </c>
      <c r="AP331">
        <v>0</v>
      </c>
      <c r="AQ331">
        <v>0</v>
      </c>
      <c r="AR331">
        <v>0</v>
      </c>
    </row>
    <row r="332" spans="1:44">
      <c r="A332" t="str">
        <f>H332&amp;COUNTIF($H$2:H332,H332)</f>
        <v>0172</v>
      </c>
      <c r="B332" t="str">
        <f>F332&amp;COUNTIF($F$2:F332,F332)</f>
        <v>高雄工業 海南第一29</v>
      </c>
      <c r="C332" t="str">
        <v>退社</v>
      </c>
      <c r="D332">
        <v>220404</v>
      </c>
      <c r="E332">
        <v>0</v>
      </c>
      <c r="F332" t="str">
        <v>高雄工業 海南第一</v>
      </c>
      <c r="G332" t="str">
        <v>006210 高雄工業株式会社 海南第一工場製作1課</v>
      </c>
      <c r="H332">
        <v>0</v>
      </c>
      <c r="I332">
        <v>0</v>
      </c>
      <c r="J332" t="str">
        <v>MATSUDA SERGIO YUKIO</v>
      </c>
      <c r="K332" t="str">
        <v>マツダ　セルジオ　ユキオ</v>
      </c>
      <c r="L332" t="str">
        <v>男</v>
      </c>
      <c r="M332" t="str">
        <v>ﾌﾞﾗｼﾞﾙ</v>
      </c>
      <c r="N332" s="31">
        <v>22349</v>
      </c>
      <c r="O332">
        <v>64</v>
      </c>
      <c r="P332">
        <v>1400</v>
      </c>
      <c r="Q332">
        <v>0</v>
      </c>
      <c r="R332">
        <v>1750</v>
      </c>
      <c r="S332">
        <v>0</v>
      </c>
      <c r="T332">
        <v>350</v>
      </c>
      <c r="U332">
        <v>0</v>
      </c>
      <c r="V332" t="str">
        <v/>
      </c>
      <c r="W332" t="str">
        <v>0</v>
      </c>
      <c r="X332" t="str">
        <v/>
      </c>
      <c r="Y332" s="31">
        <v>43616</v>
      </c>
      <c r="Z332" t="str">
        <v/>
      </c>
      <c r="AA332" t="str">
        <v>技術・人文知識・国際業務</v>
      </c>
      <c r="AB332" t="str">
        <v>522-0222</v>
      </c>
      <c r="AC332" t="str">
        <v>滋賀県彦根市南川瀬町1542-1</v>
      </c>
      <c r="AD332" t="str">
        <v>ﾚｵﾊﾟﾚｽTSおおつか115号</v>
      </c>
      <c r="AE332" s="31">
        <v>44658</v>
      </c>
      <c r="AF332" s="31">
        <v>44659</v>
      </c>
      <c r="AG332" s="31">
        <v>44715</v>
      </c>
      <c r="AH332" s="31">
        <v>0</v>
      </c>
      <c r="AI332">
        <v>44713</v>
      </c>
      <c r="AJ332">
        <v>44669</v>
      </c>
      <c r="AK332" t="str">
        <v>以前の住所498-0802三重県桑名郡木曾岬町見入辰高786-3ﾀﾂﾀﾞｶﾊｲﾂA102</v>
      </c>
      <c r="AL332">
        <v>44659</v>
      </c>
      <c r="AM332">
        <v>0</v>
      </c>
      <c r="AN332">
        <v>0</v>
      </c>
      <c r="AO332">
        <v>0</v>
      </c>
      <c r="AP332">
        <v>0</v>
      </c>
      <c r="AQ332">
        <v>0</v>
      </c>
      <c r="AR332">
        <v>0</v>
      </c>
    </row>
    <row r="333" spans="1:44">
      <c r="A333" t="str">
        <f>H333&amp;COUNTIF($H$2:H333,H333)</f>
        <v>0173</v>
      </c>
      <c r="B333" t="str">
        <f>F333&amp;COUNTIF($F$2:F333,F333)</f>
        <v>高雄工業 岡山55</v>
      </c>
      <c r="C333" t="str">
        <v>退社</v>
      </c>
      <c r="D333">
        <v>220405</v>
      </c>
      <c r="E333">
        <v>0</v>
      </c>
      <c r="F333" t="str">
        <v>高雄工業 岡山</v>
      </c>
      <c r="G333">
        <v>0</v>
      </c>
      <c r="H333">
        <v>0</v>
      </c>
      <c r="I333">
        <v>0</v>
      </c>
      <c r="J333" t="str">
        <v>VU THANH HOANG</v>
      </c>
      <c r="K333" t="str">
        <v>ヴー　タン　ホアン</v>
      </c>
      <c r="L333" t="str">
        <v>男</v>
      </c>
      <c r="M333" t="str">
        <v>ﾍﾞﾄﾅﾑ</v>
      </c>
      <c r="N333" s="31">
        <v>35762</v>
      </c>
      <c r="O333">
        <v>28</v>
      </c>
      <c r="P333">
        <v>1350</v>
      </c>
      <c r="Q333">
        <v>0</v>
      </c>
      <c r="R333">
        <v>1750</v>
      </c>
      <c r="S333">
        <v>0</v>
      </c>
      <c r="T333">
        <v>400</v>
      </c>
      <c r="U333">
        <v>0</v>
      </c>
      <c r="V333" t="str">
        <v/>
      </c>
      <c r="W333" t="str">
        <v>0</v>
      </c>
      <c r="X333" t="str">
        <v/>
      </c>
      <c r="Y333" s="31">
        <v>44911</v>
      </c>
      <c r="Z333" t="str">
        <v/>
      </c>
      <c r="AA333" t="str">
        <v>技術・人文知識・国際業務</v>
      </c>
      <c r="AB333" t="str">
        <v>709-2107</v>
      </c>
      <c r="AC333" t="str">
        <v>岡山県岡山市北区御津矢原311</v>
      </c>
      <c r="AD333" t="str">
        <v>中須賀ｺｰﾎﾟⅢ206</v>
      </c>
      <c r="AE333" s="31">
        <v>44652</v>
      </c>
      <c r="AF333" s="31">
        <v>44659</v>
      </c>
      <c r="AG333" s="31">
        <v>44680</v>
      </c>
      <c r="AH333" s="31">
        <v>0</v>
      </c>
      <c r="AI333">
        <v>0</v>
      </c>
      <c r="AJ333">
        <v>44678</v>
      </c>
      <c r="AK333">
        <v>0</v>
      </c>
      <c r="AL333">
        <v>44659</v>
      </c>
      <c r="AM333">
        <v>0</v>
      </c>
      <c r="AN333">
        <v>0</v>
      </c>
      <c r="AO333">
        <v>0</v>
      </c>
      <c r="AP333">
        <v>0</v>
      </c>
      <c r="AQ333">
        <v>0</v>
      </c>
      <c r="AR333">
        <v>0</v>
      </c>
    </row>
    <row r="334" spans="1:44">
      <c r="A334" t="str">
        <f>H334&amp;COUNTIF($H$2:H334,H334)</f>
        <v>0174</v>
      </c>
      <c r="B334" t="str">
        <f>F334&amp;COUNTIF($F$2:F334,F334)</f>
        <v>PATEC11</v>
      </c>
      <c r="C334" t="str">
        <v>退社</v>
      </c>
      <c r="D334">
        <v>220407</v>
      </c>
      <c r="E334">
        <v>0</v>
      </c>
      <c r="F334" t="str">
        <v>PATEC</v>
      </c>
      <c r="G334" t="str">
        <v>製造部素材課</v>
      </c>
      <c r="H334">
        <v>0</v>
      </c>
      <c r="I334">
        <v>0</v>
      </c>
      <c r="J334" t="str">
        <v>MAI VAN TRI</v>
      </c>
      <c r="K334" t="str">
        <v>マイ　ヴァン　チー</v>
      </c>
      <c r="L334" t="str">
        <v>男</v>
      </c>
      <c r="M334" t="str">
        <v>ﾍﾞﾄﾅﾑ</v>
      </c>
      <c r="N334" s="31">
        <v>32210</v>
      </c>
      <c r="O334">
        <v>37</v>
      </c>
      <c r="P334">
        <v>1600</v>
      </c>
      <c r="Q334" t="str">
        <v>10/21～\1500⇒1600</v>
      </c>
      <c r="R334">
        <v>2100</v>
      </c>
      <c r="S334">
        <v>0</v>
      </c>
      <c r="T334">
        <v>500</v>
      </c>
      <c r="U334">
        <v>410000</v>
      </c>
      <c r="V334">
        <v>20561</v>
      </c>
      <c r="W334" t="str">
        <v>0</v>
      </c>
      <c r="X334">
        <v>37515</v>
      </c>
      <c r="Y334" s="31">
        <v>46324</v>
      </c>
      <c r="Z334" t="str">
        <v/>
      </c>
      <c r="AA334" t="str">
        <v>技術・人文知識・国際業務</v>
      </c>
      <c r="AB334" t="str">
        <v>747-0834</v>
      </c>
      <c r="AC334" t="str">
        <v>山口県防府市大字浜方716-15</v>
      </c>
      <c r="AD334" t="str">
        <v>ｱﾙｿｰﾚD202</v>
      </c>
      <c r="AE334" s="31">
        <v>44662</v>
      </c>
      <c r="AF334" s="31">
        <v>44663</v>
      </c>
      <c r="AG334" s="31">
        <v>45321</v>
      </c>
      <c r="AH334" s="31">
        <v>0</v>
      </c>
      <c r="AI334" t="str">
        <v>22.05.01</v>
      </c>
      <c r="AJ334">
        <v>44672</v>
      </c>
      <c r="AK334">
        <v>0</v>
      </c>
      <c r="AL334">
        <v>44663</v>
      </c>
      <c r="AM334">
        <v>0</v>
      </c>
      <c r="AN334">
        <v>0</v>
      </c>
      <c r="AO334">
        <v>0</v>
      </c>
      <c r="AP334">
        <v>0</v>
      </c>
      <c r="AQ334">
        <v>0</v>
      </c>
      <c r="AR334">
        <v>0</v>
      </c>
    </row>
    <row r="335" spans="1:44">
      <c r="A335" t="str">
        <f>H335&amp;COUNTIF($H$2:H335,H335)</f>
        <v>0175</v>
      </c>
      <c r="B335" t="str">
        <f>F335&amp;COUNTIF($F$2:F335,F335)</f>
        <v>三幸技研3</v>
      </c>
      <c r="C335" t="str">
        <v>退社</v>
      </c>
      <c r="D335">
        <v>220307</v>
      </c>
      <c r="E335">
        <v>104</v>
      </c>
      <c r="F335" t="str">
        <v>三幸技研</v>
      </c>
      <c r="G335">
        <v>0</v>
      </c>
      <c r="H335">
        <v>0</v>
      </c>
      <c r="I335">
        <v>0</v>
      </c>
      <c r="J335" t="str">
        <v>DANG TRONG HIEU</v>
      </c>
      <c r="K335" t="str">
        <v>ダン　チョン　ヒエウ</v>
      </c>
      <c r="L335" t="str">
        <v>男</v>
      </c>
      <c r="M335" t="str">
        <v>ﾍﾞﾄﾅﾑ</v>
      </c>
      <c r="N335" s="31">
        <v>34917</v>
      </c>
      <c r="O335">
        <v>30</v>
      </c>
      <c r="P335">
        <v>1300</v>
      </c>
      <c r="Q335">
        <v>0</v>
      </c>
      <c r="R335">
        <v>1750</v>
      </c>
      <c r="S335">
        <v>0</v>
      </c>
      <c r="T335">
        <v>450</v>
      </c>
      <c r="U335">
        <v>180000</v>
      </c>
      <c r="V335">
        <v>9027</v>
      </c>
      <c r="W335" t="str">
        <v>0</v>
      </c>
      <c r="X335">
        <v>16470</v>
      </c>
      <c r="Y335" s="31">
        <v>45282</v>
      </c>
      <c r="Z335" t="str">
        <v/>
      </c>
      <c r="AA335" t="str">
        <v>技術・人文知識・国際業務</v>
      </c>
      <c r="AB335" t="str">
        <v>474-0057</v>
      </c>
      <c r="AC335" t="str">
        <v>愛知県大府市共和町2-18-8</v>
      </c>
      <c r="AD335" t="str">
        <v>共和ﾌﾟﾗｻﾞﾋﾞﾙ1号館203</v>
      </c>
      <c r="AE335" s="31">
        <v>44955</v>
      </c>
      <c r="AF335" s="31">
        <v>44664</v>
      </c>
      <c r="AG335" s="31">
        <v>45044</v>
      </c>
      <c r="AH335" s="31">
        <v>45061</v>
      </c>
      <c r="AI335">
        <v>44682</v>
      </c>
      <c r="AJ335" t="str">
        <v>OK</v>
      </c>
      <c r="AK335" t="str">
        <v>3/2~3/30高雄岡山、3/31～4/4岡山請負4/13～三幸技研</v>
      </c>
      <c r="AL335">
        <v>44664</v>
      </c>
      <c r="AM335">
        <v>0</v>
      </c>
      <c r="AN335">
        <v>0</v>
      </c>
      <c r="AO335">
        <v>0</v>
      </c>
      <c r="AP335">
        <v>0</v>
      </c>
      <c r="AQ335">
        <v>0</v>
      </c>
      <c r="AR335">
        <v>0</v>
      </c>
    </row>
    <row r="336" spans="1:44">
      <c r="A336" t="str">
        <f>H336&amp;COUNTIF($H$2:H336,H336)</f>
        <v>0176</v>
      </c>
      <c r="B336" t="str">
        <f>F336&amp;COUNTIF($F$2:F336,F336)</f>
        <v>六甲電子17</v>
      </c>
      <c r="C336" t="str">
        <v>退社</v>
      </c>
      <c r="D336">
        <v>220408</v>
      </c>
      <c r="E336">
        <v>0</v>
      </c>
      <c r="F336" t="str">
        <v>六甲電子</v>
      </c>
      <c r="G336">
        <v>0</v>
      </c>
      <c r="H336">
        <v>0</v>
      </c>
      <c r="I336">
        <v>0</v>
      </c>
      <c r="J336" t="str">
        <v>NGUYEN DINH NGOC</v>
      </c>
      <c r="K336" t="str">
        <v>グエン　デイン　ゴック</v>
      </c>
      <c r="L336" t="str">
        <v>男</v>
      </c>
      <c r="M336" t="str">
        <v>ﾍﾞﾄﾅﾑ</v>
      </c>
      <c r="N336" s="31">
        <v>34783</v>
      </c>
      <c r="O336">
        <v>30</v>
      </c>
      <c r="P336">
        <v>1400</v>
      </c>
      <c r="Q336">
        <v>0</v>
      </c>
      <c r="R336">
        <v>2000</v>
      </c>
      <c r="S336">
        <v>0</v>
      </c>
      <c r="T336">
        <v>600</v>
      </c>
      <c r="U336">
        <v>0</v>
      </c>
      <c r="V336" t="str">
        <v/>
      </c>
      <c r="W336" t="str">
        <v>0</v>
      </c>
      <c r="X336" t="str">
        <v/>
      </c>
      <c r="Y336" s="31">
        <v>46463</v>
      </c>
      <c r="Z336" t="str">
        <v/>
      </c>
      <c r="AA336" t="str">
        <v>技術・人文知識・国際業務</v>
      </c>
      <c r="AB336" t="str">
        <v>651-2112</v>
      </c>
      <c r="AC336" t="str">
        <v>兵庫県神戸市西区大津和2-9-3</v>
      </c>
      <c r="AD336" t="str">
        <v>ｻﾆｰﾊﾟﾚｽ102</v>
      </c>
      <c r="AE336" s="31" t="str">
        <v>個人</v>
      </c>
      <c r="AF336" s="31">
        <v>44664</v>
      </c>
      <c r="AG336" s="31">
        <v>44701</v>
      </c>
      <c r="AH336" s="31">
        <v>0</v>
      </c>
      <c r="AI336" t="str">
        <v>22.06.01</v>
      </c>
      <c r="AJ336">
        <v>44679</v>
      </c>
      <c r="AK336">
        <v>0</v>
      </c>
      <c r="AL336">
        <v>44664</v>
      </c>
      <c r="AM336">
        <v>0</v>
      </c>
      <c r="AN336">
        <v>0</v>
      </c>
      <c r="AO336">
        <v>0</v>
      </c>
      <c r="AP336">
        <v>0</v>
      </c>
      <c r="AQ336">
        <v>0</v>
      </c>
      <c r="AR336">
        <v>0</v>
      </c>
    </row>
    <row r="337" spans="1:44">
      <c r="A337" t="str">
        <f>H337&amp;COUNTIF($H$2:H337,H337)</f>
        <v>0177</v>
      </c>
      <c r="B337" t="str">
        <f>F337&amp;COUNTIF($F$2:F337,F337)</f>
        <v>ワーク 堺4</v>
      </c>
      <c r="C337" t="str">
        <v>退社</v>
      </c>
      <c r="D337">
        <v>220410</v>
      </c>
      <c r="E337">
        <v>0</v>
      </c>
      <c r="F337" t="str">
        <v>ワーク 堺</v>
      </c>
      <c r="G337" t="str">
        <v>堺工場　製造部</v>
      </c>
      <c r="H337">
        <v>0</v>
      </c>
      <c r="I337">
        <v>0</v>
      </c>
      <c r="J337" t="str">
        <v>NGUYEN TRUNG TAN</v>
      </c>
      <c r="K337" t="str">
        <v>グエン　チュン　タン</v>
      </c>
      <c r="L337" t="str">
        <v>男</v>
      </c>
      <c r="M337" t="str">
        <v>ﾍﾞﾄﾅﾑ</v>
      </c>
      <c r="N337" s="31">
        <v>35090</v>
      </c>
      <c r="O337">
        <v>29</v>
      </c>
      <c r="P337">
        <v>1400</v>
      </c>
      <c r="Q337">
        <v>0</v>
      </c>
      <c r="R337">
        <v>1900</v>
      </c>
      <c r="S337">
        <v>0</v>
      </c>
      <c r="T337">
        <v>500</v>
      </c>
      <c r="U337">
        <v>240000</v>
      </c>
      <c r="V337">
        <v>12036</v>
      </c>
      <c r="W337" t="str">
        <v>0</v>
      </c>
      <c r="X337">
        <v>21960</v>
      </c>
      <c r="Y337" s="31">
        <v>45687</v>
      </c>
      <c r="Z337" t="str">
        <v/>
      </c>
      <c r="AA337" t="str">
        <v>技術・人文知識・国際業務</v>
      </c>
      <c r="AB337" t="str">
        <v>559-0013</v>
      </c>
      <c r="AC337" t="str">
        <v>大阪府大阪市住之江区御崎3-3-20</v>
      </c>
      <c r="AD337" t="str">
        <v>岩本ﾏﾝｼｮﾝ402</v>
      </c>
      <c r="AE337" s="31">
        <v>44664</v>
      </c>
      <c r="AF337" s="31">
        <v>44665</v>
      </c>
      <c r="AG337" s="31">
        <v>45428</v>
      </c>
      <c r="AH337" s="31">
        <v>0</v>
      </c>
      <c r="AI337" t="str">
        <v>22.06.01</v>
      </c>
      <c r="AJ337">
        <v>44678</v>
      </c>
      <c r="AK337">
        <v>0</v>
      </c>
      <c r="AL337">
        <v>44665</v>
      </c>
      <c r="AM337">
        <v>0</v>
      </c>
      <c r="AN337">
        <v>0</v>
      </c>
      <c r="AO337">
        <v>0</v>
      </c>
      <c r="AP337">
        <v>0</v>
      </c>
      <c r="AQ337">
        <v>0</v>
      </c>
      <c r="AR337">
        <v>0</v>
      </c>
    </row>
    <row r="338" spans="1:44">
      <c r="A338" t="str">
        <f>H338&amp;COUNTIF($H$2:H338,H338)</f>
        <v>自動旋削4</v>
      </c>
      <c r="B338" t="str">
        <f>F338&amp;COUNTIF($F$2:F338,F338)</f>
        <v>高雄工業 静岡35</v>
      </c>
      <c r="C338" t="str">
        <v>退社</v>
      </c>
      <c r="D338">
        <v>220411</v>
      </c>
      <c r="E338">
        <v>242039</v>
      </c>
      <c r="F338" t="str">
        <v>高雄工業 静岡</v>
      </c>
      <c r="G338" t="str">
        <v>高雄工業株式会社 静岡事業所第一工場製作課</v>
      </c>
      <c r="H338" t="str">
        <v>自動旋削</v>
      </c>
      <c r="I338" t="str">
        <v>CVJ部品短軸品の施削加工、NCプログラム修正</v>
      </c>
      <c r="J338" t="str">
        <v>VU VAN HUNG</v>
      </c>
      <c r="K338" t="str">
        <v>ヴー　ヴァン　フン</v>
      </c>
      <c r="L338" t="str">
        <v>男</v>
      </c>
      <c r="M338" t="str">
        <v>ﾍﾞﾄﾅﾑ</v>
      </c>
      <c r="N338" s="31">
        <v>30672</v>
      </c>
      <c r="O338">
        <v>41</v>
      </c>
      <c r="P338">
        <v>1400</v>
      </c>
      <c r="Q338">
        <v>0</v>
      </c>
      <c r="R338">
        <v>1770</v>
      </c>
      <c r="S338">
        <v>0</v>
      </c>
      <c r="T338">
        <v>370</v>
      </c>
      <c r="U338">
        <v>280000</v>
      </c>
      <c r="V338">
        <v>14042</v>
      </c>
      <c r="W338">
        <v>2226</v>
      </c>
      <c r="X338">
        <v>25620</v>
      </c>
      <c r="Y338" s="31">
        <v>45272</v>
      </c>
      <c r="Z338" t="str">
        <v/>
      </c>
      <c r="AA338" t="str">
        <v>技術・人文知識・国際業務</v>
      </c>
      <c r="AB338" t="str">
        <v>437-0062</v>
      </c>
      <c r="AC338" t="str">
        <v>静岡県袋井市泉町1丁目7-3</v>
      </c>
      <c r="AD338" t="str">
        <v>BeehiveresidenceⅦ102</v>
      </c>
      <c r="AE338" s="31">
        <v>44665</v>
      </c>
      <c r="AF338" s="31">
        <v>44669</v>
      </c>
      <c r="AG338" s="31">
        <v>45184</v>
      </c>
      <c r="AH338" s="31">
        <v>0</v>
      </c>
      <c r="AI338" t="str">
        <v>22.07.01</v>
      </c>
      <c r="AJ338">
        <v>44671</v>
      </c>
      <c r="AK338">
        <v>0</v>
      </c>
      <c r="AL338">
        <v>44669</v>
      </c>
      <c r="AM338">
        <v>0</v>
      </c>
      <c r="AN338">
        <v>0</v>
      </c>
      <c r="AO338">
        <v>0</v>
      </c>
      <c r="AP338">
        <v>0</v>
      </c>
      <c r="AQ338">
        <v>0</v>
      </c>
      <c r="AR338">
        <v>0</v>
      </c>
    </row>
    <row r="339" spans="1:44">
      <c r="A339" t="str">
        <f>H339&amp;COUNTIF($H$2:H339,H339)</f>
        <v>Fライン10</v>
      </c>
      <c r="B339" t="str">
        <f>F339&amp;COUNTIF($F$2:F339,F339)</f>
        <v>高雄工業 本社32</v>
      </c>
      <c r="C339" t="str">
        <v>在職中</v>
      </c>
      <c r="D339">
        <v>241202</v>
      </c>
      <c r="E339">
        <v>212052</v>
      </c>
      <c r="F339" t="str">
        <v>高雄工業 本社</v>
      </c>
      <c r="G339" t="str">
        <v>高雄工業株式会社 愛知事業所本社工場製作課</v>
      </c>
      <c r="H339" t="str">
        <v>Fライン</v>
      </c>
      <c r="I339" t="str">
        <v>CVJ部品短軸品の施削加工、NCプログラム修正</v>
      </c>
      <c r="J339" t="str">
        <v>NGUYEN THANH VAN</v>
      </c>
      <c r="K339" t="str">
        <v>グエン　タイン　ヴァン</v>
      </c>
      <c r="L339" t="str">
        <v>男</v>
      </c>
      <c r="M339" t="str">
        <v>ﾍﾞﾄﾅﾑ</v>
      </c>
      <c r="N339" s="31">
        <v>37056</v>
      </c>
      <c r="O339">
        <v>24</v>
      </c>
      <c r="P339">
        <v>1250</v>
      </c>
      <c r="Q339">
        <v>0</v>
      </c>
      <c r="R339">
        <v>1650</v>
      </c>
      <c r="S339">
        <v>0</v>
      </c>
      <c r="T339">
        <v>400</v>
      </c>
      <c r="U339">
        <v>260000</v>
      </c>
      <c r="V339">
        <v>13039</v>
      </c>
      <c r="W339" t="str">
        <v>0</v>
      </c>
      <c r="X339">
        <v>23790</v>
      </c>
      <c r="Y339" s="31">
        <v>46358</v>
      </c>
      <c r="Z339" t="str">
        <v/>
      </c>
      <c r="AA339" t="str">
        <v>技術・人文知識・国際業務</v>
      </c>
      <c r="AB339" t="str">
        <v>498-0031</v>
      </c>
      <c r="AC339" t="str">
        <v>愛知県弥富市平島町北広畑10-1</v>
      </c>
      <c r="AD339" t="str">
        <v>ﾚﾌﾞﾗﾝｶﾐｰﾘｱB205</v>
      </c>
      <c r="AE339" s="31">
        <v>0</v>
      </c>
      <c r="AF339" s="31">
        <v>45631</v>
      </c>
      <c r="AG339" s="31">
        <v>0</v>
      </c>
      <c r="AH339" s="31">
        <v>0</v>
      </c>
      <c r="AI339">
        <v>45631</v>
      </c>
      <c r="AJ339" t="str">
        <v>12/17林</v>
      </c>
      <c r="AK339">
        <v>0</v>
      </c>
      <c r="AL339">
        <v>45631</v>
      </c>
      <c r="AM339">
        <v>0</v>
      </c>
      <c r="AN339">
        <v>0</v>
      </c>
      <c r="AO339">
        <v>0</v>
      </c>
      <c r="AP339">
        <v>0</v>
      </c>
      <c r="AQ339">
        <v>0</v>
      </c>
      <c r="AR339">
        <v>0</v>
      </c>
    </row>
    <row r="340" spans="1:44">
      <c r="A340" t="str">
        <f>H340&amp;COUNTIF($H$2:H340,H340)</f>
        <v>0178</v>
      </c>
      <c r="B340" t="str">
        <f>F340&amp;COUNTIF($F$2:F340,F340)</f>
        <v>PATEC12</v>
      </c>
      <c r="C340" t="str">
        <v>退社</v>
      </c>
      <c r="D340">
        <v>220413</v>
      </c>
      <c r="E340">
        <v>0</v>
      </c>
      <c r="F340" t="str">
        <v>PATEC</v>
      </c>
      <c r="G340" t="str">
        <v>製造部素材課</v>
      </c>
      <c r="H340">
        <v>0</v>
      </c>
      <c r="I340">
        <v>0</v>
      </c>
      <c r="J340" t="str">
        <v>NGUYEN VAN NINH</v>
      </c>
      <c r="K340" t="str">
        <v>グエン　ヴァン　ニン</v>
      </c>
      <c r="L340" t="str">
        <v>男</v>
      </c>
      <c r="M340" t="str">
        <v>ﾍﾞﾄﾅﾑ</v>
      </c>
      <c r="N340" s="31">
        <v>31966</v>
      </c>
      <c r="O340">
        <v>38</v>
      </c>
      <c r="P340">
        <v>1500</v>
      </c>
      <c r="Q340" t="str">
        <v>10/21～\1500⇒1600</v>
      </c>
      <c r="R340">
        <v>2100</v>
      </c>
      <c r="S340">
        <v>0</v>
      </c>
      <c r="T340">
        <v>600</v>
      </c>
      <c r="U340">
        <v>180000</v>
      </c>
      <c r="V340">
        <v>9027</v>
      </c>
      <c r="W340" t="str">
        <v>0</v>
      </c>
      <c r="X340">
        <v>16470</v>
      </c>
      <c r="Y340" s="31">
        <v>45350</v>
      </c>
      <c r="Z340" t="str">
        <v/>
      </c>
      <c r="AA340" t="str">
        <v>技術・人文知識・国際業務</v>
      </c>
      <c r="AB340" t="str">
        <v>747-0833</v>
      </c>
      <c r="AC340" t="str">
        <v>山口県防府市大字浜方716-15</v>
      </c>
      <c r="AD340" t="str">
        <v>ｱﾙｿｰﾚD201</v>
      </c>
      <c r="AE340" s="31">
        <v>44670</v>
      </c>
      <c r="AF340" s="31">
        <v>44670</v>
      </c>
      <c r="AG340" s="31">
        <v>44944</v>
      </c>
      <c r="AH340" s="31">
        <v>0</v>
      </c>
      <c r="AI340" t="str">
        <v>22.07.01</v>
      </c>
      <c r="AJ340">
        <v>44678</v>
      </c>
      <c r="AK340">
        <v>0</v>
      </c>
      <c r="AL340">
        <v>44670</v>
      </c>
      <c r="AM340">
        <v>0</v>
      </c>
      <c r="AN340">
        <v>0</v>
      </c>
      <c r="AO340">
        <v>0</v>
      </c>
      <c r="AP340">
        <v>0</v>
      </c>
      <c r="AQ340">
        <v>0</v>
      </c>
      <c r="AR340">
        <v>0</v>
      </c>
    </row>
    <row r="341" spans="1:44">
      <c r="A341" t="str">
        <f>H341&amp;COUNTIF($H$2:H341,H341)</f>
        <v>0179</v>
      </c>
      <c r="B341" t="str">
        <f>F341&amp;COUNTIF($F$2:F341,F341)</f>
        <v>PATEC13</v>
      </c>
      <c r="C341" t="str">
        <v>退社</v>
      </c>
      <c r="D341">
        <v>220414</v>
      </c>
      <c r="E341">
        <v>0</v>
      </c>
      <c r="F341" t="str">
        <v>PATEC</v>
      </c>
      <c r="G341" t="str">
        <v>製造部素材課</v>
      </c>
      <c r="H341">
        <v>0</v>
      </c>
      <c r="I341">
        <v>0</v>
      </c>
      <c r="J341" t="str">
        <v>LE QUANG TRONG</v>
      </c>
      <c r="K341" t="str">
        <v>レ　クアン　チョン</v>
      </c>
      <c r="L341" t="str">
        <v>男</v>
      </c>
      <c r="M341" t="str">
        <v>ﾍﾞﾄﾅﾑ</v>
      </c>
      <c r="N341" s="31">
        <v>33020</v>
      </c>
      <c r="O341">
        <v>35</v>
      </c>
      <c r="P341">
        <v>1600</v>
      </c>
      <c r="Q341" t="str">
        <v>10/21～\1500⇒1600</v>
      </c>
      <c r="R341">
        <v>2100</v>
      </c>
      <c r="S341">
        <v>0</v>
      </c>
      <c r="T341">
        <v>500</v>
      </c>
      <c r="U341">
        <v>440000</v>
      </c>
      <c r="V341">
        <v>22066</v>
      </c>
      <c r="W341" t="str">
        <v>0</v>
      </c>
      <c r="X341">
        <v>40260</v>
      </c>
      <c r="Y341" s="31">
        <v>45493</v>
      </c>
      <c r="Z341" t="str">
        <v/>
      </c>
      <c r="AA341" t="str">
        <v>技術・人文知識・国際業務</v>
      </c>
      <c r="AB341" t="str">
        <v>747-0834</v>
      </c>
      <c r="AC341" t="str">
        <v>山口県防府市大字田島395番地</v>
      </c>
      <c r="AD341" t="str">
        <v>ﾗｸﾞﾘｼｰﾅⅠ104</v>
      </c>
      <c r="AE341" s="31">
        <v>44670</v>
      </c>
      <c r="AF341" s="31">
        <v>44671</v>
      </c>
      <c r="AG341" s="31">
        <v>45307</v>
      </c>
      <c r="AH341" s="31">
        <v>0</v>
      </c>
      <c r="AI341" t="str">
        <v>22.07.01</v>
      </c>
      <c r="AJ341">
        <v>44678</v>
      </c>
      <c r="AK341">
        <v>0</v>
      </c>
      <c r="AL341">
        <v>44671</v>
      </c>
      <c r="AM341">
        <v>0</v>
      </c>
      <c r="AN341">
        <v>0</v>
      </c>
      <c r="AO341">
        <v>0</v>
      </c>
      <c r="AP341">
        <v>0</v>
      </c>
      <c r="AQ341">
        <v>0</v>
      </c>
      <c r="AR341">
        <v>0</v>
      </c>
    </row>
    <row r="342" spans="1:44">
      <c r="A342" t="str">
        <f>H342&amp;COUNTIF($H$2:H342,H342)</f>
        <v>手動旋削5</v>
      </c>
      <c r="B342" t="str">
        <f>F342&amp;COUNTIF($F$2:F342,F342)</f>
        <v>高雄工業 静岡36</v>
      </c>
      <c r="C342" t="str">
        <v>退社</v>
      </c>
      <c r="D342">
        <v>220415</v>
      </c>
      <c r="E342">
        <v>242041</v>
      </c>
      <c r="F342" t="str">
        <v>高雄工業 静岡</v>
      </c>
      <c r="G342" t="str">
        <v>高雄工業株式会社 静岡事業所第一工場製作課</v>
      </c>
      <c r="H342" t="str">
        <v>手動旋削</v>
      </c>
      <c r="I342" t="str">
        <v>CVJ部品短軸品の施削加工、NCプログラム修正</v>
      </c>
      <c r="J342" t="str">
        <v>TRINH THANH VIET ANH</v>
      </c>
      <c r="K342" t="str">
        <v>チン　タン　ヴィエト　アン</v>
      </c>
      <c r="L342" t="str">
        <v>男</v>
      </c>
      <c r="M342" t="str">
        <v>ﾍﾞﾄﾅﾑ</v>
      </c>
      <c r="N342" s="31">
        <v>34731</v>
      </c>
      <c r="O342">
        <v>30</v>
      </c>
      <c r="P342">
        <v>1400</v>
      </c>
      <c r="Q342">
        <v>0</v>
      </c>
      <c r="R342">
        <v>1780</v>
      </c>
      <c r="S342">
        <v>0</v>
      </c>
      <c r="T342">
        <v>380</v>
      </c>
      <c r="U342">
        <v>280000</v>
      </c>
      <c r="V342">
        <v>14042</v>
      </c>
      <c r="W342" t="str">
        <v>0</v>
      </c>
      <c r="X342">
        <v>25620</v>
      </c>
      <c r="Y342" s="31">
        <v>45645</v>
      </c>
      <c r="Z342" t="str">
        <v/>
      </c>
      <c r="AA342" t="str">
        <v>技術・人文知識・国際業務</v>
      </c>
      <c r="AB342" t="str">
        <v>437-0015</v>
      </c>
      <c r="AC342" t="str">
        <v>静岡県袋井市旭町2-7-5</v>
      </c>
      <c r="AD342" t="str">
        <v>ﾌｨﾌﾃｨｰⅡ102</v>
      </c>
      <c r="AE342" s="31">
        <v>44699</v>
      </c>
      <c r="AF342" s="31">
        <v>44673</v>
      </c>
      <c r="AG342" s="31">
        <v>45306</v>
      </c>
      <c r="AH342" s="31">
        <v>0</v>
      </c>
      <c r="AI342" t="str">
        <v>22.07.01</v>
      </c>
      <c r="AJ342">
        <v>44697</v>
      </c>
      <c r="AK342">
        <v>0</v>
      </c>
      <c r="AL342">
        <v>44673</v>
      </c>
      <c r="AM342">
        <v>0</v>
      </c>
      <c r="AN342">
        <v>0</v>
      </c>
      <c r="AO342">
        <v>0</v>
      </c>
      <c r="AP342">
        <v>0</v>
      </c>
      <c r="AQ342">
        <v>0</v>
      </c>
      <c r="AR342">
        <v>0</v>
      </c>
    </row>
    <row r="343" spans="1:44">
      <c r="A343" t="str">
        <f>H343&amp;COUNTIF($H$2:H343,H343)</f>
        <v>0180</v>
      </c>
      <c r="B343" t="str">
        <f>F343&amp;COUNTIF($F$2:F343,F343)</f>
        <v>ワーク 堺5</v>
      </c>
      <c r="C343" t="str">
        <v>退社</v>
      </c>
      <c r="D343">
        <v>220416</v>
      </c>
      <c r="E343">
        <v>0</v>
      </c>
      <c r="F343" t="str">
        <v>ワーク 堺</v>
      </c>
      <c r="G343" t="str">
        <v>堺工場　製造部</v>
      </c>
      <c r="H343">
        <v>0</v>
      </c>
      <c r="I343">
        <v>0</v>
      </c>
      <c r="J343" t="str">
        <v>PHAM VAN HIEU</v>
      </c>
      <c r="K343" t="str">
        <v>ファム　ヴァン　ヒエウ</v>
      </c>
      <c r="L343" t="str">
        <v>男</v>
      </c>
      <c r="M343" t="str">
        <v>ﾍﾞﾄﾅﾑ</v>
      </c>
      <c r="N343" s="31">
        <v>35596</v>
      </c>
      <c r="O343">
        <v>28</v>
      </c>
      <c r="P343">
        <v>1400</v>
      </c>
      <c r="Q343">
        <v>0</v>
      </c>
      <c r="R343">
        <v>1900</v>
      </c>
      <c r="S343">
        <v>0</v>
      </c>
      <c r="T343">
        <v>500</v>
      </c>
      <c r="U343">
        <v>0</v>
      </c>
      <c r="V343" t="str">
        <v/>
      </c>
      <c r="W343" t="str">
        <v>0</v>
      </c>
      <c r="X343" t="str">
        <v/>
      </c>
      <c r="Y343" s="31">
        <v>45624</v>
      </c>
      <c r="Z343" t="str">
        <v/>
      </c>
      <c r="AA343" t="str">
        <v>技術・人文知識・国際業務</v>
      </c>
      <c r="AB343" t="str">
        <v>559-0013</v>
      </c>
      <c r="AC343" t="str">
        <v>大阪府大阪市住之江区御崎3-3-20</v>
      </c>
      <c r="AD343" t="str">
        <v>岩本ﾏﾝｼｮﾝ402</v>
      </c>
      <c r="AE343" s="31">
        <v>0</v>
      </c>
      <c r="AF343" s="31">
        <v>44676</v>
      </c>
      <c r="AG343" s="31">
        <v>44946</v>
      </c>
      <c r="AH343" s="31">
        <v>0</v>
      </c>
      <c r="AI343" t="str">
        <v>22.07.01</v>
      </c>
      <c r="AJ343">
        <v>44697</v>
      </c>
      <c r="AK343">
        <v>0</v>
      </c>
      <c r="AL343">
        <v>44676</v>
      </c>
      <c r="AM343">
        <v>0</v>
      </c>
      <c r="AN343">
        <v>0</v>
      </c>
      <c r="AO343">
        <v>0</v>
      </c>
      <c r="AP343">
        <v>0</v>
      </c>
      <c r="AQ343">
        <v>0</v>
      </c>
      <c r="AR343">
        <v>0</v>
      </c>
    </row>
    <row r="344" spans="1:44">
      <c r="A344" t="str">
        <f>H344&amp;COUNTIF($H$2:H344,H344)</f>
        <v>1次旋係10</v>
      </c>
      <c r="B344" t="str">
        <f>F344&amp;COUNTIF($F$2:F344,F344)</f>
        <v>高雄工業 岡山56</v>
      </c>
      <c r="C344" t="str">
        <v>在職中</v>
      </c>
      <c r="D344">
        <v>220502</v>
      </c>
      <c r="E344">
        <v>232057</v>
      </c>
      <c r="F344" t="str">
        <v>高雄工業 岡山</v>
      </c>
      <c r="G344" t="str">
        <v>高雄工業株式会社 岡山事業所HUB工場製作1課</v>
      </c>
      <c r="H344" t="str">
        <v>1次旋係</v>
      </c>
      <c r="I344" t="str">
        <v>ハブ加工 自動機の操作、ＮＣプログラム修正</v>
      </c>
      <c r="J344" t="str">
        <v>THACH VAN DAI</v>
      </c>
      <c r="K344" t="str">
        <v>タック　ヴァン　ダイ</v>
      </c>
      <c r="L344" t="str">
        <v>男</v>
      </c>
      <c r="M344" t="str">
        <v>ﾍﾞﾄﾅﾑ</v>
      </c>
      <c r="N344" s="31">
        <v>34432</v>
      </c>
      <c r="O344">
        <v>31</v>
      </c>
      <c r="P344">
        <v>1410</v>
      </c>
      <c r="Q344">
        <v>0</v>
      </c>
      <c r="R344">
        <v>1830</v>
      </c>
      <c r="S344">
        <v>0</v>
      </c>
      <c r="T344">
        <v>420</v>
      </c>
      <c r="U344">
        <v>280000</v>
      </c>
      <c r="V344">
        <v>14042</v>
      </c>
      <c r="W344" t="str">
        <v>0</v>
      </c>
      <c r="X344">
        <v>25620</v>
      </c>
      <c r="Y344" s="31">
        <v>46436</v>
      </c>
      <c r="Z344" t="str">
        <v/>
      </c>
      <c r="AA344" t="str">
        <v>技術・人文知識・国際業務</v>
      </c>
      <c r="AB344" t="str">
        <v>709-2107</v>
      </c>
      <c r="AC344" t="str">
        <v>岡山県岡山市北区御津矢原311</v>
      </c>
      <c r="AD344" t="str">
        <v>中須賀ｺｰﾎﾟⅢ206</v>
      </c>
      <c r="AE344" s="31">
        <v>44687</v>
      </c>
      <c r="AF344" s="31">
        <v>44690</v>
      </c>
      <c r="AG344" s="31">
        <v>0</v>
      </c>
      <c r="AH344" s="31">
        <v>0</v>
      </c>
      <c r="AI344" t="str">
        <v>22.07.01</v>
      </c>
      <c r="AJ344" t="str">
        <v>5/17原</v>
      </c>
      <c r="AK344">
        <v>0</v>
      </c>
      <c r="AL344">
        <v>44690</v>
      </c>
      <c r="AM344">
        <v>0</v>
      </c>
      <c r="AN344">
        <v>0</v>
      </c>
      <c r="AO344">
        <v>0</v>
      </c>
      <c r="AP344">
        <v>0</v>
      </c>
      <c r="AQ344">
        <v>0</v>
      </c>
      <c r="AR344">
        <v>0</v>
      </c>
    </row>
    <row r="345" spans="1:44">
      <c r="A345" t="str">
        <f>H345&amp;COUNTIF($H$2:H345,H345)</f>
        <v>等速ジョイント4</v>
      </c>
      <c r="B345" t="str">
        <f>F345&amp;COUNTIF($F$2:F345,F345)</f>
        <v>瑞陵精機14</v>
      </c>
      <c r="C345" t="str">
        <v>退社</v>
      </c>
      <c r="D345">
        <v>220501</v>
      </c>
      <c r="E345">
        <v>410014</v>
      </c>
      <c r="F345" t="str">
        <v>瑞陵精機</v>
      </c>
      <c r="G345" t="str">
        <v>製造課</v>
      </c>
      <c r="H345" t="str">
        <v>等速ジョイント</v>
      </c>
      <c r="I345" t="str">
        <v>ＮＣ旋盤、マシニングセンター等の工作機械を使いオペレーターとして製造ラインで製品を加工</v>
      </c>
      <c r="J345" t="str">
        <v>PHAN VAN CUONG</v>
      </c>
      <c r="K345" t="str">
        <v>ハン　バン　クオン</v>
      </c>
      <c r="L345" t="str">
        <v>男</v>
      </c>
      <c r="M345" t="str">
        <v>ﾍﾞﾄﾅﾑ</v>
      </c>
      <c r="N345" s="31">
        <v>34992</v>
      </c>
      <c r="O345">
        <v>30</v>
      </c>
      <c r="P345">
        <v>1320</v>
      </c>
      <c r="Q345">
        <v>0</v>
      </c>
      <c r="R345">
        <v>1750</v>
      </c>
      <c r="S345">
        <v>0</v>
      </c>
      <c r="T345">
        <v>430</v>
      </c>
      <c r="U345">
        <v>300000</v>
      </c>
      <c r="V345">
        <v>15045</v>
      </c>
      <c r="W345" t="str">
        <v>0</v>
      </c>
      <c r="X345">
        <v>27450</v>
      </c>
      <c r="Y345" s="31">
        <v>46716</v>
      </c>
      <c r="Z345" t="str">
        <v/>
      </c>
      <c r="AA345" t="str">
        <v>技術・人文知識・国際業務</v>
      </c>
      <c r="AB345" t="str">
        <v>509-7201</v>
      </c>
      <c r="AC345" t="str">
        <v>岐阜県恵那市大井町2087-170</v>
      </c>
      <c r="AD345" t="str">
        <v>ﾋﾞﾚｯｼﾞﾊｳｽ恵那1号棟104</v>
      </c>
      <c r="AE345" s="31" t="str">
        <v>個人</v>
      </c>
      <c r="AF345" s="31">
        <v>44690</v>
      </c>
      <c r="AG345" s="31">
        <v>45733</v>
      </c>
      <c r="AH345" s="31">
        <v>0</v>
      </c>
      <c r="AI345" t="str">
        <v>22.07.01</v>
      </c>
      <c r="AJ345" t="str">
        <v>5/17原</v>
      </c>
      <c r="AK345">
        <v>0</v>
      </c>
      <c r="AL345">
        <v>44690</v>
      </c>
      <c r="AM345">
        <v>0</v>
      </c>
      <c r="AN345">
        <v>0</v>
      </c>
      <c r="AO345">
        <v>0</v>
      </c>
      <c r="AP345">
        <v>0</v>
      </c>
      <c r="AQ345">
        <v>0</v>
      </c>
      <c r="AR345">
        <v>0</v>
      </c>
    </row>
    <row r="346" spans="1:44">
      <c r="A346" t="str">
        <f>H346&amp;COUNTIF($H$2:H346,H346)</f>
        <v>2課1</v>
      </c>
      <c r="B346" t="str">
        <f>F346&amp;COUNTIF($F$2:F346,F346)</f>
        <v>加藤木材工業 本社1</v>
      </c>
      <c r="C346" t="str">
        <v>在職中</v>
      </c>
      <c r="D346">
        <v>220504</v>
      </c>
      <c r="E346">
        <v>5547</v>
      </c>
      <c r="F346" t="str">
        <v>加藤木材工業 本社</v>
      </c>
      <c r="G346" t="str">
        <v>生産1部</v>
      </c>
      <c r="H346" t="str">
        <v>2課</v>
      </c>
      <c r="I346" t="str">
        <v>機械オペレーター及び機械メンテナンス他付随する業務</v>
      </c>
      <c r="J346" t="str">
        <v>VU DINH SON</v>
      </c>
      <c r="K346" t="str">
        <v>ヴー　ディン　ソン</v>
      </c>
      <c r="L346" t="str">
        <v>男</v>
      </c>
      <c r="M346" t="str">
        <v>ﾍﾞﾄﾅﾑ</v>
      </c>
      <c r="N346" s="31">
        <v>35828</v>
      </c>
      <c r="O346">
        <v>27</v>
      </c>
      <c r="P346">
        <v>1330</v>
      </c>
      <c r="Q346" t="str">
        <v>2025/5/21～1300円⇒1330円</v>
      </c>
      <c r="R346">
        <v>1745</v>
      </c>
      <c r="S346" t="str">
        <v>2025/5/21~1700円⇒1745円</v>
      </c>
      <c r="T346">
        <v>415</v>
      </c>
      <c r="U346">
        <v>280000</v>
      </c>
      <c r="V346">
        <v>14042</v>
      </c>
      <c r="W346" t="str">
        <v>0</v>
      </c>
      <c r="X346">
        <v>25620</v>
      </c>
      <c r="Y346" s="31">
        <v>46536</v>
      </c>
      <c r="Z346" t="str">
        <v/>
      </c>
      <c r="AA346" t="str">
        <v>技術・人文知識・国際業務</v>
      </c>
      <c r="AB346" t="str">
        <v>486-0904</v>
      </c>
      <c r="AC346" t="str">
        <v>愛知県春日井市宮町2-3-16</v>
      </c>
      <c r="AD346" t="str">
        <v>ﾘﾝﾋﾟｱ長斉302</v>
      </c>
      <c r="AE346" s="31">
        <v>45025</v>
      </c>
      <c r="AF346" s="31">
        <v>44690</v>
      </c>
      <c r="AG346" s="31">
        <v>0</v>
      </c>
      <c r="AH346" s="31">
        <v>0</v>
      </c>
      <c r="AI346" t="str">
        <v>22.07.01</v>
      </c>
      <c r="AJ346" t="str">
        <v>5/17原</v>
      </c>
      <c r="AK346" t="str">
        <v>2022/5/9～2022/4/8まで高雄本社所属　2023/4/10~加藤木材に移動</v>
      </c>
      <c r="AL346">
        <v>44690</v>
      </c>
      <c r="AM346">
        <v>0</v>
      </c>
      <c r="AN346">
        <v>0</v>
      </c>
      <c r="AO346">
        <v>0</v>
      </c>
      <c r="AP346">
        <v>0</v>
      </c>
      <c r="AQ346">
        <v>0</v>
      </c>
      <c r="AR346">
        <v>0</v>
      </c>
    </row>
    <row r="347" spans="1:44">
      <c r="A347" t="str">
        <f>H347&amp;COUNTIF($H$2:H347,H347)</f>
        <v>Fライン11</v>
      </c>
      <c r="B347" t="str">
        <f>F347&amp;COUNTIF($F$2:F347,F347)</f>
        <v>高雄工業 本社33</v>
      </c>
      <c r="C347" t="str">
        <v>在職中</v>
      </c>
      <c r="D347">
        <v>250224</v>
      </c>
      <c r="E347">
        <v>212054</v>
      </c>
      <c r="F347" t="str">
        <v>高雄工業 本社</v>
      </c>
      <c r="G347" t="str">
        <v>高雄工業株式会社 愛知事業所本社工場製作課</v>
      </c>
      <c r="H347" t="str">
        <v>Fライン</v>
      </c>
      <c r="I347" t="str">
        <v>CVJ部品短軸品の施削加工、NCプログラム修正</v>
      </c>
      <c r="J347" t="str">
        <v>NONG DUC HUNG</v>
      </c>
      <c r="K347" t="str">
        <v>ノン　ドゥック　フン</v>
      </c>
      <c r="L347" t="str">
        <v>男</v>
      </c>
      <c r="M347" t="str">
        <v>ﾍﾞﾄﾅﾑ</v>
      </c>
      <c r="N347" s="31">
        <v>36739</v>
      </c>
      <c r="O347">
        <v>25</v>
      </c>
      <c r="P347">
        <v>1250</v>
      </c>
      <c r="Q347">
        <v>0</v>
      </c>
      <c r="R347">
        <v>1650</v>
      </c>
      <c r="S347">
        <v>0</v>
      </c>
      <c r="T347">
        <v>400</v>
      </c>
      <c r="U347">
        <v>200000</v>
      </c>
      <c r="V347">
        <v>10030</v>
      </c>
      <c r="W347" t="str">
        <v>0</v>
      </c>
      <c r="X347">
        <v>18300</v>
      </c>
      <c r="Y347" s="31">
        <v>46797</v>
      </c>
      <c r="Z347" t="str">
        <v/>
      </c>
      <c r="AA347" t="str">
        <v>技術・人文知識・国際業務</v>
      </c>
      <c r="AB347" t="str">
        <v>498-0031</v>
      </c>
      <c r="AC347" t="str">
        <v>愛知県弥富市平島町北広畑10-1</v>
      </c>
      <c r="AD347" t="str">
        <v>ﾚﾌﾞﾗﾝｶﾐｰﾘｱB205</v>
      </c>
      <c r="AE347" s="31">
        <v>45702</v>
      </c>
      <c r="AF347" s="31">
        <v>45707</v>
      </c>
      <c r="AG347" s="31">
        <v>0</v>
      </c>
      <c r="AH347" s="31">
        <v>0</v>
      </c>
      <c r="AI347">
        <v>45707</v>
      </c>
      <c r="AJ347" t="str">
        <v>3/18林</v>
      </c>
      <c r="AK347">
        <v>0</v>
      </c>
      <c r="AL347">
        <v>45707</v>
      </c>
      <c r="AM347">
        <v>0</v>
      </c>
      <c r="AN347">
        <v>0</v>
      </c>
      <c r="AO347">
        <v>0</v>
      </c>
      <c r="AP347">
        <v>0</v>
      </c>
      <c r="AQ347">
        <v>0</v>
      </c>
      <c r="AR347">
        <v>0</v>
      </c>
    </row>
    <row r="348" spans="1:44">
      <c r="A348" t="str">
        <f>H348&amp;COUNTIF($H$2:H348,H348)</f>
        <v>Fライン12</v>
      </c>
      <c r="B348" t="str">
        <f>F348&amp;COUNTIF($F$2:F348,F348)</f>
        <v>高雄工業 本社34</v>
      </c>
      <c r="C348" t="str">
        <v>在職中</v>
      </c>
      <c r="D348">
        <v>250608</v>
      </c>
      <c r="E348">
        <v>212058</v>
      </c>
      <c r="F348" t="str">
        <v>高雄工業 本社</v>
      </c>
      <c r="G348" t="str">
        <v>高雄工業株式会社 愛知事業所本社工場製作課</v>
      </c>
      <c r="H348" t="str">
        <v>Fライン</v>
      </c>
      <c r="I348" t="str">
        <v>CVJ部品短軸品の旋削加工、NCプログラム修正</v>
      </c>
      <c r="J348" t="str">
        <v>DO TRUNG KIEN</v>
      </c>
      <c r="K348" t="str">
        <v>ド　チュン　キエン</v>
      </c>
      <c r="L348" t="str">
        <v>男</v>
      </c>
      <c r="M348" t="str">
        <v>ﾍﾞﾄﾅﾑ</v>
      </c>
      <c r="N348" s="31">
        <v>36548</v>
      </c>
      <c r="O348">
        <v>25</v>
      </c>
      <c r="P348">
        <v>1200</v>
      </c>
      <c r="Q348">
        <v>0</v>
      </c>
      <c r="R348">
        <v>1650</v>
      </c>
      <c r="S348">
        <v>0</v>
      </c>
      <c r="T348">
        <v>450</v>
      </c>
      <c r="U348">
        <v>180000</v>
      </c>
      <c r="V348">
        <v>9027</v>
      </c>
      <c r="W348" t="str">
        <v>0</v>
      </c>
      <c r="X348">
        <v>16470</v>
      </c>
      <c r="Y348" s="31">
        <v>46837</v>
      </c>
      <c r="Z348" t="str">
        <v/>
      </c>
      <c r="AA348" t="str">
        <v>技術・人文知識・国際業務</v>
      </c>
      <c r="AB348" t="str">
        <v>498-0017</v>
      </c>
      <c r="AC348" t="str">
        <v>愛知県弥富市前ヶ須町西勘助207</v>
      </c>
      <c r="AD348" t="str">
        <v>CASA弥冨B203</v>
      </c>
      <c r="AE348" s="31">
        <v>45830</v>
      </c>
      <c r="AF348" s="31">
        <v>45838</v>
      </c>
      <c r="AG348" s="31">
        <v>0</v>
      </c>
      <c r="AH348" s="31">
        <v>0</v>
      </c>
      <c r="AI348">
        <v>0</v>
      </c>
      <c r="AJ348" t="str">
        <v>6/30林</v>
      </c>
      <c r="AK348" t="str">
        <v>2025/4/1~2025/6/20まで請負</v>
      </c>
      <c r="AL348">
        <v>45838</v>
      </c>
      <c r="AM348">
        <v>0</v>
      </c>
      <c r="AN348">
        <v>0</v>
      </c>
      <c r="AO348">
        <v>0</v>
      </c>
      <c r="AP348">
        <v>0</v>
      </c>
      <c r="AQ348">
        <v>0</v>
      </c>
      <c r="AR348">
        <v>0</v>
      </c>
    </row>
    <row r="349" spans="1:44">
      <c r="A349" t="str">
        <f>H349&amp;COUNTIF($H$2:H349,H349)</f>
        <v>PTJ1</v>
      </c>
      <c r="B349" t="str">
        <f>F349&amp;COUNTIF($F$2:F349,F349)</f>
        <v>高雄工業 静岡37</v>
      </c>
      <c r="C349" t="str">
        <v>退社</v>
      </c>
      <c r="D349">
        <v>220506</v>
      </c>
      <c r="E349">
        <v>242044</v>
      </c>
      <c r="F349" t="str">
        <v>高雄工業 静岡</v>
      </c>
      <c r="G349" t="str">
        <v>高雄工業株式会社 静岡事業所第二工場製作課</v>
      </c>
      <c r="H349" t="str">
        <v>PTJ</v>
      </c>
      <c r="I349" t="str">
        <v>産業機械部品の研磨加工、NCプログラム修正</v>
      </c>
      <c r="J349" t="str">
        <v>NGO DUC HIEP</v>
      </c>
      <c r="K349" t="str">
        <v>ゴー　ドゥック　ヒエップ</v>
      </c>
      <c r="L349" t="str">
        <v>男</v>
      </c>
      <c r="M349" t="str">
        <v>ﾍﾞﾄﾅﾑ</v>
      </c>
      <c r="N349" s="31">
        <v>35364</v>
      </c>
      <c r="O349">
        <v>29</v>
      </c>
      <c r="P349">
        <v>1310</v>
      </c>
      <c r="Q349">
        <v>0</v>
      </c>
      <c r="R349">
        <v>1700</v>
      </c>
      <c r="S349">
        <v>0</v>
      </c>
      <c r="T349">
        <v>390</v>
      </c>
      <c r="U349">
        <v>300000</v>
      </c>
      <c r="V349">
        <v>15045</v>
      </c>
      <c r="W349" t="str">
        <v>0</v>
      </c>
      <c r="X349">
        <v>27450</v>
      </c>
      <c r="Y349" s="31">
        <v>46549</v>
      </c>
      <c r="Z349" t="str">
        <v/>
      </c>
      <c r="AA349" t="str">
        <v>技術・人文知識・国際業務</v>
      </c>
      <c r="AB349" t="str">
        <v>437-0065</v>
      </c>
      <c r="AC349" t="str">
        <v>静岡県袋井市堀越1丁目14-6</v>
      </c>
      <c r="AD349" t="str">
        <v>ﾊｰﾓﾆｰ201</v>
      </c>
      <c r="AE349" s="31">
        <v>44680</v>
      </c>
      <c r="AF349" s="31">
        <v>44691</v>
      </c>
      <c r="AG349" s="31">
        <v>45687</v>
      </c>
      <c r="AH349" s="31">
        <v>0</v>
      </c>
      <c r="AI349" t="str">
        <v>22.07.01</v>
      </c>
      <c r="AJ349" t="str">
        <v>5/17原</v>
      </c>
      <c r="AK349">
        <v>0</v>
      </c>
      <c r="AL349">
        <v>44691</v>
      </c>
      <c r="AM349">
        <v>0</v>
      </c>
      <c r="AN349">
        <v>0</v>
      </c>
      <c r="AO349">
        <v>0</v>
      </c>
      <c r="AP349">
        <v>0</v>
      </c>
      <c r="AQ349">
        <v>0</v>
      </c>
      <c r="AR349">
        <v>0</v>
      </c>
    </row>
    <row r="350" spans="1:44">
      <c r="A350" t="str">
        <f>H350&amp;COUNTIF($H$2:H350,H350)</f>
        <v>ナット1</v>
      </c>
      <c r="B350" t="str">
        <f>F350&amp;COUNTIF($F$2:F350,F350)</f>
        <v>瑞陵精機15</v>
      </c>
      <c r="C350" t="str">
        <v>退社</v>
      </c>
      <c r="D350">
        <v>220507</v>
      </c>
      <c r="E350">
        <v>242043</v>
      </c>
      <c r="F350" t="str">
        <v>瑞陵精機</v>
      </c>
      <c r="G350" t="str">
        <v>高雄工業株式会社 静岡事業所第二工場製作課</v>
      </c>
      <c r="H350" t="str">
        <v>ナット</v>
      </c>
      <c r="I350" t="str">
        <v>産業機械部品の施削加工、NCプログラム修正</v>
      </c>
      <c r="J350" t="str">
        <v>LE VAN LONG</v>
      </c>
      <c r="K350" t="str">
        <v>レー　ヴァン　ロン</v>
      </c>
      <c r="L350" t="str">
        <v>男</v>
      </c>
      <c r="M350" t="str">
        <v>ﾍﾞﾄﾅﾑ</v>
      </c>
      <c r="N350" s="31">
        <v>35433</v>
      </c>
      <c r="O350">
        <v>28</v>
      </c>
      <c r="P350">
        <v>1300</v>
      </c>
      <c r="Q350">
        <v>0</v>
      </c>
      <c r="R350">
        <v>1670</v>
      </c>
      <c r="S350">
        <v>0</v>
      </c>
      <c r="T350">
        <v>370</v>
      </c>
      <c r="U350">
        <v>280000</v>
      </c>
      <c r="V350">
        <v>14042</v>
      </c>
      <c r="W350" t="str">
        <v>0</v>
      </c>
      <c r="X350">
        <v>25620</v>
      </c>
      <c r="Y350" s="31">
        <v>45424</v>
      </c>
      <c r="Z350" t="str">
        <v/>
      </c>
      <c r="AA350" t="str">
        <v>技術・人文知識・国際業務</v>
      </c>
      <c r="AB350" t="str">
        <v>437-0065</v>
      </c>
      <c r="AC350" t="str">
        <v>静岡県袋井市堀越1丁目14-6</v>
      </c>
      <c r="AD350" t="str">
        <v>ﾊｰﾓﾆｰ201</v>
      </c>
      <c r="AE350" s="31">
        <v>44680</v>
      </c>
      <c r="AF350" s="31">
        <v>44691</v>
      </c>
      <c r="AG350" s="31">
        <v>45259</v>
      </c>
      <c r="AH350" s="31">
        <v>0</v>
      </c>
      <c r="AI350" t="str">
        <v>22.07.01</v>
      </c>
      <c r="AJ350" t="str">
        <v>5/17原</v>
      </c>
      <c r="AK350" t="str">
        <v>2022/5/10～2023/11/3高雄工業静岡退社　2023/11/6瑞陵精機に異動</v>
      </c>
      <c r="AL350">
        <v>44691</v>
      </c>
      <c r="AM350">
        <v>0</v>
      </c>
      <c r="AN350">
        <v>0</v>
      </c>
      <c r="AO350">
        <v>0</v>
      </c>
      <c r="AP350">
        <v>0</v>
      </c>
      <c r="AQ350">
        <v>0</v>
      </c>
      <c r="AR350">
        <v>0</v>
      </c>
    </row>
    <row r="351" spans="1:44">
      <c r="A351" t="str">
        <f>H351&amp;COUNTIF($H$2:H351,H351)</f>
        <v>Gライン7</v>
      </c>
      <c r="B351" t="str">
        <f>F351&amp;COUNTIF($F$2:F351,F351)</f>
        <v>高雄工業 本社35</v>
      </c>
      <c r="C351" t="str">
        <v>在職中</v>
      </c>
      <c r="D351">
        <v>220505</v>
      </c>
      <c r="E351">
        <v>212028</v>
      </c>
      <c r="F351" t="str">
        <v>高雄工業 本社</v>
      </c>
      <c r="G351" t="str">
        <v>高雄工業株式会社 愛知事業所本社工場製作課</v>
      </c>
      <c r="H351" t="str">
        <v>Gライン</v>
      </c>
      <c r="I351" t="str">
        <v>CVJ部品長軸品の施削加工、NCプログラム修正</v>
      </c>
      <c r="J351" t="str">
        <v>DANG THIN VIET</v>
      </c>
      <c r="K351" t="str">
        <v>ダン　ティン　ヴィエット</v>
      </c>
      <c r="L351" t="str">
        <v>男</v>
      </c>
      <c r="M351" t="str">
        <v>ﾍﾞﾄﾅﾑ</v>
      </c>
      <c r="N351" s="31">
        <v>35477</v>
      </c>
      <c r="O351">
        <v>28</v>
      </c>
      <c r="P351">
        <v>1310</v>
      </c>
      <c r="Q351">
        <v>0</v>
      </c>
      <c r="R351">
        <v>1720</v>
      </c>
      <c r="S351">
        <v>0</v>
      </c>
      <c r="T351">
        <v>410</v>
      </c>
      <c r="U351">
        <v>240000</v>
      </c>
      <c r="V351">
        <v>12036</v>
      </c>
      <c r="W351" t="str">
        <v>0</v>
      </c>
      <c r="X351">
        <v>21960</v>
      </c>
      <c r="Y351" s="31">
        <v>46536</v>
      </c>
      <c r="Z351" t="str">
        <v/>
      </c>
      <c r="AA351" t="str">
        <v>技術・人文知識・国際業務</v>
      </c>
      <c r="AB351" t="str">
        <v>498-0017</v>
      </c>
      <c r="AC351" t="str">
        <v>愛知県弥富市前ヶ須町西勘助207</v>
      </c>
      <c r="AD351" t="str">
        <v>CASA弥冨B203</v>
      </c>
      <c r="AE351" s="31">
        <v>44675</v>
      </c>
      <c r="AF351" s="31">
        <v>44690</v>
      </c>
      <c r="AG351" s="31">
        <v>0</v>
      </c>
      <c r="AH351" s="31">
        <v>0</v>
      </c>
      <c r="AI351" t="str">
        <v>22.07.01</v>
      </c>
      <c r="AJ351" t="str">
        <v>5/17原</v>
      </c>
      <c r="AK351">
        <v>0</v>
      </c>
      <c r="AL351">
        <v>44690</v>
      </c>
      <c r="AM351">
        <v>0</v>
      </c>
      <c r="AN351">
        <v>0</v>
      </c>
      <c r="AO351">
        <v>0</v>
      </c>
      <c r="AP351">
        <v>0</v>
      </c>
      <c r="AQ351" t="str">
        <v>NASTEST-N4</v>
      </c>
      <c r="AR351">
        <v>0</v>
      </c>
    </row>
    <row r="352" spans="1:44">
      <c r="A352" t="str">
        <f>H352&amp;COUNTIF($H$2:H352,H352)</f>
        <v>0181</v>
      </c>
      <c r="B352" t="str">
        <f>F352&amp;COUNTIF($F$2:F352,F352)</f>
        <v>ワーク 堺6</v>
      </c>
      <c r="C352" t="str">
        <v>退社</v>
      </c>
      <c r="D352">
        <v>220509</v>
      </c>
      <c r="E352">
        <v>0</v>
      </c>
      <c r="F352" t="str">
        <v>ワーク 堺</v>
      </c>
      <c r="G352">
        <v>0</v>
      </c>
      <c r="H352">
        <v>0</v>
      </c>
      <c r="I352">
        <v>0</v>
      </c>
      <c r="J352" t="str">
        <v>VU TUAN ANH</v>
      </c>
      <c r="K352" t="str">
        <v>ブー　テュアン　アン</v>
      </c>
      <c r="L352" t="str">
        <v>男</v>
      </c>
      <c r="M352" t="str">
        <v>ﾍﾞﾄﾅﾑ</v>
      </c>
      <c r="N352" s="31">
        <v>35578</v>
      </c>
      <c r="O352">
        <v>28</v>
      </c>
      <c r="P352">
        <v>1400</v>
      </c>
      <c r="Q352">
        <v>0</v>
      </c>
      <c r="R352">
        <v>1900</v>
      </c>
      <c r="S352">
        <v>0</v>
      </c>
      <c r="T352">
        <v>500</v>
      </c>
      <c r="U352">
        <v>0</v>
      </c>
      <c r="V352" t="str">
        <v/>
      </c>
      <c r="W352" t="str">
        <v>0</v>
      </c>
      <c r="X352" t="str">
        <v/>
      </c>
      <c r="Y352" s="31">
        <v>44905</v>
      </c>
      <c r="Z352" t="str">
        <v/>
      </c>
      <c r="AA352" t="str">
        <v>技術・人文知識・国際業務</v>
      </c>
      <c r="AB352" t="str">
        <v>559-0013</v>
      </c>
      <c r="AC352" t="str">
        <v>大阪府大阪市住之江区御崎3-3-20</v>
      </c>
      <c r="AD352" t="str">
        <v>岩本ﾏﾝｼｮﾝ402</v>
      </c>
      <c r="AE352" s="31">
        <v>44691</v>
      </c>
      <c r="AF352" s="31">
        <v>44692</v>
      </c>
      <c r="AG352" s="31">
        <v>44701</v>
      </c>
      <c r="AH352" s="31">
        <v>0</v>
      </c>
      <c r="AI352" t="str">
        <v>22.07.01</v>
      </c>
      <c r="AJ352" t="str">
        <v>5/19林</v>
      </c>
      <c r="AK352">
        <v>0</v>
      </c>
      <c r="AL352">
        <v>44692</v>
      </c>
      <c r="AM352">
        <v>0</v>
      </c>
      <c r="AN352">
        <v>0</v>
      </c>
      <c r="AO352">
        <v>0</v>
      </c>
      <c r="AP352">
        <v>0</v>
      </c>
      <c r="AQ352">
        <v>0</v>
      </c>
      <c r="AR352">
        <v>0</v>
      </c>
    </row>
    <row r="353" spans="1:44">
      <c r="A353" t="str">
        <f>H353&amp;COUNTIF($H$2:H353,H353)</f>
        <v>Gライン8</v>
      </c>
      <c r="B353" t="str">
        <f>F353&amp;COUNTIF($F$2:F353,F353)</f>
        <v>高雄工業 本社36</v>
      </c>
      <c r="C353" t="str">
        <v>退社</v>
      </c>
      <c r="D353">
        <v>220510</v>
      </c>
      <c r="E353">
        <v>212031</v>
      </c>
      <c r="F353" t="str">
        <v>高雄工業 本社</v>
      </c>
      <c r="G353" t="str">
        <v>高雄工業株式会社 愛知事業所本社工場製作課</v>
      </c>
      <c r="H353" t="str">
        <v>Gライン</v>
      </c>
      <c r="I353" t="str">
        <v>CVJ部品長軸品の施削加工、NCプログラム修正</v>
      </c>
      <c r="J353" t="str">
        <v>HO HUYNH DINH NGHIEM</v>
      </c>
      <c r="K353" t="str">
        <v>ホー　フィン　ディン　ギエム</v>
      </c>
      <c r="L353" t="str">
        <v>男</v>
      </c>
      <c r="M353" t="str">
        <v>ﾍﾞﾄﾅﾑ</v>
      </c>
      <c r="N353" s="31">
        <v>35784</v>
      </c>
      <c r="O353">
        <v>27</v>
      </c>
      <c r="P353">
        <v>1250</v>
      </c>
      <c r="Q353">
        <v>0</v>
      </c>
      <c r="R353">
        <v>1660</v>
      </c>
      <c r="S353">
        <v>0</v>
      </c>
      <c r="T353">
        <v>410</v>
      </c>
      <c r="U353">
        <v>180000</v>
      </c>
      <c r="V353">
        <v>9027</v>
      </c>
      <c r="W353" t="str">
        <v>0</v>
      </c>
      <c r="X353">
        <v>16470</v>
      </c>
      <c r="Y353" s="31">
        <v>45408</v>
      </c>
      <c r="Z353" t="str">
        <v/>
      </c>
      <c r="AA353" t="str">
        <v>技術・人文知識・国際業務</v>
      </c>
      <c r="AB353" t="str">
        <v>498-0031</v>
      </c>
      <c r="AC353" t="str">
        <v>愛知県弥富市平島町北広畑10-1</v>
      </c>
      <c r="AD353" t="str">
        <v>ﾚﾌﾞﾗﾝｶﾐｰﾘｱB205</v>
      </c>
      <c r="AE353" s="31">
        <v>45039</v>
      </c>
      <c r="AF353" s="31">
        <v>44692</v>
      </c>
      <c r="AG353" s="31">
        <v>45107</v>
      </c>
      <c r="AH353" s="31">
        <v>0</v>
      </c>
      <c r="AI353" t="str">
        <v>22.07.01</v>
      </c>
      <c r="AJ353" t="str">
        <v>5/19林</v>
      </c>
      <c r="AK353">
        <v>0</v>
      </c>
      <c r="AL353">
        <v>44692</v>
      </c>
      <c r="AM353">
        <v>0</v>
      </c>
      <c r="AN353">
        <v>0</v>
      </c>
      <c r="AO353">
        <v>0</v>
      </c>
      <c r="AP353">
        <v>0</v>
      </c>
      <c r="AQ353">
        <v>0</v>
      </c>
      <c r="AR353">
        <v>0</v>
      </c>
    </row>
    <row r="354" spans="1:44">
      <c r="A354" t="str">
        <f>H354&amp;COUNTIF($H$2:H354,H354)</f>
        <v>生産課1</v>
      </c>
      <c r="B354" t="str">
        <f>F354&amp;COUNTIF($F$2:F354,F354)</f>
        <v>加藤木材工業 本社2</v>
      </c>
      <c r="C354" t="str">
        <v>在職中</v>
      </c>
      <c r="D354">
        <v>220511</v>
      </c>
      <c r="E354">
        <v>5548</v>
      </c>
      <c r="F354" t="str">
        <v>加藤木材工業 本社</v>
      </c>
      <c r="G354" t="str">
        <v>生産2部</v>
      </c>
      <c r="H354" t="str">
        <v>生産課</v>
      </c>
      <c r="I354" t="str">
        <v>機械オペレーター及び機械メンテナンス他付随する業務</v>
      </c>
      <c r="J354" t="str">
        <v>DUONG VAN TOAN</v>
      </c>
      <c r="K354" t="str">
        <v>ズオン　ヴァン　トアン</v>
      </c>
      <c r="L354" t="str">
        <v>男</v>
      </c>
      <c r="M354" t="str">
        <v>ﾍﾞﾄﾅﾑ</v>
      </c>
      <c r="N354" s="31">
        <v>34305</v>
      </c>
      <c r="O354">
        <v>32</v>
      </c>
      <c r="P354">
        <v>1350</v>
      </c>
      <c r="Q354" t="str">
        <v>2025/5/21～1300円⇒1350円</v>
      </c>
      <c r="R354">
        <v>1775</v>
      </c>
      <c r="S354" t="str">
        <v>2025/5/21~1700円⇒1775円</v>
      </c>
      <c r="T354">
        <v>425</v>
      </c>
      <c r="U354">
        <v>280000</v>
      </c>
      <c r="V354">
        <v>14042</v>
      </c>
      <c r="W354" t="str">
        <v>0</v>
      </c>
      <c r="X354">
        <v>25620</v>
      </c>
      <c r="Y354" s="31">
        <v>46536</v>
      </c>
      <c r="Z354" t="str">
        <v/>
      </c>
      <c r="AA354" t="str">
        <v>技術・人文知識・国際業務</v>
      </c>
      <c r="AB354" t="str">
        <v>486-0904</v>
      </c>
      <c r="AC354" t="str">
        <v>愛知県春日井市宮町2-3-16</v>
      </c>
      <c r="AD354" t="str">
        <v>ﾘﾝﾋﾟｱ長斉302</v>
      </c>
      <c r="AE354" s="31">
        <v>45025</v>
      </c>
      <c r="AF354" s="31">
        <v>44692</v>
      </c>
      <c r="AG354" s="31">
        <v>0</v>
      </c>
      <c r="AH354" s="31">
        <v>0</v>
      </c>
      <c r="AI354" t="str">
        <v>22.07.01</v>
      </c>
      <c r="AJ354" t="str">
        <v>5/19林</v>
      </c>
      <c r="AK354" t="str">
        <v>2022/5/9～2022/3/30まで高雄本社所属　2023/4/10~加藤木材に移動</v>
      </c>
      <c r="AL354">
        <v>44692</v>
      </c>
      <c r="AM354">
        <v>0</v>
      </c>
      <c r="AN354">
        <v>0</v>
      </c>
      <c r="AO354">
        <v>0</v>
      </c>
      <c r="AP354">
        <v>0</v>
      </c>
      <c r="AQ354">
        <v>0</v>
      </c>
      <c r="AR354">
        <v>0</v>
      </c>
    </row>
    <row r="355" spans="1:44">
      <c r="A355" t="str">
        <f>H355&amp;COUNTIF($H$2:H355,H355)</f>
        <v>一次旋係16</v>
      </c>
      <c r="B355" t="str">
        <f>F355&amp;COUNTIF($F$2:F355,F355)</f>
        <v>高雄工業 岡山57</v>
      </c>
      <c r="C355" t="str">
        <v>退社</v>
      </c>
      <c r="D355">
        <v>220512</v>
      </c>
      <c r="E355">
        <v>232060</v>
      </c>
      <c r="F355" t="str">
        <v>高雄工業 岡山</v>
      </c>
      <c r="G355" t="str">
        <v>高雄工業株式会社 岡山事業所HUB工場製作1課</v>
      </c>
      <c r="H355" t="str">
        <v>一次旋係</v>
      </c>
      <c r="I355" t="str">
        <v>ハブ加工・自動機の操作・ＮＣプログラム修正</v>
      </c>
      <c r="J355" t="str">
        <v>NGUYEN HOANG TIEN</v>
      </c>
      <c r="K355" t="str">
        <v>グエン　ホアン　ティエン</v>
      </c>
      <c r="L355" t="str">
        <v>男</v>
      </c>
      <c r="M355" t="str">
        <v>ﾍﾞﾄﾅﾑ</v>
      </c>
      <c r="N355" s="31">
        <v>35685</v>
      </c>
      <c r="O355">
        <v>28</v>
      </c>
      <c r="P355">
        <v>1300</v>
      </c>
      <c r="Q355">
        <v>0</v>
      </c>
      <c r="R355">
        <v>1670</v>
      </c>
      <c r="S355">
        <v>0</v>
      </c>
      <c r="T355">
        <v>370</v>
      </c>
      <c r="U355">
        <v>180000</v>
      </c>
      <c r="V355">
        <v>9027</v>
      </c>
      <c r="W355" t="str">
        <v>0</v>
      </c>
      <c r="X355">
        <v>16470</v>
      </c>
      <c r="Y355" s="31">
        <v>45408</v>
      </c>
      <c r="Z355" t="str">
        <v/>
      </c>
      <c r="AA355" t="str">
        <v>技術・人文知識・国際業務</v>
      </c>
      <c r="AB355" t="str">
        <v>709-2132</v>
      </c>
      <c r="AC355" t="str">
        <v>岡山県岡山市北区御津草生2169番地2</v>
      </c>
      <c r="AD355" t="str">
        <v>草生一軒家</v>
      </c>
      <c r="AE355" s="31">
        <v>44690</v>
      </c>
      <c r="AF355" s="31">
        <v>44693</v>
      </c>
      <c r="AG355" s="31">
        <v>45168</v>
      </c>
      <c r="AH355" s="31">
        <v>0</v>
      </c>
      <c r="AI355" t="str">
        <v>22.07.01</v>
      </c>
      <c r="AJ355" t="str">
        <v>5/19林</v>
      </c>
      <c r="AK355">
        <v>0</v>
      </c>
      <c r="AL355">
        <v>44693</v>
      </c>
      <c r="AM355">
        <v>0</v>
      </c>
      <c r="AN355">
        <v>0</v>
      </c>
      <c r="AO355">
        <v>0</v>
      </c>
      <c r="AP355">
        <v>0</v>
      </c>
      <c r="AQ355">
        <v>0</v>
      </c>
      <c r="AR355">
        <v>0</v>
      </c>
    </row>
    <row r="356" spans="1:44">
      <c r="A356" t="str">
        <f>H356&amp;COUNTIF($H$2:H356,H356)</f>
        <v>1次旋係11</v>
      </c>
      <c r="B356" t="str">
        <f>F356&amp;COUNTIF($F$2:F356,F356)</f>
        <v>高雄工業 岡山58</v>
      </c>
      <c r="C356" t="str">
        <v>退社</v>
      </c>
      <c r="D356">
        <v>220513</v>
      </c>
      <c r="E356">
        <v>232059</v>
      </c>
      <c r="F356" t="str">
        <v>高雄工業 岡山</v>
      </c>
      <c r="G356" t="str">
        <v>高雄工業株式会社 岡山事業所HUB工場製作1課</v>
      </c>
      <c r="H356" t="str">
        <v>1次旋係</v>
      </c>
      <c r="I356" t="str">
        <v>ハブ加工 自動機の操作、ＮＣプログラム修正</v>
      </c>
      <c r="J356" t="str">
        <v>PHAN VAN THIEN</v>
      </c>
      <c r="K356" t="str">
        <v>ファン　ヴァン　ティエン</v>
      </c>
      <c r="L356" t="str">
        <v>男</v>
      </c>
      <c r="M356" t="str">
        <v>ﾍﾞﾄﾅﾑ</v>
      </c>
      <c r="N356" s="31">
        <v>35602</v>
      </c>
      <c r="O356">
        <v>28</v>
      </c>
      <c r="P356">
        <v>1310</v>
      </c>
      <c r="Q356">
        <v>0</v>
      </c>
      <c r="R356">
        <v>1700</v>
      </c>
      <c r="S356">
        <v>0</v>
      </c>
      <c r="T356">
        <v>390</v>
      </c>
      <c r="U356">
        <v>240000</v>
      </c>
      <c r="V356">
        <v>12036</v>
      </c>
      <c r="W356" t="str">
        <v>0</v>
      </c>
      <c r="X356">
        <v>21960</v>
      </c>
      <c r="Y356" s="31">
        <v>46503</v>
      </c>
      <c r="Z356" t="str">
        <v/>
      </c>
      <c r="AA356" t="str">
        <v>技術・人文知識・国際業務</v>
      </c>
      <c r="AB356" t="str">
        <v>709-2132</v>
      </c>
      <c r="AC356" t="str">
        <v>岡山県岡山市北区御津矢原294－1</v>
      </c>
      <c r="AD356" t="str">
        <v>成広矢原ｺｰﾎﾟⅢ106</v>
      </c>
      <c r="AE356" s="31">
        <v>45457</v>
      </c>
      <c r="AF356" s="31">
        <v>44693</v>
      </c>
      <c r="AG356" s="31">
        <v>45686</v>
      </c>
      <c r="AH356" s="31">
        <v>0</v>
      </c>
      <c r="AI356" t="str">
        <v>22.07.01</v>
      </c>
      <c r="AJ356" t="str">
        <v>5/19林</v>
      </c>
      <c r="AK356">
        <v>0</v>
      </c>
      <c r="AL356">
        <v>44693</v>
      </c>
      <c r="AM356">
        <v>0</v>
      </c>
      <c r="AN356">
        <v>0</v>
      </c>
      <c r="AO356">
        <v>0</v>
      </c>
      <c r="AP356">
        <v>0</v>
      </c>
      <c r="AQ356">
        <v>0</v>
      </c>
      <c r="AR356">
        <v>0</v>
      </c>
    </row>
    <row r="357" spans="1:44">
      <c r="A357" t="str">
        <f>H357&amp;COUNTIF($H$2:H357,H357)</f>
        <v>一次旋係17</v>
      </c>
      <c r="B357" t="str">
        <f>F357&amp;COUNTIF($F$2:F357,F357)</f>
        <v>高雄工業 岡山59</v>
      </c>
      <c r="C357" t="str">
        <v>退社</v>
      </c>
      <c r="D357">
        <v>220514</v>
      </c>
      <c r="E357">
        <v>232058</v>
      </c>
      <c r="F357" t="str">
        <v>高雄工業 岡山</v>
      </c>
      <c r="G357" t="str">
        <v>高雄工業株式会社 岡山事業所HUB工場製作1課</v>
      </c>
      <c r="H357" t="str">
        <v>一次旋係</v>
      </c>
      <c r="I357">
        <v>0</v>
      </c>
      <c r="J357" t="str">
        <v>DINH VAN HAI</v>
      </c>
      <c r="K357" t="str">
        <v>ディン　ヴァン　ハイ</v>
      </c>
      <c r="L357" t="str">
        <v>男</v>
      </c>
      <c r="M357" t="str">
        <v>ﾍﾞﾄﾅﾑ</v>
      </c>
      <c r="N357" s="31">
        <v>35113</v>
      </c>
      <c r="O357">
        <v>29</v>
      </c>
      <c r="P357">
        <v>1220</v>
      </c>
      <c r="Q357">
        <v>0</v>
      </c>
      <c r="R357">
        <v>1650</v>
      </c>
      <c r="S357">
        <v>0</v>
      </c>
      <c r="T357">
        <v>430</v>
      </c>
      <c r="U357">
        <v>180000</v>
      </c>
      <c r="V357">
        <v>9027</v>
      </c>
      <c r="W357" t="str">
        <v>0</v>
      </c>
      <c r="X357">
        <v>16470</v>
      </c>
      <c r="Y357" s="31">
        <v>45042</v>
      </c>
      <c r="Z357" t="str">
        <v/>
      </c>
      <c r="AA357" t="str">
        <v>技術・人文知識・国際業務</v>
      </c>
      <c r="AB357" t="str">
        <v>709-2132</v>
      </c>
      <c r="AC357" t="str">
        <v>岡山県岡山市北区御津草生2169番地2</v>
      </c>
      <c r="AD357" t="str">
        <v>草生一軒家</v>
      </c>
      <c r="AE357" s="31">
        <v>44690</v>
      </c>
      <c r="AF357" s="31">
        <v>44693</v>
      </c>
      <c r="AG357" s="31">
        <v>44985</v>
      </c>
      <c r="AH357" s="31">
        <v>0</v>
      </c>
      <c r="AI357" t="str">
        <v>22.07.01</v>
      </c>
      <c r="AJ357" t="str">
        <v>5/19林</v>
      </c>
      <c r="AK357">
        <v>0</v>
      </c>
      <c r="AL357">
        <v>44693</v>
      </c>
      <c r="AM357">
        <v>0</v>
      </c>
      <c r="AN357">
        <v>0</v>
      </c>
      <c r="AO357">
        <v>0</v>
      </c>
      <c r="AP357">
        <v>0</v>
      </c>
      <c r="AQ357">
        <v>0</v>
      </c>
      <c r="AR357">
        <v>0</v>
      </c>
    </row>
    <row r="358" spans="1:44">
      <c r="A358" t="str">
        <f>H358&amp;COUNTIF($H$2:H358,H358)</f>
        <v>HUB_第16</v>
      </c>
      <c r="B358" t="str">
        <f>F358&amp;COUNTIF($F$2:F358,F358)</f>
        <v>高雄工業 海南第一30</v>
      </c>
      <c r="C358" t="str">
        <v>退社</v>
      </c>
      <c r="D358">
        <v>220516</v>
      </c>
      <c r="E358">
        <v>222046</v>
      </c>
      <c r="F358" t="str">
        <v>高雄工業 海南第一</v>
      </c>
      <c r="G358" t="str">
        <v>高雄工業株式会社 愛知事業所海南第一工場製作1課</v>
      </c>
      <c r="H358" t="str">
        <v>HUB_第1</v>
      </c>
      <c r="I358" t="str">
        <v>ハブ加工　自動ラインの機械オペレーター、NCプログラム修正</v>
      </c>
      <c r="J358" t="str">
        <v>NGUYEN HOANG VIET LAM</v>
      </c>
      <c r="K358" t="str">
        <v>グエン　ホアン　ヴィエット　ラム</v>
      </c>
      <c r="L358" t="str">
        <v>男</v>
      </c>
      <c r="M358" t="str">
        <v>ﾍﾞﾄﾅﾑ</v>
      </c>
      <c r="N358" s="31">
        <v>36111</v>
      </c>
      <c r="O358">
        <v>27</v>
      </c>
      <c r="P358">
        <v>1220</v>
      </c>
      <c r="Q358">
        <v>0</v>
      </c>
      <c r="R358">
        <v>1660</v>
      </c>
      <c r="S358">
        <v>0</v>
      </c>
      <c r="T358">
        <v>440</v>
      </c>
      <c r="U358">
        <v>180000</v>
      </c>
      <c r="V358">
        <v>9027</v>
      </c>
      <c r="W358" t="str">
        <v>0</v>
      </c>
      <c r="X358">
        <v>16470</v>
      </c>
      <c r="Y358" s="31">
        <v>45408</v>
      </c>
      <c r="Z358" t="str">
        <v/>
      </c>
      <c r="AA358" t="str">
        <v>技術・人文知識・国際業務</v>
      </c>
      <c r="AB358" t="str">
        <v>498-0025</v>
      </c>
      <c r="AC358" t="str">
        <v>愛知県弥富市前ヶ須町西勘助207</v>
      </c>
      <c r="AD358" t="str">
        <v>CASA弥冨A105</v>
      </c>
      <c r="AE358" s="31">
        <v>44864</v>
      </c>
      <c r="AF358" s="31">
        <v>44693</v>
      </c>
      <c r="AG358" s="31">
        <v>45106</v>
      </c>
      <c r="AH358" s="31">
        <v>0</v>
      </c>
      <c r="AI358" t="str">
        <v>22.07.01</v>
      </c>
      <c r="AJ358" t="str">
        <v>5/19林</v>
      </c>
      <c r="AK358">
        <v>0</v>
      </c>
      <c r="AL358">
        <v>44693</v>
      </c>
      <c r="AM358">
        <v>0</v>
      </c>
      <c r="AN358">
        <v>0</v>
      </c>
      <c r="AO358">
        <v>0</v>
      </c>
      <c r="AP358">
        <v>0</v>
      </c>
      <c r="AQ358">
        <v>0</v>
      </c>
      <c r="AR358">
        <v>0</v>
      </c>
    </row>
    <row r="359" spans="1:44">
      <c r="A359" t="str">
        <f>H359&amp;COUNTIF($H$2:H359,H359)</f>
        <v>Gライン9</v>
      </c>
      <c r="B359" t="str">
        <f>F359&amp;COUNTIF($F$2:F359,F359)</f>
        <v>高雄工業 本社37</v>
      </c>
      <c r="C359" t="str">
        <v>在職中</v>
      </c>
      <c r="D359">
        <v>221202</v>
      </c>
      <c r="E359">
        <v>212035</v>
      </c>
      <c r="F359" t="str">
        <v>高雄工業 本社</v>
      </c>
      <c r="G359" t="str">
        <v>高雄工業株式会社 愛知事業所本社工場製作課</v>
      </c>
      <c r="H359" t="str">
        <v>Gライン</v>
      </c>
      <c r="I359" t="str">
        <v>CVJ部品長軸品の施削加工、NCプログラム修正</v>
      </c>
      <c r="J359" t="str">
        <v>LE VIET DUNG</v>
      </c>
      <c r="K359" t="str">
        <v>レー　ヴィエット　ズン</v>
      </c>
      <c r="L359" t="str">
        <v>男</v>
      </c>
      <c r="M359" t="str">
        <v>ﾍﾞﾄﾅﾑ</v>
      </c>
      <c r="N359" s="31">
        <v>35703</v>
      </c>
      <c r="O359">
        <v>28</v>
      </c>
      <c r="P359">
        <v>1310</v>
      </c>
      <c r="Q359">
        <v>0</v>
      </c>
      <c r="R359">
        <v>1690</v>
      </c>
      <c r="S359">
        <v>0</v>
      </c>
      <c r="T359">
        <v>380</v>
      </c>
      <c r="U359">
        <v>240000</v>
      </c>
      <c r="V359">
        <v>12036</v>
      </c>
      <c r="W359" t="str">
        <v>0</v>
      </c>
      <c r="X359">
        <v>21960</v>
      </c>
      <c r="Y359" s="31">
        <v>46058</v>
      </c>
      <c r="Z359">
        <v>63</v>
      </c>
      <c r="AA359" t="str">
        <v>技術・人文知識・国際業務</v>
      </c>
      <c r="AB359" t="str">
        <v>498-0032</v>
      </c>
      <c r="AC359" t="str">
        <v>愛知県弥富市平島中4丁目128</v>
      </c>
      <c r="AD359" t="str">
        <v>村上貸家</v>
      </c>
      <c r="AE359" s="31">
        <v>44893</v>
      </c>
      <c r="AF359" s="31">
        <v>44896</v>
      </c>
      <c r="AG359" s="31">
        <v>0</v>
      </c>
      <c r="AH359" s="31">
        <v>0</v>
      </c>
      <c r="AI359" t="str">
        <v>23.1.1</v>
      </c>
      <c r="AJ359" t="str">
        <v>12/19林</v>
      </c>
      <c r="AK359">
        <v>0</v>
      </c>
      <c r="AL359">
        <v>44896</v>
      </c>
      <c r="AM359">
        <v>0</v>
      </c>
      <c r="AN359">
        <v>0</v>
      </c>
      <c r="AO359">
        <v>0</v>
      </c>
      <c r="AP359">
        <v>0</v>
      </c>
      <c r="AQ359">
        <v>0</v>
      </c>
      <c r="AR359">
        <v>0</v>
      </c>
    </row>
    <row r="360" spans="1:44">
      <c r="A360" t="str">
        <f>H360&amp;COUNTIF($H$2:H360,H360)</f>
        <v>自動旋削5</v>
      </c>
      <c r="B360" t="str">
        <f>F360&amp;COUNTIF($F$2:F360,F360)</f>
        <v>高雄工業 静岡38</v>
      </c>
      <c r="C360" t="str">
        <v>退社</v>
      </c>
      <c r="D360">
        <v>220517</v>
      </c>
      <c r="E360">
        <v>242046</v>
      </c>
      <c r="F360" t="str">
        <v>高雄工業 静岡</v>
      </c>
      <c r="G360" t="str">
        <v>高雄工業株式会社 静岡事業所第一工場製作課</v>
      </c>
      <c r="H360" t="str">
        <v>自動旋削</v>
      </c>
      <c r="I360">
        <v>0</v>
      </c>
      <c r="J360" t="str">
        <v>MA THE THIEN</v>
      </c>
      <c r="K360" t="str">
        <v>マー　テー　ティエン</v>
      </c>
      <c r="L360" t="str">
        <v>男</v>
      </c>
      <c r="M360" t="str">
        <v>ﾍﾞﾄﾅﾑ</v>
      </c>
      <c r="N360" s="31">
        <v>35641</v>
      </c>
      <c r="O360">
        <v>28</v>
      </c>
      <c r="P360">
        <v>1210</v>
      </c>
      <c r="Q360">
        <v>0</v>
      </c>
      <c r="R360">
        <v>1650</v>
      </c>
      <c r="S360">
        <v>0</v>
      </c>
      <c r="T360">
        <v>440</v>
      </c>
      <c r="U360">
        <v>0</v>
      </c>
      <c r="V360" t="str">
        <v/>
      </c>
      <c r="W360" t="str">
        <v>0</v>
      </c>
      <c r="X360" t="str">
        <v/>
      </c>
      <c r="Y360" s="31">
        <v>45042</v>
      </c>
      <c r="Z360" t="str">
        <v/>
      </c>
      <c r="AA360" t="str">
        <v>技術・人文知識・国際業務</v>
      </c>
      <c r="AB360" t="str">
        <v>437-0015</v>
      </c>
      <c r="AC360" t="str">
        <v>静岡県袋井市旭町2-7-5</v>
      </c>
      <c r="AD360" t="str">
        <v>ﾌｨﾌﾃｨⅡ102</v>
      </c>
      <c r="AE360" s="31" t="str">
        <v>個人</v>
      </c>
      <c r="AF360" s="31">
        <v>44694</v>
      </c>
      <c r="AG360" s="31">
        <v>44855</v>
      </c>
      <c r="AH360" s="31">
        <v>0</v>
      </c>
      <c r="AI360" t="str">
        <v>22.07.01</v>
      </c>
      <c r="AJ360" t="str">
        <v>5/19林</v>
      </c>
      <c r="AK360">
        <v>0</v>
      </c>
      <c r="AL360">
        <v>44694</v>
      </c>
      <c r="AM360">
        <v>0</v>
      </c>
      <c r="AN360">
        <v>0</v>
      </c>
      <c r="AO360">
        <v>0</v>
      </c>
      <c r="AP360">
        <v>0</v>
      </c>
      <c r="AQ360">
        <v>0</v>
      </c>
      <c r="AR360">
        <v>0</v>
      </c>
    </row>
    <row r="361" spans="1:44">
      <c r="A361" t="str">
        <f>H361&amp;COUNTIF($H$2:H361,H361)</f>
        <v>0182</v>
      </c>
      <c r="B361" t="str">
        <f>F361&amp;COUNTIF($F$2:F361,F361)</f>
        <v>ワーク 志紀4</v>
      </c>
      <c r="C361" t="str">
        <v>退社</v>
      </c>
      <c r="D361">
        <v>220518</v>
      </c>
      <c r="E361">
        <v>0</v>
      </c>
      <c r="F361" t="str">
        <v>ワーク 志紀</v>
      </c>
      <c r="G361" t="str">
        <v>志紀工場　製造部</v>
      </c>
      <c r="H361">
        <v>0</v>
      </c>
      <c r="I361">
        <v>0</v>
      </c>
      <c r="J361" t="str">
        <v>BUI THE LAM</v>
      </c>
      <c r="K361" t="str">
        <v>ブイ　テエ　ラム</v>
      </c>
      <c r="L361" t="str">
        <v>男</v>
      </c>
      <c r="M361" t="str">
        <v>ﾍﾞﾄﾅﾑ</v>
      </c>
      <c r="N361" s="31">
        <v>34362</v>
      </c>
      <c r="O361">
        <v>31</v>
      </c>
      <c r="P361">
        <v>1400</v>
      </c>
      <c r="Q361">
        <v>0</v>
      </c>
      <c r="R361">
        <v>1900</v>
      </c>
      <c r="S361">
        <v>0</v>
      </c>
      <c r="T361">
        <v>500</v>
      </c>
      <c r="U361">
        <v>0</v>
      </c>
      <c r="V361" t="str">
        <v/>
      </c>
      <c r="W361" t="str">
        <v>0</v>
      </c>
      <c r="X361" t="str">
        <v/>
      </c>
      <c r="Y361" s="31">
        <v>45181</v>
      </c>
      <c r="Z361" t="str">
        <v/>
      </c>
      <c r="AA361" t="str">
        <v>技術・人文知識・国際業務</v>
      </c>
      <c r="AB361" t="str">
        <v>581-0875</v>
      </c>
      <c r="AC361" t="str">
        <v>大阪府八尾市高安町南1-69-6</v>
      </c>
      <c r="AD361" t="str">
        <v>高安一番館403</v>
      </c>
      <c r="AE361" s="31">
        <v>44732</v>
      </c>
      <c r="AF361" s="31">
        <v>44704</v>
      </c>
      <c r="AG361" s="31">
        <v>44824</v>
      </c>
      <c r="AH361" s="31">
        <v>0</v>
      </c>
      <c r="AI361" t="str">
        <v>22.07.01</v>
      </c>
      <c r="AJ361" t="str">
        <v>6/6林</v>
      </c>
      <c r="AK361">
        <v>0</v>
      </c>
      <c r="AL361">
        <v>44704</v>
      </c>
      <c r="AM361">
        <v>0</v>
      </c>
      <c r="AN361">
        <v>0</v>
      </c>
      <c r="AO361">
        <v>0</v>
      </c>
      <c r="AP361">
        <v>0</v>
      </c>
      <c r="AQ361">
        <v>0</v>
      </c>
      <c r="AR361">
        <v>0</v>
      </c>
    </row>
    <row r="362" spans="1:44">
      <c r="A362" t="str">
        <f>H362&amp;COUNTIF($H$2:H362,H362)</f>
        <v>0183</v>
      </c>
      <c r="B362" t="str">
        <f>F362&amp;COUNTIF($F$2:F362,F362)</f>
        <v>三幸技研4</v>
      </c>
      <c r="C362" t="str">
        <v>退社</v>
      </c>
      <c r="D362">
        <v>220519</v>
      </c>
      <c r="E362">
        <v>0</v>
      </c>
      <c r="F362" t="str">
        <v>三幸技研</v>
      </c>
      <c r="G362">
        <v>0</v>
      </c>
      <c r="H362">
        <v>0</v>
      </c>
      <c r="I362">
        <v>0</v>
      </c>
      <c r="J362" t="str">
        <v>BUI DAI PHUOC</v>
      </c>
      <c r="K362" t="str">
        <v>ブイ　ダイ　フク</v>
      </c>
      <c r="L362" t="str">
        <v>男</v>
      </c>
      <c r="M362" t="str">
        <v>ﾍﾞﾄﾅﾑ</v>
      </c>
      <c r="N362" s="31">
        <v>34372</v>
      </c>
      <c r="O362">
        <v>31</v>
      </c>
      <c r="P362">
        <v>1300</v>
      </c>
      <c r="Q362">
        <v>0</v>
      </c>
      <c r="R362">
        <v>1750</v>
      </c>
      <c r="S362">
        <v>0</v>
      </c>
      <c r="T362">
        <v>450</v>
      </c>
      <c r="U362">
        <v>0</v>
      </c>
      <c r="V362" t="str">
        <v/>
      </c>
      <c r="W362" t="str">
        <v>0</v>
      </c>
      <c r="X362" t="str">
        <v/>
      </c>
      <c r="Y362" s="31">
        <v>45132</v>
      </c>
      <c r="Z362" t="str">
        <v/>
      </c>
      <c r="AA362" t="str">
        <v>技術・人文知識・国際業務</v>
      </c>
      <c r="AB362" t="str">
        <v>474-0027</v>
      </c>
      <c r="AC362" t="str">
        <v>愛知県大府市追分町2丁目334番地</v>
      </c>
      <c r="AD362" t="str">
        <v>黄金ﾏﾝｼｮﾝ302</v>
      </c>
      <c r="AE362" s="31">
        <v>44701</v>
      </c>
      <c r="AF362" s="31">
        <v>44704</v>
      </c>
      <c r="AG362" s="31">
        <v>44894</v>
      </c>
      <c r="AH362" s="31">
        <v>0</v>
      </c>
      <c r="AI362" t="str">
        <v>22.07.01</v>
      </c>
      <c r="AJ362" t="str">
        <v>5/24原</v>
      </c>
      <c r="AK362" t="str">
        <v>2022/4/28～2022/5/19　請負従事　2022/5/23～　三幸技研へ派遣開始</v>
      </c>
      <c r="AL362">
        <v>44704</v>
      </c>
      <c r="AM362">
        <v>0</v>
      </c>
      <c r="AN362">
        <v>0</v>
      </c>
      <c r="AO362">
        <v>0</v>
      </c>
      <c r="AP362">
        <v>0</v>
      </c>
      <c r="AQ362">
        <v>0</v>
      </c>
      <c r="AR362">
        <v>0</v>
      </c>
    </row>
    <row r="363" spans="1:44">
      <c r="A363" t="str">
        <f>H363&amp;COUNTIF($H$2:H363,H363)</f>
        <v>P2</v>
      </c>
      <c r="B363" t="str">
        <f>F363&amp;COUNTIF($F$2:F363,F363)</f>
        <v>高雄工業 海南第二9</v>
      </c>
      <c r="C363" t="str">
        <v>退社</v>
      </c>
      <c r="D363">
        <v>220520</v>
      </c>
      <c r="E363">
        <v>222047</v>
      </c>
      <c r="F363" t="str">
        <v>高雄工業 海南第二</v>
      </c>
      <c r="G363" t="str">
        <v>高雄工業株式会社 愛知事業所海南第二工場製作課</v>
      </c>
      <c r="H363" t="str">
        <v>P</v>
      </c>
      <c r="I363">
        <v>0</v>
      </c>
      <c r="J363" t="str">
        <v>TA QUAN VUONG</v>
      </c>
      <c r="K363" t="str">
        <v>ター　クアン　ヴオン</v>
      </c>
      <c r="L363" t="str">
        <v>男</v>
      </c>
      <c r="M363" t="str">
        <v>ﾍﾞﾄﾅﾑ</v>
      </c>
      <c r="N363" s="31">
        <v>34352</v>
      </c>
      <c r="O363">
        <v>31</v>
      </c>
      <c r="P363">
        <v>1200</v>
      </c>
      <c r="Q363">
        <v>0</v>
      </c>
      <c r="R363">
        <v>1650</v>
      </c>
      <c r="S363">
        <v>0</v>
      </c>
      <c r="T363">
        <v>450</v>
      </c>
      <c r="U363">
        <v>0</v>
      </c>
      <c r="V363" t="str">
        <v/>
      </c>
      <c r="W363" t="str">
        <v>0</v>
      </c>
      <c r="X363" t="str">
        <v/>
      </c>
      <c r="Y363" s="31">
        <v>45062</v>
      </c>
      <c r="Z363" t="str">
        <v/>
      </c>
      <c r="AA363" t="str">
        <v>技術・人文知識・国際業務</v>
      </c>
      <c r="AB363" t="str">
        <v>498-0017</v>
      </c>
      <c r="AC363" t="str">
        <v>愛知県弥富市前ヶ須町西勘助207</v>
      </c>
      <c r="AD363" t="str">
        <v>CASA弥冨A203</v>
      </c>
      <c r="AE363" s="31">
        <v>44704</v>
      </c>
      <c r="AF363" s="31">
        <v>44705</v>
      </c>
      <c r="AG363" s="31">
        <v>44923</v>
      </c>
      <c r="AH363" s="31">
        <v>0</v>
      </c>
      <c r="AI363" t="str">
        <v>22.07.01</v>
      </c>
      <c r="AJ363" t="str">
        <v>6/6林</v>
      </c>
      <c r="AK363">
        <v>0</v>
      </c>
      <c r="AL363">
        <v>44705</v>
      </c>
      <c r="AM363">
        <v>0</v>
      </c>
      <c r="AN363">
        <v>0</v>
      </c>
      <c r="AO363">
        <v>0</v>
      </c>
      <c r="AP363">
        <v>0</v>
      </c>
      <c r="AQ363">
        <v>0</v>
      </c>
      <c r="AR363">
        <v>0</v>
      </c>
    </row>
    <row r="364" spans="1:44">
      <c r="A364" t="str">
        <f>H364&amp;COUNTIF($H$2:H364,H364)</f>
        <v>等速ジョイント5</v>
      </c>
      <c r="B364" t="str">
        <f>F364&amp;COUNTIF($F$2:F364,F364)</f>
        <v>瑞陵精機16</v>
      </c>
      <c r="C364" t="str">
        <v>在職中</v>
      </c>
      <c r="D364">
        <v>220521</v>
      </c>
      <c r="E364">
        <v>0</v>
      </c>
      <c r="F364" t="str">
        <v>瑞陵精機</v>
      </c>
      <c r="G364" t="str">
        <v>製造課</v>
      </c>
      <c r="H364" t="str">
        <v>等速ジョイント</v>
      </c>
      <c r="I364" t="str">
        <v>ＮＣ旋盤、マシニングセンター等の工作機械を使いオペレーターとして製造ラインで製品を加工</v>
      </c>
      <c r="J364" t="str">
        <v>NGUYEN VIET CUONG</v>
      </c>
      <c r="K364" t="str">
        <v>グエン　ヴィエット　クオン</v>
      </c>
      <c r="L364" t="str">
        <v>男</v>
      </c>
      <c r="M364" t="str">
        <v>ﾍﾞﾄﾅﾑ</v>
      </c>
      <c r="N364" s="31">
        <v>33244</v>
      </c>
      <c r="O364">
        <v>34</v>
      </c>
      <c r="P364">
        <v>1310</v>
      </c>
      <c r="Q364">
        <v>0</v>
      </c>
      <c r="R364">
        <v>1700</v>
      </c>
      <c r="S364">
        <v>0</v>
      </c>
      <c r="T364">
        <v>390</v>
      </c>
      <c r="U364">
        <v>220000</v>
      </c>
      <c r="V364">
        <v>11033</v>
      </c>
      <c r="W364" t="str">
        <v>0</v>
      </c>
      <c r="X364">
        <v>20130</v>
      </c>
      <c r="Y364" s="31">
        <v>46558</v>
      </c>
      <c r="Z364" t="str">
        <v/>
      </c>
      <c r="AA364" t="str">
        <v>技術・人文知識・国際業務</v>
      </c>
      <c r="AB364" t="str">
        <v>509-7201</v>
      </c>
      <c r="AC364" t="str">
        <v>岐阜県恵那市大井町1120-303</v>
      </c>
      <c r="AD364" t="str">
        <v>各務ﾊｲﾂ6A</v>
      </c>
      <c r="AE364" s="31">
        <v>44704</v>
      </c>
      <c r="AF364" s="31">
        <v>44706</v>
      </c>
      <c r="AG364" s="31">
        <v>0</v>
      </c>
      <c r="AH364" s="31">
        <v>0</v>
      </c>
      <c r="AI364" t="str">
        <v>22.07.01</v>
      </c>
      <c r="AJ364" t="str">
        <v>6/6林</v>
      </c>
      <c r="AK364">
        <v>0</v>
      </c>
      <c r="AL364">
        <v>44706</v>
      </c>
      <c r="AM364">
        <v>0</v>
      </c>
      <c r="AN364">
        <v>0</v>
      </c>
      <c r="AO364">
        <v>0</v>
      </c>
      <c r="AP364">
        <v>0</v>
      </c>
      <c r="AQ364">
        <v>0</v>
      </c>
      <c r="AR364">
        <v>0</v>
      </c>
    </row>
    <row r="365" spans="1:44">
      <c r="A365" t="str">
        <f>H365&amp;COUNTIF($H$2:H365,H365)</f>
        <v>Gライン10</v>
      </c>
      <c r="B365" t="str">
        <f>F365&amp;COUNTIF($F$2:F365,F365)</f>
        <v>高雄工業 本社38</v>
      </c>
      <c r="C365" t="str">
        <v>在職中</v>
      </c>
      <c r="D365">
        <v>221209</v>
      </c>
      <c r="E365">
        <v>212037</v>
      </c>
      <c r="F365" t="str">
        <v>高雄工業 本社</v>
      </c>
      <c r="G365" t="str">
        <v>高雄工業株式会社 愛知事業所本社工場製作課</v>
      </c>
      <c r="H365" t="str">
        <v>Gライン</v>
      </c>
      <c r="I365" t="str">
        <v>CVJ部品長軸品の施削加工、NCプログラム修正</v>
      </c>
      <c r="J365" t="str">
        <v>TRAN DUC TRUONG</v>
      </c>
      <c r="K365" t="str">
        <v>チャン　ドゥック　チュオン</v>
      </c>
      <c r="L365" t="str">
        <v>男</v>
      </c>
      <c r="M365" t="str">
        <v>ﾍﾞﾄﾅﾑ</v>
      </c>
      <c r="N365" s="31">
        <v>34048</v>
      </c>
      <c r="O365">
        <v>32</v>
      </c>
      <c r="P365">
        <v>1310</v>
      </c>
      <c r="Q365">
        <v>0</v>
      </c>
      <c r="R365">
        <v>1720</v>
      </c>
      <c r="S365">
        <v>0</v>
      </c>
      <c r="T365">
        <v>410</v>
      </c>
      <c r="U365">
        <v>260000</v>
      </c>
      <c r="V365">
        <v>13039</v>
      </c>
      <c r="W365" t="str">
        <v>0</v>
      </c>
      <c r="X365">
        <v>23790</v>
      </c>
      <c r="Y365" s="31">
        <v>46740</v>
      </c>
      <c r="Z365" t="str">
        <v/>
      </c>
      <c r="AA365" t="str">
        <v>技術・人文知識・国際業務</v>
      </c>
      <c r="AB365" t="str">
        <v>498-0017</v>
      </c>
      <c r="AC365" t="str">
        <v>愛知県弥富市前ヶ須町勘助走34-1</v>
      </c>
      <c r="AD365" t="str">
        <v>ｱﾄﾚA棟106</v>
      </c>
      <c r="AE365" s="31">
        <v>45500</v>
      </c>
      <c r="AF365" s="31">
        <v>44907</v>
      </c>
      <c r="AG365" s="31">
        <v>0</v>
      </c>
      <c r="AH365" s="31">
        <v>0</v>
      </c>
      <c r="AI365" t="str">
        <v>23.1.1</v>
      </c>
      <c r="AJ365" t="str">
        <v>12/15林</v>
      </c>
      <c r="AK365">
        <v>0</v>
      </c>
      <c r="AL365">
        <v>44907</v>
      </c>
      <c r="AM365">
        <v>0</v>
      </c>
      <c r="AN365">
        <v>0</v>
      </c>
      <c r="AO365">
        <v>0</v>
      </c>
      <c r="AP365">
        <v>0</v>
      </c>
      <c r="AQ365" t="str">
        <v>JLPT-N4</v>
      </c>
      <c r="AR365">
        <v>0</v>
      </c>
    </row>
    <row r="366" spans="1:44">
      <c r="A366" t="str">
        <f>H366&amp;COUNTIF($H$2:H366,H366)</f>
        <v>0184</v>
      </c>
      <c r="B366" t="str">
        <f>F366&amp;COUNTIF($F$2:F366,F366)</f>
        <v>セイビテック12</v>
      </c>
      <c r="C366" t="str">
        <v>退社</v>
      </c>
      <c r="D366">
        <v>220523</v>
      </c>
      <c r="E366">
        <v>0</v>
      </c>
      <c r="F366" t="str">
        <v>セイビテック</v>
      </c>
      <c r="G366">
        <v>0</v>
      </c>
      <c r="H366">
        <v>0</v>
      </c>
      <c r="I366">
        <v>0</v>
      </c>
      <c r="J366" t="str">
        <v>TRAN HONG QUAN</v>
      </c>
      <c r="K366" t="str">
        <v>チャン　ホン　クアン</v>
      </c>
      <c r="L366" t="str">
        <v>男</v>
      </c>
      <c r="M366" t="str">
        <v>ﾍﾞﾄﾅﾑ</v>
      </c>
      <c r="N366" s="31">
        <v>34818</v>
      </c>
      <c r="O366">
        <v>30</v>
      </c>
      <c r="P366">
        <v>1400</v>
      </c>
      <c r="Q366">
        <v>0</v>
      </c>
      <c r="R366">
        <v>1900</v>
      </c>
      <c r="S366">
        <v>0</v>
      </c>
      <c r="T366">
        <v>500</v>
      </c>
      <c r="U366">
        <v>0</v>
      </c>
      <c r="V366" t="str">
        <v/>
      </c>
      <c r="W366" t="str">
        <v>0</v>
      </c>
      <c r="X366">
        <v>0</v>
      </c>
      <c r="Y366" s="31">
        <v>45687</v>
      </c>
      <c r="Z366" t="str">
        <v/>
      </c>
      <c r="AA366" t="str">
        <v>技術・人文知識・国際業務</v>
      </c>
      <c r="AB366" t="str">
        <v>715-0014</v>
      </c>
      <c r="AC366" t="str">
        <v>岡山県井原市高屋町1丁目20-11</v>
      </c>
      <c r="AD366" t="str">
        <v>ｲﾌﾟｼﾛﾝB102</v>
      </c>
      <c r="AE366" s="31">
        <v>44704</v>
      </c>
      <c r="AF366" s="31">
        <v>44708</v>
      </c>
      <c r="AG366" s="31">
        <v>44978</v>
      </c>
      <c r="AH366" s="31">
        <v>44973</v>
      </c>
      <c r="AI366" t="str">
        <v>22.07.01</v>
      </c>
      <c r="AJ366" t="str">
        <v>6/6林</v>
      </c>
      <c r="AK366">
        <v>0</v>
      </c>
      <c r="AL366">
        <v>44708</v>
      </c>
      <c r="AM366">
        <v>0</v>
      </c>
      <c r="AN366">
        <v>0</v>
      </c>
      <c r="AO366">
        <v>0</v>
      </c>
      <c r="AP366">
        <v>0</v>
      </c>
      <c r="AQ366">
        <v>0</v>
      </c>
      <c r="AR366">
        <v>0</v>
      </c>
    </row>
    <row r="367" spans="1:44">
      <c r="A367" t="str">
        <f>H367&amp;COUNTIF($H$2:H367,H367)</f>
        <v>0185</v>
      </c>
      <c r="B367" t="str">
        <f>F367&amp;COUNTIF($F$2:F367,F367)</f>
        <v>ワーク 志紀5</v>
      </c>
      <c r="C367" t="str">
        <v>在職中</v>
      </c>
      <c r="D367">
        <v>220524</v>
      </c>
      <c r="E367">
        <v>0</v>
      </c>
      <c r="F367" t="str">
        <v>ワーク 志紀</v>
      </c>
      <c r="G367" t="str">
        <v>志紀工場　製造部</v>
      </c>
      <c r="H367">
        <v>0</v>
      </c>
      <c r="I367">
        <v>0</v>
      </c>
      <c r="J367" t="str">
        <v>PHUNG MANH TUAN</v>
      </c>
      <c r="K367" t="str">
        <v>フン　マイン　トゥアン</v>
      </c>
      <c r="L367" t="str">
        <v>男</v>
      </c>
      <c r="M367" t="str">
        <v>ﾍﾞﾄﾅﾑ</v>
      </c>
      <c r="N367" s="31">
        <v>35030</v>
      </c>
      <c r="O367">
        <v>30</v>
      </c>
      <c r="P367">
        <v>1450</v>
      </c>
      <c r="Q367">
        <v>0</v>
      </c>
      <c r="R367">
        <v>1900</v>
      </c>
      <c r="S367">
        <v>0</v>
      </c>
      <c r="T367">
        <v>450</v>
      </c>
      <c r="U367">
        <v>240000</v>
      </c>
      <c r="V367">
        <v>12036</v>
      </c>
      <c r="W367" t="str">
        <v>0</v>
      </c>
      <c r="X367">
        <v>21960</v>
      </c>
      <c r="Y367" s="31">
        <v>46074</v>
      </c>
      <c r="Z367">
        <v>79</v>
      </c>
      <c r="AA367" t="str">
        <v>技術・人文知識・国際業務</v>
      </c>
      <c r="AB367" t="str">
        <v>581-0875</v>
      </c>
      <c r="AC367" t="str">
        <v>大阪府八尾市高安町南1-69-6</v>
      </c>
      <c r="AD367" t="str">
        <v>高安一番館403</v>
      </c>
      <c r="AE367" s="31">
        <v>44732</v>
      </c>
      <c r="AF367" s="31">
        <v>44708</v>
      </c>
      <c r="AG367" s="31">
        <v>0</v>
      </c>
      <c r="AH367" s="31">
        <v>0</v>
      </c>
      <c r="AI367" t="str">
        <v>22.07.01</v>
      </c>
      <c r="AJ367" t="str">
        <v>6/6林</v>
      </c>
      <c r="AK367">
        <v>0</v>
      </c>
      <c r="AL367">
        <v>44708</v>
      </c>
      <c r="AM367">
        <v>0</v>
      </c>
      <c r="AN367">
        <v>0</v>
      </c>
      <c r="AO367">
        <v>0</v>
      </c>
      <c r="AP367">
        <v>0</v>
      </c>
      <c r="AQ367">
        <v>0</v>
      </c>
      <c r="AR367">
        <v>0</v>
      </c>
    </row>
    <row r="368" spans="1:44">
      <c r="A368" t="str">
        <f>H368&amp;COUNTIF($H$2:H368,H368)</f>
        <v>等速ジョイント6</v>
      </c>
      <c r="B368" t="str">
        <f>F368&amp;COUNTIF($F$2:F368,F368)</f>
        <v>瑞陵精機17</v>
      </c>
      <c r="C368" t="str">
        <v>退社</v>
      </c>
      <c r="D368">
        <v>220525</v>
      </c>
      <c r="E368">
        <v>0</v>
      </c>
      <c r="F368" t="str">
        <v>瑞陵精機</v>
      </c>
      <c r="G368" t="str">
        <v>製造課</v>
      </c>
      <c r="H368" t="str">
        <v>等速ジョイント</v>
      </c>
      <c r="I368" t="str">
        <v>ＮＣ旋盤、マシニングセンター等の工作機械を使いオペレーターとして製造ラインで製品を加工</v>
      </c>
      <c r="J368" t="str">
        <v>NGUYEN CHI TUAN</v>
      </c>
      <c r="K368" t="str">
        <v>グエン　チー　トゥアン</v>
      </c>
      <c r="L368" t="str">
        <v>男</v>
      </c>
      <c r="M368" t="str">
        <v>ﾍﾞﾄﾅﾑ</v>
      </c>
      <c r="N368" s="31">
        <v>35816</v>
      </c>
      <c r="O368">
        <v>27</v>
      </c>
      <c r="P368">
        <v>1310</v>
      </c>
      <c r="Q368">
        <v>0</v>
      </c>
      <c r="R368">
        <v>1700</v>
      </c>
      <c r="S368">
        <v>0</v>
      </c>
      <c r="T368">
        <v>390</v>
      </c>
      <c r="U368">
        <v>360000</v>
      </c>
      <c r="V368">
        <v>18054</v>
      </c>
      <c r="W368" t="str">
        <v>0</v>
      </c>
      <c r="X368">
        <v>32940</v>
      </c>
      <c r="Y368" s="31">
        <v>46558</v>
      </c>
      <c r="Z368" t="str">
        <v/>
      </c>
      <c r="AA368" t="str">
        <v>技術・人文知識・国際業務</v>
      </c>
      <c r="AB368" t="str">
        <v>509-7201</v>
      </c>
      <c r="AC368" t="str">
        <v>岐阜県恵那市大井町1120-303</v>
      </c>
      <c r="AD368" t="str">
        <v>各務ﾊｲﾂ6A</v>
      </c>
      <c r="AE368" s="31">
        <v>44708</v>
      </c>
      <c r="AF368" s="31">
        <v>44711</v>
      </c>
      <c r="AG368" s="31">
        <v>45554</v>
      </c>
      <c r="AH368" s="31">
        <v>0</v>
      </c>
      <c r="AI368" t="str">
        <v>22.07.01</v>
      </c>
      <c r="AJ368" t="str">
        <v>6/6林</v>
      </c>
      <c r="AK368">
        <v>0</v>
      </c>
      <c r="AL368">
        <v>44711</v>
      </c>
      <c r="AM368">
        <v>0</v>
      </c>
      <c r="AN368">
        <v>0</v>
      </c>
      <c r="AO368">
        <v>0</v>
      </c>
      <c r="AP368">
        <v>0</v>
      </c>
      <c r="AQ368">
        <v>0</v>
      </c>
      <c r="AR368">
        <v>0</v>
      </c>
    </row>
    <row r="369" spans="1:44">
      <c r="A369" t="str">
        <f>H369&amp;COUNTIF($H$2:H369,H369)</f>
        <v>0186</v>
      </c>
      <c r="B369" t="str">
        <f>F369&amp;COUNTIF($F$2:F369,F369)</f>
        <v>ﾌｪﾆﾃｯｸｾﾐｺﾝﾀﾞｸﾀｰ 鹿児島13</v>
      </c>
      <c r="C369" t="str">
        <v>退社</v>
      </c>
      <c r="D369">
        <v>210315</v>
      </c>
      <c r="E369">
        <v>0</v>
      </c>
      <c r="F369" t="str">
        <v>ﾌｪﾆﾃｯｸｾﾐｺﾝﾀﾞｸﾀｰ 鹿児島</v>
      </c>
      <c r="G369" t="str">
        <v>鹿児島工場　製造部　製造課</v>
      </c>
      <c r="H369">
        <v>0</v>
      </c>
      <c r="I369">
        <v>0</v>
      </c>
      <c r="J369" t="str">
        <v>DAO VAN HOAN</v>
      </c>
      <c r="K369" t="str">
        <v>ダオ　ヴァン　ホアン</v>
      </c>
      <c r="L369" t="str">
        <v>男</v>
      </c>
      <c r="M369" t="str">
        <v>ﾍﾞﾄﾅﾑ</v>
      </c>
      <c r="N369" s="31">
        <v>33176</v>
      </c>
      <c r="O369">
        <v>35</v>
      </c>
      <c r="P369">
        <v>1400</v>
      </c>
      <c r="Q369">
        <v>0</v>
      </c>
      <c r="R369">
        <v>2100</v>
      </c>
      <c r="S369" t="str">
        <v>2022/7/1~ 1900円⇒2000円　2024/1/1～ 2000円⇒2100円</v>
      </c>
      <c r="T369">
        <v>700</v>
      </c>
      <c r="U369">
        <v>240000</v>
      </c>
      <c r="V369">
        <v>12036</v>
      </c>
      <c r="W369" t="str">
        <v>0</v>
      </c>
      <c r="X369">
        <v>21960</v>
      </c>
      <c r="Y369" s="31">
        <v>46165</v>
      </c>
      <c r="Z369" t="str">
        <v/>
      </c>
      <c r="AA369" t="str">
        <v>技術・人文知識・国際業務</v>
      </c>
      <c r="AB369" t="str">
        <v>899-6200</v>
      </c>
      <c r="AC369" t="str">
        <v>鹿児島県姶良郡湧水町木場1214番地1</v>
      </c>
      <c r="AD369" t="str">
        <v>尾鉢第3住宅1号棟</v>
      </c>
      <c r="AE369" s="31">
        <v>44711</v>
      </c>
      <c r="AF369" s="31">
        <v>44712</v>
      </c>
      <c r="AG369" s="31">
        <v>45317</v>
      </c>
      <c r="AH369" s="31">
        <v>0</v>
      </c>
      <c r="AI369">
        <v>44774</v>
      </c>
      <c r="AJ369" t="str">
        <v>7/8原</v>
      </c>
      <c r="AK369" t="str">
        <v>ﾌｪﾆﾃｯｸ岡山工場　退社　⇒　2022/5/31ﾌｪﾆﾃｯｸ鹿児島へ再入社</v>
      </c>
      <c r="AL369">
        <v>44712</v>
      </c>
      <c r="AM369">
        <v>0</v>
      </c>
      <c r="AN369">
        <v>0</v>
      </c>
      <c r="AO369">
        <v>0</v>
      </c>
      <c r="AP369">
        <v>0</v>
      </c>
      <c r="AQ369">
        <v>0</v>
      </c>
      <c r="AR369">
        <v>0</v>
      </c>
    </row>
    <row r="370" spans="1:44">
      <c r="A370" t="str">
        <f>H370&amp;COUNTIF($H$2:H370,H370)</f>
        <v>0187</v>
      </c>
      <c r="B370" t="str">
        <f>F370&amp;COUNTIF($F$2:F370,F370)</f>
        <v>ﾌｪﾆﾃｯｸｾﾐｺﾝﾀﾞｸﾀｰ 鹿児島14</v>
      </c>
      <c r="C370" t="str">
        <v>退社</v>
      </c>
      <c r="D370">
        <v>220526</v>
      </c>
      <c r="E370">
        <v>0</v>
      </c>
      <c r="F370" t="str">
        <v>ﾌｪﾆﾃｯｸｾﾐｺﾝﾀﾞｸﾀｰ 鹿児島</v>
      </c>
      <c r="G370" t="str">
        <v>鹿児島工場　製造部　製造課</v>
      </c>
      <c r="H370">
        <v>0</v>
      </c>
      <c r="I370">
        <v>0</v>
      </c>
      <c r="J370" t="str">
        <v>DANG THANH SON</v>
      </c>
      <c r="K370" t="str">
        <v>ダン　タン　ソン</v>
      </c>
      <c r="L370" t="str">
        <v>男</v>
      </c>
      <c r="M370" t="str">
        <v>ﾍﾞﾄﾅﾑ</v>
      </c>
      <c r="N370" s="31">
        <v>34688</v>
      </c>
      <c r="O370">
        <v>30</v>
      </c>
      <c r="P370">
        <v>1450</v>
      </c>
      <c r="Q370">
        <v>0</v>
      </c>
      <c r="R370">
        <v>2100</v>
      </c>
      <c r="S370" t="str">
        <v>2022/7/1~ 1900円⇒2000円　2024/1/1～ 2000円⇒2100円</v>
      </c>
      <c r="T370">
        <v>650</v>
      </c>
      <c r="U370">
        <v>280000</v>
      </c>
      <c r="V370">
        <v>14042</v>
      </c>
      <c r="W370" t="str">
        <v>0</v>
      </c>
      <c r="X370">
        <v>25620</v>
      </c>
      <c r="Y370" s="31">
        <v>46047</v>
      </c>
      <c r="Z370" t="str">
        <v/>
      </c>
      <c r="AA370" t="str">
        <v>技術・人文知識・国際業務</v>
      </c>
      <c r="AB370" t="str">
        <v>899-6201</v>
      </c>
      <c r="AC370" t="str">
        <v>鹿児島県姶良郡湧水町木場280-3</v>
      </c>
      <c r="AD370" t="str">
        <v>宮前ﾂｲﾝﾊｲﾂA101</v>
      </c>
      <c r="AE370" s="31">
        <v>44711</v>
      </c>
      <c r="AF370" s="31">
        <v>44712</v>
      </c>
      <c r="AG370" s="31">
        <v>45796</v>
      </c>
      <c r="AH370" s="31">
        <v>0</v>
      </c>
      <c r="AI370" t="str">
        <v>22.07.01</v>
      </c>
      <c r="AJ370" t="str">
        <v>6/6林</v>
      </c>
      <c r="AK370">
        <v>0</v>
      </c>
      <c r="AL370">
        <v>44712</v>
      </c>
      <c r="AM370">
        <v>0</v>
      </c>
      <c r="AN370">
        <v>0</v>
      </c>
      <c r="AO370">
        <v>0</v>
      </c>
      <c r="AP370">
        <v>0</v>
      </c>
      <c r="AQ370">
        <v>0</v>
      </c>
      <c r="AR370">
        <v>0</v>
      </c>
    </row>
    <row r="371" spans="1:44">
      <c r="A371" t="str">
        <f>H371&amp;COUNTIF($H$2:H371,H371)</f>
        <v>州の崎製造3課5工区6班1</v>
      </c>
      <c r="B371" t="str">
        <f>F371&amp;COUNTIF($F$2:F371,F371)</f>
        <v>コーリツ 州の崎20</v>
      </c>
      <c r="C371" t="str">
        <v>退社</v>
      </c>
      <c r="D371">
        <v>210412</v>
      </c>
      <c r="E371">
        <v>8210040</v>
      </c>
      <c r="F371" t="str">
        <v>コーリツ 州の崎</v>
      </c>
      <c r="G371" t="str">
        <v>州の崎第2工場製造3課5工区6班</v>
      </c>
      <c r="H371" t="str">
        <v>州の崎製造3課5工区6班</v>
      </c>
      <c r="I371">
        <v>0</v>
      </c>
      <c r="J371" t="str">
        <v>CAO VAN TUYEN</v>
      </c>
      <c r="K371" t="str">
        <v>カオ　バン　トウエン</v>
      </c>
      <c r="L371" t="str">
        <v>男</v>
      </c>
      <c r="M371" t="str">
        <v>ﾍﾞﾄﾅﾑ</v>
      </c>
      <c r="N371" s="31">
        <v>30793</v>
      </c>
      <c r="O371">
        <v>41</v>
      </c>
      <c r="P371">
        <v>1500</v>
      </c>
      <c r="Q371" t="str">
        <v>2022/6/7～　1400円⇒1500円</v>
      </c>
      <c r="R371">
        <v>1990</v>
      </c>
      <c r="S371">
        <v>0</v>
      </c>
      <c r="T371">
        <v>490</v>
      </c>
      <c r="U371">
        <v>340000</v>
      </c>
      <c r="V371">
        <v>17051</v>
      </c>
      <c r="W371">
        <v>2703</v>
      </c>
      <c r="X371">
        <v>31110</v>
      </c>
      <c r="Y371" s="31">
        <v>45766</v>
      </c>
      <c r="Z371" t="str">
        <v/>
      </c>
      <c r="AA371" t="str">
        <v>技術・人文知識・国際業務</v>
      </c>
      <c r="AB371" t="str">
        <v>475-0024</v>
      </c>
      <c r="AC371" t="str">
        <v>愛知県半田市亀崎高根町2丁目20-7</v>
      </c>
      <c r="AD371" t="str">
        <v>ﾋﾞﾚｯｼﾞﾊｳｽ亀崎2号棟301</v>
      </c>
      <c r="AE371" s="31">
        <v>44808</v>
      </c>
      <c r="AF371" s="31">
        <v>44713</v>
      </c>
      <c r="AG371" s="31">
        <v>45457</v>
      </c>
      <c r="AH371" s="31">
        <v>0</v>
      </c>
      <c r="AI371">
        <v>44713</v>
      </c>
      <c r="AJ371" t="str">
        <v>7/8原</v>
      </c>
      <c r="AK371" t="str">
        <v>2022/4/27コーリツ退社　2022/6/1　コーリツに再入社</v>
      </c>
      <c r="AL371">
        <v>44713</v>
      </c>
      <c r="AM371">
        <v>0</v>
      </c>
      <c r="AN371">
        <v>0</v>
      </c>
      <c r="AO371">
        <v>0</v>
      </c>
      <c r="AP371">
        <v>0</v>
      </c>
      <c r="AQ371">
        <v>0</v>
      </c>
      <c r="AR371">
        <v>0</v>
      </c>
    </row>
    <row r="372" spans="1:44">
      <c r="A372" t="str">
        <f>H372&amp;COUNTIF($H$2:H372,H372)</f>
        <v>0188</v>
      </c>
      <c r="B372" t="str">
        <f>F372&amp;COUNTIF($F$2:F372,F372)</f>
        <v>コーリツ 州の崎21</v>
      </c>
      <c r="C372" t="str">
        <v>退社</v>
      </c>
      <c r="D372">
        <v>210710</v>
      </c>
      <c r="E372">
        <v>8210041</v>
      </c>
      <c r="F372" t="str">
        <v>コーリツ 州の崎</v>
      </c>
      <c r="G372" t="str">
        <v>州の崎第2工場製造3課5工区7班</v>
      </c>
      <c r="H372">
        <v>0</v>
      </c>
      <c r="I372">
        <v>0</v>
      </c>
      <c r="J372" t="str">
        <v>NGUYEN XUAN THANG</v>
      </c>
      <c r="K372" t="str">
        <v>グエン　スワン　タン</v>
      </c>
      <c r="L372" t="str">
        <v>男</v>
      </c>
      <c r="M372" t="str">
        <v>ﾍﾞﾄﾅﾑ</v>
      </c>
      <c r="N372" s="31">
        <v>33139</v>
      </c>
      <c r="O372">
        <v>35</v>
      </c>
      <c r="P372">
        <v>1400</v>
      </c>
      <c r="Q372">
        <v>0</v>
      </c>
      <c r="R372">
        <v>1990</v>
      </c>
      <c r="S372">
        <v>0</v>
      </c>
      <c r="T372">
        <v>590</v>
      </c>
      <c r="U372">
        <v>240000</v>
      </c>
      <c r="V372">
        <v>12036</v>
      </c>
      <c r="W372" t="str">
        <v>0</v>
      </c>
      <c r="X372">
        <v>21960</v>
      </c>
      <c r="Y372" s="31">
        <v>45441</v>
      </c>
      <c r="Z372" t="str">
        <v/>
      </c>
      <c r="AA372" t="str">
        <v>技術・人文知識・国際業務</v>
      </c>
      <c r="AB372" t="str">
        <v>475-0041</v>
      </c>
      <c r="AC372" t="str">
        <v>愛知県半田市乙川太田町2丁目125番地</v>
      </c>
      <c r="AD372" t="str">
        <v>ｺｰﾎﾟｵｰｸｽ202号</v>
      </c>
      <c r="AE372" s="31" t="str">
        <v>個人</v>
      </c>
      <c r="AF372" s="31">
        <v>44713</v>
      </c>
      <c r="AG372" s="31">
        <v>44939</v>
      </c>
      <c r="AH372" s="31">
        <v>0</v>
      </c>
      <c r="AI372">
        <v>44713</v>
      </c>
      <c r="AJ372" t="str">
        <v>7/8原</v>
      </c>
      <c r="AK372" t="str">
        <v>2022/4/1コーリツ退社　2022/6/1　コーリツに再入社</v>
      </c>
      <c r="AL372">
        <v>44713</v>
      </c>
      <c r="AM372">
        <v>0</v>
      </c>
      <c r="AN372">
        <v>0</v>
      </c>
      <c r="AO372">
        <v>0</v>
      </c>
      <c r="AP372">
        <v>0</v>
      </c>
      <c r="AQ372">
        <v>0</v>
      </c>
      <c r="AR372">
        <v>0</v>
      </c>
    </row>
    <row r="373" spans="1:44">
      <c r="A373" t="str">
        <f>H373&amp;COUNTIF($H$2:H373,H373)</f>
        <v>H_2次旋5</v>
      </c>
      <c r="B373" t="str">
        <f>F373&amp;COUNTIF($F$2:F373,F373)</f>
        <v>高雄工業 海南第一31</v>
      </c>
      <c r="C373" t="str">
        <v>退社</v>
      </c>
      <c r="D373">
        <v>220601</v>
      </c>
      <c r="E373">
        <v>222049</v>
      </c>
      <c r="F373" t="str">
        <v>高雄工業 海南第一</v>
      </c>
      <c r="G373" t="str">
        <v>高雄工業株式会社 愛知事業所海南第一工場製作1課</v>
      </c>
      <c r="H373" t="str">
        <v>H_2次旋</v>
      </c>
      <c r="I373" t="str">
        <v>ハブ加工品の2次施削、手動機械オペレーターNCプログラム修正</v>
      </c>
      <c r="J373" t="str">
        <v>LE HUU THUAN</v>
      </c>
      <c r="K373" t="str">
        <v>レー　フー　トゥアン</v>
      </c>
      <c r="L373" t="str">
        <v>男</v>
      </c>
      <c r="M373" t="str">
        <v>ﾍﾞﾄﾅﾑ</v>
      </c>
      <c r="N373" s="31">
        <v>35954</v>
      </c>
      <c r="O373">
        <v>27</v>
      </c>
      <c r="P373">
        <v>1310</v>
      </c>
      <c r="Q373">
        <v>0</v>
      </c>
      <c r="R373">
        <v>1690</v>
      </c>
      <c r="S373">
        <v>0</v>
      </c>
      <c r="T373">
        <v>380</v>
      </c>
      <c r="U373">
        <v>300000</v>
      </c>
      <c r="V373">
        <v>15045</v>
      </c>
      <c r="W373" t="str">
        <v>0</v>
      </c>
      <c r="X373">
        <v>27450</v>
      </c>
      <c r="Y373" s="31">
        <v>46601</v>
      </c>
      <c r="Z373" t="str">
        <v/>
      </c>
      <c r="AA373" t="str">
        <v>技術・人文知識・国際業務</v>
      </c>
      <c r="AB373" t="str">
        <v>498-0032</v>
      </c>
      <c r="AC373" t="str">
        <v>愛知県弥富市平島中4丁目128</v>
      </c>
      <c r="AD373" t="str">
        <v>村上貸家</v>
      </c>
      <c r="AE373" s="31">
        <v>45032</v>
      </c>
      <c r="AF373" s="31">
        <v>44713</v>
      </c>
      <c r="AG373" s="31">
        <v>45681</v>
      </c>
      <c r="AH373" s="31">
        <v>0</v>
      </c>
      <c r="AI373">
        <v>44774</v>
      </c>
      <c r="AJ373" t="str">
        <v>6/6林</v>
      </c>
      <c r="AK373">
        <v>0</v>
      </c>
      <c r="AL373">
        <v>44713</v>
      </c>
      <c r="AM373">
        <v>0</v>
      </c>
      <c r="AN373">
        <v>0</v>
      </c>
      <c r="AO373">
        <v>0</v>
      </c>
      <c r="AP373">
        <v>0</v>
      </c>
      <c r="AQ373">
        <v>0</v>
      </c>
      <c r="AR373">
        <v>0</v>
      </c>
    </row>
    <row r="374" spans="1:44">
      <c r="A374" t="str">
        <f>H374&amp;COUNTIF($H$2:H374,H374)</f>
        <v>Gライン11</v>
      </c>
      <c r="B374" t="str">
        <f>F374&amp;COUNTIF($F$2:F374,F374)</f>
        <v>高雄工業 本社39</v>
      </c>
      <c r="C374" t="str">
        <v>在職中</v>
      </c>
      <c r="D374">
        <v>230812</v>
      </c>
      <c r="E374">
        <v>212040</v>
      </c>
      <c r="F374" t="str">
        <v>高雄工業 本社</v>
      </c>
      <c r="G374" t="str">
        <v>高雄工業株式会社 愛知事業所本社工場製作課</v>
      </c>
      <c r="H374" t="str">
        <v>Gライン</v>
      </c>
      <c r="I374" t="str">
        <v>CVJ部品長軸品の施削加工、NCプログラム修正</v>
      </c>
      <c r="J374" t="str">
        <v>NGUYEN NGOC THANH</v>
      </c>
      <c r="K374" t="str">
        <v>グエン　ゴック　タイン</v>
      </c>
      <c r="L374" t="str">
        <v>男</v>
      </c>
      <c r="M374" t="str">
        <v>ﾍﾞﾄﾅﾑ</v>
      </c>
      <c r="N374" s="31">
        <v>34092</v>
      </c>
      <c r="O374">
        <v>32</v>
      </c>
      <c r="P374">
        <v>1310</v>
      </c>
      <c r="Q374">
        <v>0</v>
      </c>
      <c r="R374">
        <v>1680</v>
      </c>
      <c r="S374">
        <v>0</v>
      </c>
      <c r="T374">
        <v>370</v>
      </c>
      <c r="U374">
        <v>220000</v>
      </c>
      <c r="V374">
        <v>11033</v>
      </c>
      <c r="W374" t="str">
        <v>0</v>
      </c>
      <c r="X374">
        <v>20130</v>
      </c>
      <c r="Y374" s="31">
        <v>47015</v>
      </c>
      <c r="Z374">
        <v>0</v>
      </c>
      <c r="AA374" t="str">
        <v>技術・人文知識・国際業務</v>
      </c>
      <c r="AB374" t="str">
        <v>498-0026</v>
      </c>
      <c r="AC374" t="str">
        <v>愛知県弥富市鯏浦町西前新田159-1</v>
      </c>
      <c r="AD374" t="str">
        <v>ﾗﾌｨﾈYS C-101</v>
      </c>
      <c r="AE374" s="31">
        <v>45133</v>
      </c>
      <c r="AF374" s="31">
        <v>45139</v>
      </c>
      <c r="AG374" s="31">
        <v>0</v>
      </c>
      <c r="AH374" s="31">
        <v>0</v>
      </c>
      <c r="AI374" t="str">
        <v>23.8.1</v>
      </c>
      <c r="AJ374" t="str">
        <v>8/9林</v>
      </c>
      <c r="AK374">
        <v>0</v>
      </c>
      <c r="AL374">
        <v>45139</v>
      </c>
      <c r="AM374">
        <v>0</v>
      </c>
      <c r="AN374">
        <v>0</v>
      </c>
      <c r="AO374">
        <v>0</v>
      </c>
      <c r="AP374">
        <v>0</v>
      </c>
      <c r="AQ374">
        <v>0</v>
      </c>
      <c r="AR374">
        <v>0</v>
      </c>
    </row>
    <row r="375" spans="1:44">
      <c r="A375" t="str">
        <f>H375&amp;COUNTIF($H$2:H375,H375)</f>
        <v>Gライン12</v>
      </c>
      <c r="B375" t="str">
        <f>F375&amp;COUNTIF($F$2:F375,F375)</f>
        <v>高雄工業 本社40</v>
      </c>
      <c r="C375" t="str">
        <v>在職中</v>
      </c>
      <c r="D375">
        <v>231206</v>
      </c>
      <c r="E375">
        <v>212046</v>
      </c>
      <c r="F375" t="str">
        <v>高雄工業 本社</v>
      </c>
      <c r="G375" t="str">
        <v>高雄工業株式会社 愛知事業所本社工場製作課</v>
      </c>
      <c r="H375" t="str">
        <v>Gライン</v>
      </c>
      <c r="I375" t="str">
        <v>CVJ部品長軸品の施削加工、NCプログラム修正</v>
      </c>
      <c r="J375" t="str">
        <v>PHAM VAN PHUONG</v>
      </c>
      <c r="K375" t="str">
        <v>ファム　ヴァン　フォン</v>
      </c>
      <c r="L375" t="str">
        <v>男</v>
      </c>
      <c r="M375" t="str">
        <v>ﾍﾞﾄﾅﾑ</v>
      </c>
      <c r="N375" s="31">
        <v>36983</v>
      </c>
      <c r="O375">
        <v>24</v>
      </c>
      <c r="P375">
        <v>1300</v>
      </c>
      <c r="Q375">
        <v>0</v>
      </c>
      <c r="R375">
        <v>1680</v>
      </c>
      <c r="S375">
        <v>0</v>
      </c>
      <c r="T375">
        <v>380</v>
      </c>
      <c r="U375">
        <v>240000</v>
      </c>
      <c r="V375">
        <v>12036</v>
      </c>
      <c r="W375" t="str">
        <v>0</v>
      </c>
      <c r="X375">
        <v>21960</v>
      </c>
      <c r="Y375" s="31">
        <v>47084</v>
      </c>
      <c r="Z375" t="str">
        <v/>
      </c>
      <c r="AA375" t="str">
        <v>技術・人文知識・国際業務</v>
      </c>
      <c r="AB375" t="str">
        <v>498-0025</v>
      </c>
      <c r="AC375" t="str">
        <v>愛知県弥富市平島町喜右味名78-1</v>
      </c>
      <c r="AD375" t="str">
        <v>ﾌﾚｸﾞﾗﾝｽ桂A棟201号</v>
      </c>
      <c r="AE375" s="31">
        <v>45257</v>
      </c>
      <c r="AF375" s="31">
        <v>45261</v>
      </c>
      <c r="AG375" s="31">
        <v>0</v>
      </c>
      <c r="AH375" s="31">
        <v>0</v>
      </c>
      <c r="AI375" t="str">
        <v>23.12.1</v>
      </c>
      <c r="AJ375" t="str">
        <v>12/15林</v>
      </c>
      <c r="AK375">
        <v>0</v>
      </c>
      <c r="AL375">
        <v>45261</v>
      </c>
      <c r="AM375">
        <v>0</v>
      </c>
      <c r="AN375">
        <v>0</v>
      </c>
      <c r="AO375">
        <v>0</v>
      </c>
      <c r="AP375">
        <v>0</v>
      </c>
      <c r="AQ375">
        <v>0</v>
      </c>
      <c r="AR375">
        <v>0</v>
      </c>
    </row>
    <row r="376" spans="1:44">
      <c r="A376" t="str">
        <f>H376&amp;COUNTIF($H$2:H376,H376)</f>
        <v>1次旋係12</v>
      </c>
      <c r="B376" t="str">
        <f>F376&amp;COUNTIF($F$2:F376,F376)</f>
        <v>高雄工業 岡山60</v>
      </c>
      <c r="C376" t="str">
        <v>在職中</v>
      </c>
      <c r="D376">
        <v>220605</v>
      </c>
      <c r="E376">
        <v>232061</v>
      </c>
      <c r="F376" t="str">
        <v>高雄工業 岡山</v>
      </c>
      <c r="G376" t="str">
        <v>高雄工業株式会社 岡山事業所HUB工場製作1課</v>
      </c>
      <c r="H376" t="str">
        <v>1次旋係</v>
      </c>
      <c r="I376" t="str">
        <v>ハブ加工 自動機の操作、ＮＣプログラム修正</v>
      </c>
      <c r="J376" t="str">
        <v>FERRYANTO PASCA MARIS UPPUN</v>
      </c>
      <c r="K376" t="str">
        <v>フェリヤント　パスチャ　マリス　ウップン</v>
      </c>
      <c r="L376" t="str">
        <v>男</v>
      </c>
      <c r="M376" t="str">
        <v>ｲﾝﾄﾞﾈｼｱ</v>
      </c>
      <c r="N376" s="31">
        <v>35115</v>
      </c>
      <c r="O376">
        <v>29</v>
      </c>
      <c r="P376">
        <v>1410</v>
      </c>
      <c r="Q376">
        <v>0</v>
      </c>
      <c r="R376">
        <v>1840</v>
      </c>
      <c r="S376">
        <v>0</v>
      </c>
      <c r="T376">
        <v>430</v>
      </c>
      <c r="U376">
        <v>280000</v>
      </c>
      <c r="V376">
        <v>14042</v>
      </c>
      <c r="W376" t="str">
        <v>0</v>
      </c>
      <c r="X376">
        <v>25620</v>
      </c>
      <c r="Y376" s="31">
        <v>46115</v>
      </c>
      <c r="Z376" t="str">
        <v/>
      </c>
      <c r="AA376" t="str">
        <v>技術・人文知識・国際業務</v>
      </c>
      <c r="AB376" t="str">
        <v>709-2107</v>
      </c>
      <c r="AC376" t="str">
        <v>岡山県岡山市北区御津矢原299-2</v>
      </c>
      <c r="AD376" t="str">
        <v>成広矢原ｺｰﾎﾟ7 106</v>
      </c>
      <c r="AE376" s="31">
        <v>44717</v>
      </c>
      <c r="AF376" s="31">
        <v>44718</v>
      </c>
      <c r="AG376" s="31">
        <v>0</v>
      </c>
      <c r="AH376" s="31">
        <v>0</v>
      </c>
      <c r="AI376">
        <v>0</v>
      </c>
      <c r="AJ376" t="str">
        <v>7/6原</v>
      </c>
      <c r="AK376" t="str">
        <v>請負より異動</v>
      </c>
      <c r="AL376">
        <v>44718</v>
      </c>
      <c r="AM376">
        <v>0</v>
      </c>
      <c r="AN376">
        <v>0</v>
      </c>
      <c r="AO376">
        <v>0</v>
      </c>
      <c r="AP376">
        <v>0</v>
      </c>
      <c r="AQ376">
        <v>0</v>
      </c>
      <c r="AR376">
        <v>0</v>
      </c>
    </row>
    <row r="377" spans="1:44">
      <c r="A377" t="str">
        <f>H377&amp;COUNTIF($H$2:H377,H377)</f>
        <v>1次旋係13</v>
      </c>
      <c r="B377" t="str">
        <f>F377&amp;COUNTIF($F$2:F377,F377)</f>
        <v>高雄工業 岡山61</v>
      </c>
      <c r="C377" t="str">
        <v>在職中</v>
      </c>
      <c r="D377">
        <v>220606</v>
      </c>
      <c r="E377">
        <v>232063</v>
      </c>
      <c r="F377" t="str">
        <v>高雄工業 岡山</v>
      </c>
      <c r="G377" t="str">
        <v>高雄工業株式会社 岡山事業所HUB工場製作1課</v>
      </c>
      <c r="H377" t="str">
        <v>1次旋係</v>
      </c>
      <c r="I377" t="str">
        <v>ハブ加工 自動機の操作、ＮＣプログラム修正</v>
      </c>
      <c r="J377" t="str">
        <v>WIDIARTO IFTIAR</v>
      </c>
      <c r="K377" t="str">
        <v>ウィディアルト　イフティアル</v>
      </c>
      <c r="L377" t="str">
        <v>男</v>
      </c>
      <c r="M377" t="str">
        <v>ｲﾝﾄﾞﾈｼｱ</v>
      </c>
      <c r="N377" s="31">
        <v>32955</v>
      </c>
      <c r="O377">
        <v>35</v>
      </c>
      <c r="P377">
        <v>1410</v>
      </c>
      <c r="Q377">
        <v>0</v>
      </c>
      <c r="R377">
        <v>1840</v>
      </c>
      <c r="S377">
        <v>0</v>
      </c>
      <c r="T377">
        <v>430</v>
      </c>
      <c r="U377">
        <v>280000</v>
      </c>
      <c r="V377">
        <v>14042</v>
      </c>
      <c r="W377" t="str">
        <v>0</v>
      </c>
      <c r="X377">
        <v>25620</v>
      </c>
      <c r="Y377" s="31">
        <v>46112</v>
      </c>
      <c r="Z377" t="str">
        <v/>
      </c>
      <c r="AA377" t="str">
        <v>技術・人文知識・国際業務</v>
      </c>
      <c r="AB377" t="str">
        <v>709-2107</v>
      </c>
      <c r="AC377" t="str">
        <v>岡山県岡山市北区御津矢原370</v>
      </c>
      <c r="AD377" t="str">
        <v>成広ｺｰﾎﾟⅠ202</v>
      </c>
      <c r="AE377" s="31">
        <v>44583</v>
      </c>
      <c r="AF377" s="31">
        <v>44718</v>
      </c>
      <c r="AG377" s="31">
        <v>0</v>
      </c>
      <c r="AH377" s="31">
        <v>0</v>
      </c>
      <c r="AI377">
        <v>0</v>
      </c>
      <c r="AJ377" t="str">
        <v>7/6原</v>
      </c>
      <c r="AK377" t="str">
        <v>請負より異動</v>
      </c>
      <c r="AL377">
        <v>44718</v>
      </c>
      <c r="AM377">
        <v>0</v>
      </c>
      <c r="AN377">
        <v>0</v>
      </c>
      <c r="AO377">
        <v>0</v>
      </c>
      <c r="AP377">
        <v>0</v>
      </c>
      <c r="AQ377">
        <v>0</v>
      </c>
      <c r="AR377">
        <v>0</v>
      </c>
    </row>
    <row r="378" spans="1:44">
      <c r="A378" t="str">
        <f>H378&amp;COUNTIF($H$2:H378,H378)</f>
        <v>手動旋削6</v>
      </c>
      <c r="B378" t="str">
        <f>F378&amp;COUNTIF($F$2:F378,F378)</f>
        <v>高雄工業 静岡39</v>
      </c>
      <c r="C378" t="str">
        <v>退社</v>
      </c>
      <c r="D378">
        <v>220604</v>
      </c>
      <c r="E378">
        <v>242048</v>
      </c>
      <c r="F378" t="str">
        <v>高雄工業 静岡</v>
      </c>
      <c r="G378" t="str">
        <v>高雄工業株式会社 静岡事業所第一工場製作課</v>
      </c>
      <c r="H378" t="str">
        <v>手動旋削</v>
      </c>
      <c r="I378" t="str">
        <v>CVJ部品短軸品の施削加工、NCプログラム修正</v>
      </c>
      <c r="J378" t="str">
        <v>NGUYEN XUAN HIEU</v>
      </c>
      <c r="K378" t="str">
        <v>グエン　スアン　ヒエウ</v>
      </c>
      <c r="L378" t="str">
        <v>男</v>
      </c>
      <c r="M378" t="str">
        <v>ﾍﾞﾄﾅﾑ</v>
      </c>
      <c r="N378" s="31">
        <v>35608</v>
      </c>
      <c r="O378">
        <v>28</v>
      </c>
      <c r="P378">
        <v>1350</v>
      </c>
      <c r="Q378">
        <v>0</v>
      </c>
      <c r="R378">
        <v>1710</v>
      </c>
      <c r="S378">
        <v>0</v>
      </c>
      <c r="T378">
        <v>360</v>
      </c>
      <c r="U378">
        <v>260000</v>
      </c>
      <c r="V378">
        <v>13039</v>
      </c>
      <c r="W378" t="str">
        <v>0</v>
      </c>
      <c r="X378">
        <v>23790</v>
      </c>
      <c r="Y378" s="31">
        <v>46558</v>
      </c>
      <c r="Z378" t="str">
        <v/>
      </c>
      <c r="AA378" t="str">
        <v>技術・人文知識・国際業務</v>
      </c>
      <c r="AB378" t="str">
        <v>437-0063</v>
      </c>
      <c r="AC378" t="str">
        <v>静岡県袋井市田町2丁目6-10</v>
      </c>
      <c r="AD378" t="str">
        <v>SuperiorⅠ201</v>
      </c>
      <c r="AE378" s="31">
        <v>44717</v>
      </c>
      <c r="AF378" s="31">
        <v>44718</v>
      </c>
      <c r="AG378" s="31">
        <v>45562</v>
      </c>
      <c r="AH378" s="31">
        <v>0</v>
      </c>
      <c r="AI378" t="str">
        <v>22.08.01</v>
      </c>
      <c r="AJ378" t="str">
        <v>7/14林</v>
      </c>
      <c r="AK378">
        <v>0</v>
      </c>
      <c r="AL378">
        <v>44718</v>
      </c>
      <c r="AM378">
        <v>0</v>
      </c>
      <c r="AN378">
        <v>0</v>
      </c>
      <c r="AO378">
        <v>0</v>
      </c>
      <c r="AP378">
        <v>0</v>
      </c>
      <c r="AQ378">
        <v>0</v>
      </c>
      <c r="AR378">
        <v>0</v>
      </c>
    </row>
    <row r="379" spans="1:44">
      <c r="A379" t="str">
        <f>H379&amp;COUNTIF($H$2:H379,H379)</f>
        <v>一次旋係18</v>
      </c>
      <c r="B379" t="str">
        <f>F379&amp;COUNTIF($F$2:F379,F379)</f>
        <v>高雄工業 岡山62</v>
      </c>
      <c r="C379" t="str">
        <v>退社</v>
      </c>
      <c r="D379">
        <v>220607</v>
      </c>
      <c r="E379">
        <v>232062</v>
      </c>
      <c r="F379" t="str">
        <v>高雄工業 岡山</v>
      </c>
      <c r="G379" t="str">
        <v>高雄工業株式会社 岡山事業所HUB工場製作1課</v>
      </c>
      <c r="H379" t="str">
        <v>一次旋係</v>
      </c>
      <c r="I379" t="str">
        <v>ハブ加工・自動機の操作・ＮＣプログラム修正</v>
      </c>
      <c r="J379" t="str">
        <v>NAUFAL ANDZAR ASH-SHIDDIQ</v>
      </c>
      <c r="K379" t="str">
        <v>ナウファル　アンザル　アス　シッディク</v>
      </c>
      <c r="L379" t="str">
        <v>男</v>
      </c>
      <c r="M379" t="str">
        <v>ｲﾝﾄﾞﾈｼｱ</v>
      </c>
      <c r="N379" s="31">
        <v>34784</v>
      </c>
      <c r="O379">
        <v>30</v>
      </c>
      <c r="P379">
        <v>1400</v>
      </c>
      <c r="Q379">
        <v>0</v>
      </c>
      <c r="R379">
        <v>1820</v>
      </c>
      <c r="S379">
        <v>0</v>
      </c>
      <c r="T379">
        <v>420</v>
      </c>
      <c r="U379">
        <v>320000</v>
      </c>
      <c r="V379">
        <v>16048</v>
      </c>
      <c r="W379" t="str">
        <v>0</v>
      </c>
      <c r="X379">
        <v>29280</v>
      </c>
      <c r="Y379" s="31">
        <v>46112</v>
      </c>
      <c r="Z379" t="str">
        <v/>
      </c>
      <c r="AA379" t="str">
        <v>技術・人文知識・国際業務</v>
      </c>
      <c r="AB379" t="str">
        <v>709-2107</v>
      </c>
      <c r="AC379" t="str">
        <v>岡山県岡山市北区御津矢原299-2</v>
      </c>
      <c r="AD379" t="str">
        <v>成広矢原ｺｰﾎﾟⅦ206</v>
      </c>
      <c r="AE379" s="31">
        <v>44737</v>
      </c>
      <c r="AF379" s="31">
        <v>44718</v>
      </c>
      <c r="AG379" s="31">
        <v>45457</v>
      </c>
      <c r="AH379" s="31">
        <v>0</v>
      </c>
      <c r="AI379">
        <v>0</v>
      </c>
      <c r="AJ379" t="str">
        <v>7/6原</v>
      </c>
      <c r="AK379" t="str">
        <v>請負より異動</v>
      </c>
      <c r="AL379">
        <v>44718</v>
      </c>
      <c r="AM379">
        <v>0</v>
      </c>
      <c r="AN379">
        <v>0</v>
      </c>
      <c r="AO379">
        <v>0</v>
      </c>
      <c r="AP379">
        <v>0</v>
      </c>
      <c r="AQ379">
        <v>0</v>
      </c>
      <c r="AR379">
        <v>0</v>
      </c>
    </row>
    <row r="380" spans="1:44">
      <c r="A380" t="str">
        <f>H380&amp;COUNTIF($H$2:H380,H380)</f>
        <v>CVJ11</v>
      </c>
      <c r="B380" t="str">
        <f>F380&amp;COUNTIF($F$2:F380,F380)</f>
        <v>瑞陵精機18</v>
      </c>
      <c r="C380" t="str">
        <v>退社</v>
      </c>
      <c r="D380">
        <v>220608</v>
      </c>
      <c r="E380">
        <v>0</v>
      </c>
      <c r="F380" t="str">
        <v>瑞陵精機</v>
      </c>
      <c r="G380" t="str">
        <v>製造1課</v>
      </c>
      <c r="H380" t="str">
        <v>CVJ</v>
      </c>
      <c r="I380">
        <v>0</v>
      </c>
      <c r="J380" t="str">
        <v>VO QUY HOAN</v>
      </c>
      <c r="K380" t="str">
        <v>ヴォ　クイ　ホアン</v>
      </c>
      <c r="L380" t="str">
        <v>男</v>
      </c>
      <c r="M380" t="str">
        <v>ﾍﾞﾄﾅﾑ</v>
      </c>
      <c r="N380" s="31">
        <v>33071</v>
      </c>
      <c r="O380">
        <v>35</v>
      </c>
      <c r="P380">
        <v>1200</v>
      </c>
      <c r="Q380">
        <v>0</v>
      </c>
      <c r="R380">
        <v>1700</v>
      </c>
      <c r="S380">
        <v>0</v>
      </c>
      <c r="T380">
        <v>500</v>
      </c>
      <c r="U380">
        <v>0</v>
      </c>
      <c r="V380" t="str">
        <v/>
      </c>
      <c r="W380" t="str">
        <v>0</v>
      </c>
      <c r="X380" t="str">
        <v/>
      </c>
      <c r="Y380" s="31">
        <v>45081</v>
      </c>
      <c r="Z380" t="str">
        <v/>
      </c>
      <c r="AA380" t="str">
        <v>技術・人文知識・国際業務</v>
      </c>
      <c r="AB380" t="str">
        <v>509-7201</v>
      </c>
      <c r="AC380" t="str">
        <v>岐阜県恵那市大井町1120-303</v>
      </c>
      <c r="AD380" t="str">
        <v>各務ﾊｲﾂ2D</v>
      </c>
      <c r="AE380" s="31">
        <v>44719</v>
      </c>
      <c r="AF380" s="31">
        <v>44725</v>
      </c>
      <c r="AG380" s="31">
        <v>44862</v>
      </c>
      <c r="AH380" s="31">
        <v>0</v>
      </c>
      <c r="AI380" t="str">
        <v>22.08.01</v>
      </c>
      <c r="AJ380" t="str">
        <v>7/14林</v>
      </c>
      <c r="AK380">
        <v>0</v>
      </c>
      <c r="AL380">
        <v>44725</v>
      </c>
      <c r="AM380">
        <v>0</v>
      </c>
      <c r="AN380">
        <v>0</v>
      </c>
      <c r="AO380">
        <v>0</v>
      </c>
      <c r="AP380">
        <v>0</v>
      </c>
      <c r="AQ380">
        <v>0</v>
      </c>
      <c r="AR380">
        <v>0</v>
      </c>
    </row>
    <row r="381" spans="1:44">
      <c r="A381" t="str">
        <f>H381&amp;COUNTIF($H$2:H381,H381)</f>
        <v>0189</v>
      </c>
      <c r="B381" t="str">
        <f>F381&amp;COUNTIF($F$2:F381,F381)</f>
        <v>ワーク 岡山2</v>
      </c>
      <c r="C381" t="str">
        <v>退社</v>
      </c>
      <c r="D381">
        <v>220610</v>
      </c>
      <c r="E381">
        <v>0</v>
      </c>
      <c r="F381" t="str">
        <v>ワーク 岡山</v>
      </c>
      <c r="G381" t="str">
        <v>岡山第２工場</v>
      </c>
      <c r="H381">
        <v>0</v>
      </c>
      <c r="I381">
        <v>0</v>
      </c>
      <c r="J381" t="str">
        <v>VU DINH DUONG</v>
      </c>
      <c r="K381" t="str">
        <v>ヴー　ディン　ズオン</v>
      </c>
      <c r="L381" t="str">
        <v>男</v>
      </c>
      <c r="M381" t="str">
        <v>ﾍﾞﾄﾅﾑ</v>
      </c>
      <c r="N381" s="31">
        <v>30761</v>
      </c>
      <c r="O381">
        <v>41</v>
      </c>
      <c r="P381">
        <v>1500</v>
      </c>
      <c r="Q381">
        <v>0</v>
      </c>
      <c r="R381">
        <v>1900</v>
      </c>
      <c r="S381">
        <v>0</v>
      </c>
      <c r="T381">
        <v>400</v>
      </c>
      <c r="U381">
        <v>260000</v>
      </c>
      <c r="V381">
        <v>13039</v>
      </c>
      <c r="W381">
        <v>2067</v>
      </c>
      <c r="X381">
        <v>23790</v>
      </c>
      <c r="Y381" s="31">
        <v>45701</v>
      </c>
      <c r="Z381" t="str">
        <v/>
      </c>
      <c r="AA381" t="str">
        <v>技術・人文知識・国際業務</v>
      </c>
      <c r="AB381" t="str">
        <v>709-4222</v>
      </c>
      <c r="AC381" t="str">
        <v>岡山県美作市岩辺493-10</v>
      </c>
      <c r="AD381" t="str">
        <v>岩辺借家</v>
      </c>
      <c r="AE381" s="31">
        <v>44722</v>
      </c>
      <c r="AF381" s="31">
        <v>44725</v>
      </c>
      <c r="AG381" s="31">
        <v>45219</v>
      </c>
      <c r="AH381" s="31">
        <v>0</v>
      </c>
      <c r="AI381" t="str">
        <v>22.08.01</v>
      </c>
      <c r="AJ381" t="str">
        <v>7/14林</v>
      </c>
      <c r="AK381">
        <v>0</v>
      </c>
      <c r="AL381">
        <v>44725</v>
      </c>
      <c r="AM381">
        <v>0</v>
      </c>
      <c r="AN381">
        <v>0</v>
      </c>
      <c r="AO381">
        <v>0</v>
      </c>
      <c r="AP381">
        <v>0</v>
      </c>
      <c r="AQ381">
        <v>0</v>
      </c>
      <c r="AR381">
        <v>0</v>
      </c>
    </row>
    <row r="382" spans="1:44">
      <c r="A382" t="str">
        <f>H382&amp;COUNTIF($H$2:H382,H382)</f>
        <v>0190</v>
      </c>
      <c r="B382" t="str">
        <f>F382&amp;COUNTIF($F$2:F382,F382)</f>
        <v>PATEC14</v>
      </c>
      <c r="C382" t="str">
        <v>退社</v>
      </c>
      <c r="D382">
        <v>220611</v>
      </c>
      <c r="E382">
        <v>0</v>
      </c>
      <c r="F382" t="str">
        <v>PATEC</v>
      </c>
      <c r="G382" t="str">
        <v>製造部機械加工課</v>
      </c>
      <c r="H382">
        <v>0</v>
      </c>
      <c r="I382">
        <v>0</v>
      </c>
      <c r="J382" t="str">
        <v>NGUYEN VAN TRUONG</v>
      </c>
      <c r="K382" t="str">
        <v>グエン　バン　チュオン</v>
      </c>
      <c r="L382" t="str">
        <v>男</v>
      </c>
      <c r="M382" t="str">
        <v>ﾍﾞﾄﾅﾑ</v>
      </c>
      <c r="N382" s="31">
        <v>33147</v>
      </c>
      <c r="O382">
        <v>35</v>
      </c>
      <c r="P382">
        <v>1500</v>
      </c>
      <c r="Q382">
        <v>0</v>
      </c>
      <c r="R382">
        <v>2000</v>
      </c>
      <c r="S382">
        <v>0</v>
      </c>
      <c r="T382">
        <v>500</v>
      </c>
      <c r="U382">
        <v>340000</v>
      </c>
      <c r="V382">
        <v>17051</v>
      </c>
      <c r="W382" t="str">
        <v>0</v>
      </c>
      <c r="X382">
        <v>31110</v>
      </c>
      <c r="Y382" s="31">
        <v>45703</v>
      </c>
      <c r="Z382" t="str">
        <v/>
      </c>
      <c r="AA382" t="str">
        <v>技術・人文知識・国際業務</v>
      </c>
      <c r="AB382" t="str">
        <v>747-0834</v>
      </c>
      <c r="AC382" t="str">
        <v>山口県別府市大字田島545-2</v>
      </c>
      <c r="AD382" t="str">
        <v>ﾋﾞﾚｯｼﾞﾊｳｽ2棟401</v>
      </c>
      <c r="AE382" s="31" t="str">
        <v>個人</v>
      </c>
      <c r="AF382" s="31">
        <v>44725</v>
      </c>
      <c r="AG382" s="31">
        <v>45309</v>
      </c>
      <c r="AH382" s="31">
        <v>44864</v>
      </c>
      <c r="AI382" t="str">
        <v>22.08.01</v>
      </c>
      <c r="AJ382" t="str">
        <v>6/22林</v>
      </c>
      <c r="AK382">
        <v>0</v>
      </c>
      <c r="AL382">
        <v>44725</v>
      </c>
      <c r="AM382">
        <v>0</v>
      </c>
      <c r="AN382">
        <v>0</v>
      </c>
      <c r="AO382">
        <v>0</v>
      </c>
      <c r="AP382">
        <v>0</v>
      </c>
      <c r="AQ382">
        <v>0</v>
      </c>
      <c r="AR382">
        <v>0</v>
      </c>
    </row>
    <row r="383" spans="1:44">
      <c r="A383" t="str">
        <f>H383&amp;COUNTIF($H$2:H383,H383)</f>
        <v>Gライン13</v>
      </c>
      <c r="B383" t="str">
        <f>F383&amp;COUNTIF($F$2:F383,F383)</f>
        <v>高雄工業 本社41</v>
      </c>
      <c r="C383" t="str">
        <v>在職中</v>
      </c>
      <c r="D383">
        <v>250117</v>
      </c>
      <c r="E383">
        <v>212053</v>
      </c>
      <c r="F383" t="str">
        <v>高雄工業 本社</v>
      </c>
      <c r="G383" t="str">
        <v>高雄工業株式会社 愛知事業所本社工場製作課</v>
      </c>
      <c r="H383" t="str">
        <v>Gライン</v>
      </c>
      <c r="I383" t="str">
        <v>CVJ部品長軸品の施削加工、NCプログラム修正</v>
      </c>
      <c r="J383" t="str">
        <v>LAI VAN SON</v>
      </c>
      <c r="K383" t="str">
        <v>ライ　ヴァン　ソン</v>
      </c>
      <c r="L383" t="str">
        <v>男</v>
      </c>
      <c r="M383" t="str">
        <v>ﾍﾞﾄﾅﾑ</v>
      </c>
      <c r="N383" s="31">
        <v>36656</v>
      </c>
      <c r="O383">
        <v>25</v>
      </c>
      <c r="P383">
        <v>1250</v>
      </c>
      <c r="Q383">
        <v>0</v>
      </c>
      <c r="R383">
        <v>1650</v>
      </c>
      <c r="S383">
        <v>0</v>
      </c>
      <c r="T383">
        <v>400</v>
      </c>
      <c r="U383">
        <v>220000</v>
      </c>
      <c r="V383">
        <v>11033</v>
      </c>
      <c r="W383" t="str">
        <v>0</v>
      </c>
      <c r="X383">
        <v>20130</v>
      </c>
      <c r="Y383" s="31">
        <v>46042</v>
      </c>
      <c r="Z383">
        <v>47</v>
      </c>
      <c r="AA383" t="str">
        <v>技術・人文知識・国際業務</v>
      </c>
      <c r="AB383" t="str">
        <v>498-0032</v>
      </c>
      <c r="AC383" t="str">
        <v>愛知県弥富市平島中4-125</v>
      </c>
      <c r="AD383" t="str">
        <v>平島中四丁目賃家</v>
      </c>
      <c r="AE383" s="31">
        <v>0</v>
      </c>
      <c r="AF383" s="31">
        <v>45680</v>
      </c>
      <c r="AG383" s="31">
        <v>0</v>
      </c>
      <c r="AH383" s="31">
        <v>0</v>
      </c>
      <c r="AI383">
        <v>45680</v>
      </c>
      <c r="AJ383" t="str">
        <v>2/25林</v>
      </c>
      <c r="AK383">
        <v>0</v>
      </c>
      <c r="AL383">
        <v>45680</v>
      </c>
      <c r="AM383">
        <v>0</v>
      </c>
      <c r="AN383">
        <v>0</v>
      </c>
      <c r="AO383">
        <v>0</v>
      </c>
      <c r="AP383">
        <v>0</v>
      </c>
      <c r="AQ383">
        <v>0</v>
      </c>
      <c r="AR383">
        <v>0</v>
      </c>
    </row>
    <row r="384" spans="1:44">
      <c r="A384" t="str">
        <f>H384&amp;COUNTIF($H$2:H384,H384)</f>
        <v>0191</v>
      </c>
      <c r="B384" t="str">
        <f>F384&amp;COUNTIF($F$2:F384,F384)</f>
        <v>六甲電子18</v>
      </c>
      <c r="C384" t="str">
        <v>退社</v>
      </c>
      <c r="D384">
        <v>220612</v>
      </c>
      <c r="E384">
        <v>60066</v>
      </c>
      <c r="F384" t="str">
        <v>六甲電子</v>
      </c>
      <c r="G384" t="str">
        <v>製造部　製造１課　枚葉</v>
      </c>
      <c r="H384">
        <v>0</v>
      </c>
      <c r="I384">
        <v>0</v>
      </c>
      <c r="J384" t="str">
        <v>NGUYEN NGOC CHIEN</v>
      </c>
      <c r="K384" t="str">
        <v>グエン　ゴック　チエン</v>
      </c>
      <c r="L384" t="str">
        <v>男</v>
      </c>
      <c r="M384" t="str">
        <v>ﾍﾞﾄﾅﾑ</v>
      </c>
      <c r="N384" s="31">
        <v>32574</v>
      </c>
      <c r="O384">
        <v>36</v>
      </c>
      <c r="P384">
        <v>1400</v>
      </c>
      <c r="Q384">
        <v>0</v>
      </c>
      <c r="R384">
        <v>2000</v>
      </c>
      <c r="S384">
        <v>0</v>
      </c>
      <c r="T384">
        <v>600</v>
      </c>
      <c r="U384">
        <v>0</v>
      </c>
      <c r="V384" t="str">
        <v/>
      </c>
      <c r="W384" t="str">
        <v>0</v>
      </c>
      <c r="X384" t="str">
        <v/>
      </c>
      <c r="Y384" s="31">
        <v>45029</v>
      </c>
      <c r="Z384" t="str">
        <v/>
      </c>
      <c r="AA384" t="str">
        <v>技術・人文知識・国際業務</v>
      </c>
      <c r="AB384" t="str">
        <v>663-8222</v>
      </c>
      <c r="AC384" t="str">
        <v>兵庫県西宮市今津久寿川町6-7</v>
      </c>
      <c r="AD384" t="str">
        <v>久寿川岡田ﾏﾝｼｮﾝ202</v>
      </c>
      <c r="AE384" s="31">
        <v>44726</v>
      </c>
      <c r="AF384" s="31">
        <v>44726</v>
      </c>
      <c r="AG384" s="31">
        <v>44856</v>
      </c>
      <c r="AH384" s="31">
        <v>0</v>
      </c>
      <c r="AI384" t="str">
        <v>22.08.01</v>
      </c>
      <c r="AJ384" t="str">
        <v>6/22林</v>
      </c>
      <c r="AK384">
        <v>0</v>
      </c>
      <c r="AL384">
        <v>44726</v>
      </c>
      <c r="AM384">
        <v>0</v>
      </c>
      <c r="AN384">
        <v>0</v>
      </c>
      <c r="AO384">
        <v>0</v>
      </c>
      <c r="AP384">
        <v>0</v>
      </c>
      <c r="AQ384">
        <v>0</v>
      </c>
      <c r="AR384">
        <v>0</v>
      </c>
    </row>
    <row r="385" spans="1:44">
      <c r="A385" t="str">
        <f>H385&amp;COUNTIF($H$2:H385,H385)</f>
        <v>自動旋削6</v>
      </c>
      <c r="B385" t="str">
        <f>F385&amp;COUNTIF($F$2:F385,F385)</f>
        <v>高雄工業 静岡40</v>
      </c>
      <c r="C385" t="str">
        <v>退社</v>
      </c>
      <c r="D385">
        <v>220613</v>
      </c>
      <c r="E385">
        <v>242049</v>
      </c>
      <c r="F385" t="str">
        <v>高雄工業 静岡</v>
      </c>
      <c r="G385" t="str">
        <v>高雄工業株式会社 静岡事業所第一工場製作課</v>
      </c>
      <c r="H385" t="str">
        <v>自動旋削</v>
      </c>
      <c r="I385" t="str">
        <v>CVJ部品短軸品の施削加工、NCプログラム修正</v>
      </c>
      <c r="J385" t="str">
        <v>NGUYEN MINH DUC</v>
      </c>
      <c r="K385" t="str">
        <v>グエン　ミン　ドゥック</v>
      </c>
      <c r="L385" t="str">
        <v>男</v>
      </c>
      <c r="M385" t="str">
        <v>ﾍﾞﾄﾅﾑ</v>
      </c>
      <c r="N385" s="31">
        <v>35721</v>
      </c>
      <c r="O385">
        <v>28</v>
      </c>
      <c r="P385">
        <v>1300</v>
      </c>
      <c r="Q385">
        <v>0</v>
      </c>
      <c r="R385">
        <v>1700</v>
      </c>
      <c r="S385">
        <v>0</v>
      </c>
      <c r="T385">
        <v>400</v>
      </c>
      <c r="U385">
        <v>320000</v>
      </c>
      <c r="V385">
        <v>16048</v>
      </c>
      <c r="W385" t="str">
        <v>0</v>
      </c>
      <c r="X385">
        <v>29280</v>
      </c>
      <c r="Y385" s="31">
        <v>46558</v>
      </c>
      <c r="Z385" t="str">
        <v/>
      </c>
      <c r="AA385" t="str">
        <v>技術・人文知識・国際業務</v>
      </c>
      <c r="AB385" t="str">
        <v>709-2132</v>
      </c>
      <c r="AC385" t="str">
        <v>静岡県袋井市田町2丁目6-10</v>
      </c>
      <c r="AD385" t="str">
        <v>SuperiorⅠ201</v>
      </c>
      <c r="AE385" s="31">
        <v>44721</v>
      </c>
      <c r="AF385" s="31">
        <v>44726</v>
      </c>
      <c r="AG385" s="31">
        <v>45546</v>
      </c>
      <c r="AH385" s="31">
        <v>0</v>
      </c>
      <c r="AI385">
        <v>0</v>
      </c>
      <c r="AJ385" t="str">
        <v>7/6原</v>
      </c>
      <c r="AK385" t="str">
        <v>請負より異動</v>
      </c>
      <c r="AL385">
        <v>44726</v>
      </c>
      <c r="AM385">
        <v>0</v>
      </c>
      <c r="AN385">
        <v>0</v>
      </c>
      <c r="AO385">
        <v>0</v>
      </c>
      <c r="AP385">
        <v>0</v>
      </c>
      <c r="AQ385">
        <v>0</v>
      </c>
      <c r="AR385">
        <v>0</v>
      </c>
    </row>
    <row r="386" spans="1:44">
      <c r="A386" t="str">
        <f>H386&amp;COUNTIF($H$2:H386,H386)</f>
        <v>手動旋削7</v>
      </c>
      <c r="B386" t="str">
        <f>F386&amp;COUNTIF($F$2:F386,F386)</f>
        <v>高雄工業 静岡41</v>
      </c>
      <c r="C386" t="str">
        <v>退社</v>
      </c>
      <c r="D386">
        <v>220614</v>
      </c>
      <c r="E386">
        <v>242050</v>
      </c>
      <c r="F386" t="str">
        <v>高雄工業 静岡</v>
      </c>
      <c r="G386" t="str">
        <v>高雄工業株式会社 静岡事業所第一工場製作課</v>
      </c>
      <c r="H386" t="str">
        <v>手動旋削</v>
      </c>
      <c r="I386" t="str">
        <v>CVJ部品短軸品の施削加工、NCプログラム修正</v>
      </c>
      <c r="J386" t="str">
        <v>NGUYEN NGOC DAI</v>
      </c>
      <c r="K386" t="str">
        <v>グエン　ゴック　ダイ</v>
      </c>
      <c r="L386" t="str">
        <v>男</v>
      </c>
      <c r="M386" t="str">
        <v>ﾍﾞﾄﾅﾑ</v>
      </c>
      <c r="N386" s="31">
        <v>35729</v>
      </c>
      <c r="O386">
        <v>28</v>
      </c>
      <c r="P386">
        <v>1300</v>
      </c>
      <c r="Q386">
        <v>0</v>
      </c>
      <c r="R386">
        <v>1700</v>
      </c>
      <c r="S386">
        <v>0</v>
      </c>
      <c r="T386">
        <v>400</v>
      </c>
      <c r="U386">
        <v>320000</v>
      </c>
      <c r="V386">
        <v>16048</v>
      </c>
      <c r="W386" t="str">
        <v>0</v>
      </c>
      <c r="X386">
        <v>29280</v>
      </c>
      <c r="Y386" s="31">
        <v>46558</v>
      </c>
      <c r="Z386" t="str">
        <v/>
      </c>
      <c r="AA386" t="str">
        <v>技術・人文知識・国際業務</v>
      </c>
      <c r="AB386" t="str">
        <v>709-2132</v>
      </c>
      <c r="AC386" t="str">
        <v>静岡県袋井市田町2丁目6-10</v>
      </c>
      <c r="AD386" t="str">
        <v>SuperiorⅠ201</v>
      </c>
      <c r="AE386" s="31">
        <v>44721</v>
      </c>
      <c r="AF386" s="31">
        <v>44726</v>
      </c>
      <c r="AG386" s="31">
        <v>45534</v>
      </c>
      <c r="AH386" s="31">
        <v>0</v>
      </c>
      <c r="AI386">
        <v>0</v>
      </c>
      <c r="AJ386" t="str">
        <v>7/6原</v>
      </c>
      <c r="AK386" t="str">
        <v>請負より異動</v>
      </c>
      <c r="AL386">
        <v>44726</v>
      </c>
      <c r="AM386">
        <v>0</v>
      </c>
      <c r="AN386">
        <v>0</v>
      </c>
      <c r="AO386">
        <v>0</v>
      </c>
      <c r="AP386">
        <v>0</v>
      </c>
      <c r="AQ386">
        <v>0</v>
      </c>
      <c r="AR386">
        <v>0</v>
      </c>
    </row>
    <row r="387" spans="1:44">
      <c r="A387" t="str">
        <f>H387&amp;COUNTIF($H$2:H387,H387)</f>
        <v>0192</v>
      </c>
      <c r="B387" t="str">
        <f>F387&amp;COUNTIF($F$2:F387,F387)</f>
        <v>ワーク 堺7</v>
      </c>
      <c r="C387" t="str">
        <v>退社</v>
      </c>
      <c r="D387">
        <v>220615</v>
      </c>
      <c r="E387">
        <v>0</v>
      </c>
      <c r="F387" t="str">
        <v>ワーク 堺</v>
      </c>
      <c r="G387" t="str">
        <v>堺工場　製造部</v>
      </c>
      <c r="H387">
        <v>0</v>
      </c>
      <c r="I387">
        <v>0</v>
      </c>
      <c r="J387" t="str">
        <v>PHAM DINH TUAN</v>
      </c>
      <c r="K387" t="str">
        <v>ファム　ディン　トウン</v>
      </c>
      <c r="L387" t="str">
        <v>男</v>
      </c>
      <c r="M387" t="str">
        <v>ﾍﾞﾄﾅﾑ</v>
      </c>
      <c r="N387" s="31">
        <v>33279</v>
      </c>
      <c r="O387">
        <v>34</v>
      </c>
      <c r="P387">
        <v>1400</v>
      </c>
      <c r="Q387">
        <v>0</v>
      </c>
      <c r="R387">
        <v>1900</v>
      </c>
      <c r="S387">
        <v>0</v>
      </c>
      <c r="T387">
        <v>500</v>
      </c>
      <c r="U387">
        <v>180000</v>
      </c>
      <c r="V387">
        <v>9027</v>
      </c>
      <c r="W387" t="str">
        <v>0</v>
      </c>
      <c r="X387">
        <v>16470</v>
      </c>
      <c r="Y387" s="31">
        <v>44978</v>
      </c>
      <c r="Z387" t="str">
        <v/>
      </c>
      <c r="AA387" t="str">
        <v>技術・人文知識・国際業務</v>
      </c>
      <c r="AB387" t="str">
        <v>559-0004</v>
      </c>
      <c r="AC387" t="str">
        <v>大阪府大阪市住之江区住之江3-3-21</v>
      </c>
      <c r="AD387" t="str">
        <v>ｻﾝﾗｲﾌ住之江101</v>
      </c>
      <c r="AE387" s="31">
        <v>44726</v>
      </c>
      <c r="AF387" s="31">
        <v>44727</v>
      </c>
      <c r="AG387" s="31">
        <v>45044</v>
      </c>
      <c r="AH387" s="31">
        <v>0</v>
      </c>
      <c r="AI387" t="str">
        <v>22.08.01</v>
      </c>
      <c r="AJ387" t="str">
        <v>6/22林</v>
      </c>
      <c r="AK387">
        <v>0</v>
      </c>
      <c r="AL387">
        <v>44727</v>
      </c>
      <c r="AM387">
        <v>0</v>
      </c>
      <c r="AN387">
        <v>0</v>
      </c>
      <c r="AO387">
        <v>0</v>
      </c>
      <c r="AP387">
        <v>0</v>
      </c>
      <c r="AQ387">
        <v>0</v>
      </c>
      <c r="AR387">
        <v>0</v>
      </c>
    </row>
    <row r="388" spans="1:44">
      <c r="A388" t="str">
        <f>H388&amp;COUNTIF($H$2:H388,H388)</f>
        <v>CVJ研磨係2</v>
      </c>
      <c r="B388" t="str">
        <f>F388&amp;COUNTIF($F$2:F388,F388)</f>
        <v>高雄工業 岡山63</v>
      </c>
      <c r="C388" t="str">
        <v>退社</v>
      </c>
      <c r="D388">
        <v>220717</v>
      </c>
      <c r="E388">
        <v>232073</v>
      </c>
      <c r="F388" t="str">
        <v>高雄工業 岡山</v>
      </c>
      <c r="G388" t="str">
        <v>高雄工業株式会社 岡山事業所CVJ工場製作課</v>
      </c>
      <c r="H388" t="str">
        <v>CVJ研磨係</v>
      </c>
      <c r="I388" t="str">
        <v>ＣＶＪ研磨等速ジョイント旋削加工・ＮＣプログラム修正</v>
      </c>
      <c r="J388" t="str">
        <v>DANG CONG CHIEN</v>
      </c>
      <c r="K388" t="str">
        <v>ダン　コン　チエン</v>
      </c>
      <c r="L388" t="str">
        <v>男</v>
      </c>
      <c r="M388" t="str">
        <v>ﾍﾞﾄﾅﾑ</v>
      </c>
      <c r="N388" s="31">
        <v>33364</v>
      </c>
      <c r="O388">
        <v>34</v>
      </c>
      <c r="P388">
        <v>1250</v>
      </c>
      <c r="Q388">
        <v>0</v>
      </c>
      <c r="R388">
        <v>1670</v>
      </c>
      <c r="S388">
        <v>0</v>
      </c>
      <c r="T388">
        <v>420</v>
      </c>
      <c r="U388">
        <v>180000</v>
      </c>
      <c r="V388">
        <v>9027</v>
      </c>
      <c r="W388" t="str">
        <v>0</v>
      </c>
      <c r="X388">
        <v>16470</v>
      </c>
      <c r="Y388" s="31">
        <v>45456</v>
      </c>
      <c r="Z388" t="str">
        <v/>
      </c>
      <c r="AA388" t="str">
        <v>技術・人文知識・国際業務</v>
      </c>
      <c r="AB388" t="str">
        <v>709-2107</v>
      </c>
      <c r="AC388" t="str">
        <v>岡山県岡山市北区御津矢原307-1</v>
      </c>
      <c r="AD388" t="str">
        <v>成広矢原ｺｰﾎﾟⅡ102</v>
      </c>
      <c r="AE388" s="31">
        <v>44774</v>
      </c>
      <c r="AF388" s="31">
        <v>44727</v>
      </c>
      <c r="AG388" s="31">
        <v>45180</v>
      </c>
      <c r="AH388" s="31">
        <v>0</v>
      </c>
      <c r="AI388" t="str">
        <v>22.08.01</v>
      </c>
      <c r="AJ388" t="str">
        <v>8/1林</v>
      </c>
      <c r="AK388" t="str">
        <v>請負より異動</v>
      </c>
      <c r="AL388">
        <v>44727</v>
      </c>
      <c r="AM388">
        <v>0</v>
      </c>
      <c r="AN388">
        <v>0</v>
      </c>
      <c r="AO388">
        <v>0</v>
      </c>
      <c r="AP388">
        <v>0</v>
      </c>
      <c r="AQ388">
        <v>0</v>
      </c>
      <c r="AR388">
        <v>0</v>
      </c>
    </row>
    <row r="389" spans="1:44">
      <c r="A389" t="str">
        <f>H389&amp;COUNTIF($H$2:H389,H389)</f>
        <v>0193</v>
      </c>
      <c r="B389" t="str">
        <f>F389&amp;COUNTIF($F$2:F389,F389)</f>
        <v>ﾌｪﾆﾃｯｸｾﾐｺﾝﾀﾞｸﾀｰ 鹿児島15</v>
      </c>
      <c r="C389" t="str">
        <v>退社</v>
      </c>
      <c r="D389">
        <v>210704</v>
      </c>
      <c r="E389">
        <v>0</v>
      </c>
      <c r="F389" t="str">
        <v>ﾌｪﾆﾃｯｸｾﾐｺﾝﾀﾞｸﾀｰ 鹿児島</v>
      </c>
      <c r="G389" t="str">
        <v>鹿児島工場　製造部　製造課</v>
      </c>
      <c r="H389">
        <v>0</v>
      </c>
      <c r="I389">
        <v>0</v>
      </c>
      <c r="J389" t="str">
        <v>NGUYEN VAN HAO</v>
      </c>
      <c r="K389" t="str">
        <v>グエン　ヴァン　ハオ</v>
      </c>
      <c r="L389" t="str">
        <v>男</v>
      </c>
      <c r="M389" t="str">
        <v>ﾍﾞﾄﾅﾑ</v>
      </c>
      <c r="N389" s="31">
        <v>34208</v>
      </c>
      <c r="O389">
        <v>32</v>
      </c>
      <c r="P389">
        <v>1400</v>
      </c>
      <c r="Q389">
        <v>0</v>
      </c>
      <c r="R389">
        <v>2000</v>
      </c>
      <c r="S389">
        <v>0</v>
      </c>
      <c r="T389">
        <v>600</v>
      </c>
      <c r="U389">
        <v>180000</v>
      </c>
      <c r="V389">
        <v>9027</v>
      </c>
      <c r="W389" t="str">
        <v>0</v>
      </c>
      <c r="X389">
        <v>16470</v>
      </c>
      <c r="Y389" s="31">
        <v>45492</v>
      </c>
      <c r="Z389" t="str">
        <v/>
      </c>
      <c r="AA389" t="str">
        <v>技術・人文知識・国際業務</v>
      </c>
      <c r="AB389" t="str">
        <v>899-6200</v>
      </c>
      <c r="AC389" t="str">
        <v>鹿児島県姶良郡湧水町木場1214番地1</v>
      </c>
      <c r="AD389" t="str">
        <v>尾鉢第3住宅2号棟</v>
      </c>
      <c r="AE389" s="31">
        <v>0</v>
      </c>
      <c r="AF389" s="31">
        <v>44732</v>
      </c>
      <c r="AG389" s="31">
        <v>45029</v>
      </c>
      <c r="AH389" s="31">
        <v>0</v>
      </c>
      <c r="AI389" t="str">
        <v>22.08.01</v>
      </c>
      <c r="AJ389" t="str">
        <v>7/14林</v>
      </c>
      <c r="AK389">
        <v>0</v>
      </c>
      <c r="AL389">
        <v>44732</v>
      </c>
      <c r="AM389">
        <v>0</v>
      </c>
      <c r="AN389">
        <v>0</v>
      </c>
      <c r="AO389">
        <v>0</v>
      </c>
      <c r="AP389">
        <v>0</v>
      </c>
      <c r="AQ389">
        <v>0</v>
      </c>
      <c r="AR389">
        <v>0</v>
      </c>
    </row>
    <row r="390" spans="1:44">
      <c r="A390" t="str">
        <f>H390&amp;COUNTIF($H$2:H390,H390)</f>
        <v>0194</v>
      </c>
      <c r="B390" t="str">
        <f>F390&amp;COUNTIF($F$2:F390,F390)</f>
        <v>PATEC15</v>
      </c>
      <c r="C390" t="str">
        <v>退社</v>
      </c>
      <c r="D390">
        <v>220616</v>
      </c>
      <c r="E390">
        <v>0</v>
      </c>
      <c r="F390" t="str">
        <v>PATEC</v>
      </c>
      <c r="G390" t="str">
        <v>製造部素材課</v>
      </c>
      <c r="H390">
        <v>0</v>
      </c>
      <c r="I390">
        <v>0</v>
      </c>
      <c r="J390" t="str">
        <v>DUONG VAN NGHIA</v>
      </c>
      <c r="K390" t="str">
        <v>ズオン　ヴァン　ギア</v>
      </c>
      <c r="L390" t="str">
        <v>男</v>
      </c>
      <c r="M390" t="str">
        <v>ﾍﾞﾄﾅﾑ</v>
      </c>
      <c r="N390" s="31">
        <v>32696</v>
      </c>
      <c r="O390">
        <v>36</v>
      </c>
      <c r="P390">
        <v>1500</v>
      </c>
      <c r="Q390" t="str">
        <v>半年後UPなし</v>
      </c>
      <c r="R390">
        <v>2000</v>
      </c>
      <c r="S390">
        <v>0</v>
      </c>
      <c r="T390">
        <v>500</v>
      </c>
      <c r="U390">
        <v>320000</v>
      </c>
      <c r="V390">
        <v>16048</v>
      </c>
      <c r="W390" t="str">
        <v>0</v>
      </c>
      <c r="X390">
        <v>29280</v>
      </c>
      <c r="Y390" s="31">
        <v>46376</v>
      </c>
      <c r="Z390" t="str">
        <v/>
      </c>
      <c r="AA390" t="str">
        <v>技術・人文知識・国際業務</v>
      </c>
      <c r="AB390" t="str">
        <v>747-0833</v>
      </c>
      <c r="AC390" t="str">
        <v>山口県防府市大字浜方716-15</v>
      </c>
      <c r="AD390" t="str">
        <v>ｱﾙｿｰﾚC201</v>
      </c>
      <c r="AE390" s="31">
        <v>44735</v>
      </c>
      <c r="AF390" s="31">
        <v>44735</v>
      </c>
      <c r="AG390" s="31">
        <v>45331</v>
      </c>
      <c r="AH390" s="31">
        <v>0</v>
      </c>
      <c r="AI390" t="str">
        <v>22.09.01</v>
      </c>
      <c r="AJ390" t="str">
        <v>8/10原</v>
      </c>
      <c r="AK390">
        <v>0</v>
      </c>
      <c r="AL390">
        <v>44735</v>
      </c>
      <c r="AM390">
        <v>0</v>
      </c>
      <c r="AN390">
        <v>0</v>
      </c>
      <c r="AO390">
        <v>0</v>
      </c>
      <c r="AP390">
        <v>0</v>
      </c>
      <c r="AQ390">
        <v>0</v>
      </c>
      <c r="AR390">
        <v>0</v>
      </c>
    </row>
    <row r="391" spans="1:44">
      <c r="A391" t="str">
        <f>H391&amp;COUNTIF($H$2:H391,H391)</f>
        <v>HUB 検査課係.3</v>
      </c>
      <c r="B391" t="str">
        <f>F391&amp;COUNTIF($F$2:F391,F391)</f>
        <v>高雄工業 岡山64</v>
      </c>
      <c r="C391" t="str">
        <v>退社</v>
      </c>
      <c r="D391">
        <v>220702</v>
      </c>
      <c r="E391">
        <v>232120</v>
      </c>
      <c r="F391" t="str">
        <v>高雄工業 岡山</v>
      </c>
      <c r="G391" t="str">
        <v>高雄工業株式会社 岡山品質保証部岡山HUB品証課</v>
      </c>
      <c r="H391" t="str">
        <v>HUB 検査課係.</v>
      </c>
      <c r="I391" t="str">
        <v>HUB旋削加工品の抜き取り検査</v>
      </c>
      <c r="J391" t="str">
        <v>BUI THI HONG LOAN</v>
      </c>
      <c r="K391" t="str">
        <v>ブイ　ティ　ホン　ロアン</v>
      </c>
      <c r="L391" t="str">
        <v>女</v>
      </c>
      <c r="M391" t="str">
        <v>ﾍﾞﾄﾅﾑ</v>
      </c>
      <c r="N391" s="31">
        <v>35338</v>
      </c>
      <c r="O391">
        <v>29</v>
      </c>
      <c r="P391">
        <v>1310</v>
      </c>
      <c r="Q391">
        <v>0</v>
      </c>
      <c r="R391">
        <v>1650</v>
      </c>
      <c r="S391">
        <v>0</v>
      </c>
      <c r="T391">
        <v>340</v>
      </c>
      <c r="U391">
        <v>200000</v>
      </c>
      <c r="V391">
        <v>10030</v>
      </c>
      <c r="W391" t="str">
        <v>0</v>
      </c>
      <c r="X391">
        <v>18300</v>
      </c>
      <c r="Y391" s="31">
        <v>46186</v>
      </c>
      <c r="Z391" t="str">
        <v/>
      </c>
      <c r="AA391" t="str">
        <v>技術・人文知識・国際業務</v>
      </c>
      <c r="AB391" t="str">
        <v>709-2107</v>
      </c>
      <c r="AC391" t="str">
        <v>岡山県岡山市北区御津矢原311</v>
      </c>
      <c r="AD391" t="str">
        <v>中須賀ｺｰﾎﾟⅢ202</v>
      </c>
      <c r="AE391" s="31">
        <v>45165</v>
      </c>
      <c r="AF391" s="31">
        <v>44743</v>
      </c>
      <c r="AG391" s="31">
        <v>45975</v>
      </c>
      <c r="AH391" s="31">
        <v>0</v>
      </c>
      <c r="AI391" t="str">
        <v>22.09.01</v>
      </c>
      <c r="AJ391" t="str">
        <v>8/1林</v>
      </c>
      <c r="AK391" t="str">
        <v>2022/7/1~2023/7/28ﾌｪﾆﾃｯｸ鹿児島　2023/8/4~高雄工業岡山へ異動 育休後復帰無で退社</v>
      </c>
      <c r="AL391">
        <v>44743</v>
      </c>
      <c r="AM391">
        <v>0</v>
      </c>
      <c r="AN391">
        <v>0</v>
      </c>
      <c r="AO391">
        <v>0</v>
      </c>
      <c r="AP391">
        <v>0</v>
      </c>
      <c r="AQ391">
        <v>0</v>
      </c>
      <c r="AR391">
        <v>0</v>
      </c>
    </row>
    <row r="392" spans="1:44">
      <c r="A392" t="str">
        <f>H392&amp;COUNTIF($H$2:H392,H392)</f>
        <v>0195</v>
      </c>
      <c r="B392" t="str">
        <f>F392&amp;COUNTIF($F$2:F392,F392)</f>
        <v>ﾌｪﾆﾃｯｸｾﾐｺﾝﾀﾞｸﾀｰ 鹿児島16</v>
      </c>
      <c r="C392" t="str">
        <v>退社</v>
      </c>
      <c r="D392">
        <v>220701</v>
      </c>
      <c r="E392">
        <v>0</v>
      </c>
      <c r="F392" t="str">
        <v>ﾌｪﾆﾃｯｸｾﾐｺﾝﾀﾞｸﾀｰ 鹿児島</v>
      </c>
      <c r="G392" t="str">
        <v>鹿児島工場　製造部　製造課</v>
      </c>
      <c r="H392">
        <v>0</v>
      </c>
      <c r="I392">
        <v>0</v>
      </c>
      <c r="J392" t="str">
        <v>NGUYEN VAN VUNG</v>
      </c>
      <c r="K392" t="str">
        <v>グエン　ヴァン　ブン</v>
      </c>
      <c r="L392" t="str">
        <v>男</v>
      </c>
      <c r="M392" t="str">
        <v>ﾍﾞﾄﾅﾑ</v>
      </c>
      <c r="N392" s="31">
        <v>35976</v>
      </c>
      <c r="O392">
        <v>27</v>
      </c>
      <c r="P392">
        <v>1400</v>
      </c>
      <c r="Q392">
        <v>0</v>
      </c>
      <c r="R392">
        <v>2000</v>
      </c>
      <c r="S392">
        <v>0</v>
      </c>
      <c r="T392">
        <v>600</v>
      </c>
      <c r="U392">
        <v>260000</v>
      </c>
      <c r="V392">
        <v>13039</v>
      </c>
      <c r="W392" t="str">
        <v>0</v>
      </c>
      <c r="X392">
        <v>23790</v>
      </c>
      <c r="Y392" s="31">
        <v>45742</v>
      </c>
      <c r="Z392" t="str">
        <v/>
      </c>
      <c r="AA392" t="str">
        <v>技術・人文知識・国際業務</v>
      </c>
      <c r="AB392" t="str">
        <v>899-6200</v>
      </c>
      <c r="AC392" t="str">
        <v>鹿児島県姶良郡湧水町木場1214番地1</v>
      </c>
      <c r="AD392" t="str">
        <v>尾鉢第3住宅2号棟</v>
      </c>
      <c r="AE392" s="31">
        <v>44740</v>
      </c>
      <c r="AF392" s="31">
        <v>44743</v>
      </c>
      <c r="AG392" s="31">
        <v>45281</v>
      </c>
      <c r="AH392" s="31">
        <v>0</v>
      </c>
      <c r="AI392" t="str">
        <v>22.09.01</v>
      </c>
      <c r="AJ392" t="str">
        <v>8/11林</v>
      </c>
      <c r="AK392">
        <v>0</v>
      </c>
      <c r="AL392">
        <v>44743</v>
      </c>
      <c r="AM392">
        <v>0</v>
      </c>
      <c r="AN392">
        <v>0</v>
      </c>
      <c r="AO392">
        <v>0</v>
      </c>
      <c r="AP392">
        <v>0</v>
      </c>
      <c r="AQ392">
        <v>0</v>
      </c>
      <c r="AR392">
        <v>0</v>
      </c>
    </row>
    <row r="393" spans="1:44">
      <c r="A393" t="str">
        <f>H393&amp;COUNTIF($H$2:H393,H393)</f>
        <v>成型ライン4</v>
      </c>
      <c r="B393" t="str">
        <f>F393&amp;COUNTIF($F$2:F393,F393)</f>
        <v>ピーエムアイ14</v>
      </c>
      <c r="C393" t="str">
        <v>退社</v>
      </c>
      <c r="D393">
        <v>220703</v>
      </c>
      <c r="E393">
        <v>0</v>
      </c>
      <c r="F393" t="str">
        <v>ピーエムアイ</v>
      </c>
      <c r="G393" t="str">
        <v>製造1</v>
      </c>
      <c r="H393" t="str">
        <v>成型ライン</v>
      </c>
      <c r="I393" t="str">
        <v>プラスチック製品の製造におけるすべての行為</v>
      </c>
      <c r="J393" t="str">
        <v>DAO THI MIEN</v>
      </c>
      <c r="K393" t="str">
        <v>ダオ　ティ　ミエン</v>
      </c>
      <c r="L393" t="str">
        <v>女</v>
      </c>
      <c r="M393" t="str">
        <v>ﾍﾞﾄﾅﾑ</v>
      </c>
      <c r="N393" s="31">
        <v>32814</v>
      </c>
      <c r="O393">
        <v>36</v>
      </c>
      <c r="P393">
        <v>1300</v>
      </c>
      <c r="Q393">
        <v>0</v>
      </c>
      <c r="R393">
        <v>1800</v>
      </c>
      <c r="S393">
        <v>0</v>
      </c>
      <c r="T393">
        <v>500</v>
      </c>
      <c r="U393">
        <v>220000</v>
      </c>
      <c r="V393">
        <v>11033</v>
      </c>
      <c r="W393" t="str">
        <v>0</v>
      </c>
      <c r="X393">
        <v>20130</v>
      </c>
      <c r="Y393" s="31">
        <v>45471</v>
      </c>
      <c r="Z393" t="str">
        <v/>
      </c>
      <c r="AA393" t="str">
        <v>技術・人文知識・国際業務</v>
      </c>
      <c r="AB393" t="str">
        <v>471-0805</v>
      </c>
      <c r="AC393" t="str">
        <v>愛知県豊田市美里2-6-9</v>
      </c>
      <c r="AD393" t="str">
        <v>ﾚｼﾞｪﾝﾄﾞK304</v>
      </c>
      <c r="AE393" s="31">
        <v>44742</v>
      </c>
      <c r="AF393" s="31">
        <v>44743</v>
      </c>
      <c r="AG393" s="31">
        <v>45366</v>
      </c>
      <c r="AH393" s="31">
        <v>0</v>
      </c>
      <c r="AI393" t="str">
        <v>22.09.01</v>
      </c>
      <c r="AJ393" t="str">
        <v>8/1林</v>
      </c>
      <c r="AK393" t="str">
        <v>2022/7/1~ﾌｪﾆﾃｯｸ鹿児島　2023/4/6～PMIへ移動、2023/7/8～304へ移動</v>
      </c>
      <c r="AL393">
        <v>44743</v>
      </c>
      <c r="AM393">
        <v>0</v>
      </c>
      <c r="AN393">
        <v>0</v>
      </c>
      <c r="AO393">
        <v>0</v>
      </c>
      <c r="AP393">
        <v>0</v>
      </c>
      <c r="AQ393">
        <v>0</v>
      </c>
      <c r="AR393">
        <v>0</v>
      </c>
    </row>
    <row r="394" spans="1:44">
      <c r="A394" t="str">
        <f>H394&amp;COUNTIF($H$2:H394,H394)</f>
        <v>手動旋削8</v>
      </c>
      <c r="B394" t="str">
        <f>F394&amp;COUNTIF($F$2:F394,F394)</f>
        <v>高雄工業 静岡42</v>
      </c>
      <c r="C394" t="str">
        <v>退社</v>
      </c>
      <c r="D394">
        <v>220704</v>
      </c>
      <c r="E394">
        <v>242051</v>
      </c>
      <c r="F394" t="str">
        <v>高雄工業 静岡</v>
      </c>
      <c r="G394" t="str">
        <v>高雄工業株式会社 静岡事業所第一工場製作課</v>
      </c>
      <c r="H394" t="str">
        <v>手動旋削</v>
      </c>
      <c r="I394" t="str">
        <v>CVJ部品短軸品の施削加工、NCプログラム修正</v>
      </c>
      <c r="J394" t="str">
        <v>TRAN QUANG HUY</v>
      </c>
      <c r="K394" t="str">
        <v>チャン　クアン　フィ</v>
      </c>
      <c r="L394" t="str">
        <v>男</v>
      </c>
      <c r="M394" t="str">
        <v>ﾍﾞﾄﾅﾑ</v>
      </c>
      <c r="N394" s="31">
        <v>36093</v>
      </c>
      <c r="O394">
        <v>27</v>
      </c>
      <c r="P394">
        <v>1300</v>
      </c>
      <c r="Q394">
        <v>0</v>
      </c>
      <c r="R394">
        <v>1660</v>
      </c>
      <c r="S394">
        <v>0</v>
      </c>
      <c r="T394">
        <v>360</v>
      </c>
      <c r="U394">
        <v>260000</v>
      </c>
      <c r="V394">
        <v>13039</v>
      </c>
      <c r="W394" t="str">
        <v>0</v>
      </c>
      <c r="X394">
        <v>23790</v>
      </c>
      <c r="Y394" s="31">
        <v>45417</v>
      </c>
      <c r="Z394" t="str">
        <v/>
      </c>
      <c r="AA394" t="str">
        <v>技術・人文知識・国際業務</v>
      </c>
      <c r="AB394" t="str">
        <v>437-0016</v>
      </c>
      <c r="AC394" t="str">
        <v>静岡県袋井市葵町2丁目5番地1</v>
      </c>
      <c r="AD394" t="str">
        <v>ｼｬﾝﾄﾞﾌﾙｰﾙ103</v>
      </c>
      <c r="AE394" s="31">
        <v>44747</v>
      </c>
      <c r="AF394" s="31">
        <v>44750</v>
      </c>
      <c r="AG394" s="31">
        <v>45253</v>
      </c>
      <c r="AH394" s="31">
        <v>0</v>
      </c>
      <c r="AI394" t="str">
        <v>22.09.01</v>
      </c>
      <c r="AJ394" t="str">
        <v>7/14林</v>
      </c>
      <c r="AK394" t="str">
        <v>5/20請負入社　切子回収より異動</v>
      </c>
      <c r="AL394">
        <v>44750</v>
      </c>
      <c r="AM394">
        <v>0</v>
      </c>
      <c r="AN394">
        <v>0</v>
      </c>
      <c r="AO394">
        <v>0</v>
      </c>
      <c r="AP394">
        <v>0</v>
      </c>
      <c r="AQ394">
        <v>0</v>
      </c>
      <c r="AR394">
        <v>0</v>
      </c>
    </row>
    <row r="395" spans="1:44">
      <c r="A395" t="str">
        <f>H395&amp;COUNTIF($H$2:H395,H395)</f>
        <v>等速ジョイント7</v>
      </c>
      <c r="B395" t="str">
        <f>F395&amp;COUNTIF($F$2:F395,F395)</f>
        <v>瑞陵精機19</v>
      </c>
      <c r="C395" t="str">
        <v>退社</v>
      </c>
      <c r="D395">
        <v>220705</v>
      </c>
      <c r="E395">
        <v>0</v>
      </c>
      <c r="F395" t="str">
        <v>瑞陵精機</v>
      </c>
      <c r="G395" t="str">
        <v>製造課</v>
      </c>
      <c r="H395" t="str">
        <v>等速ジョイント</v>
      </c>
      <c r="I395" t="str">
        <v>ＮＣ旋盤、マシニングセンター等の工作機械を使いオペレーターとして製造ラインで製品を加工</v>
      </c>
      <c r="J395" t="str">
        <v>NGUYEN PHAN BANG</v>
      </c>
      <c r="K395" t="str">
        <v>グエン　ファン　バン</v>
      </c>
      <c r="L395" t="str">
        <v>男</v>
      </c>
      <c r="M395" t="str">
        <v>ﾍﾞﾄﾅﾑ</v>
      </c>
      <c r="N395" s="31">
        <v>35856</v>
      </c>
      <c r="O395">
        <v>27</v>
      </c>
      <c r="P395">
        <v>1320</v>
      </c>
      <c r="Q395">
        <v>0</v>
      </c>
      <c r="R395">
        <v>1700</v>
      </c>
      <c r="S395">
        <v>0</v>
      </c>
      <c r="T395">
        <v>380</v>
      </c>
      <c r="U395">
        <v>300000</v>
      </c>
      <c r="V395">
        <v>15045</v>
      </c>
      <c r="W395" t="str">
        <v>0</v>
      </c>
      <c r="X395">
        <v>27450</v>
      </c>
      <c r="Y395" s="31">
        <v>46597</v>
      </c>
      <c r="Z395" t="str">
        <v/>
      </c>
      <c r="AA395" t="str">
        <v>技術・人文知識・国際業務</v>
      </c>
      <c r="AB395" t="str">
        <v>509-7201</v>
      </c>
      <c r="AC395" t="str">
        <v>岐阜県恵那市大井町1120-303</v>
      </c>
      <c r="AD395" t="str">
        <v>各務ﾊｲﾂ4H</v>
      </c>
      <c r="AE395" s="31">
        <v>44750</v>
      </c>
      <c r="AF395" s="31">
        <v>44753</v>
      </c>
      <c r="AG395" s="31">
        <v>45674</v>
      </c>
      <c r="AH395" s="31">
        <v>0</v>
      </c>
      <c r="AI395" t="str">
        <v>22.09.01</v>
      </c>
      <c r="AJ395" t="str">
        <v>7/14林</v>
      </c>
      <c r="AK395" t="str">
        <v>6/15~請負入社異動</v>
      </c>
      <c r="AL395">
        <v>44753</v>
      </c>
      <c r="AM395">
        <v>0</v>
      </c>
      <c r="AN395">
        <v>0</v>
      </c>
      <c r="AO395">
        <v>0</v>
      </c>
      <c r="AP395">
        <v>0</v>
      </c>
      <c r="AQ395">
        <v>0</v>
      </c>
      <c r="AR395">
        <v>0</v>
      </c>
    </row>
    <row r="396" spans="1:44">
      <c r="A396" t="str">
        <f>H396&amp;COUNTIF($H$2:H396,H396)</f>
        <v>リフト作業1</v>
      </c>
      <c r="B396" t="str">
        <f>F396&amp;COUNTIF($F$2:F396,F396)</f>
        <v>高雄工業 海南第一32</v>
      </c>
      <c r="C396" t="str">
        <v>退社</v>
      </c>
      <c r="D396">
        <v>220706</v>
      </c>
      <c r="E396">
        <v>222052</v>
      </c>
      <c r="F396" t="str">
        <v>高雄工業 海南第一</v>
      </c>
      <c r="G396" t="str">
        <v>高雄工業株式会社 第二営業部海南HUB営業課</v>
      </c>
      <c r="H396" t="str">
        <v>リフト作業</v>
      </c>
      <c r="I396" t="str">
        <v>鋳造材料の工場内加工ラインへの供給</v>
      </c>
      <c r="J396" t="str">
        <v>佐藤　マルセロ　ヒトシ</v>
      </c>
      <c r="K396" t="str">
        <v>サトウ　マルセロ　ヒトシ</v>
      </c>
      <c r="L396" t="str">
        <v>男</v>
      </c>
      <c r="M396" t="str">
        <v>ﾌﾞﾗｼﾞﾙ</v>
      </c>
      <c r="N396" s="31">
        <v>28323</v>
      </c>
      <c r="O396">
        <v>48</v>
      </c>
      <c r="P396">
        <v>1450</v>
      </c>
      <c r="Q396">
        <v>0</v>
      </c>
      <c r="R396">
        <v>1800</v>
      </c>
      <c r="S396">
        <v>0</v>
      </c>
      <c r="T396">
        <v>350</v>
      </c>
      <c r="U396">
        <v>300000</v>
      </c>
      <c r="V396">
        <v>15045</v>
      </c>
      <c r="W396">
        <v>2385</v>
      </c>
      <c r="X396">
        <v>27450</v>
      </c>
      <c r="Y396" s="31">
        <v>46675</v>
      </c>
      <c r="Z396" t="str">
        <v/>
      </c>
      <c r="AA396" t="str">
        <v>定住者</v>
      </c>
      <c r="AB396" t="str">
        <v>498-0021</v>
      </c>
      <c r="AC396" t="str">
        <v>愛知県弥富市鯏浦町東気開51番地1</v>
      </c>
      <c r="AD396" t="str">
        <v>ﾌｨﾚﾝﾂｪ弥冨2-406</v>
      </c>
      <c r="AE396" s="31" t="str">
        <v>個人</v>
      </c>
      <c r="AF396" s="31">
        <v>44760</v>
      </c>
      <c r="AG396" s="31">
        <v>45792</v>
      </c>
      <c r="AH396" s="31">
        <v>0</v>
      </c>
      <c r="AI396" t="str">
        <v>22.08.01</v>
      </c>
      <c r="AJ396" t="str">
        <v>8/1林</v>
      </c>
      <c r="AK396">
        <v>0</v>
      </c>
      <c r="AL396">
        <v>44760</v>
      </c>
      <c r="AM396">
        <v>0</v>
      </c>
      <c r="AN396">
        <v>0</v>
      </c>
      <c r="AO396">
        <v>0</v>
      </c>
      <c r="AP396">
        <v>0</v>
      </c>
      <c r="AQ396">
        <v>0</v>
      </c>
      <c r="AR396">
        <v>0</v>
      </c>
    </row>
    <row r="397" spans="1:44">
      <c r="A397" t="str">
        <f>H397&amp;COUNTIF($H$2:H397,H397)</f>
        <v>0196</v>
      </c>
      <c r="B397" t="str">
        <f>F397&amp;COUNTIF($F$2:F397,F397)</f>
        <v>ﾌｪﾆﾃｯｸｾﾐｺﾝﾀﾞｸﾀｰ 鹿児島17</v>
      </c>
      <c r="C397" t="str">
        <v>退社</v>
      </c>
      <c r="D397">
        <v>210422</v>
      </c>
      <c r="E397">
        <v>0</v>
      </c>
      <c r="F397" t="str">
        <v>ﾌｪﾆﾃｯｸｾﾐｺﾝﾀﾞｸﾀｰ 鹿児島</v>
      </c>
      <c r="G397">
        <v>0</v>
      </c>
      <c r="H397">
        <v>0</v>
      </c>
      <c r="I397">
        <v>0</v>
      </c>
      <c r="J397" t="str">
        <v>TRAN DINH VINH</v>
      </c>
      <c r="K397" t="str">
        <v>チャン　ディン　ヴィン</v>
      </c>
      <c r="L397" t="str">
        <v>男</v>
      </c>
      <c r="M397" t="str">
        <v>ﾍﾞﾄﾅﾑ</v>
      </c>
      <c r="N397" s="31">
        <v>32470</v>
      </c>
      <c r="O397">
        <v>37</v>
      </c>
      <c r="P397">
        <v>1450</v>
      </c>
      <c r="Q397">
        <v>0</v>
      </c>
      <c r="R397">
        <v>2100</v>
      </c>
      <c r="S397" t="str">
        <v>　2024/1/1～ 2000円⇒2100円</v>
      </c>
      <c r="T397">
        <v>650</v>
      </c>
      <c r="U397">
        <v>260000</v>
      </c>
      <c r="V397">
        <v>13039</v>
      </c>
      <c r="W397" t="str">
        <v>0</v>
      </c>
      <c r="X397">
        <v>23790</v>
      </c>
      <c r="Y397" s="31">
        <v>45796</v>
      </c>
      <c r="Z397" t="str">
        <v/>
      </c>
      <c r="AA397" t="str">
        <v>技術・人文知識・国際業務</v>
      </c>
      <c r="AB397" t="str">
        <v>899-6200</v>
      </c>
      <c r="AC397" t="str">
        <v>鹿児島県姶良郡湧水町木場1214番地1</v>
      </c>
      <c r="AD397" t="str">
        <v>尾鉢第3住宅1号棟</v>
      </c>
      <c r="AE397" s="31">
        <v>44756</v>
      </c>
      <c r="AF397" s="31">
        <v>44761</v>
      </c>
      <c r="AG397" s="31">
        <v>45454</v>
      </c>
      <c r="AH397" s="31">
        <v>0</v>
      </c>
      <c r="AI397" t="str">
        <v>22.10.01</v>
      </c>
      <c r="AJ397" t="str">
        <v>8/3原</v>
      </c>
      <c r="AK397">
        <v>0</v>
      </c>
      <c r="AL397">
        <v>44761</v>
      </c>
      <c r="AM397">
        <v>0</v>
      </c>
      <c r="AN397">
        <v>0</v>
      </c>
      <c r="AO397">
        <v>0</v>
      </c>
      <c r="AP397">
        <v>0</v>
      </c>
      <c r="AQ397">
        <v>0</v>
      </c>
      <c r="AR397">
        <v>0</v>
      </c>
    </row>
    <row r="398" spans="1:44">
      <c r="A398" t="str">
        <f>H398&amp;COUNTIF($H$2:H398,H398)</f>
        <v>1次旋係14</v>
      </c>
      <c r="B398" t="str">
        <f>F398&amp;COUNTIF($F$2:F398,F398)</f>
        <v>高雄工業 岡山65</v>
      </c>
      <c r="C398" t="str">
        <v>在職中</v>
      </c>
      <c r="D398">
        <v>220709</v>
      </c>
      <c r="E398">
        <v>232067</v>
      </c>
      <c r="F398" t="str">
        <v>高雄工業 岡山</v>
      </c>
      <c r="G398" t="str">
        <v>高雄工業株式会社 岡山事業所HUB工場製作1課</v>
      </c>
      <c r="H398" t="str">
        <v>1次旋係</v>
      </c>
      <c r="I398" t="str">
        <v>ハブ加工 自動機の操作、ＮＣプログラム修正</v>
      </c>
      <c r="J398" t="str">
        <v>ILHAM</v>
      </c>
      <c r="K398" t="str">
        <v>イルハム</v>
      </c>
      <c r="L398" t="str">
        <v>男</v>
      </c>
      <c r="M398" t="str">
        <v>ｲﾝﾄﾞﾈｼｱ</v>
      </c>
      <c r="N398" s="31">
        <v>35149</v>
      </c>
      <c r="O398">
        <v>29</v>
      </c>
      <c r="P398">
        <v>1410</v>
      </c>
      <c r="Q398">
        <v>0</v>
      </c>
      <c r="R398">
        <v>1850</v>
      </c>
      <c r="S398">
        <v>0</v>
      </c>
      <c r="T398">
        <v>440</v>
      </c>
      <c r="U398">
        <v>280000</v>
      </c>
      <c r="V398">
        <v>14042</v>
      </c>
      <c r="W398" t="str">
        <v>0</v>
      </c>
      <c r="X398">
        <v>25620</v>
      </c>
      <c r="Y398" s="31">
        <v>46374</v>
      </c>
      <c r="Z398" t="str">
        <v/>
      </c>
      <c r="AA398" t="str">
        <v>技術・人文知識・国際業務</v>
      </c>
      <c r="AB398" t="str">
        <v>709-2107</v>
      </c>
      <c r="AC398" t="str">
        <v>岡山県岡山市北区御津矢原299-2</v>
      </c>
      <c r="AD398" t="str">
        <v>成広矢原ｺｰﾎﾟⅦ102号</v>
      </c>
      <c r="AE398" s="31">
        <v>44849</v>
      </c>
      <c r="AF398" s="31">
        <v>44762</v>
      </c>
      <c r="AG398" s="31">
        <v>0</v>
      </c>
      <c r="AH398" s="31">
        <v>0</v>
      </c>
      <c r="AI398" t="str">
        <v>22.09.01</v>
      </c>
      <c r="AJ398" t="str">
        <v>8/11林</v>
      </c>
      <c r="AK398" t="str">
        <v>7/11請負入社。7/20～派遣異動</v>
      </c>
      <c r="AL398">
        <v>44762</v>
      </c>
      <c r="AM398">
        <v>0</v>
      </c>
      <c r="AN398">
        <v>0</v>
      </c>
      <c r="AO398">
        <v>0</v>
      </c>
      <c r="AP398">
        <v>0</v>
      </c>
      <c r="AQ398">
        <v>0</v>
      </c>
      <c r="AR398">
        <v>0</v>
      </c>
    </row>
    <row r="399" spans="1:44">
      <c r="A399" t="str">
        <f>H399&amp;COUNTIF($H$2:H399,H399)</f>
        <v>1次旋係15</v>
      </c>
      <c r="B399" t="str">
        <f>F399&amp;COUNTIF($F$2:F399,F399)</f>
        <v>高雄工業 岡山66</v>
      </c>
      <c r="C399" t="str">
        <v>在職中</v>
      </c>
      <c r="D399">
        <v>220710</v>
      </c>
      <c r="E399">
        <v>232064</v>
      </c>
      <c r="F399" t="str">
        <v>高雄工業 岡山</v>
      </c>
      <c r="G399" t="str">
        <v>高雄工業株式会社 岡山事業所HUB工場製作1課</v>
      </c>
      <c r="H399" t="str">
        <v>1次旋係</v>
      </c>
      <c r="I399" t="str">
        <v>ハブ加工 自動機の操作、ＮＣプログラム修正</v>
      </c>
      <c r="J399" t="str">
        <v>YASSER RIDHA MUSLIM</v>
      </c>
      <c r="K399" t="str">
        <v>ヤッセル　リダ　ムスリム</v>
      </c>
      <c r="L399" t="str">
        <v>男</v>
      </c>
      <c r="M399" t="str">
        <v>ｲﾝﾄﾞﾈｼｱ</v>
      </c>
      <c r="N399" s="31">
        <v>34769</v>
      </c>
      <c r="O399">
        <v>30</v>
      </c>
      <c r="P399">
        <v>1410</v>
      </c>
      <c r="Q399">
        <v>0</v>
      </c>
      <c r="R399">
        <v>1840</v>
      </c>
      <c r="S399">
        <v>0</v>
      </c>
      <c r="T399">
        <v>430</v>
      </c>
      <c r="U399">
        <v>280000</v>
      </c>
      <c r="V399">
        <v>14042</v>
      </c>
      <c r="W399" t="str">
        <v>0</v>
      </c>
      <c r="X399">
        <v>25620</v>
      </c>
      <c r="Y399" s="31">
        <v>46374</v>
      </c>
      <c r="Z399" t="str">
        <v/>
      </c>
      <c r="AA399" t="str">
        <v>技術・人文知識・国際業務</v>
      </c>
      <c r="AB399" t="str">
        <v>709-2107</v>
      </c>
      <c r="AC399" t="str">
        <v>岡山県岡山市北区御津矢原312-2</v>
      </c>
      <c r="AD399" t="str">
        <v>中須賀ｺｰﾎﾟⅡ102</v>
      </c>
      <c r="AE399" s="31">
        <v>45024</v>
      </c>
      <c r="AF399" s="31">
        <v>44762</v>
      </c>
      <c r="AG399" s="31">
        <v>0</v>
      </c>
      <c r="AH399" s="31">
        <v>0</v>
      </c>
      <c r="AI399" t="str">
        <v>22.09.01</v>
      </c>
      <c r="AJ399" t="str">
        <v>8/3林</v>
      </c>
      <c r="AK399" t="str">
        <v>7/11請負入社。7/20～派遣異動</v>
      </c>
      <c r="AL399">
        <v>44762</v>
      </c>
      <c r="AM399">
        <v>0</v>
      </c>
      <c r="AN399">
        <v>0</v>
      </c>
      <c r="AO399">
        <v>0</v>
      </c>
      <c r="AP399">
        <v>0</v>
      </c>
      <c r="AQ399">
        <v>0</v>
      </c>
      <c r="AR399">
        <v>0</v>
      </c>
    </row>
    <row r="400" spans="1:44">
      <c r="A400" t="str">
        <f>H400&amp;COUNTIF($H$2:H400,H400)</f>
        <v>1次旋係16</v>
      </c>
      <c r="B400" t="str">
        <f>F400&amp;COUNTIF($F$2:F400,F400)</f>
        <v>高雄工業 岡山67</v>
      </c>
      <c r="C400" t="str">
        <v>在職中</v>
      </c>
      <c r="D400">
        <v>220711</v>
      </c>
      <c r="E400">
        <v>232066</v>
      </c>
      <c r="F400" t="str">
        <v>高雄工業 岡山</v>
      </c>
      <c r="G400" t="str">
        <v>高雄工業株式会社 岡山事業所HUB工場製作1課</v>
      </c>
      <c r="H400" t="str">
        <v>1次旋係</v>
      </c>
      <c r="I400" t="str">
        <v>ハブ加工 自動機の操作、ＮＣプログラム修正</v>
      </c>
      <c r="J400" t="str">
        <v>SUALDIN</v>
      </c>
      <c r="K400" t="str">
        <v>スアルディン</v>
      </c>
      <c r="L400" t="str">
        <v>男</v>
      </c>
      <c r="M400" t="str">
        <v>ｲﾝﾄﾞﾈｼｱ</v>
      </c>
      <c r="N400" s="31">
        <v>34900</v>
      </c>
      <c r="O400">
        <v>30</v>
      </c>
      <c r="P400">
        <v>1410</v>
      </c>
      <c r="Q400">
        <v>0</v>
      </c>
      <c r="R400">
        <v>1840</v>
      </c>
      <c r="S400">
        <v>0</v>
      </c>
      <c r="T400">
        <v>430</v>
      </c>
      <c r="U400">
        <v>240000</v>
      </c>
      <c r="V400">
        <v>12036</v>
      </c>
      <c r="W400" t="str">
        <v>0</v>
      </c>
      <c r="X400">
        <v>21960</v>
      </c>
      <c r="Y400" s="31">
        <v>46374</v>
      </c>
      <c r="Z400" t="str">
        <v/>
      </c>
      <c r="AA400" t="str">
        <v>技術・人文知識・国際業務</v>
      </c>
      <c r="AB400" t="str">
        <v>709-2107</v>
      </c>
      <c r="AC400" t="str">
        <v>岡山県岡山市北区御津矢原312-2</v>
      </c>
      <c r="AD400" t="str">
        <v>中須賀ｺｰﾎﾟⅡ201</v>
      </c>
      <c r="AE400" s="31">
        <v>45087</v>
      </c>
      <c r="AF400" s="31">
        <v>44762</v>
      </c>
      <c r="AG400" s="31">
        <v>0</v>
      </c>
      <c r="AH400" s="31">
        <v>0</v>
      </c>
      <c r="AI400" t="str">
        <v>22.09.01</v>
      </c>
      <c r="AJ400" t="str">
        <v>8/11林</v>
      </c>
      <c r="AK400" t="str">
        <v>7/11請負入社。7/20～派遣異動</v>
      </c>
      <c r="AL400">
        <v>44762</v>
      </c>
      <c r="AM400">
        <v>0</v>
      </c>
      <c r="AN400">
        <v>0</v>
      </c>
      <c r="AO400">
        <v>0</v>
      </c>
      <c r="AP400">
        <v>0</v>
      </c>
      <c r="AQ400">
        <v>0</v>
      </c>
      <c r="AR400">
        <v>0</v>
      </c>
    </row>
    <row r="401" spans="1:44">
      <c r="A401" t="str">
        <f>H401&amp;COUNTIF($H$2:H401,H401)</f>
        <v>CVJ短軸旋盤係2</v>
      </c>
      <c r="B401" t="str">
        <f>F401&amp;COUNTIF($F$2:F401,F401)</f>
        <v>高雄工業 岡山68</v>
      </c>
      <c r="C401" t="str">
        <v>退社</v>
      </c>
      <c r="D401">
        <v>220712</v>
      </c>
      <c r="E401">
        <v>232068</v>
      </c>
      <c r="F401" t="str">
        <v>高雄工業 岡山</v>
      </c>
      <c r="G401" t="str">
        <v>高雄工業株式会社 岡山事業所CVJ工場製作課</v>
      </c>
      <c r="H401" t="str">
        <v>CVJ短軸旋盤係</v>
      </c>
      <c r="I401" t="str">
        <v>ＣＶＪ短軸等速ジョイント旋削加工、ＮＣプログラム修正</v>
      </c>
      <c r="J401" t="str">
        <v>LA LANI</v>
      </c>
      <c r="K401" t="str">
        <v>ラ　ラニ</v>
      </c>
      <c r="L401" t="str">
        <v>男</v>
      </c>
      <c r="M401" t="str">
        <v>ｲﾝﾄﾞﾈｼｱ</v>
      </c>
      <c r="N401" s="31">
        <v>33796</v>
      </c>
      <c r="O401">
        <v>33</v>
      </c>
      <c r="P401">
        <v>1410</v>
      </c>
      <c r="Q401">
        <v>0</v>
      </c>
      <c r="R401">
        <v>1840</v>
      </c>
      <c r="S401">
        <v>0</v>
      </c>
      <c r="T401">
        <v>430</v>
      </c>
      <c r="U401">
        <v>280000</v>
      </c>
      <c r="V401">
        <v>14042</v>
      </c>
      <c r="W401" t="str">
        <v>0</v>
      </c>
      <c r="X401">
        <v>25620</v>
      </c>
      <c r="Y401" s="31">
        <v>46217</v>
      </c>
      <c r="Z401" t="str">
        <v/>
      </c>
      <c r="AA401" t="str">
        <v>技術・人文知識・国際業務</v>
      </c>
      <c r="AB401" t="str">
        <v>709-2107</v>
      </c>
      <c r="AC401" t="str">
        <v>岡山県岡山市北区御津矢原370</v>
      </c>
      <c r="AD401" t="str">
        <v>成広ｺｰﾎﾟⅡ202</v>
      </c>
      <c r="AE401" s="31">
        <v>44750</v>
      </c>
      <c r="AF401" s="31">
        <v>44762</v>
      </c>
      <c r="AG401" s="31">
        <v>45961</v>
      </c>
      <c r="AH401" s="31">
        <v>0</v>
      </c>
      <c r="AI401" t="str">
        <v>22.09.01</v>
      </c>
      <c r="AJ401" t="str">
        <v>8/22林</v>
      </c>
      <c r="AK401">
        <v>0</v>
      </c>
      <c r="AL401">
        <v>44762</v>
      </c>
      <c r="AM401">
        <v>0</v>
      </c>
      <c r="AN401">
        <v>0</v>
      </c>
      <c r="AO401">
        <v>0</v>
      </c>
      <c r="AP401">
        <v>0</v>
      </c>
      <c r="AQ401">
        <v>0</v>
      </c>
      <c r="AR401">
        <v>0</v>
      </c>
    </row>
    <row r="402" spans="1:44">
      <c r="A402" t="str">
        <f>H402&amp;COUNTIF($H$2:H402,H402)</f>
        <v>CVJ短軸旋盤係3</v>
      </c>
      <c r="B402" t="str">
        <f>F402&amp;COUNTIF($F$2:F402,F402)</f>
        <v>高雄工業 岡山69</v>
      </c>
      <c r="C402" t="str">
        <v>在職中</v>
      </c>
      <c r="D402">
        <v>220714</v>
      </c>
      <c r="E402">
        <v>232070</v>
      </c>
      <c r="F402" t="str">
        <v>高雄工業 岡山</v>
      </c>
      <c r="G402" t="str">
        <v>高雄工業株式会社 岡山事業所CVJ工場製作課</v>
      </c>
      <c r="H402" t="str">
        <v>CVJ短軸旋盤係</v>
      </c>
      <c r="I402" t="str">
        <v>ＣＶＪ短軸等速ジョイント旋削加工、ＮＣプログラム修正</v>
      </c>
      <c r="J402" t="str">
        <v>MOCHAMAD NIZAR AWALUDIN</v>
      </c>
      <c r="K402" t="str">
        <v>モチャマド　ニザル　アワルディン</v>
      </c>
      <c r="L402" t="str">
        <v>男</v>
      </c>
      <c r="M402" t="str">
        <v>ｲﾝﾄﾞﾈｼｱ</v>
      </c>
      <c r="N402" s="31">
        <v>34412</v>
      </c>
      <c r="O402">
        <v>31</v>
      </c>
      <c r="P402">
        <v>1410</v>
      </c>
      <c r="Q402">
        <v>0</v>
      </c>
      <c r="R402">
        <v>1810</v>
      </c>
      <c r="S402">
        <v>0</v>
      </c>
      <c r="T402">
        <v>400</v>
      </c>
      <c r="U402">
        <v>280000</v>
      </c>
      <c r="V402">
        <v>14042</v>
      </c>
      <c r="W402" t="str">
        <v>0</v>
      </c>
      <c r="X402">
        <v>25620</v>
      </c>
      <c r="Y402" s="31">
        <v>46217</v>
      </c>
      <c r="Z402" t="str">
        <v/>
      </c>
      <c r="AA402" t="str">
        <v>技術・人文知識・国際業務</v>
      </c>
      <c r="AB402" t="str">
        <v>709-2107</v>
      </c>
      <c r="AC402" t="str">
        <v>岡山県岡山市北区御津矢原298-1</v>
      </c>
      <c r="AD402" t="str">
        <v>成広矢原ｺｰﾎﾟⅥ103</v>
      </c>
      <c r="AE402" s="31">
        <v>44750</v>
      </c>
      <c r="AF402" s="31">
        <v>44762</v>
      </c>
      <c r="AG402" s="31">
        <v>0</v>
      </c>
      <c r="AH402" s="31">
        <v>0</v>
      </c>
      <c r="AI402" t="str">
        <v>22.09.01</v>
      </c>
      <c r="AJ402" t="str">
        <v>8/22林</v>
      </c>
      <c r="AK402">
        <v>0</v>
      </c>
      <c r="AL402">
        <v>44762</v>
      </c>
      <c r="AM402">
        <v>0</v>
      </c>
      <c r="AN402">
        <v>0</v>
      </c>
      <c r="AO402">
        <v>0</v>
      </c>
      <c r="AP402">
        <v>0</v>
      </c>
      <c r="AQ402">
        <v>0</v>
      </c>
      <c r="AR402">
        <v>0</v>
      </c>
    </row>
    <row r="403" spans="1:44">
      <c r="A403" t="str">
        <f>H403&amp;COUNTIF($H$2:H403,H403)</f>
        <v>1次旋係17</v>
      </c>
      <c r="B403" t="str">
        <f>F403&amp;COUNTIF($F$2:F403,F403)</f>
        <v>高雄工業 岡山70</v>
      </c>
      <c r="C403" t="str">
        <v>退社</v>
      </c>
      <c r="D403">
        <v>220708</v>
      </c>
      <c r="E403">
        <v>232065</v>
      </c>
      <c r="F403" t="str">
        <v>高雄工業 岡山</v>
      </c>
      <c r="G403" t="str">
        <v>高雄工業株式会社 岡山事業所HUB工場製作1課</v>
      </c>
      <c r="H403" t="str">
        <v>1次旋係</v>
      </c>
      <c r="I403" t="str">
        <v>ハブ加工 自動機の操作、ＮＣプログラム修正</v>
      </c>
      <c r="J403" t="str">
        <v>EKO SUHARYADI</v>
      </c>
      <c r="K403" t="str">
        <v>エコ　スハリアディ</v>
      </c>
      <c r="L403" t="str">
        <v>男</v>
      </c>
      <c r="M403" t="str">
        <v>ｲﾝﾄﾞﾈｼｱ</v>
      </c>
      <c r="N403" s="31">
        <v>34409</v>
      </c>
      <c r="O403">
        <v>31</v>
      </c>
      <c r="P403">
        <v>1400</v>
      </c>
      <c r="Q403">
        <v>0</v>
      </c>
      <c r="R403">
        <v>1810</v>
      </c>
      <c r="S403">
        <v>0</v>
      </c>
      <c r="T403">
        <v>410</v>
      </c>
      <c r="U403">
        <v>300000</v>
      </c>
      <c r="V403">
        <v>15045</v>
      </c>
      <c r="W403" t="str">
        <v>0</v>
      </c>
      <c r="X403">
        <v>27450</v>
      </c>
      <c r="Y403" s="31">
        <v>46374</v>
      </c>
      <c r="Z403" t="str">
        <v/>
      </c>
      <c r="AA403" t="str">
        <v>技術・人文知識・国際業務</v>
      </c>
      <c r="AB403" t="str">
        <v>709-2107</v>
      </c>
      <c r="AC403" t="str">
        <v>岡山県岡山市北区御津矢原294-1</v>
      </c>
      <c r="AD403" t="str">
        <v>成広矢原ｺｰﾎﾟⅢ208号</v>
      </c>
      <c r="AE403" s="31">
        <v>44849</v>
      </c>
      <c r="AF403" s="31">
        <v>44762</v>
      </c>
      <c r="AG403" s="31">
        <v>45506</v>
      </c>
      <c r="AH403" s="31">
        <v>0</v>
      </c>
      <c r="AI403" t="str">
        <v>22.09.01</v>
      </c>
      <c r="AJ403" t="str">
        <v>8/11林</v>
      </c>
      <c r="AK403" t="str">
        <v>7/11請負入社。7/20～派遣異動</v>
      </c>
      <c r="AL403">
        <v>44762</v>
      </c>
      <c r="AM403">
        <v>0</v>
      </c>
      <c r="AN403">
        <v>0</v>
      </c>
      <c r="AO403">
        <v>0</v>
      </c>
      <c r="AP403">
        <v>0</v>
      </c>
      <c r="AQ403">
        <v>0</v>
      </c>
      <c r="AR403">
        <v>0</v>
      </c>
    </row>
    <row r="404" spans="1:44">
      <c r="A404" t="str">
        <f>H404&amp;COUNTIF($H$2:H404,H404)</f>
        <v>CVJ短軸旋盤係4</v>
      </c>
      <c r="B404" t="str">
        <f>F404&amp;COUNTIF($F$2:F404,F404)</f>
        <v>高雄工業 岡山71</v>
      </c>
      <c r="C404" t="str">
        <v>退社</v>
      </c>
      <c r="D404">
        <v>220713</v>
      </c>
      <c r="E404">
        <v>232069</v>
      </c>
      <c r="F404" t="str">
        <v>高雄工業 岡山</v>
      </c>
      <c r="G404" t="str">
        <v>高雄工業株式会社 岡山事業所CVJ工場製作課</v>
      </c>
      <c r="H404" t="str">
        <v>CVJ短軸旋盤係</v>
      </c>
      <c r="I404" t="str">
        <v>ＣＶＪ短軸等速ジョイント旋削加工・ＮＣプログラム修正</v>
      </c>
      <c r="J404" t="str">
        <v>ABDUL ANSAR</v>
      </c>
      <c r="K404" t="str">
        <v>アブドゥル　アンザル</v>
      </c>
      <c r="L404" t="str">
        <v>男</v>
      </c>
      <c r="M404" t="str">
        <v>ｲﾝﾄﾞﾈｼｱ</v>
      </c>
      <c r="N404" s="31">
        <v>35012</v>
      </c>
      <c r="O404">
        <v>30</v>
      </c>
      <c r="P404">
        <v>1400</v>
      </c>
      <c r="Q404">
        <v>0</v>
      </c>
      <c r="R404">
        <v>1770</v>
      </c>
      <c r="S404">
        <v>0</v>
      </c>
      <c r="T404">
        <v>370</v>
      </c>
      <c r="U404">
        <v>180000</v>
      </c>
      <c r="V404">
        <v>9027</v>
      </c>
      <c r="W404" t="str">
        <v>0</v>
      </c>
      <c r="X404">
        <v>16470</v>
      </c>
      <c r="Y404" s="31">
        <v>46217</v>
      </c>
      <c r="Z404" t="str">
        <v/>
      </c>
      <c r="AA404" t="str">
        <v>技術・人文知識・国際業務</v>
      </c>
      <c r="AB404" t="str">
        <v>709-2107</v>
      </c>
      <c r="AC404" t="str">
        <v>岡山県岡山市北区御津矢原298-1</v>
      </c>
      <c r="AD404" t="str">
        <v>成広矢原ｺｰﾎﾟⅥ106</v>
      </c>
      <c r="AE404" s="31">
        <v>45080</v>
      </c>
      <c r="AF404" s="31">
        <v>44762</v>
      </c>
      <c r="AG404" s="31">
        <v>45184</v>
      </c>
      <c r="AH404" s="31">
        <v>0</v>
      </c>
      <c r="AI404" t="str">
        <v>22.09.01</v>
      </c>
      <c r="AJ404" t="str">
        <v>8/22林</v>
      </c>
      <c r="AK404">
        <v>0</v>
      </c>
      <c r="AL404">
        <v>44762</v>
      </c>
      <c r="AM404">
        <v>0</v>
      </c>
      <c r="AN404">
        <v>0</v>
      </c>
      <c r="AO404">
        <v>0</v>
      </c>
      <c r="AP404">
        <v>0</v>
      </c>
      <c r="AQ404">
        <v>0</v>
      </c>
      <c r="AR404">
        <v>0</v>
      </c>
    </row>
    <row r="405" spans="1:44">
      <c r="A405" t="str">
        <f>H405&amp;COUNTIF($H$2:H405,H405)</f>
        <v>CVJ短軸旋盤係5</v>
      </c>
      <c r="B405" t="str">
        <f>F405&amp;COUNTIF($F$2:F405,F405)</f>
        <v>高雄工業 岡山72</v>
      </c>
      <c r="C405" t="str">
        <v>退社</v>
      </c>
      <c r="D405">
        <v>220715</v>
      </c>
      <c r="E405">
        <v>232071</v>
      </c>
      <c r="F405" t="str">
        <v>高雄工業 岡山</v>
      </c>
      <c r="G405" t="str">
        <v>高雄工業株式会社 岡山事業所CVJ工場製作課</v>
      </c>
      <c r="H405" t="str">
        <v>CVJ短軸旋盤係</v>
      </c>
      <c r="I405" t="str">
        <v>ＣＶＪ短軸等速ジョイント旋削加工、ＮＣプログラム修正</v>
      </c>
      <c r="J405" t="str">
        <v>MUHAMMAD SHAHAR MUSHFI</v>
      </c>
      <c r="K405" t="str">
        <v>ムハンマド　シャハル　ムシュフィ</v>
      </c>
      <c r="L405" t="str">
        <v>男</v>
      </c>
      <c r="M405" t="str">
        <v>ｲﾝﾄﾞﾈｼｱ</v>
      </c>
      <c r="N405" s="31">
        <v>34951</v>
      </c>
      <c r="O405">
        <v>30</v>
      </c>
      <c r="P405">
        <v>1410</v>
      </c>
      <c r="Q405">
        <v>0</v>
      </c>
      <c r="R405">
        <v>1820</v>
      </c>
      <c r="S405">
        <v>0</v>
      </c>
      <c r="T405">
        <v>410</v>
      </c>
      <c r="U405">
        <v>260000</v>
      </c>
      <c r="V405">
        <v>13039</v>
      </c>
      <c r="W405" t="str">
        <v>0</v>
      </c>
      <c r="X405">
        <v>23790</v>
      </c>
      <c r="Y405" s="31">
        <v>46112</v>
      </c>
      <c r="Z405" t="str">
        <v/>
      </c>
      <c r="AA405" t="str">
        <v>技術・人文知識・国際業務</v>
      </c>
      <c r="AB405" t="str">
        <v>709-2107</v>
      </c>
      <c r="AC405" t="str">
        <v>岡山県岡山市北区御津矢原311</v>
      </c>
      <c r="AD405" t="str">
        <v>中須賀ｺｰﾎﾟⅢ203</v>
      </c>
      <c r="AE405" s="31">
        <v>44760</v>
      </c>
      <c r="AF405" s="31">
        <v>44762</v>
      </c>
      <c r="AG405" s="31">
        <v>45654</v>
      </c>
      <c r="AH405" s="31">
        <v>0</v>
      </c>
      <c r="AI405" t="str">
        <v>22.09.01</v>
      </c>
      <c r="AJ405" t="str">
        <v>8/1林</v>
      </c>
      <c r="AK405" t="str">
        <v>請負より異動</v>
      </c>
      <c r="AL405">
        <v>44762</v>
      </c>
      <c r="AM405">
        <v>0</v>
      </c>
      <c r="AN405">
        <v>0</v>
      </c>
      <c r="AO405">
        <v>0</v>
      </c>
      <c r="AP405">
        <v>0</v>
      </c>
      <c r="AQ405">
        <v>0</v>
      </c>
      <c r="AR405">
        <v>0</v>
      </c>
    </row>
    <row r="406" spans="1:44">
      <c r="A406" t="str">
        <f>H406&amp;COUNTIF($H$2:H406,H406)</f>
        <v>Gライン14</v>
      </c>
      <c r="B406" t="str">
        <f>F406&amp;COUNTIF($F$2:F406,F406)</f>
        <v>高雄工業 本社42</v>
      </c>
      <c r="C406" t="str">
        <v>在職中</v>
      </c>
      <c r="D406">
        <v>220209</v>
      </c>
      <c r="E406">
        <v>212023</v>
      </c>
      <c r="F406" t="str">
        <v>高雄工業 本社</v>
      </c>
      <c r="G406" t="str">
        <v>高雄工業株式会社 愛知事業所本社工場製作課</v>
      </c>
      <c r="H406" t="str">
        <v>Gライン</v>
      </c>
      <c r="I406" t="str">
        <v>CVJ部品長軸品の施削加工、NCプログラム修正</v>
      </c>
      <c r="J406" t="str">
        <v>NGUYEN VAN LAP</v>
      </c>
      <c r="K406" t="str">
        <v>グエン　ヴァン　ラップ</v>
      </c>
      <c r="L406" t="str">
        <v>男</v>
      </c>
      <c r="M406" t="str">
        <v>ﾍﾞﾄﾅﾑ</v>
      </c>
      <c r="N406" s="31">
        <v>35544</v>
      </c>
      <c r="O406">
        <v>28</v>
      </c>
      <c r="P406">
        <v>1410</v>
      </c>
      <c r="Q406">
        <v>0</v>
      </c>
      <c r="R406">
        <v>1830</v>
      </c>
      <c r="S406">
        <v>0</v>
      </c>
      <c r="T406">
        <v>420</v>
      </c>
      <c r="U406">
        <v>220000</v>
      </c>
      <c r="V406">
        <v>11033</v>
      </c>
      <c r="W406" t="str">
        <v>0</v>
      </c>
      <c r="X406">
        <v>20130</v>
      </c>
      <c r="Y406" s="31">
        <v>46742</v>
      </c>
      <c r="Z406" t="str">
        <v/>
      </c>
      <c r="AA406" t="str">
        <v>技術・人文知識・国際業務</v>
      </c>
      <c r="AB406" t="str">
        <v>498-0031</v>
      </c>
      <c r="AC406" t="str">
        <v>愛知県弥富市平島町甲新田82番地１</v>
      </c>
      <c r="AD406" t="str">
        <v>ﾊﾟｰｸﾀｳﾝ平島D201</v>
      </c>
      <c r="AE406" s="31">
        <v>44632</v>
      </c>
      <c r="AF406" s="31">
        <v>45789</v>
      </c>
      <c r="AG406" s="31">
        <v>0</v>
      </c>
      <c r="AH406" s="31">
        <v>0</v>
      </c>
      <c r="AI406">
        <v>45789</v>
      </c>
      <c r="AJ406" t="str">
        <v>5/26林</v>
      </c>
      <c r="AK406">
        <v>0</v>
      </c>
      <c r="AL406">
        <v>45789</v>
      </c>
      <c r="AM406">
        <v>0</v>
      </c>
      <c r="AN406">
        <v>0</v>
      </c>
      <c r="AO406">
        <v>0</v>
      </c>
      <c r="AP406">
        <v>0</v>
      </c>
      <c r="AQ406">
        <v>0</v>
      </c>
      <c r="AR406">
        <v>0</v>
      </c>
    </row>
    <row r="407" spans="1:44">
      <c r="A407" t="str">
        <f>H407&amp;COUNTIF($H$2:H407,H407)</f>
        <v>CVJ短軸旋盤係6</v>
      </c>
      <c r="B407" t="str">
        <f>F407&amp;COUNTIF($F$2:F407,F407)</f>
        <v>高雄工業 岡山73</v>
      </c>
      <c r="C407" t="str">
        <v>退社</v>
      </c>
      <c r="D407">
        <v>220716</v>
      </c>
      <c r="E407">
        <v>232072</v>
      </c>
      <c r="F407" t="str">
        <v>高雄工業 岡山</v>
      </c>
      <c r="G407" t="str">
        <v>高雄工業株式会社 岡山事業所CVJ工場製作課</v>
      </c>
      <c r="H407" t="str">
        <v>CVJ短軸旋盤係</v>
      </c>
      <c r="I407" t="str">
        <v>ＣＶＪ短軸等速ジョイント旋削加工、ＮＣプログラム修正</v>
      </c>
      <c r="J407" t="str">
        <v>NGUYEN THANH BINH</v>
      </c>
      <c r="K407" t="str">
        <v>グエン　タン　ビン</v>
      </c>
      <c r="L407" t="str">
        <v>男</v>
      </c>
      <c r="M407" t="str">
        <v>ﾍﾞﾄﾅﾑ</v>
      </c>
      <c r="N407" s="31">
        <v>34495</v>
      </c>
      <c r="O407">
        <v>31</v>
      </c>
      <c r="P407">
        <v>1440</v>
      </c>
      <c r="Q407">
        <v>0</v>
      </c>
      <c r="R407">
        <v>1840</v>
      </c>
      <c r="S407">
        <v>0</v>
      </c>
      <c r="T407">
        <v>400</v>
      </c>
      <c r="U407">
        <v>280000</v>
      </c>
      <c r="V407">
        <v>14042</v>
      </c>
      <c r="W407" t="str">
        <v>0</v>
      </c>
      <c r="X407">
        <v>25620</v>
      </c>
      <c r="Y407" s="31">
        <v>46118</v>
      </c>
      <c r="Z407" t="str">
        <v/>
      </c>
      <c r="AA407" t="str">
        <v>技術・人文知識・国際業務</v>
      </c>
      <c r="AB407" t="str">
        <v>709-2107</v>
      </c>
      <c r="AC407" t="str">
        <v>岡山県岡山市北区御津矢原311番地</v>
      </c>
      <c r="AD407" t="str">
        <v>新矢原1F</v>
      </c>
      <c r="AE407" s="31">
        <v>44620</v>
      </c>
      <c r="AF407" s="31">
        <v>44767</v>
      </c>
      <c r="AG407" s="31">
        <v>45602</v>
      </c>
      <c r="AH407" s="31">
        <v>0</v>
      </c>
      <c r="AI407" t="str">
        <v>22.08.01</v>
      </c>
      <c r="AJ407" t="str">
        <v>8/1林</v>
      </c>
      <c r="AK407" t="str">
        <v>請負より異動</v>
      </c>
      <c r="AL407">
        <v>44767</v>
      </c>
      <c r="AM407">
        <v>0</v>
      </c>
      <c r="AN407">
        <v>0</v>
      </c>
      <c r="AO407">
        <v>0</v>
      </c>
      <c r="AP407">
        <v>0</v>
      </c>
      <c r="AQ407">
        <v>0</v>
      </c>
      <c r="AR407">
        <v>0</v>
      </c>
    </row>
    <row r="408" spans="1:44">
      <c r="A408" t="str">
        <f>H408&amp;COUNTIF($H$2:H408,H408)</f>
        <v>等速ジョイント8</v>
      </c>
      <c r="B408" t="str">
        <f>F408&amp;COUNTIF($F$2:F408,F408)</f>
        <v>瑞陵精機20</v>
      </c>
      <c r="C408" t="str">
        <v>退社</v>
      </c>
      <c r="D408">
        <v>220718</v>
      </c>
      <c r="E408">
        <v>0</v>
      </c>
      <c r="F408" t="str">
        <v>瑞陵精機</v>
      </c>
      <c r="G408" t="str">
        <v>製造課</v>
      </c>
      <c r="H408" t="str">
        <v>等速ジョイント</v>
      </c>
      <c r="I408" t="str">
        <v>ＮＣ旋盤、マシニングセンター等の工作機械を使いオペレーターとして製造ラインで製品を加工</v>
      </c>
      <c r="J408" t="str">
        <v>VU DUC QUOC DAT</v>
      </c>
      <c r="K408" t="str">
        <v>ヴー　ドウック　クオック　ダット</v>
      </c>
      <c r="L408" t="str">
        <v>男</v>
      </c>
      <c r="M408" t="str">
        <v>ﾍﾞﾄﾅﾑ</v>
      </c>
      <c r="N408" s="31">
        <v>35707</v>
      </c>
      <c r="O408">
        <v>28</v>
      </c>
      <c r="P408">
        <v>1310</v>
      </c>
      <c r="Q408">
        <v>0</v>
      </c>
      <c r="R408">
        <v>1700</v>
      </c>
      <c r="S408">
        <v>0</v>
      </c>
      <c r="T408">
        <v>390</v>
      </c>
      <c r="U408">
        <v>240000</v>
      </c>
      <c r="V408">
        <v>12036</v>
      </c>
      <c r="W408" t="str">
        <v>0</v>
      </c>
      <c r="X408">
        <v>21960</v>
      </c>
      <c r="Y408" s="31">
        <v>46597</v>
      </c>
      <c r="Z408" t="str">
        <v/>
      </c>
      <c r="AA408" t="str">
        <v>技術・人文知識・国際業務</v>
      </c>
      <c r="AB408" t="str">
        <v>509-7201</v>
      </c>
      <c r="AC408" t="str">
        <v>岐阜県恵那市大井町1120-303</v>
      </c>
      <c r="AD408" t="str">
        <v>各務ﾊｲﾂ6A</v>
      </c>
      <c r="AE408" s="31">
        <v>44773</v>
      </c>
      <c r="AF408" s="31">
        <v>44767</v>
      </c>
      <c r="AG408" s="31">
        <v>45960</v>
      </c>
      <c r="AH408" s="31">
        <v>0</v>
      </c>
      <c r="AI408" t="str">
        <v>22.08.01</v>
      </c>
      <c r="AJ408" t="str">
        <v>8/1原</v>
      </c>
      <c r="AK408" t="str">
        <v>請負(22/7/20まで)より異動。7/22～各務ハイツ４Hから６Aへ転入</v>
      </c>
      <c r="AL408">
        <v>44767</v>
      </c>
      <c r="AM408">
        <v>0</v>
      </c>
      <c r="AN408">
        <v>0</v>
      </c>
      <c r="AO408">
        <v>0</v>
      </c>
      <c r="AP408">
        <v>0</v>
      </c>
      <c r="AQ408">
        <v>0</v>
      </c>
      <c r="AR408">
        <v>0</v>
      </c>
    </row>
    <row r="409" spans="1:44">
      <c r="A409" t="str">
        <f>H409&amp;COUNTIF($H$2:H409,H409)</f>
        <v>旋盤ライン17</v>
      </c>
      <c r="B409" t="str">
        <f>F409&amp;COUNTIF($F$2:F409,F409)</f>
        <v>川原鉄工所17</v>
      </c>
      <c r="C409" t="str">
        <v>退社</v>
      </c>
      <c r="D409">
        <v>220719</v>
      </c>
      <c r="E409">
        <v>0</v>
      </c>
      <c r="F409" t="str">
        <v>川原鉄工所</v>
      </c>
      <c r="G409" t="str">
        <v>製造部</v>
      </c>
      <c r="H409" t="str">
        <v>旋盤ライン</v>
      </c>
      <c r="I409" t="str">
        <v>ATミッション部品をはじめとする、各種自動車部品の製造</v>
      </c>
      <c r="J409" t="str">
        <v>VO VAN THA</v>
      </c>
      <c r="K409" t="str">
        <v>ヴォー　ヴァン　ター</v>
      </c>
      <c r="L409" t="str">
        <v>男</v>
      </c>
      <c r="M409" t="str">
        <v>ﾍﾞﾄﾅﾑ</v>
      </c>
      <c r="N409" s="31">
        <v>30453</v>
      </c>
      <c r="O409">
        <v>42</v>
      </c>
      <c r="P409">
        <v>1300</v>
      </c>
      <c r="Q409">
        <v>0</v>
      </c>
      <c r="R409">
        <v>1650</v>
      </c>
      <c r="S409">
        <v>0</v>
      </c>
      <c r="T409">
        <v>350</v>
      </c>
      <c r="U409">
        <v>180000</v>
      </c>
      <c r="V409">
        <v>9027</v>
      </c>
      <c r="W409">
        <v>1431</v>
      </c>
      <c r="X409">
        <v>16470</v>
      </c>
      <c r="Y409" s="31">
        <v>45254</v>
      </c>
      <c r="Z409" t="str">
        <v/>
      </c>
      <c r="AA409" t="str">
        <v>技術・人文知識・国際業務</v>
      </c>
      <c r="AB409" t="str">
        <v>454-0996</v>
      </c>
      <c r="AC409" t="str">
        <v>愛知県名古屋市中川区伏屋4丁目1501番地</v>
      </c>
      <c r="AD409" t="str">
        <v>中伏屋荘T-4棟204号</v>
      </c>
      <c r="AE409" s="31" t="str">
        <v>個人</v>
      </c>
      <c r="AF409" s="31">
        <v>44770</v>
      </c>
      <c r="AG409" s="31">
        <v>45042</v>
      </c>
      <c r="AH409" s="31">
        <v>0</v>
      </c>
      <c r="AI409" t="str">
        <v>22.08.01</v>
      </c>
      <c r="AJ409" t="str">
        <v>8/4中山</v>
      </c>
      <c r="AK409">
        <v>0</v>
      </c>
      <c r="AL409">
        <v>44770</v>
      </c>
      <c r="AM409">
        <v>0</v>
      </c>
      <c r="AN409">
        <v>0</v>
      </c>
      <c r="AO409">
        <v>0</v>
      </c>
      <c r="AP409">
        <v>0</v>
      </c>
      <c r="AQ409">
        <v>0</v>
      </c>
      <c r="AR409">
        <v>0</v>
      </c>
    </row>
    <row r="410" spans="1:44">
      <c r="A410" t="str">
        <f>H410&amp;COUNTIF($H$2:H410,H410)</f>
        <v>0197</v>
      </c>
      <c r="B410" t="str">
        <f>F410&amp;COUNTIF($F$2:F410,F410)</f>
        <v>PATEC16</v>
      </c>
      <c r="C410" t="str">
        <v>退社</v>
      </c>
      <c r="D410">
        <v>220801</v>
      </c>
      <c r="E410">
        <v>0</v>
      </c>
      <c r="F410" t="str">
        <v>PATEC</v>
      </c>
      <c r="G410" t="str">
        <v>製造部素材課</v>
      </c>
      <c r="H410">
        <v>0</v>
      </c>
      <c r="I410">
        <v>0</v>
      </c>
      <c r="J410" t="str">
        <v>NGUYEN VAN HOA</v>
      </c>
      <c r="K410" t="str">
        <v>グエン　ヴァン　ホア</v>
      </c>
      <c r="L410" t="str">
        <v>男</v>
      </c>
      <c r="M410" t="str">
        <v>ﾍﾞﾄﾅﾑ</v>
      </c>
      <c r="N410" s="31">
        <v>35041</v>
      </c>
      <c r="O410">
        <v>29</v>
      </c>
      <c r="P410">
        <v>1600</v>
      </c>
      <c r="Q410">
        <v>0</v>
      </c>
      <c r="R410">
        <v>2100</v>
      </c>
      <c r="S410" t="str">
        <v>24/2/21～24/8/20まで請求単価50円下げ</v>
      </c>
      <c r="T410">
        <v>500</v>
      </c>
      <c r="U410">
        <v>360000</v>
      </c>
      <c r="V410">
        <v>18054</v>
      </c>
      <c r="W410" t="str">
        <v>0</v>
      </c>
      <c r="X410">
        <v>32940</v>
      </c>
      <c r="Y410" s="31">
        <v>46651</v>
      </c>
      <c r="Z410" t="str">
        <v/>
      </c>
      <c r="AA410" t="str">
        <v>技術・人文知識・国際業務</v>
      </c>
      <c r="AB410" t="str">
        <v>747-0834</v>
      </c>
      <c r="AC410" t="str">
        <v>山口県防府市大字田島1510－5</v>
      </c>
      <c r="AD410" t="str">
        <v>ｱﾒﾆﾃｨﾊｲﾂ田島203</v>
      </c>
      <c r="AE410" s="31">
        <v>44943</v>
      </c>
      <c r="AF410" s="31">
        <v>44775</v>
      </c>
      <c r="AG410" s="31">
        <v>45653</v>
      </c>
      <c r="AH410" s="31">
        <v>0</v>
      </c>
      <c r="AI410" t="str">
        <v>22.10.01</v>
      </c>
      <c r="AJ410" t="str">
        <v>9/7林</v>
      </c>
      <c r="AK410">
        <v>0</v>
      </c>
      <c r="AL410">
        <v>44775</v>
      </c>
      <c r="AM410">
        <v>0</v>
      </c>
      <c r="AN410">
        <v>0</v>
      </c>
      <c r="AO410">
        <v>0</v>
      </c>
      <c r="AP410">
        <v>0</v>
      </c>
      <c r="AQ410">
        <v>0</v>
      </c>
      <c r="AR410">
        <v>0</v>
      </c>
    </row>
    <row r="411" spans="1:44">
      <c r="A411" t="str">
        <f>H411&amp;COUNTIF($H$2:H411,H411)</f>
        <v>製造1課1</v>
      </c>
      <c r="B411" t="str">
        <f>F411&amp;COUNTIF($F$2:F411,F411)</f>
        <v>ユアサ工機 御津1</v>
      </c>
      <c r="C411" t="str">
        <v>退社</v>
      </c>
      <c r="D411">
        <v>220802</v>
      </c>
      <c r="E411">
        <v>6545</v>
      </c>
      <c r="F411" t="str">
        <v>ユアサ工機 御津</v>
      </c>
      <c r="G411" t="str">
        <v>本社製造部製造1課</v>
      </c>
      <c r="H411" t="str">
        <v>製造1課</v>
      </c>
      <c r="I411" t="str">
        <v>クランクシャフトの旋盤、マシニング、研磨、仕上げ加工など</v>
      </c>
      <c r="J411" t="str">
        <v>NGUYEN DUY THANG</v>
      </c>
      <c r="K411" t="str">
        <v>グエン　ズイ　タン</v>
      </c>
      <c r="L411" t="str">
        <v>男</v>
      </c>
      <c r="M411" t="str">
        <v>ﾍﾞﾄﾅﾑ</v>
      </c>
      <c r="N411" s="31">
        <v>34604</v>
      </c>
      <c r="O411">
        <v>31</v>
      </c>
      <c r="P411">
        <v>1400</v>
      </c>
      <c r="Q411">
        <v>0</v>
      </c>
      <c r="R411">
        <v>1900</v>
      </c>
      <c r="S411">
        <v>0</v>
      </c>
      <c r="T411">
        <v>500</v>
      </c>
      <c r="U411">
        <v>260000</v>
      </c>
      <c r="V411">
        <v>13039</v>
      </c>
      <c r="W411" t="str">
        <v>0</v>
      </c>
      <c r="X411">
        <v>23790</v>
      </c>
      <c r="Y411" s="31">
        <v>46214</v>
      </c>
      <c r="Z411" t="str">
        <v/>
      </c>
      <c r="AA411" t="str">
        <v>技術・人文知識・国際業務</v>
      </c>
      <c r="AB411" t="str">
        <v>709-2107</v>
      </c>
      <c r="AC411" t="str">
        <v>岡山県岡山市北区御津矢原29-9-2</v>
      </c>
      <c r="AD411" t="str">
        <v>成広矢原ｺｰﾎﾟⅦ　205</v>
      </c>
      <c r="AE411" s="31">
        <v>44772</v>
      </c>
      <c r="AF411" s="31">
        <v>44775</v>
      </c>
      <c r="AG411" s="31">
        <v>45684</v>
      </c>
      <c r="AH411" s="31">
        <v>0</v>
      </c>
      <c r="AI411" t="str">
        <v>22.10.01</v>
      </c>
      <c r="AJ411" t="str">
        <v>8/24林</v>
      </c>
      <c r="AK411" t="str">
        <v>請負より異動　2024/4/30までユアサ本社配属　2024/5/7よりユアサ御津に異動</v>
      </c>
      <c r="AL411">
        <v>44775</v>
      </c>
      <c r="AM411">
        <v>0</v>
      </c>
      <c r="AN411">
        <v>0</v>
      </c>
      <c r="AO411">
        <v>0</v>
      </c>
      <c r="AP411">
        <v>0</v>
      </c>
      <c r="AQ411">
        <v>0</v>
      </c>
      <c r="AR411">
        <v>0</v>
      </c>
    </row>
    <row r="412" spans="1:44">
      <c r="A412" t="str">
        <f>H412&amp;COUNTIF($H$2:H412,H412)</f>
        <v>CVJ短軸旋盤係7</v>
      </c>
      <c r="B412" t="str">
        <f>F412&amp;COUNTIF($F$2:F412,F412)</f>
        <v>高雄工業 岡山74</v>
      </c>
      <c r="C412" t="str">
        <v>在職中</v>
      </c>
      <c r="D412">
        <v>220812</v>
      </c>
      <c r="E412">
        <v>232074</v>
      </c>
      <c r="F412" t="str">
        <v>高雄工業 岡山</v>
      </c>
      <c r="G412" t="str">
        <v>高雄工業株式会社 岡山事業所CVJ工場製作課</v>
      </c>
      <c r="H412" t="str">
        <v>CVJ短軸旋盤係</v>
      </c>
      <c r="I412" t="str">
        <v>ＣＶＪ短軸等速ジョイント旋削加工、ＮＣプログラム修正</v>
      </c>
      <c r="J412" t="str">
        <v>NGUYEN DINH DUC</v>
      </c>
      <c r="K412" t="str">
        <v>グエン　ディン　ドゥック</v>
      </c>
      <c r="L412" t="str">
        <v>男</v>
      </c>
      <c r="M412" t="str">
        <v>ﾍﾞﾄﾅﾑ</v>
      </c>
      <c r="N412" s="31">
        <v>35659</v>
      </c>
      <c r="O412">
        <v>28</v>
      </c>
      <c r="P412">
        <v>1310</v>
      </c>
      <c r="Q412">
        <v>0</v>
      </c>
      <c r="R412">
        <v>1680</v>
      </c>
      <c r="S412">
        <v>0</v>
      </c>
      <c r="T412">
        <v>370</v>
      </c>
      <c r="U412">
        <v>240000</v>
      </c>
      <c r="V412">
        <v>12036</v>
      </c>
      <c r="W412" t="str">
        <v>0</v>
      </c>
      <c r="X412">
        <v>21960</v>
      </c>
      <c r="Y412" s="31">
        <v>46230</v>
      </c>
      <c r="Z412" t="str">
        <v/>
      </c>
      <c r="AA412" t="str">
        <v>技術・人文知識・国際業務</v>
      </c>
      <c r="AB412" t="str">
        <v>709-2107</v>
      </c>
      <c r="AC412" t="str">
        <v>岡山県岡山市北区御津矢原297-1</v>
      </c>
      <c r="AD412" t="str">
        <v>成広矢原ｺｰﾎﾟⅤ102</v>
      </c>
      <c r="AE412" s="31">
        <v>44770</v>
      </c>
      <c r="AF412" s="31">
        <v>44776</v>
      </c>
      <c r="AG412" s="31">
        <v>0</v>
      </c>
      <c r="AH412" s="31">
        <v>0</v>
      </c>
      <c r="AI412" t="str">
        <v>22.10.01</v>
      </c>
      <c r="AJ412" t="str">
        <v>8/31林</v>
      </c>
      <c r="AK412">
        <v>0</v>
      </c>
      <c r="AL412">
        <v>44776</v>
      </c>
      <c r="AM412">
        <v>0</v>
      </c>
      <c r="AN412">
        <v>0</v>
      </c>
      <c r="AO412">
        <v>0</v>
      </c>
      <c r="AP412">
        <v>0</v>
      </c>
      <c r="AQ412">
        <v>0</v>
      </c>
      <c r="AR412">
        <v>0</v>
      </c>
    </row>
    <row r="413" spans="1:44">
      <c r="A413" t="str">
        <f>H413&amp;COUNTIF($H$2:H413,H413)</f>
        <v>CVJ短軸旋盤係8</v>
      </c>
      <c r="B413" t="str">
        <f>F413&amp;COUNTIF($F$2:F413,F413)</f>
        <v>高雄工業 岡山75</v>
      </c>
      <c r="C413" t="str">
        <v>退社</v>
      </c>
      <c r="D413">
        <v>220813</v>
      </c>
      <c r="E413">
        <v>232075</v>
      </c>
      <c r="F413" t="str">
        <v>高雄工業 岡山</v>
      </c>
      <c r="G413" t="str">
        <v>高雄工業株式会社 岡山事業所CVJ工場製作課</v>
      </c>
      <c r="H413" t="str">
        <v>CVJ短軸旋盤係</v>
      </c>
      <c r="I413" t="str">
        <v>ＣＶＪ短軸等速ジョイント旋削加工・ＮＣプログラム修正</v>
      </c>
      <c r="J413" t="str">
        <v>DO DOAN HIEU</v>
      </c>
      <c r="K413" t="str">
        <v>ドー　ドアン　ヒエウ</v>
      </c>
      <c r="L413" t="str">
        <v>男</v>
      </c>
      <c r="M413" t="str">
        <v>ﾍﾞﾄﾅﾑ</v>
      </c>
      <c r="N413" s="31">
        <v>35528</v>
      </c>
      <c r="O413">
        <v>28</v>
      </c>
      <c r="P413">
        <v>1250</v>
      </c>
      <c r="Q413">
        <v>0</v>
      </c>
      <c r="R413">
        <v>1680</v>
      </c>
      <c r="S413">
        <v>0</v>
      </c>
      <c r="T413">
        <v>430</v>
      </c>
      <c r="U413">
        <v>240000</v>
      </c>
      <c r="V413">
        <v>12036</v>
      </c>
      <c r="W413" t="str">
        <v>0</v>
      </c>
      <c r="X413">
        <v>21960</v>
      </c>
      <c r="Y413" s="31">
        <v>46230</v>
      </c>
      <c r="Z413" t="str">
        <v/>
      </c>
      <c r="AA413" t="str">
        <v>技術・人文知識・国際業務</v>
      </c>
      <c r="AB413" t="str">
        <v>709-2107</v>
      </c>
      <c r="AC413" t="str">
        <v>岡山県岡山市北区御津矢原297-1</v>
      </c>
      <c r="AD413" t="str">
        <v>成広矢原ｺｰﾎﾟⅤ102</v>
      </c>
      <c r="AE413" s="31">
        <v>44770</v>
      </c>
      <c r="AF413" s="31">
        <v>44776</v>
      </c>
      <c r="AG413" s="31">
        <v>45223</v>
      </c>
      <c r="AH413" s="31">
        <v>0</v>
      </c>
      <c r="AI413" t="str">
        <v>22.10.01</v>
      </c>
      <c r="AJ413" t="str">
        <v>8/31林</v>
      </c>
      <c r="AK413">
        <v>0</v>
      </c>
      <c r="AL413">
        <v>44776</v>
      </c>
      <c r="AM413">
        <v>0</v>
      </c>
      <c r="AN413">
        <v>0</v>
      </c>
      <c r="AO413">
        <v>0</v>
      </c>
      <c r="AP413">
        <v>0</v>
      </c>
      <c r="AQ413">
        <v>0</v>
      </c>
      <c r="AR413">
        <v>0</v>
      </c>
    </row>
    <row r="414" spans="1:44">
      <c r="A414" t="str">
        <f>H414&amp;COUNTIF($H$2:H414,H414)</f>
        <v>成型ライン5</v>
      </c>
      <c r="B414" t="str">
        <f>F414&amp;COUNTIF($F$2:F414,F414)</f>
        <v>ピーエムアイ15</v>
      </c>
      <c r="C414" t="str">
        <v>退社</v>
      </c>
      <c r="D414">
        <v>220803</v>
      </c>
      <c r="E414">
        <v>0</v>
      </c>
      <c r="F414" t="str">
        <v>ピーエムアイ</v>
      </c>
      <c r="G414" t="str">
        <v>製造1</v>
      </c>
      <c r="H414" t="str">
        <v>成型ライン</v>
      </c>
      <c r="I414" t="str">
        <v>プラスチック製品の製造におけるすべての行為</v>
      </c>
      <c r="J414" t="str">
        <v>NGUYEN THI HANH</v>
      </c>
      <c r="K414" t="str">
        <v>グエン　ティ　ハイン</v>
      </c>
      <c r="L414" t="str">
        <v>女</v>
      </c>
      <c r="M414" t="str">
        <v>ﾍﾞﾄﾅﾑ</v>
      </c>
      <c r="N414" s="31">
        <v>32402</v>
      </c>
      <c r="O414">
        <v>37</v>
      </c>
      <c r="P414">
        <v>1300</v>
      </c>
      <c r="Q414">
        <v>0</v>
      </c>
      <c r="R414">
        <v>1700</v>
      </c>
      <c r="S414">
        <v>0</v>
      </c>
      <c r="T414">
        <v>400</v>
      </c>
      <c r="U414">
        <v>260000</v>
      </c>
      <c r="V414">
        <v>13039</v>
      </c>
      <c r="W414" t="str">
        <v>0</v>
      </c>
      <c r="X414">
        <v>23790</v>
      </c>
      <c r="Y414" s="31">
        <v>46580</v>
      </c>
      <c r="Z414" t="str">
        <v/>
      </c>
      <c r="AA414" t="str">
        <v>技術・人文知識・国際業務</v>
      </c>
      <c r="AB414" t="str">
        <v>470-0331</v>
      </c>
      <c r="AC414" t="str">
        <v>愛知県豊田市東山町2丁目1555－1</v>
      </c>
      <c r="AD414" t="str">
        <v>市営東山住宅E棟602号</v>
      </c>
      <c r="AE414" s="31" t="str">
        <v>個人</v>
      </c>
      <c r="AF414" s="31">
        <v>44795</v>
      </c>
      <c r="AG414" s="31">
        <v>45792</v>
      </c>
      <c r="AH414" s="31">
        <v>0</v>
      </c>
      <c r="AI414" t="str">
        <v>22.10.01</v>
      </c>
      <c r="AJ414" t="str">
        <v>9/12林</v>
      </c>
      <c r="AK414">
        <v>0</v>
      </c>
      <c r="AL414">
        <v>44795</v>
      </c>
      <c r="AM414">
        <v>0</v>
      </c>
      <c r="AN414">
        <v>0</v>
      </c>
      <c r="AO414">
        <v>0</v>
      </c>
      <c r="AP414">
        <v>0</v>
      </c>
      <c r="AQ414">
        <v>0</v>
      </c>
      <c r="AR414">
        <v>0</v>
      </c>
    </row>
    <row r="415" spans="1:44">
      <c r="A415" t="str">
        <f>H415&amp;COUNTIF($H$2:H415,H415)</f>
        <v>0198</v>
      </c>
      <c r="B415" t="str">
        <f>F415&amp;COUNTIF($F$2:F415,F415)</f>
        <v>三幸技研5</v>
      </c>
      <c r="C415" t="str">
        <v>退社</v>
      </c>
      <c r="D415">
        <v>220804</v>
      </c>
      <c r="E415">
        <v>0</v>
      </c>
      <c r="F415" t="str">
        <v>三幸技研</v>
      </c>
      <c r="G415">
        <v>0</v>
      </c>
      <c r="H415">
        <v>0</v>
      </c>
      <c r="I415">
        <v>0</v>
      </c>
      <c r="J415" t="str">
        <v>HOANG VAN HUNG</v>
      </c>
      <c r="K415" t="str">
        <v>ホアン　ヴァン　フン</v>
      </c>
      <c r="L415" t="str">
        <v>男</v>
      </c>
      <c r="M415" t="str">
        <v>ﾍﾞﾄﾅﾑ</v>
      </c>
      <c r="N415" s="31">
        <v>34471</v>
      </c>
      <c r="O415">
        <v>31</v>
      </c>
      <c r="P415">
        <v>1400</v>
      </c>
      <c r="Q415">
        <v>0</v>
      </c>
      <c r="R415">
        <v>1800</v>
      </c>
      <c r="S415">
        <v>0</v>
      </c>
      <c r="T415">
        <v>400</v>
      </c>
      <c r="U415">
        <v>180000</v>
      </c>
      <c r="V415">
        <v>9027</v>
      </c>
      <c r="W415" t="str">
        <v>0</v>
      </c>
      <c r="X415">
        <v>16470</v>
      </c>
      <c r="Y415" s="31">
        <v>45361</v>
      </c>
      <c r="Z415" t="str">
        <v/>
      </c>
      <c r="AA415" t="str">
        <v>技術・人文知識・国際業務</v>
      </c>
      <c r="AB415" t="str">
        <v>474-0056</v>
      </c>
      <c r="AC415" t="str">
        <v>愛知県大府市明成町2丁目176番地</v>
      </c>
      <c r="AD415" t="str">
        <v>ｻﾝﾋﾟｱ清野205</v>
      </c>
      <c r="AE415" s="31">
        <v>44807</v>
      </c>
      <c r="AF415" s="31">
        <v>44795</v>
      </c>
      <c r="AG415" s="31">
        <v>45198</v>
      </c>
      <c r="AH415" s="31">
        <v>0</v>
      </c>
      <c r="AI415" t="str">
        <v>22.10.01</v>
      </c>
      <c r="AJ415" t="str">
        <v>9/12林</v>
      </c>
      <c r="AK415">
        <v>0</v>
      </c>
      <c r="AL415">
        <v>44795</v>
      </c>
      <c r="AM415">
        <v>0</v>
      </c>
      <c r="AN415">
        <v>0</v>
      </c>
      <c r="AO415">
        <v>0</v>
      </c>
      <c r="AP415">
        <v>0</v>
      </c>
      <c r="AQ415">
        <v>0</v>
      </c>
      <c r="AR415">
        <v>0</v>
      </c>
    </row>
    <row r="416" spans="1:44">
      <c r="A416" t="str">
        <f>H416&amp;COUNTIF($H$2:H416,H416)</f>
        <v>0199</v>
      </c>
      <c r="B416" t="str">
        <f>F416&amp;COUNTIF($F$2:F416,F416)</f>
        <v>ﾌｪﾆﾃｯｸｾﾐｺﾝﾀﾞｸﾀｰ 鹿児島18</v>
      </c>
      <c r="C416" t="str">
        <v>退社</v>
      </c>
      <c r="D416">
        <v>220805</v>
      </c>
      <c r="E416">
        <v>0</v>
      </c>
      <c r="F416" t="str">
        <v>ﾌｪﾆﾃｯｸｾﾐｺﾝﾀﾞｸﾀｰ 鹿児島</v>
      </c>
      <c r="G416">
        <v>0</v>
      </c>
      <c r="H416">
        <v>0</v>
      </c>
      <c r="I416">
        <v>0</v>
      </c>
      <c r="J416" t="str">
        <v>VU THUONG QUYEN</v>
      </c>
      <c r="K416" t="str">
        <v>ヴ　トウオン　クイエン</v>
      </c>
      <c r="L416" t="str">
        <v>男</v>
      </c>
      <c r="M416" t="str">
        <v>ﾍﾞﾄﾅﾑ</v>
      </c>
      <c r="N416" s="31">
        <v>34257</v>
      </c>
      <c r="O416">
        <v>32</v>
      </c>
      <c r="P416">
        <v>1450</v>
      </c>
      <c r="Q416">
        <v>0</v>
      </c>
      <c r="R416">
        <v>2100</v>
      </c>
      <c r="S416" t="str">
        <v>　2024/1/1～ 2000円⇒2100円</v>
      </c>
      <c r="T416">
        <v>650</v>
      </c>
      <c r="U416">
        <v>240000</v>
      </c>
      <c r="V416">
        <v>12036</v>
      </c>
      <c r="W416" t="str">
        <v>0</v>
      </c>
      <c r="X416">
        <v>21960</v>
      </c>
      <c r="Y416" s="31">
        <v>46468</v>
      </c>
      <c r="Z416" t="str">
        <v/>
      </c>
      <c r="AA416" t="str">
        <v>技術・人文知識・国際業務</v>
      </c>
      <c r="AB416" t="str">
        <v>899-6202</v>
      </c>
      <c r="AC416" t="str">
        <v>鹿児島県姶良郡湧水町北方850番地</v>
      </c>
      <c r="AD416" t="str">
        <v>京田住宅2号棟344</v>
      </c>
      <c r="AE416" s="31">
        <v>44795</v>
      </c>
      <c r="AF416" s="31">
        <v>44798</v>
      </c>
      <c r="AG416" s="31">
        <v>45401</v>
      </c>
      <c r="AH416" s="31">
        <v>0</v>
      </c>
      <c r="AI416" t="str">
        <v>22.10.01</v>
      </c>
      <c r="AJ416" t="str">
        <v>9/12林</v>
      </c>
      <c r="AK416">
        <v>0</v>
      </c>
      <c r="AL416">
        <v>44798</v>
      </c>
      <c r="AM416">
        <v>0</v>
      </c>
      <c r="AN416">
        <v>0</v>
      </c>
      <c r="AO416">
        <v>0</v>
      </c>
      <c r="AP416">
        <v>0</v>
      </c>
      <c r="AQ416">
        <v>0</v>
      </c>
      <c r="AR416">
        <v>0</v>
      </c>
    </row>
    <row r="417" spans="1:44">
      <c r="A417" t="str">
        <f>H417&amp;COUNTIF($H$2:H417,H417)</f>
        <v>一次旋係19</v>
      </c>
      <c r="B417" t="str">
        <f>F417&amp;COUNTIF($F$2:F417,F417)</f>
        <v>高雄工業 岡山76</v>
      </c>
      <c r="C417" t="str">
        <v>退社</v>
      </c>
      <c r="D417">
        <v>220806</v>
      </c>
      <c r="E417">
        <v>232076</v>
      </c>
      <c r="F417" t="str">
        <v>高雄工業 岡山</v>
      </c>
      <c r="G417" t="str">
        <v>高雄工業株式会社 岡山事業所HUB工場製作1課</v>
      </c>
      <c r="H417" t="str">
        <v>一次旋係</v>
      </c>
      <c r="I417" t="str">
        <v>ハブ加工・自動機の操作・ＮＣプログラム修正</v>
      </c>
      <c r="J417" t="str">
        <v>NGUYEN THE DANG</v>
      </c>
      <c r="K417" t="str">
        <v>グエン　テー　ダン</v>
      </c>
      <c r="L417" t="str">
        <v>男</v>
      </c>
      <c r="M417" t="str">
        <v>ﾍﾞﾄﾅﾑ</v>
      </c>
      <c r="N417" s="31">
        <v>31723</v>
      </c>
      <c r="O417">
        <v>39</v>
      </c>
      <c r="P417">
        <v>1400</v>
      </c>
      <c r="Q417" t="str">
        <v>2022/8/25　請負から派遣に切替　請負で1年以上経験有る為、1400円ｽﾀｰﾄ</v>
      </c>
      <c r="R417">
        <v>1770</v>
      </c>
      <c r="S417">
        <v>0</v>
      </c>
      <c r="T417">
        <v>370</v>
      </c>
      <c r="U417">
        <v>320000</v>
      </c>
      <c r="V417">
        <v>16048</v>
      </c>
      <c r="W417" t="str">
        <v>0</v>
      </c>
      <c r="X417">
        <v>29280</v>
      </c>
      <c r="Y417" s="31">
        <v>46291</v>
      </c>
      <c r="Z417" t="str">
        <v/>
      </c>
      <c r="AA417" t="str">
        <v>技術・人文知識・国際業務</v>
      </c>
      <c r="AB417" t="str">
        <v>709-2107</v>
      </c>
      <c r="AC417" t="str">
        <v>岡山県岡山市北区御津矢原370</v>
      </c>
      <c r="AD417" t="str">
        <v>成広ｺｰﾎﾟⅠ105号室</v>
      </c>
      <c r="AE417" s="31">
        <v>44409</v>
      </c>
      <c r="AF417" s="31">
        <v>44798</v>
      </c>
      <c r="AG417" s="31">
        <v>45246</v>
      </c>
      <c r="AH417" s="31">
        <v>0</v>
      </c>
      <c r="AI417" t="str">
        <v>21.08.01</v>
      </c>
      <c r="AJ417" t="str">
        <v>8/23原</v>
      </c>
      <c r="AK417" t="str">
        <v>請負より異動</v>
      </c>
      <c r="AL417">
        <v>44798</v>
      </c>
      <c r="AM417">
        <v>0</v>
      </c>
      <c r="AN417">
        <v>0</v>
      </c>
      <c r="AO417">
        <v>0</v>
      </c>
      <c r="AP417">
        <v>0</v>
      </c>
      <c r="AQ417">
        <v>0</v>
      </c>
      <c r="AR417">
        <v>0</v>
      </c>
    </row>
    <row r="418" spans="1:44">
      <c r="A418" t="str">
        <f>H418&amp;COUNTIF($H$2:H418,H418)</f>
        <v>1次旋係18</v>
      </c>
      <c r="B418" t="str">
        <f>F418&amp;COUNTIF($F$2:F418,F418)</f>
        <v>高雄工業 岡山77</v>
      </c>
      <c r="C418" t="str">
        <v>退社</v>
      </c>
      <c r="D418">
        <v>220807</v>
      </c>
      <c r="E418">
        <v>232077</v>
      </c>
      <c r="F418" t="str">
        <v>高雄工業 岡山</v>
      </c>
      <c r="G418" t="str">
        <v>高雄工業株式会社 岡山事業所HUB工場製作1課</v>
      </c>
      <c r="H418" t="str">
        <v>1次旋係</v>
      </c>
      <c r="I418" t="str">
        <v>ハブ加工 自動機の操作、ＮＣプログラム修正</v>
      </c>
      <c r="J418" t="str">
        <v>PHAM DINH SANG</v>
      </c>
      <c r="K418" t="str">
        <v>ファム　ディン　サン</v>
      </c>
      <c r="L418" t="str">
        <v>男</v>
      </c>
      <c r="M418" t="str">
        <v>ﾍﾞﾄﾅﾑ</v>
      </c>
      <c r="N418" s="31">
        <v>33771</v>
      </c>
      <c r="O418">
        <v>33</v>
      </c>
      <c r="P418">
        <v>1410</v>
      </c>
      <c r="Q418" t="str">
        <v>2022/8/25　請負から派遣に切替　請負で1年以上経験有る為、1400円ｽﾀｰﾄ　10/16～N3合格により10円アップ</v>
      </c>
      <c r="R418">
        <v>1820</v>
      </c>
      <c r="S418">
        <v>0</v>
      </c>
      <c r="T418">
        <v>410</v>
      </c>
      <c r="U418">
        <v>260000</v>
      </c>
      <c r="V418">
        <v>13039</v>
      </c>
      <c r="W418" t="str">
        <v>0</v>
      </c>
      <c r="X418">
        <v>23790</v>
      </c>
      <c r="Y418" s="31">
        <v>46105</v>
      </c>
      <c r="Z418" t="str">
        <v/>
      </c>
      <c r="AA418" t="str">
        <v>技術・人文知識・国際業務</v>
      </c>
      <c r="AB418" t="str">
        <v>709-2107</v>
      </c>
      <c r="AC418" t="str">
        <v>岡山県岡山市北区御津矢原312-1</v>
      </c>
      <c r="AD418" t="str">
        <v>中須賀ｺｰﾎﾟⅠ102</v>
      </c>
      <c r="AE418" s="31">
        <v>44541</v>
      </c>
      <c r="AF418" s="31">
        <v>44798</v>
      </c>
      <c r="AG418" s="31">
        <v>45562</v>
      </c>
      <c r="AH418" s="31">
        <v>0</v>
      </c>
      <c r="AI418" t="str">
        <v>21.09.01</v>
      </c>
      <c r="AJ418" t="str">
        <v>8/23原</v>
      </c>
      <c r="AK418" t="str">
        <v>請負より異動</v>
      </c>
      <c r="AL418">
        <v>44798</v>
      </c>
      <c r="AM418">
        <v>0</v>
      </c>
      <c r="AN418">
        <v>0</v>
      </c>
      <c r="AO418">
        <v>0</v>
      </c>
      <c r="AP418">
        <v>0</v>
      </c>
      <c r="AQ418">
        <v>0</v>
      </c>
      <c r="AR418">
        <v>0</v>
      </c>
    </row>
    <row r="419" spans="1:44">
      <c r="A419" t="str">
        <f>H419&amp;COUNTIF($H$2:H419,H419)</f>
        <v>3課1</v>
      </c>
      <c r="B419" t="str">
        <f>F419&amp;COUNTIF($F$2:F419,F419)</f>
        <v>加藤木材工業 本社3</v>
      </c>
      <c r="C419" t="str">
        <v>退社</v>
      </c>
      <c r="D419">
        <v>220809</v>
      </c>
      <c r="E419">
        <v>5465</v>
      </c>
      <c r="F419" t="str">
        <v>加藤木材工業 本社</v>
      </c>
      <c r="G419" t="str">
        <v>生産1部</v>
      </c>
      <c r="H419" t="str">
        <v>3課</v>
      </c>
      <c r="I419" t="str">
        <v>機械オペレーター及び機械メンテナンス他付随する業務</v>
      </c>
      <c r="J419" t="str">
        <v>NGUYEN HUU HOI</v>
      </c>
      <c r="K419" t="str">
        <v>グエン　フー　ホイ</v>
      </c>
      <c r="L419" t="str">
        <v>男</v>
      </c>
      <c r="M419" t="str">
        <v>ﾍﾞﾄﾅﾑ</v>
      </c>
      <c r="N419" s="31">
        <v>34779</v>
      </c>
      <c r="O419">
        <v>30</v>
      </c>
      <c r="P419">
        <v>1300</v>
      </c>
      <c r="Q419">
        <v>0</v>
      </c>
      <c r="R419">
        <v>1700</v>
      </c>
      <c r="S419">
        <v>0</v>
      </c>
      <c r="T419">
        <v>400</v>
      </c>
      <c r="U419">
        <v>280000</v>
      </c>
      <c r="V419">
        <v>14042</v>
      </c>
      <c r="W419" t="str">
        <v>0</v>
      </c>
      <c r="X419">
        <v>25620</v>
      </c>
      <c r="Y419" s="31">
        <v>46571</v>
      </c>
      <c r="Z419" t="str">
        <v/>
      </c>
      <c r="AA419" t="str">
        <v>技術・人文知識・国際業務</v>
      </c>
      <c r="AB419" t="str">
        <v>486-0912</v>
      </c>
      <c r="AC419" t="str">
        <v>愛知県春日井市高山町2丁目32番地4</v>
      </c>
      <c r="AD419" t="str">
        <v>ﾊﾟｰｸｻｲﾄﾞｽｽﾞｷ101</v>
      </c>
      <c r="AE419" s="31">
        <v>44797</v>
      </c>
      <c r="AF419" s="31">
        <v>44798</v>
      </c>
      <c r="AG419" s="31">
        <v>45575</v>
      </c>
      <c r="AH419" s="31">
        <v>0</v>
      </c>
      <c r="AI419" t="str">
        <v>22.10.01</v>
      </c>
      <c r="AJ419" t="str">
        <v>9/12林</v>
      </c>
      <c r="AK419">
        <v>0</v>
      </c>
      <c r="AL419">
        <v>44798</v>
      </c>
      <c r="AM419">
        <v>0</v>
      </c>
      <c r="AN419">
        <v>0</v>
      </c>
      <c r="AO419">
        <v>0</v>
      </c>
      <c r="AP419">
        <v>0</v>
      </c>
      <c r="AQ419">
        <v>0</v>
      </c>
      <c r="AR419">
        <v>0</v>
      </c>
    </row>
    <row r="420" spans="1:44">
      <c r="A420" t="str">
        <f>H420&amp;COUNTIF($H$2:H420,H420)</f>
        <v>生産課2</v>
      </c>
      <c r="B420" t="str">
        <f>F420&amp;COUNTIF($F$2:F420,F420)</f>
        <v>加藤木材工業 本社4</v>
      </c>
      <c r="C420" t="str">
        <v>退社</v>
      </c>
      <c r="D420">
        <v>220810</v>
      </c>
      <c r="E420">
        <v>5466</v>
      </c>
      <c r="F420" t="str">
        <v>加藤木材工業 本社</v>
      </c>
      <c r="G420" t="str">
        <v>生産2部</v>
      </c>
      <c r="H420" t="str">
        <v>生産課</v>
      </c>
      <c r="I420" t="str">
        <v>機械オペレーター及び機械メンテナンス他付随する業務</v>
      </c>
      <c r="J420" t="str">
        <v>LE VAN MANH</v>
      </c>
      <c r="K420" t="str">
        <v>レー　ヴァン　マイン</v>
      </c>
      <c r="L420" t="str">
        <v>男</v>
      </c>
      <c r="M420" t="str">
        <v>ﾍﾞﾄﾅﾑ</v>
      </c>
      <c r="N420" s="31">
        <v>33186</v>
      </c>
      <c r="O420">
        <v>35</v>
      </c>
      <c r="P420">
        <v>1300</v>
      </c>
      <c r="Q420">
        <v>0</v>
      </c>
      <c r="R420">
        <v>1700</v>
      </c>
      <c r="S420">
        <v>0</v>
      </c>
      <c r="T420">
        <v>400</v>
      </c>
      <c r="U420">
        <v>260000</v>
      </c>
      <c r="V420">
        <v>13039</v>
      </c>
      <c r="W420" t="str">
        <v>0</v>
      </c>
      <c r="X420">
        <v>23790</v>
      </c>
      <c r="Y420" s="31">
        <v>45633</v>
      </c>
      <c r="Z420" t="str">
        <v/>
      </c>
      <c r="AA420" t="str">
        <v>技術・人文知識・国際業務</v>
      </c>
      <c r="AB420" t="str">
        <v>486-0912</v>
      </c>
      <c r="AC420" t="str">
        <v>愛知県春日井市高山町2丁目32番地5</v>
      </c>
      <c r="AD420" t="str">
        <v>ﾊﾟｰｸｻｲﾄﾞｽｽﾞｷ101</v>
      </c>
      <c r="AE420" s="31">
        <v>44803</v>
      </c>
      <c r="AF420" s="31">
        <v>44798</v>
      </c>
      <c r="AG420" s="31">
        <v>45359</v>
      </c>
      <c r="AH420" s="31">
        <v>0</v>
      </c>
      <c r="AI420" t="str">
        <v>22.10.01</v>
      </c>
      <c r="AJ420" t="str">
        <v>9/12林</v>
      </c>
      <c r="AK420">
        <v>0</v>
      </c>
      <c r="AL420">
        <v>44798</v>
      </c>
      <c r="AM420">
        <v>0</v>
      </c>
      <c r="AN420">
        <v>0</v>
      </c>
      <c r="AO420">
        <v>0</v>
      </c>
      <c r="AP420">
        <v>0</v>
      </c>
      <c r="AQ420">
        <v>0</v>
      </c>
      <c r="AR420">
        <v>0</v>
      </c>
    </row>
    <row r="421" spans="1:44">
      <c r="A421" t="str">
        <f>H421&amp;COUNTIF($H$2:H421,H421)</f>
        <v>0200</v>
      </c>
      <c r="B421" t="str">
        <f>F421&amp;COUNTIF($F$2:F421,F421)</f>
        <v>加藤木材工業 本社5</v>
      </c>
      <c r="C421" t="str">
        <v>退社</v>
      </c>
      <c r="D421">
        <v>220811</v>
      </c>
      <c r="E421">
        <v>0</v>
      </c>
      <c r="F421" t="str">
        <v>加藤木材工業 本社</v>
      </c>
      <c r="G421">
        <v>0</v>
      </c>
      <c r="H421">
        <v>0</v>
      </c>
      <c r="I421">
        <v>0</v>
      </c>
      <c r="J421" t="str">
        <v>NGUYEN VAN SON</v>
      </c>
      <c r="K421" t="str">
        <v>グエン　ヴァン　ソン</v>
      </c>
      <c r="L421" t="str">
        <v>男</v>
      </c>
      <c r="M421" t="str">
        <v>ﾍﾞﾄﾅﾑ</v>
      </c>
      <c r="N421" s="31">
        <v>34059</v>
      </c>
      <c r="O421">
        <v>32</v>
      </c>
      <c r="P421">
        <v>1300</v>
      </c>
      <c r="Q421">
        <v>0</v>
      </c>
      <c r="R421">
        <v>1700</v>
      </c>
      <c r="S421">
        <v>0</v>
      </c>
      <c r="T421">
        <v>400</v>
      </c>
      <c r="U421">
        <v>180000</v>
      </c>
      <c r="V421">
        <v>9027</v>
      </c>
      <c r="W421" t="str">
        <v>0</v>
      </c>
      <c r="X421">
        <v>16470</v>
      </c>
      <c r="Y421" s="31">
        <v>45377</v>
      </c>
      <c r="Z421" t="str">
        <v/>
      </c>
      <c r="AA421" t="str">
        <v>技術・人文知識・国際業務</v>
      </c>
      <c r="AB421" t="str">
        <v>486-0912</v>
      </c>
      <c r="AC421" t="str">
        <v>愛知県春日井市高山町4丁目13-13</v>
      </c>
      <c r="AD421" t="str">
        <v>ﾒｿﾞﾝ辻山201</v>
      </c>
      <c r="AE421" s="31">
        <v>44797</v>
      </c>
      <c r="AF421" s="31">
        <v>44798</v>
      </c>
      <c r="AG421" s="31">
        <v>45063</v>
      </c>
      <c r="AH421" s="31">
        <v>0</v>
      </c>
      <c r="AI421" t="str">
        <v>22.10.01</v>
      </c>
      <c r="AJ421" t="str">
        <v>9/12林</v>
      </c>
      <c r="AK421">
        <v>0</v>
      </c>
      <c r="AL421">
        <v>44798</v>
      </c>
      <c r="AM421">
        <v>0</v>
      </c>
      <c r="AN421">
        <v>0</v>
      </c>
      <c r="AO421">
        <v>0</v>
      </c>
      <c r="AP421">
        <v>0</v>
      </c>
      <c r="AQ421">
        <v>0</v>
      </c>
      <c r="AR421">
        <v>0</v>
      </c>
    </row>
    <row r="422" spans="1:44">
      <c r="A422" t="str">
        <f>H422&amp;COUNTIF($H$2:H422,H422)</f>
        <v>Gライン15</v>
      </c>
      <c r="B422" t="str">
        <f>F422&amp;COUNTIF($F$2:F422,F422)</f>
        <v>高雄工業 本社43</v>
      </c>
      <c r="C422" t="str">
        <v>在職中</v>
      </c>
      <c r="D422">
        <v>220121</v>
      </c>
      <c r="E422">
        <v>212018</v>
      </c>
      <c r="F422" t="str">
        <v>高雄工業 本社</v>
      </c>
      <c r="G422" t="str">
        <v>高雄工業株式会社 愛知事業所本社工場製作課</v>
      </c>
      <c r="H422" t="str">
        <v>Gライン</v>
      </c>
      <c r="I422" t="str">
        <v>CVJ部品長軸品の施削加工、NCプログラム修正</v>
      </c>
      <c r="J422" t="str">
        <v>NGO VAN HIEP</v>
      </c>
      <c r="K422" t="str">
        <v>ゴー　ヴァン　ヒエップ</v>
      </c>
      <c r="L422" t="str">
        <v>男</v>
      </c>
      <c r="M422" t="str">
        <v>ﾍﾞﾄﾅﾑ</v>
      </c>
      <c r="N422" s="31">
        <v>35377</v>
      </c>
      <c r="O422">
        <v>29</v>
      </c>
      <c r="P422">
        <v>1410</v>
      </c>
      <c r="Q422">
        <v>0</v>
      </c>
      <c r="R422">
        <v>1830</v>
      </c>
      <c r="S422">
        <v>0</v>
      </c>
      <c r="T422">
        <v>420</v>
      </c>
      <c r="U422">
        <v>240000</v>
      </c>
      <c r="V422">
        <v>12036</v>
      </c>
      <c r="W422" t="str">
        <v>0</v>
      </c>
      <c r="X422">
        <v>21960</v>
      </c>
      <c r="Y422" s="31">
        <v>46496</v>
      </c>
      <c r="Z422" t="str">
        <v/>
      </c>
      <c r="AA422" t="str">
        <v>技術・人文知識・国際業務</v>
      </c>
      <c r="AB422" t="str">
        <v>498-0031</v>
      </c>
      <c r="AC422" t="str">
        <v>愛知県弥富市平島町中新田194-1</v>
      </c>
      <c r="AD422" t="str">
        <v>ｺﾝﾂｪﾙﾊｳｽⅡD棟202</v>
      </c>
      <c r="AE422" s="31">
        <v>0</v>
      </c>
      <c r="AF422" s="31">
        <v>45901</v>
      </c>
      <c r="AG422" s="31">
        <v>0</v>
      </c>
      <c r="AH422" s="31">
        <v>0</v>
      </c>
      <c r="AI422">
        <v>45901</v>
      </c>
      <c r="AJ422" t="str">
        <v>9/19林</v>
      </c>
      <c r="AK422">
        <v>0</v>
      </c>
      <c r="AL422">
        <v>45901</v>
      </c>
      <c r="AM422">
        <v>0</v>
      </c>
      <c r="AN422">
        <v>0</v>
      </c>
      <c r="AO422">
        <v>0</v>
      </c>
      <c r="AP422">
        <v>0</v>
      </c>
      <c r="AQ422">
        <v>0</v>
      </c>
      <c r="AR422">
        <v>0</v>
      </c>
    </row>
    <row r="423" spans="1:44">
      <c r="A423" t="str">
        <f>H423&amp;COUNTIF($H$2:H423,H423)</f>
        <v>J加工2課1</v>
      </c>
      <c r="B423" t="str">
        <f>F423&amp;COUNTIF($F$2:F423,F423)</f>
        <v>加藤木材工業 本社6</v>
      </c>
      <c r="C423" t="str">
        <v>退社</v>
      </c>
      <c r="D423">
        <v>220814</v>
      </c>
      <c r="E423">
        <v>5469</v>
      </c>
      <c r="F423" t="str">
        <v>加藤木材工業 本社</v>
      </c>
      <c r="G423" t="str">
        <v>生産2部</v>
      </c>
      <c r="H423" t="str">
        <v>J加工2課</v>
      </c>
      <c r="I423" t="str">
        <v>機械オペレーター及び機械メンテナンス他付随する業務</v>
      </c>
      <c r="J423" t="str">
        <v>TRAN BA HAI</v>
      </c>
      <c r="K423" t="str">
        <v>チャン　バ　ハイ</v>
      </c>
      <c r="L423" t="str">
        <v>男</v>
      </c>
      <c r="M423" t="str">
        <v>ﾍﾞﾄﾅﾑ</v>
      </c>
      <c r="N423" s="31">
        <v>34787</v>
      </c>
      <c r="O423">
        <v>30</v>
      </c>
      <c r="P423">
        <v>1300</v>
      </c>
      <c r="Q423">
        <v>1700</v>
      </c>
      <c r="R423">
        <v>1700</v>
      </c>
      <c r="S423">
        <v>0</v>
      </c>
      <c r="T423">
        <v>400</v>
      </c>
      <c r="U423">
        <v>280000</v>
      </c>
      <c r="V423">
        <v>14042</v>
      </c>
      <c r="W423" t="str">
        <v>0</v>
      </c>
      <c r="X423">
        <v>25620</v>
      </c>
      <c r="Y423" s="31">
        <v>45746</v>
      </c>
      <c r="Z423" t="str">
        <v/>
      </c>
      <c r="AA423" t="str">
        <v>技術・人文知識・国際業務</v>
      </c>
      <c r="AB423" t="str">
        <v>486-0912</v>
      </c>
      <c r="AC423" t="str">
        <v>愛知県春日井市高山町4丁目13-13</v>
      </c>
      <c r="AD423" t="str">
        <v>ﾒｿﾞﾝ辻山105</v>
      </c>
      <c r="AE423" s="31">
        <v>44803</v>
      </c>
      <c r="AF423" s="31">
        <v>44804</v>
      </c>
      <c r="AG423" s="31">
        <v>45390</v>
      </c>
      <c r="AH423" s="31">
        <v>0</v>
      </c>
      <c r="AI423" t="str">
        <v>22.10.01</v>
      </c>
      <c r="AJ423" t="str">
        <v>9/12林</v>
      </c>
      <c r="AK423">
        <v>0</v>
      </c>
      <c r="AL423">
        <v>44804</v>
      </c>
      <c r="AM423">
        <v>0</v>
      </c>
      <c r="AN423">
        <v>0</v>
      </c>
      <c r="AO423">
        <v>0</v>
      </c>
      <c r="AP423">
        <v>0</v>
      </c>
      <c r="AQ423">
        <v>0</v>
      </c>
      <c r="AR423">
        <v>0</v>
      </c>
    </row>
    <row r="424" spans="1:44">
      <c r="A424" t="str">
        <f>H424&amp;COUNTIF($H$2:H424,H424)</f>
        <v>J加工1課1</v>
      </c>
      <c r="B424" t="str">
        <f>F424&amp;COUNTIF($F$2:F424,F424)</f>
        <v>加藤木材工業 本社7</v>
      </c>
      <c r="C424" t="str">
        <v>退社</v>
      </c>
      <c r="D424">
        <v>220815</v>
      </c>
      <c r="E424">
        <v>5468</v>
      </c>
      <c r="F424" t="str">
        <v>加藤木材工業 本社</v>
      </c>
      <c r="G424" t="str">
        <v>生産2部</v>
      </c>
      <c r="H424" t="str">
        <v>J加工1課</v>
      </c>
      <c r="I424" t="str">
        <v>木材加工・検査・梱包</v>
      </c>
      <c r="J424" t="str">
        <v>NGUYEN VIET HA</v>
      </c>
      <c r="K424" t="str">
        <v>グエン　ヴィエット　ハー</v>
      </c>
      <c r="L424" t="str">
        <v>男</v>
      </c>
      <c r="M424" t="str">
        <v>ﾍﾞﾄﾅﾑ</v>
      </c>
      <c r="N424" s="31">
        <v>33013</v>
      </c>
      <c r="O424">
        <v>35</v>
      </c>
      <c r="P424">
        <v>1300</v>
      </c>
      <c r="Q424">
        <v>1700</v>
      </c>
      <c r="R424">
        <v>1700</v>
      </c>
      <c r="S424">
        <v>0</v>
      </c>
      <c r="T424">
        <v>400</v>
      </c>
      <c r="U424">
        <v>280000</v>
      </c>
      <c r="V424">
        <v>14042</v>
      </c>
      <c r="W424" t="str">
        <v>0</v>
      </c>
      <c r="X424">
        <v>25620</v>
      </c>
      <c r="Y424" s="31">
        <v>46174</v>
      </c>
      <c r="Z424" t="str">
        <v/>
      </c>
      <c r="AA424" t="str">
        <v>技術・人文知識・国際業務</v>
      </c>
      <c r="AB424" t="str">
        <v>486-0912</v>
      </c>
      <c r="AC424" t="str">
        <v>愛知県春日井市高山町4丁目13-13</v>
      </c>
      <c r="AD424" t="str">
        <v>ﾒｿﾞﾝ辻山105</v>
      </c>
      <c r="AE424" s="31">
        <v>44803</v>
      </c>
      <c r="AF424" s="31">
        <v>44804</v>
      </c>
      <c r="AG424" s="31">
        <v>45197</v>
      </c>
      <c r="AH424" s="31">
        <v>0</v>
      </c>
      <c r="AI424" t="str">
        <v>22.10.01</v>
      </c>
      <c r="AJ424" t="str">
        <v>9/12林</v>
      </c>
      <c r="AK424">
        <v>0</v>
      </c>
      <c r="AL424">
        <v>44804</v>
      </c>
      <c r="AM424">
        <v>0</v>
      </c>
      <c r="AN424">
        <v>0</v>
      </c>
      <c r="AO424">
        <v>0</v>
      </c>
      <c r="AP424">
        <v>0</v>
      </c>
      <c r="AQ424">
        <v>0</v>
      </c>
      <c r="AR424">
        <v>0</v>
      </c>
    </row>
    <row r="425" spans="1:44">
      <c r="A425" t="str">
        <f>H425&amp;COUNTIF($H$2:H425,H425)</f>
        <v>J加工1課2</v>
      </c>
      <c r="B425" t="str">
        <f>F425&amp;COUNTIF($F$2:F425,F425)</f>
        <v>加藤木材工業 本社8</v>
      </c>
      <c r="C425" t="str">
        <v>退社</v>
      </c>
      <c r="D425">
        <v>220816</v>
      </c>
      <c r="E425">
        <v>5470</v>
      </c>
      <c r="F425" t="str">
        <v>加藤木材工業 本社</v>
      </c>
      <c r="G425" t="str">
        <v>生産2部</v>
      </c>
      <c r="H425" t="str">
        <v>J加工1課</v>
      </c>
      <c r="I425" t="str">
        <v>機械オペレーター及び機械メンテナンス他付随する業務</v>
      </c>
      <c r="J425" t="str">
        <v>CHU VAN PHUONG</v>
      </c>
      <c r="K425" t="str">
        <v>チュ　バン　フオン</v>
      </c>
      <c r="L425" t="str">
        <v>男</v>
      </c>
      <c r="M425" t="str">
        <v>ﾍﾞﾄﾅﾑ</v>
      </c>
      <c r="N425" s="31">
        <v>34768</v>
      </c>
      <c r="O425">
        <v>30</v>
      </c>
      <c r="P425">
        <v>1300</v>
      </c>
      <c r="Q425">
        <v>1700</v>
      </c>
      <c r="R425">
        <v>1700</v>
      </c>
      <c r="S425">
        <v>0</v>
      </c>
      <c r="T425">
        <v>400</v>
      </c>
      <c r="U425">
        <v>280000</v>
      </c>
      <c r="V425">
        <v>14042</v>
      </c>
      <c r="W425" t="str">
        <v>0</v>
      </c>
      <c r="X425">
        <v>25620</v>
      </c>
      <c r="Y425" s="31">
        <v>45549</v>
      </c>
      <c r="Z425" t="str">
        <v/>
      </c>
      <c r="AA425" t="str">
        <v>技術・人文知識・国際業務</v>
      </c>
      <c r="AB425" t="str">
        <v>486-0912</v>
      </c>
      <c r="AC425" t="str">
        <v>愛知県春日井市高山町4丁目13-13</v>
      </c>
      <c r="AD425" t="str">
        <v>ﾒｿﾞﾝ辻山201</v>
      </c>
      <c r="AE425" s="31">
        <v>44803</v>
      </c>
      <c r="AF425" s="31">
        <v>44804</v>
      </c>
      <c r="AG425" s="31">
        <v>45314</v>
      </c>
      <c r="AH425" s="31">
        <v>0</v>
      </c>
      <c r="AI425" t="str">
        <v>22.10.01</v>
      </c>
      <c r="AJ425" t="str">
        <v>9/12林</v>
      </c>
      <c r="AK425">
        <v>0</v>
      </c>
      <c r="AL425">
        <v>44804</v>
      </c>
      <c r="AM425">
        <v>0</v>
      </c>
      <c r="AN425">
        <v>0</v>
      </c>
      <c r="AO425">
        <v>0</v>
      </c>
      <c r="AP425">
        <v>0</v>
      </c>
      <c r="AQ425">
        <v>0</v>
      </c>
      <c r="AR425">
        <v>0</v>
      </c>
    </row>
    <row r="426" spans="1:44">
      <c r="A426" t="str">
        <f>H426&amp;COUNTIF($H$2:H426,H426)</f>
        <v>内輪4</v>
      </c>
      <c r="B426" t="str">
        <f>F426&amp;COUNTIF($F$2:F426,F426)</f>
        <v>高雄工業 静岡43</v>
      </c>
      <c r="C426" t="str">
        <v>退社</v>
      </c>
      <c r="D426">
        <v>220901</v>
      </c>
      <c r="E426">
        <v>242054</v>
      </c>
      <c r="F426" t="str">
        <v>高雄工業 静岡</v>
      </c>
      <c r="G426" t="str">
        <v>高雄工業株式会社 静岡事業所第二工場製作課</v>
      </c>
      <c r="H426" t="str">
        <v>内輪</v>
      </c>
      <c r="I426" t="str">
        <v>産業機械部品の研磨加工、NCプログラム修正</v>
      </c>
      <c r="J426" t="str">
        <v>DANG VAN DOANH</v>
      </c>
      <c r="K426" t="str">
        <v>ダン　ヴァン　ゾアン</v>
      </c>
      <c r="L426" t="str">
        <v>男</v>
      </c>
      <c r="M426" t="str">
        <v>ﾍﾞﾄﾅﾑ</v>
      </c>
      <c r="N426" s="31">
        <v>34555</v>
      </c>
      <c r="O426">
        <v>31</v>
      </c>
      <c r="P426">
        <v>1400</v>
      </c>
      <c r="Q426">
        <v>0</v>
      </c>
      <c r="R426">
        <v>1770</v>
      </c>
      <c r="S426">
        <v>0</v>
      </c>
      <c r="T426">
        <v>370</v>
      </c>
      <c r="U426">
        <v>240000</v>
      </c>
      <c r="V426">
        <v>12036</v>
      </c>
      <c r="W426" t="str">
        <v>0</v>
      </c>
      <c r="X426">
        <v>21960</v>
      </c>
      <c r="Y426" s="31">
        <v>45563</v>
      </c>
      <c r="Z426" t="str">
        <v/>
      </c>
      <c r="AA426" t="str">
        <v>技術・人文知識・国際業務</v>
      </c>
      <c r="AB426" t="str">
        <v>437-0065</v>
      </c>
      <c r="AC426" t="str">
        <v>静岡県袋井市堀越3-19-2</v>
      </c>
      <c r="AD426" t="str">
        <v>ｴｸｾｰﾗ305号室</v>
      </c>
      <c r="AE426" s="31" t="str">
        <v>個人</v>
      </c>
      <c r="AF426" s="31">
        <v>44805</v>
      </c>
      <c r="AG426" s="31">
        <v>45341</v>
      </c>
      <c r="AH426" s="31">
        <v>0</v>
      </c>
      <c r="AI426" t="str">
        <v>22.10.01</v>
      </c>
      <c r="AJ426" t="str">
        <v>9/15林</v>
      </c>
      <c r="AK426">
        <v>0</v>
      </c>
      <c r="AL426">
        <v>44805</v>
      </c>
      <c r="AM426">
        <v>0</v>
      </c>
      <c r="AN426">
        <v>0</v>
      </c>
      <c r="AO426">
        <v>0</v>
      </c>
      <c r="AP426">
        <v>0</v>
      </c>
      <c r="AQ426">
        <v>0</v>
      </c>
      <c r="AR426">
        <v>0</v>
      </c>
    </row>
    <row r="427" spans="1:44">
      <c r="A427" t="str">
        <f>H427&amp;COUNTIF($H$2:H427,H427)</f>
        <v>0201</v>
      </c>
      <c r="B427" t="str">
        <f>F427&amp;COUNTIF($F$2:F427,F427)</f>
        <v>新日本ﾎｲｰﾙ工業2</v>
      </c>
      <c r="C427" t="str">
        <v>退社</v>
      </c>
      <c r="D427">
        <v>220902</v>
      </c>
      <c r="E427">
        <v>0</v>
      </c>
      <c r="F427" t="str">
        <v>新日本ﾎｲｰﾙ工業</v>
      </c>
      <c r="G427">
        <v>0</v>
      </c>
      <c r="H427">
        <v>0</v>
      </c>
      <c r="I427">
        <v>0</v>
      </c>
      <c r="J427" t="str">
        <v>NGUYEN VAN TAI</v>
      </c>
      <c r="K427" t="str">
        <v>グエン　ヴァン　タイ</v>
      </c>
      <c r="L427" t="str">
        <v>男</v>
      </c>
      <c r="M427" t="str">
        <v>ﾍﾞﾄﾅﾑ</v>
      </c>
      <c r="N427" s="31">
        <v>34053</v>
      </c>
      <c r="O427">
        <v>32</v>
      </c>
      <c r="P427">
        <v>1400</v>
      </c>
      <c r="Q427">
        <v>0</v>
      </c>
      <c r="R427">
        <v>1800</v>
      </c>
      <c r="S427">
        <v>0</v>
      </c>
      <c r="T427">
        <v>400</v>
      </c>
      <c r="U427">
        <v>280000</v>
      </c>
      <c r="V427">
        <v>14042</v>
      </c>
      <c r="W427" t="str">
        <v>0</v>
      </c>
      <c r="X427">
        <v>25620</v>
      </c>
      <c r="Y427" s="31">
        <v>46421</v>
      </c>
      <c r="Z427" t="str">
        <v/>
      </c>
      <c r="AA427" t="str">
        <v>技術・人文知識・国際業務</v>
      </c>
      <c r="AB427" t="str">
        <v>433-8111</v>
      </c>
      <c r="AC427" t="str">
        <v>静岡県浜松市中区葵西6丁目22-12</v>
      </c>
      <c r="AD427" t="str">
        <v>県営葵団地2棟206号</v>
      </c>
      <c r="AE427" s="31" t="str">
        <v>個人</v>
      </c>
      <c r="AF427" s="31">
        <v>44809</v>
      </c>
      <c r="AG427" s="31">
        <v>45229</v>
      </c>
      <c r="AH427" s="31">
        <v>0</v>
      </c>
      <c r="AI427" t="str">
        <v>22.9.5</v>
      </c>
      <c r="AJ427" t="str">
        <v>9/5林</v>
      </c>
      <c r="AK427">
        <v>0</v>
      </c>
      <c r="AL427">
        <v>44809</v>
      </c>
      <c r="AM427">
        <v>0</v>
      </c>
      <c r="AN427">
        <v>0</v>
      </c>
      <c r="AO427">
        <v>0</v>
      </c>
      <c r="AP427">
        <v>0</v>
      </c>
      <c r="AQ427">
        <v>0</v>
      </c>
      <c r="AR427">
        <v>0</v>
      </c>
    </row>
    <row r="428" spans="1:44">
      <c r="A428" t="str">
        <f>H428&amp;COUNTIF($H$2:H428,H428)</f>
        <v>等速ジョイント9</v>
      </c>
      <c r="B428" t="str">
        <f>F428&amp;COUNTIF($F$2:F428,F428)</f>
        <v>瑞陵精機21</v>
      </c>
      <c r="C428" t="str">
        <v>在職中</v>
      </c>
      <c r="D428">
        <v>220903</v>
      </c>
      <c r="E428">
        <v>0</v>
      </c>
      <c r="F428" t="str">
        <v>瑞陵精機</v>
      </c>
      <c r="G428" t="str">
        <v>製造課</v>
      </c>
      <c r="H428" t="str">
        <v>等速ジョイント</v>
      </c>
      <c r="I428" t="str">
        <v>ＮＣ旋盤、マシニングセンター等の工作機械を使いオペレーターとして製造ラインで製品を加工</v>
      </c>
      <c r="J428" t="str">
        <v>NGUYEN HUU THANG</v>
      </c>
      <c r="K428" t="str">
        <v>グエン　フゥ　タン</v>
      </c>
      <c r="L428" t="str">
        <v>男</v>
      </c>
      <c r="M428" t="str">
        <v>ﾍﾞﾄﾅﾑ</v>
      </c>
      <c r="N428" s="31">
        <v>35833</v>
      </c>
      <c r="O428">
        <v>27</v>
      </c>
      <c r="P428">
        <v>1310</v>
      </c>
      <c r="Q428">
        <v>0</v>
      </c>
      <c r="R428">
        <v>1700</v>
      </c>
      <c r="S428">
        <v>0</v>
      </c>
      <c r="T428">
        <v>390</v>
      </c>
      <c r="U428">
        <v>260000</v>
      </c>
      <c r="V428">
        <v>13039</v>
      </c>
      <c r="W428" t="str">
        <v>0</v>
      </c>
      <c r="X428">
        <v>23790</v>
      </c>
      <c r="Y428" s="31">
        <v>46668</v>
      </c>
      <c r="Z428" t="str">
        <v/>
      </c>
      <c r="AA428" t="str">
        <v>技術・人文知識・国際業務</v>
      </c>
      <c r="AB428" t="str">
        <v>509-7201</v>
      </c>
      <c r="AC428" t="str">
        <v>岐阜県恵那市大井町1120-303</v>
      </c>
      <c r="AD428" t="str">
        <v>各務ﾊｲﾂ3F</v>
      </c>
      <c r="AE428" s="31">
        <v>44805</v>
      </c>
      <c r="AF428" s="31">
        <v>44810</v>
      </c>
      <c r="AG428" s="31">
        <v>0</v>
      </c>
      <c r="AH428" s="31">
        <v>0</v>
      </c>
      <c r="AI428" t="str">
        <v>22.10.01</v>
      </c>
      <c r="AJ428" t="str">
        <v>9/15林</v>
      </c>
      <c r="AK428">
        <v>0</v>
      </c>
      <c r="AL428">
        <v>44810</v>
      </c>
      <c r="AM428">
        <v>0</v>
      </c>
      <c r="AN428">
        <v>0</v>
      </c>
      <c r="AO428">
        <v>0</v>
      </c>
      <c r="AP428">
        <v>0</v>
      </c>
      <c r="AQ428">
        <v>0</v>
      </c>
      <c r="AR428">
        <v>0</v>
      </c>
    </row>
    <row r="429" spans="1:44">
      <c r="A429" t="str">
        <f>H429&amp;COUNTIF($H$2:H429,H429)</f>
        <v>CVJ転造係1</v>
      </c>
      <c r="B429" t="str">
        <f>F429&amp;COUNTIF($F$2:F429,F429)</f>
        <v>高雄工業 岡山78</v>
      </c>
      <c r="C429" t="str">
        <v>退社</v>
      </c>
      <c r="D429">
        <v>220904</v>
      </c>
      <c r="E429">
        <v>232078</v>
      </c>
      <c r="F429" t="str">
        <v>高雄工業 岡山</v>
      </c>
      <c r="G429" t="str">
        <v>高雄工業株式会社 岡山事業所CVJ工場製作課</v>
      </c>
      <c r="H429" t="str">
        <v>CVJ転造係</v>
      </c>
      <c r="I429" t="str">
        <v>ＣＶＪ短軸等速ジョイント旋削加工・ＮＣプログラム修正</v>
      </c>
      <c r="J429" t="str">
        <v>NGUYEN VAN HUNG</v>
      </c>
      <c r="K429" t="str">
        <v>グエン　ヴァン　フン</v>
      </c>
      <c r="L429" t="str">
        <v>男</v>
      </c>
      <c r="M429" t="str">
        <v>ﾍﾞﾄﾅﾑ</v>
      </c>
      <c r="N429" s="31">
        <v>36251</v>
      </c>
      <c r="O429">
        <v>26</v>
      </c>
      <c r="P429">
        <v>1300</v>
      </c>
      <c r="Q429">
        <v>0</v>
      </c>
      <c r="R429">
        <v>1670</v>
      </c>
      <c r="S429">
        <v>0</v>
      </c>
      <c r="T429">
        <v>370</v>
      </c>
      <c r="U429">
        <v>320000</v>
      </c>
      <c r="V429">
        <v>16048</v>
      </c>
      <c r="W429" t="str">
        <v>0</v>
      </c>
      <c r="X429">
        <v>29280</v>
      </c>
      <c r="Y429" s="31">
        <v>46278</v>
      </c>
      <c r="Z429" t="str">
        <v/>
      </c>
      <c r="AA429" t="str">
        <v>技術・人文知識・国際業務</v>
      </c>
      <c r="AB429" t="str">
        <v>709-2107</v>
      </c>
      <c r="AC429" t="str">
        <v>岡山県岡山市北区御津矢原298-1</v>
      </c>
      <c r="AD429" t="str">
        <v>成広矢原ｺｰﾎﾟⅥ102</v>
      </c>
      <c r="AE429" s="31">
        <v>44805</v>
      </c>
      <c r="AF429" s="31">
        <v>44812</v>
      </c>
      <c r="AG429" s="31">
        <v>45427</v>
      </c>
      <c r="AH429" s="31">
        <v>0</v>
      </c>
      <c r="AI429" t="str">
        <v>22.10.01</v>
      </c>
      <c r="AJ429" t="str">
        <v>9/15林</v>
      </c>
      <c r="AK429">
        <v>0</v>
      </c>
      <c r="AL429">
        <v>44812</v>
      </c>
      <c r="AM429">
        <v>0</v>
      </c>
      <c r="AN429">
        <v>0</v>
      </c>
      <c r="AO429">
        <v>0</v>
      </c>
      <c r="AP429">
        <v>0</v>
      </c>
      <c r="AQ429">
        <v>0</v>
      </c>
      <c r="AR429">
        <v>0</v>
      </c>
    </row>
    <row r="430" spans="1:44">
      <c r="A430" t="str">
        <f>H430&amp;COUNTIF($H$2:H430,H430)</f>
        <v>CVJ転造係2</v>
      </c>
      <c r="B430" t="str">
        <f>F430&amp;COUNTIF($F$2:F430,F430)</f>
        <v>高雄工業 岡山79</v>
      </c>
      <c r="C430" t="str">
        <v>退社</v>
      </c>
      <c r="D430">
        <v>220905</v>
      </c>
      <c r="E430">
        <v>232079</v>
      </c>
      <c r="F430" t="str">
        <v>高雄工業 岡山</v>
      </c>
      <c r="G430" t="str">
        <v>高雄工業株式会社 岡山事業所CVJ工場製作課</v>
      </c>
      <c r="H430" t="str">
        <v>CVJ転造係</v>
      </c>
      <c r="I430" t="str">
        <v>ＣＶＪ短軸等速ジョイント旋削加工・ＮＣプログラム修正</v>
      </c>
      <c r="J430" t="str">
        <v>MAI QUANG HAU</v>
      </c>
      <c r="K430" t="str">
        <v>マイ　クアン　ハウ</v>
      </c>
      <c r="L430" t="str">
        <v>男</v>
      </c>
      <c r="M430" t="str">
        <v>ﾍﾞﾄﾅﾑ</v>
      </c>
      <c r="N430" s="31">
        <v>36426</v>
      </c>
      <c r="O430">
        <v>26</v>
      </c>
      <c r="P430">
        <v>1300</v>
      </c>
      <c r="Q430">
        <v>0</v>
      </c>
      <c r="R430">
        <v>1660</v>
      </c>
      <c r="S430">
        <v>0</v>
      </c>
      <c r="T430">
        <v>360</v>
      </c>
      <c r="U430">
        <v>320000</v>
      </c>
      <c r="V430">
        <v>16048</v>
      </c>
      <c r="W430" t="str">
        <v>0</v>
      </c>
      <c r="X430">
        <v>29280</v>
      </c>
      <c r="Y430" s="31">
        <v>46278</v>
      </c>
      <c r="Z430" t="str">
        <v/>
      </c>
      <c r="AA430" t="str">
        <v>技術・人文知識・国際業務</v>
      </c>
      <c r="AB430" t="str">
        <v>709-2107</v>
      </c>
      <c r="AC430" t="str">
        <v>岡山県岡山市北区御津矢原294-1</v>
      </c>
      <c r="AD430" t="str">
        <v>成広矢原ｺｰﾎﾟⅢ103</v>
      </c>
      <c r="AE430" s="31">
        <v>44864</v>
      </c>
      <c r="AF430" s="31">
        <v>44812</v>
      </c>
      <c r="AG430" s="31">
        <v>45329</v>
      </c>
      <c r="AH430" s="31">
        <v>0</v>
      </c>
      <c r="AI430" t="str">
        <v>22.10.01</v>
      </c>
      <c r="AJ430" t="str">
        <v>9/15林</v>
      </c>
      <c r="AK430">
        <v>0</v>
      </c>
      <c r="AL430">
        <v>44812</v>
      </c>
      <c r="AM430">
        <v>0</v>
      </c>
      <c r="AN430">
        <v>0</v>
      </c>
      <c r="AO430">
        <v>0</v>
      </c>
      <c r="AP430">
        <v>0</v>
      </c>
      <c r="AQ430">
        <v>0</v>
      </c>
      <c r="AR430">
        <v>0</v>
      </c>
    </row>
    <row r="431" spans="1:44">
      <c r="A431" t="str">
        <f>H431&amp;COUNTIF($H$2:H431,H431)</f>
        <v>一次旋係20</v>
      </c>
      <c r="B431" t="str">
        <f>F431&amp;COUNTIF($F$2:F431,F431)</f>
        <v>高雄工業 岡山80</v>
      </c>
      <c r="C431" t="str">
        <v>退社</v>
      </c>
      <c r="D431">
        <v>220906</v>
      </c>
      <c r="E431">
        <v>232080</v>
      </c>
      <c r="F431" t="str">
        <v>高雄工業 岡山</v>
      </c>
      <c r="G431" t="str">
        <v>高雄工業株式会社 岡山事業所HUB工場製作1課</v>
      </c>
      <c r="H431" t="str">
        <v>一次旋係</v>
      </c>
      <c r="I431" t="str">
        <v>ハブ加工・自動機の操作・ＮＣプログラム修正</v>
      </c>
      <c r="J431" t="str">
        <v>NGUYEN XUAN PHUC</v>
      </c>
      <c r="K431" t="str">
        <v>グエン　スアン　フック</v>
      </c>
      <c r="L431" t="str">
        <v>男</v>
      </c>
      <c r="M431" t="str">
        <v>ﾍﾞﾄﾅﾑ</v>
      </c>
      <c r="N431" s="31">
        <v>35399</v>
      </c>
      <c r="O431">
        <v>29</v>
      </c>
      <c r="P431">
        <v>1400</v>
      </c>
      <c r="Q431" t="str">
        <v>2022/9/8　請負から派遣に切替　請負で1年以上経験有る為、1400円ｽﾀｰﾄ</v>
      </c>
      <c r="R431">
        <v>1760</v>
      </c>
      <c r="S431">
        <v>0</v>
      </c>
      <c r="T431">
        <v>360</v>
      </c>
      <c r="U431">
        <v>300000</v>
      </c>
      <c r="V431">
        <v>15045</v>
      </c>
      <c r="W431" t="str">
        <v>0</v>
      </c>
      <c r="X431">
        <v>27450</v>
      </c>
      <c r="Y431" s="31">
        <v>46242</v>
      </c>
      <c r="Z431" t="str">
        <v/>
      </c>
      <c r="AA431" t="str">
        <v>技術・人文知識・国際業務</v>
      </c>
      <c r="AB431" t="str">
        <v>709-2107</v>
      </c>
      <c r="AC431" t="str">
        <v>岡山県岡山市北区御津矢原370</v>
      </c>
      <c r="AD431" t="str">
        <v>成広ｺｰﾎﾟⅠ105号室</v>
      </c>
      <c r="AE431" s="31">
        <v>44409</v>
      </c>
      <c r="AF431" s="31">
        <v>44812</v>
      </c>
      <c r="AG431" s="31">
        <v>45232</v>
      </c>
      <c r="AH431" s="31">
        <v>0</v>
      </c>
      <c r="AI431">
        <v>0</v>
      </c>
      <c r="AJ431" t="str">
        <v>9/15林</v>
      </c>
      <c r="AK431" t="str">
        <v>請負より異動</v>
      </c>
      <c r="AL431">
        <v>44812</v>
      </c>
      <c r="AM431">
        <v>0</v>
      </c>
      <c r="AN431">
        <v>0</v>
      </c>
      <c r="AO431">
        <v>0</v>
      </c>
      <c r="AP431">
        <v>0</v>
      </c>
      <c r="AQ431">
        <v>0</v>
      </c>
      <c r="AR431">
        <v>0</v>
      </c>
    </row>
    <row r="432" spans="1:44">
      <c r="A432" t="str">
        <f>H432&amp;COUNTIF($H$2:H432,H432)</f>
        <v>H_2次旋6</v>
      </c>
      <c r="B432" t="str">
        <f>F432&amp;COUNTIF($F$2:F432,F432)</f>
        <v>高雄工業 海南第一33</v>
      </c>
      <c r="C432" t="str">
        <v>在職中</v>
      </c>
      <c r="D432">
        <v>220603</v>
      </c>
      <c r="E432">
        <v>222050</v>
      </c>
      <c r="F432" t="str">
        <v>高雄工業 海南第一</v>
      </c>
      <c r="G432" t="str">
        <v>高雄工業株式会社 愛知事業所海南第一工場製作1課</v>
      </c>
      <c r="H432" t="str">
        <v>H_2次旋</v>
      </c>
      <c r="I432" t="str">
        <v>ハブ加工品の2次施削、手動機械オペレーターNCプログラム修正</v>
      </c>
      <c r="J432" t="str">
        <v>VU ANH VUONG</v>
      </c>
      <c r="K432" t="str">
        <v>ヴー　アイン　ヴォン</v>
      </c>
      <c r="L432" t="str">
        <v>男</v>
      </c>
      <c r="M432" t="str">
        <v>ﾍﾞﾄﾅﾑ</v>
      </c>
      <c r="N432" s="31">
        <v>36788</v>
      </c>
      <c r="O432">
        <v>25</v>
      </c>
      <c r="P432">
        <v>1310</v>
      </c>
      <c r="Q432">
        <v>0</v>
      </c>
      <c r="R432">
        <v>1700</v>
      </c>
      <c r="S432">
        <v>0</v>
      </c>
      <c r="T432">
        <v>390</v>
      </c>
      <c r="U432">
        <v>260000</v>
      </c>
      <c r="V432">
        <v>13039</v>
      </c>
      <c r="W432" t="str">
        <v>0</v>
      </c>
      <c r="X432">
        <v>23790</v>
      </c>
      <c r="Y432" s="31">
        <v>46601</v>
      </c>
      <c r="Z432" t="str">
        <v/>
      </c>
      <c r="AA432" t="str">
        <v>技術・人文知識・国際業務</v>
      </c>
      <c r="AB432" t="str">
        <v>498-0028</v>
      </c>
      <c r="AC432" t="str">
        <v>愛知県弥富市鯏浦町中六109-1</v>
      </c>
      <c r="AD432" t="str">
        <v>ｾﾗﾀｳﾝ弥冨C棟201</v>
      </c>
      <c r="AE432" s="31">
        <v>44713</v>
      </c>
      <c r="AF432" s="31">
        <v>44713</v>
      </c>
      <c r="AG432" s="31">
        <v>0</v>
      </c>
      <c r="AH432" s="31">
        <v>0</v>
      </c>
      <c r="AI432">
        <v>44774</v>
      </c>
      <c r="AJ432" t="str">
        <v>6/6林</v>
      </c>
      <c r="AK432">
        <v>0</v>
      </c>
      <c r="AL432">
        <v>44713</v>
      </c>
      <c r="AM432">
        <v>0</v>
      </c>
      <c r="AN432">
        <v>0</v>
      </c>
      <c r="AO432">
        <v>0</v>
      </c>
      <c r="AP432">
        <v>0</v>
      </c>
      <c r="AQ432">
        <v>0</v>
      </c>
      <c r="AR432">
        <v>0</v>
      </c>
    </row>
    <row r="433" spans="1:44">
      <c r="A433" t="str">
        <f>H433&amp;COUNTIF($H$2:H433,H433)</f>
        <v>塗装B1</v>
      </c>
      <c r="B433" t="str">
        <f>F433&amp;COUNTIF($F$2:F433,F433)</f>
        <v>PATEC17</v>
      </c>
      <c r="C433" t="str">
        <v>在職中</v>
      </c>
      <c r="D433">
        <v>220908</v>
      </c>
      <c r="E433">
        <v>0</v>
      </c>
      <c r="F433" t="str">
        <v>PATEC</v>
      </c>
      <c r="G433" t="str">
        <v>製造部塗装課</v>
      </c>
      <c r="H433" t="str">
        <v>塗装B</v>
      </c>
      <c r="I433" t="str">
        <v>エアスプレーガンや自動塗装機を使い、均一に塗装を施す</v>
      </c>
      <c r="J433" t="str">
        <v>THAI HUY DUC</v>
      </c>
      <c r="K433" t="str">
        <v>タイ　フィ　ドゥック</v>
      </c>
      <c r="L433" t="str">
        <v>男</v>
      </c>
      <c r="M433" t="str">
        <v>ﾍﾞﾄﾅﾑ</v>
      </c>
      <c r="N433" s="31">
        <v>36139</v>
      </c>
      <c r="O433">
        <v>26</v>
      </c>
      <c r="P433">
        <v>1500</v>
      </c>
      <c r="Q433">
        <v>0</v>
      </c>
      <c r="R433">
        <v>2000</v>
      </c>
      <c r="S433" t="str">
        <v>24/2/21～24/8/20まで請求単価50円下げ</v>
      </c>
      <c r="T433">
        <v>500</v>
      </c>
      <c r="U433">
        <v>340000</v>
      </c>
      <c r="V433">
        <v>17051</v>
      </c>
      <c r="W433" t="str">
        <v>0</v>
      </c>
      <c r="X433">
        <v>31110</v>
      </c>
      <c r="Y433" s="31">
        <v>46644</v>
      </c>
      <c r="Z433" t="str">
        <v/>
      </c>
      <c r="AA433" t="str">
        <v>技術・人文知識・国際業務</v>
      </c>
      <c r="AB433" t="str">
        <v>747-0833</v>
      </c>
      <c r="AC433" t="str">
        <v>山口県防府市大字浜方716-15</v>
      </c>
      <c r="AD433" t="str">
        <v>ｱﾙｿｰﾚD102</v>
      </c>
      <c r="AE433" s="31">
        <v>44816</v>
      </c>
      <c r="AF433" s="31">
        <v>44818</v>
      </c>
      <c r="AG433" s="31">
        <v>0</v>
      </c>
      <c r="AH433" s="31">
        <v>0</v>
      </c>
      <c r="AI433" t="str">
        <v>22.10.01</v>
      </c>
      <c r="AJ433">
        <v>0</v>
      </c>
      <c r="AK433">
        <v>0</v>
      </c>
      <c r="AL433">
        <v>44818</v>
      </c>
      <c r="AM433">
        <v>0</v>
      </c>
      <c r="AN433">
        <v>0</v>
      </c>
      <c r="AO433">
        <v>0</v>
      </c>
      <c r="AP433">
        <v>0</v>
      </c>
      <c r="AQ433">
        <v>0</v>
      </c>
      <c r="AR433">
        <v>0</v>
      </c>
    </row>
    <row r="434" spans="1:44">
      <c r="A434" t="str">
        <f>H434&amp;COUNTIF($H$2:H434,H434)</f>
        <v>0202</v>
      </c>
      <c r="B434" t="str">
        <f>F434&amp;COUNTIF($F$2:F434,F434)</f>
        <v>PATEC18</v>
      </c>
      <c r="C434" t="str">
        <v>退社</v>
      </c>
      <c r="D434">
        <v>220911</v>
      </c>
      <c r="E434">
        <v>0</v>
      </c>
      <c r="F434" t="str">
        <v>PATEC</v>
      </c>
      <c r="G434">
        <v>0</v>
      </c>
      <c r="H434">
        <v>0</v>
      </c>
      <c r="I434">
        <v>0</v>
      </c>
      <c r="J434" t="str">
        <v>NGUYEN VAN THAI</v>
      </c>
      <c r="K434" t="str">
        <v>グエン　バン　タイ</v>
      </c>
      <c r="L434" t="str">
        <v>男</v>
      </c>
      <c r="M434" t="str">
        <v>ﾍﾞﾄﾅﾑ</v>
      </c>
      <c r="N434" s="31">
        <v>35884</v>
      </c>
      <c r="O434">
        <v>27</v>
      </c>
      <c r="P434">
        <v>1400</v>
      </c>
      <c r="Q434">
        <v>0</v>
      </c>
      <c r="R434">
        <v>2000</v>
      </c>
      <c r="S434">
        <v>0</v>
      </c>
      <c r="T434">
        <v>600</v>
      </c>
      <c r="U434">
        <v>320000</v>
      </c>
      <c r="V434">
        <v>16048</v>
      </c>
      <c r="W434" t="str">
        <v>0</v>
      </c>
      <c r="X434">
        <v>29280</v>
      </c>
      <c r="Y434" s="31">
        <v>45549</v>
      </c>
      <c r="Z434" t="str">
        <v/>
      </c>
      <c r="AA434" t="str">
        <v>技術・人文知識・国際業務</v>
      </c>
      <c r="AB434" t="str">
        <v>747-0833</v>
      </c>
      <c r="AC434" t="str">
        <v>山口県防府市大字浜方716-15</v>
      </c>
      <c r="AD434" t="str">
        <v>ｱﾙｿｰﾚD102</v>
      </c>
      <c r="AE434" s="31">
        <v>44816</v>
      </c>
      <c r="AF434" s="31">
        <v>44818</v>
      </c>
      <c r="AG434" s="31">
        <v>45342</v>
      </c>
      <c r="AH434" s="31">
        <v>0</v>
      </c>
      <c r="AI434" t="str">
        <v>22.10.01</v>
      </c>
      <c r="AJ434" t="str">
        <v>9/21林</v>
      </c>
      <c r="AK434">
        <v>0</v>
      </c>
      <c r="AL434">
        <v>44818</v>
      </c>
      <c r="AM434">
        <v>0</v>
      </c>
      <c r="AN434">
        <v>0</v>
      </c>
      <c r="AO434">
        <v>0</v>
      </c>
      <c r="AP434">
        <v>0</v>
      </c>
      <c r="AQ434">
        <v>0</v>
      </c>
      <c r="AR434">
        <v>0</v>
      </c>
    </row>
    <row r="435" spans="1:44">
      <c r="A435" t="str">
        <f>H435&amp;COUNTIF($H$2:H435,H435)</f>
        <v>J加工1課3</v>
      </c>
      <c r="B435" t="str">
        <f>F435&amp;COUNTIF($F$2:F435,F435)</f>
        <v>加藤木材工業 本社9</v>
      </c>
      <c r="C435" t="str">
        <v>退社</v>
      </c>
      <c r="D435">
        <v>220912</v>
      </c>
      <c r="E435">
        <v>5480</v>
      </c>
      <c r="F435" t="str">
        <v>加藤木材工業 本社</v>
      </c>
      <c r="G435" t="str">
        <v>生産2部</v>
      </c>
      <c r="H435" t="str">
        <v>J加工1課</v>
      </c>
      <c r="I435" t="str">
        <v>機械オペレーター及び機械メンテナンス他付随する業務</v>
      </c>
      <c r="J435" t="str">
        <v>CHU DUC THANG</v>
      </c>
      <c r="K435" t="str">
        <v>チュ　ドゥック　タン</v>
      </c>
      <c r="L435" t="str">
        <v>男</v>
      </c>
      <c r="M435" t="str">
        <v>ﾍﾞﾄﾅﾑ</v>
      </c>
      <c r="N435" s="31">
        <v>35646</v>
      </c>
      <c r="O435">
        <v>28</v>
      </c>
      <c r="P435">
        <v>1300</v>
      </c>
      <c r="Q435">
        <v>0</v>
      </c>
      <c r="R435">
        <v>1700</v>
      </c>
      <c r="S435">
        <v>0</v>
      </c>
      <c r="T435">
        <v>400</v>
      </c>
      <c r="U435">
        <v>280000</v>
      </c>
      <c r="V435">
        <v>14042</v>
      </c>
      <c r="W435" t="str">
        <v>0</v>
      </c>
      <c r="X435">
        <v>25620</v>
      </c>
      <c r="Y435" s="31">
        <v>46633</v>
      </c>
      <c r="Z435" t="str">
        <v/>
      </c>
      <c r="AA435" t="str">
        <v>技術・人文知識・国際業務</v>
      </c>
      <c r="AB435" t="str">
        <v>486-0902</v>
      </c>
      <c r="AC435" t="str">
        <v>愛知県春日井市新開町字新開61－19</v>
      </c>
      <c r="AD435" t="str">
        <v>ｺｰﾎﾟ光201</v>
      </c>
      <c r="AE435" s="31">
        <v>45186</v>
      </c>
      <c r="AF435" s="31">
        <v>44818</v>
      </c>
      <c r="AG435" s="31">
        <v>45677</v>
      </c>
      <c r="AH435" s="31">
        <v>0</v>
      </c>
      <c r="AI435" t="str">
        <v>22.10.01</v>
      </c>
      <c r="AJ435" t="str">
        <v>9/21林</v>
      </c>
      <c r="AK435">
        <v>0</v>
      </c>
      <c r="AL435">
        <v>44818</v>
      </c>
      <c r="AM435">
        <v>0</v>
      </c>
      <c r="AN435">
        <v>0</v>
      </c>
      <c r="AO435">
        <v>0</v>
      </c>
      <c r="AP435">
        <v>0</v>
      </c>
      <c r="AQ435">
        <v>0</v>
      </c>
      <c r="AR435">
        <v>0</v>
      </c>
    </row>
    <row r="436" spans="1:44">
      <c r="A436" t="str">
        <f>H436&amp;COUNTIF($H$2:H436,H436)</f>
        <v>旋盤ライン18</v>
      </c>
      <c r="B436" t="str">
        <f>F436&amp;COUNTIF($F$2:F436,F436)</f>
        <v>川原鉄工所18</v>
      </c>
      <c r="C436" t="str">
        <v>退社</v>
      </c>
      <c r="D436">
        <v>220913</v>
      </c>
      <c r="E436">
        <v>0</v>
      </c>
      <c r="F436" t="str">
        <v>川原鉄工所</v>
      </c>
      <c r="G436" t="str">
        <v>製造部</v>
      </c>
      <c r="H436" t="str">
        <v>旋盤ライン</v>
      </c>
      <c r="I436" t="str">
        <v>ATミッション部品をはじめとする、各種自動車部品の製造</v>
      </c>
      <c r="J436" t="str">
        <v>田村　誠吾</v>
      </c>
      <c r="K436" t="str">
        <v>タムラ　セイゴ</v>
      </c>
      <c r="L436" t="str">
        <v>男</v>
      </c>
      <c r="M436" t="str">
        <v>日本</v>
      </c>
      <c r="N436" s="31">
        <v>23650</v>
      </c>
      <c r="O436">
        <v>61</v>
      </c>
      <c r="P436">
        <v>1250</v>
      </c>
      <c r="Q436">
        <v>0</v>
      </c>
      <c r="R436">
        <v>1650</v>
      </c>
      <c r="S436">
        <v>0</v>
      </c>
      <c r="T436">
        <v>400</v>
      </c>
      <c r="U436">
        <v>0</v>
      </c>
      <c r="V436" t="str">
        <v/>
      </c>
      <c r="W436" t="str">
        <v>0</v>
      </c>
      <c r="X436" t="str">
        <v/>
      </c>
      <c r="Y436" s="31">
        <v>0</v>
      </c>
      <c r="Z436" t="str">
        <v/>
      </c>
      <c r="AA436">
        <v>0</v>
      </c>
      <c r="AB436" t="str">
        <v>462-0012</v>
      </c>
      <c r="AC436" t="str">
        <v>愛知県名古屋市北区楠2-119</v>
      </c>
      <c r="AD436" t="str">
        <v>中あじま荘5棟206号</v>
      </c>
      <c r="AE436" s="31" t="str">
        <v>個人</v>
      </c>
      <c r="AF436" s="31">
        <v>44823</v>
      </c>
      <c r="AG436" s="31">
        <v>44904</v>
      </c>
      <c r="AH436" s="31">
        <v>0</v>
      </c>
      <c r="AI436" t="str">
        <v>22.10.01</v>
      </c>
      <c r="AJ436" t="str">
        <v>9/21林</v>
      </c>
      <c r="AK436">
        <v>0</v>
      </c>
      <c r="AL436">
        <v>44823</v>
      </c>
      <c r="AM436">
        <v>0</v>
      </c>
      <c r="AN436">
        <v>0</v>
      </c>
      <c r="AO436">
        <v>0</v>
      </c>
      <c r="AP436">
        <v>0</v>
      </c>
      <c r="AQ436">
        <v>0</v>
      </c>
      <c r="AR436">
        <v>0</v>
      </c>
    </row>
    <row r="437" spans="1:44">
      <c r="A437" t="str">
        <f>H437&amp;COUNTIF($H$2:H437,H437)</f>
        <v>J加工2課2</v>
      </c>
      <c r="B437" t="str">
        <f>F437&amp;COUNTIF($F$2:F437,F437)</f>
        <v>加藤木材工業 本社10</v>
      </c>
      <c r="C437" t="str">
        <v>退社</v>
      </c>
      <c r="D437">
        <v>220914</v>
      </c>
      <c r="E437">
        <v>5481</v>
      </c>
      <c r="F437" t="str">
        <v>加藤木材工業 本社</v>
      </c>
      <c r="G437" t="str">
        <v>生産2部</v>
      </c>
      <c r="H437" t="str">
        <v>J加工2課</v>
      </c>
      <c r="I437" t="str">
        <v>機械オペレーター及び機械メンテナンス他付随する業務</v>
      </c>
      <c r="J437" t="str">
        <v>DINH CONG CUONG</v>
      </c>
      <c r="K437" t="str">
        <v>ディン　コン　クォン</v>
      </c>
      <c r="L437" t="str">
        <v>男</v>
      </c>
      <c r="M437" t="str">
        <v>ﾍﾞﾄﾅﾑ</v>
      </c>
      <c r="N437" s="31">
        <v>30926</v>
      </c>
      <c r="O437">
        <v>41</v>
      </c>
      <c r="P437">
        <v>1300</v>
      </c>
      <c r="Q437">
        <v>0</v>
      </c>
      <c r="R437">
        <v>1700</v>
      </c>
      <c r="S437">
        <v>0</v>
      </c>
      <c r="T437">
        <v>400</v>
      </c>
      <c r="U437">
        <v>260000</v>
      </c>
      <c r="V437">
        <v>13039</v>
      </c>
      <c r="W437">
        <v>2067</v>
      </c>
      <c r="X437">
        <v>23790</v>
      </c>
      <c r="Y437" s="31">
        <v>45471</v>
      </c>
      <c r="Z437" t="str">
        <v/>
      </c>
      <c r="AA437" t="str">
        <v>技術・人文知識・国際業務</v>
      </c>
      <c r="AB437" t="str">
        <v>486-0928</v>
      </c>
      <c r="AC437" t="str">
        <v>愛知県春日井市妙慶町2丁目8</v>
      </c>
      <c r="AD437" t="str">
        <v>妙慶ﾊｲﾂ202号</v>
      </c>
      <c r="AE437" s="31">
        <v>44820</v>
      </c>
      <c r="AF437" s="31">
        <v>44823</v>
      </c>
      <c r="AG437" s="31">
        <v>45315</v>
      </c>
      <c r="AH437" s="31">
        <v>0</v>
      </c>
      <c r="AI437" t="str">
        <v>22.10.01</v>
      </c>
      <c r="AJ437" t="str">
        <v>9/21林</v>
      </c>
      <c r="AK437">
        <v>0</v>
      </c>
      <c r="AL437">
        <v>44823</v>
      </c>
      <c r="AM437">
        <v>0</v>
      </c>
      <c r="AN437">
        <v>0</v>
      </c>
      <c r="AO437">
        <v>0</v>
      </c>
      <c r="AP437">
        <v>0</v>
      </c>
      <c r="AQ437">
        <v>0</v>
      </c>
      <c r="AR437">
        <v>0</v>
      </c>
    </row>
    <row r="438" spans="1:44">
      <c r="A438" t="str">
        <f>H438&amp;COUNTIF($H$2:H438,H438)</f>
        <v>資材課1</v>
      </c>
      <c r="B438" t="str">
        <f>F438&amp;COUNTIF($F$2:F438,F438)</f>
        <v>加藤木材工業 本社11</v>
      </c>
      <c r="C438" t="str">
        <v>在職中</v>
      </c>
      <c r="D438">
        <v>220915</v>
      </c>
      <c r="E438">
        <v>5482</v>
      </c>
      <c r="F438" t="str">
        <v>加藤木材工業 本社</v>
      </c>
      <c r="G438" t="str">
        <v>生産企画部</v>
      </c>
      <c r="H438" t="str">
        <v>資材課</v>
      </c>
      <c r="I438" t="str">
        <v>機械オペレーター及び機械メンテナンス他付随する業務</v>
      </c>
      <c r="J438" t="str">
        <v>BUI VAN DOAN</v>
      </c>
      <c r="K438" t="str">
        <v>ブイ　ヴァン　ドアン</v>
      </c>
      <c r="L438" t="str">
        <v>男</v>
      </c>
      <c r="M438" t="str">
        <v>ﾍﾞﾄﾅﾑ</v>
      </c>
      <c r="N438" s="31">
        <v>31900</v>
      </c>
      <c r="O438">
        <v>38</v>
      </c>
      <c r="P438">
        <v>1330</v>
      </c>
      <c r="Q438" t="str">
        <v>2025/5/21～1300円⇒1330円</v>
      </c>
      <c r="R438">
        <v>1745</v>
      </c>
      <c r="S438" t="str">
        <v>2025/5/21~1700円⇒1745円</v>
      </c>
      <c r="T438">
        <v>415</v>
      </c>
      <c r="U438">
        <v>280000</v>
      </c>
      <c r="V438">
        <v>14042</v>
      </c>
      <c r="W438" t="str">
        <v>0</v>
      </c>
      <c r="X438">
        <v>25620</v>
      </c>
      <c r="Y438" s="31">
        <v>46164</v>
      </c>
      <c r="Z438" t="str">
        <v/>
      </c>
      <c r="AA438" t="str">
        <v>技術・人文知識・国際業務</v>
      </c>
      <c r="AB438" t="str">
        <v>485-0826</v>
      </c>
      <c r="AC438" t="str">
        <v>愛知県小牧市大字東田中830番地1</v>
      </c>
      <c r="AD438" t="str">
        <v>県住4号棟307号</v>
      </c>
      <c r="AE438" s="31">
        <v>44820</v>
      </c>
      <c r="AF438" s="31">
        <v>44823</v>
      </c>
      <c r="AG438" s="31">
        <v>0</v>
      </c>
      <c r="AH438" s="31">
        <v>0</v>
      </c>
      <c r="AI438" t="str">
        <v>22.10.01</v>
      </c>
      <c r="AJ438" t="str">
        <v>9/21林</v>
      </c>
      <c r="AK438">
        <v>0</v>
      </c>
      <c r="AL438">
        <v>44823</v>
      </c>
      <c r="AM438">
        <v>0</v>
      </c>
      <c r="AN438">
        <v>0</v>
      </c>
      <c r="AO438">
        <v>0</v>
      </c>
      <c r="AP438">
        <v>0</v>
      </c>
      <c r="AQ438">
        <v>0</v>
      </c>
      <c r="AR438">
        <v>0</v>
      </c>
    </row>
    <row r="439" spans="1:44">
      <c r="A439" t="str">
        <f>H439&amp;COUNTIF($H$2:H439,H439)</f>
        <v>0203</v>
      </c>
      <c r="B439" t="str">
        <f>F439&amp;COUNTIF($F$2:F439,F439)</f>
        <v>PATEC19</v>
      </c>
      <c r="C439" t="str">
        <v>退社</v>
      </c>
      <c r="D439">
        <v>220916</v>
      </c>
      <c r="E439">
        <v>0</v>
      </c>
      <c r="F439" t="str">
        <v>PATEC</v>
      </c>
      <c r="G439" t="str">
        <v>製造部素材課</v>
      </c>
      <c r="H439">
        <v>0</v>
      </c>
      <c r="I439">
        <v>0</v>
      </c>
      <c r="J439" t="str">
        <v>NGUYEN CUONG</v>
      </c>
      <c r="K439" t="str">
        <v>グエン　クオン</v>
      </c>
      <c r="L439" t="str">
        <v>男</v>
      </c>
      <c r="M439" t="str">
        <v>ﾍﾞﾄﾅﾑ</v>
      </c>
      <c r="N439" s="31">
        <v>34617</v>
      </c>
      <c r="O439">
        <v>31</v>
      </c>
      <c r="P439">
        <v>1600</v>
      </c>
      <c r="Q439">
        <v>0</v>
      </c>
      <c r="R439">
        <v>2100</v>
      </c>
      <c r="S439" t="str">
        <v>24/2/21～24/8/20まで請求単価50円下げ</v>
      </c>
      <c r="T439">
        <v>500</v>
      </c>
      <c r="U439">
        <v>360000</v>
      </c>
      <c r="V439">
        <v>18054</v>
      </c>
      <c r="W439" t="str">
        <v>0</v>
      </c>
      <c r="X439">
        <v>32940</v>
      </c>
      <c r="Y439" s="31">
        <v>46644</v>
      </c>
      <c r="Z439" t="str">
        <v/>
      </c>
      <c r="AA439" t="str">
        <v>技術・人文知識・国際業務</v>
      </c>
      <c r="AB439" t="str">
        <v>747-0833</v>
      </c>
      <c r="AC439" t="str">
        <v>山口県防府市大字浜方716-15</v>
      </c>
      <c r="AD439" t="str">
        <v>ｱﾙｿｰﾚD101</v>
      </c>
      <c r="AE439" s="31">
        <v>44816</v>
      </c>
      <c r="AF439" s="31">
        <v>44825</v>
      </c>
      <c r="AG439" s="31">
        <v>45814</v>
      </c>
      <c r="AH439" s="31">
        <v>0</v>
      </c>
      <c r="AI439" t="str">
        <v>22.10.01</v>
      </c>
      <c r="AJ439" t="str">
        <v>9/22林</v>
      </c>
      <c r="AK439" t="str">
        <v>2022/11/30～アルソーレＤ101へ移動</v>
      </c>
      <c r="AL439">
        <v>44825</v>
      </c>
      <c r="AM439">
        <v>0</v>
      </c>
      <c r="AN439">
        <v>0</v>
      </c>
      <c r="AO439">
        <v>0</v>
      </c>
      <c r="AP439">
        <v>0</v>
      </c>
      <c r="AQ439">
        <v>0</v>
      </c>
      <c r="AR439">
        <v>0</v>
      </c>
    </row>
    <row r="440" spans="1:44">
      <c r="A440" t="str">
        <f>H440&amp;COUNTIF($H$2:H440,H440)</f>
        <v>0204</v>
      </c>
      <c r="B440" t="str">
        <f>F440&amp;COUNTIF($F$2:F440,F440)</f>
        <v>PATEC20</v>
      </c>
      <c r="C440" t="str">
        <v>退社</v>
      </c>
      <c r="D440">
        <v>220917</v>
      </c>
      <c r="E440">
        <v>0</v>
      </c>
      <c r="F440" t="str">
        <v>PATEC</v>
      </c>
      <c r="G440">
        <v>0</v>
      </c>
      <c r="H440">
        <v>0</v>
      </c>
      <c r="I440">
        <v>0</v>
      </c>
      <c r="J440" t="str">
        <v>DINH NHO SANG</v>
      </c>
      <c r="K440" t="str">
        <v>ディン　ノー　サン</v>
      </c>
      <c r="L440" t="str">
        <v>男</v>
      </c>
      <c r="M440" t="str">
        <v>ﾍﾞﾄﾅﾑ</v>
      </c>
      <c r="N440" s="31">
        <v>33963</v>
      </c>
      <c r="O440">
        <v>32</v>
      </c>
      <c r="P440">
        <v>1400</v>
      </c>
      <c r="Q440">
        <v>0</v>
      </c>
      <c r="R440">
        <v>2000</v>
      </c>
      <c r="S440">
        <v>0</v>
      </c>
      <c r="T440">
        <v>600</v>
      </c>
      <c r="U440">
        <v>340000</v>
      </c>
      <c r="V440">
        <v>17051</v>
      </c>
      <c r="W440" t="str">
        <v>0</v>
      </c>
      <c r="X440">
        <v>31110</v>
      </c>
      <c r="Y440" s="31">
        <v>45549</v>
      </c>
      <c r="Z440" t="str">
        <v/>
      </c>
      <c r="AA440" t="str">
        <v>技術・人文知識・国際業務</v>
      </c>
      <c r="AB440" t="str">
        <v>747-0833</v>
      </c>
      <c r="AC440" t="str">
        <v>山口県防府市大字浜方716-15</v>
      </c>
      <c r="AD440" t="str">
        <v>ｱﾙｿｰﾚC201</v>
      </c>
      <c r="AE440" s="31">
        <v>44816</v>
      </c>
      <c r="AF440" s="31">
        <v>44825</v>
      </c>
      <c r="AG440" s="31">
        <v>45350</v>
      </c>
      <c r="AH440" s="31">
        <v>0</v>
      </c>
      <c r="AI440" t="str">
        <v>22.10.01</v>
      </c>
      <c r="AJ440" t="str">
        <v>9/22林</v>
      </c>
      <c r="AK440">
        <v>0</v>
      </c>
      <c r="AL440">
        <v>44825</v>
      </c>
      <c r="AM440">
        <v>0</v>
      </c>
      <c r="AN440">
        <v>0</v>
      </c>
      <c r="AO440">
        <v>0</v>
      </c>
      <c r="AP440">
        <v>0</v>
      </c>
      <c r="AQ440">
        <v>0</v>
      </c>
      <c r="AR440">
        <v>0</v>
      </c>
    </row>
    <row r="441" spans="1:44">
      <c r="A441" t="str">
        <f>H441&amp;COUNTIF($H$2:H441,H441)</f>
        <v>1次旋係19</v>
      </c>
      <c r="B441" t="str">
        <f>F441&amp;COUNTIF($F$2:F441,F441)</f>
        <v>高雄工業 岡山81</v>
      </c>
      <c r="C441" t="str">
        <v>退社</v>
      </c>
      <c r="D441">
        <v>220918</v>
      </c>
      <c r="E441">
        <v>232082</v>
      </c>
      <c r="F441" t="str">
        <v>高雄工業 岡山</v>
      </c>
      <c r="G441" t="str">
        <v>高雄工業株式会社 岡山事業所HUB工場製作1課</v>
      </c>
      <c r="H441" t="str">
        <v>1次旋係</v>
      </c>
      <c r="I441" t="str">
        <v>ハブ加工 自動機の操作、ＮＣプログラム修正</v>
      </c>
      <c r="J441" t="str">
        <v>LE HOANG QUOC</v>
      </c>
      <c r="K441" t="str">
        <v>レー　ホアン　クオック</v>
      </c>
      <c r="L441" t="str">
        <v>男</v>
      </c>
      <c r="M441" t="str">
        <v>ﾍﾞﾄﾅﾑ</v>
      </c>
      <c r="N441" s="31">
        <v>36871</v>
      </c>
      <c r="O441">
        <v>24</v>
      </c>
      <c r="P441">
        <v>1320</v>
      </c>
      <c r="Q441">
        <v>0</v>
      </c>
      <c r="R441">
        <v>1740</v>
      </c>
      <c r="S441">
        <v>0</v>
      </c>
      <c r="T441">
        <v>420</v>
      </c>
      <c r="U441">
        <v>300000</v>
      </c>
      <c r="V441">
        <v>15045</v>
      </c>
      <c r="W441" t="str">
        <v>0</v>
      </c>
      <c r="X441">
        <v>27450</v>
      </c>
      <c r="Y441" s="31">
        <v>46281</v>
      </c>
      <c r="Z441" t="str">
        <v/>
      </c>
      <c r="AA441" t="str">
        <v>技術・人文知識・国際業務</v>
      </c>
      <c r="AB441" t="str">
        <v>709-2132</v>
      </c>
      <c r="AC441" t="str">
        <v>岡山県岡山市北区御津矢原294－1</v>
      </c>
      <c r="AD441" t="str">
        <v>成広矢原ｺｰﾎﾟⅢ107号</v>
      </c>
      <c r="AE441" s="31">
        <v>44849</v>
      </c>
      <c r="AF441" s="31">
        <v>44827</v>
      </c>
      <c r="AG441" s="31">
        <v>45804</v>
      </c>
      <c r="AH441" s="31">
        <v>0</v>
      </c>
      <c r="AI441" t="str">
        <v>22.10.01</v>
      </c>
      <c r="AJ441" t="str">
        <v>9/22林</v>
      </c>
      <c r="AK441">
        <v>0</v>
      </c>
      <c r="AL441">
        <v>44827</v>
      </c>
      <c r="AM441">
        <v>0</v>
      </c>
      <c r="AN441">
        <v>0</v>
      </c>
      <c r="AO441">
        <v>0</v>
      </c>
      <c r="AP441">
        <v>0</v>
      </c>
      <c r="AQ441">
        <v>0</v>
      </c>
      <c r="AR441">
        <v>0</v>
      </c>
    </row>
    <row r="442" spans="1:44">
      <c r="A442" t="str">
        <f>H442&amp;COUNTIF($H$2:H442,H442)</f>
        <v>1次旋係20</v>
      </c>
      <c r="B442" t="str">
        <f>F442&amp;COUNTIF($F$2:F442,F442)</f>
        <v>高雄工業 岡山82</v>
      </c>
      <c r="C442" t="str">
        <v>退社</v>
      </c>
      <c r="D442">
        <v>220919</v>
      </c>
      <c r="E442">
        <v>232083</v>
      </c>
      <c r="F442" t="str">
        <v>高雄工業 岡山</v>
      </c>
      <c r="G442" t="str">
        <v>高雄工業株式会社 岡山事業所HUB工場製作1課</v>
      </c>
      <c r="H442" t="str">
        <v>1次旋係</v>
      </c>
      <c r="I442" t="str">
        <v>ハブ加工 自動機の操作、ＮＣプログラム修正</v>
      </c>
      <c r="J442" t="str">
        <v>LE HOANG HUY</v>
      </c>
      <c r="K442" t="str">
        <v>レー　ホアン　フイ</v>
      </c>
      <c r="L442" t="str">
        <v>男</v>
      </c>
      <c r="M442" t="str">
        <v>ﾍﾞﾄﾅﾑ</v>
      </c>
      <c r="N442" s="31">
        <v>36871</v>
      </c>
      <c r="O442">
        <v>24</v>
      </c>
      <c r="P442">
        <v>1320</v>
      </c>
      <c r="Q442">
        <v>0</v>
      </c>
      <c r="R442">
        <v>1740</v>
      </c>
      <c r="S442">
        <v>0</v>
      </c>
      <c r="T442">
        <v>420</v>
      </c>
      <c r="U442">
        <v>320000</v>
      </c>
      <c r="V442">
        <v>16048</v>
      </c>
      <c r="W442" t="str">
        <v>0</v>
      </c>
      <c r="X442">
        <v>29280</v>
      </c>
      <c r="Y442" s="31">
        <v>46281</v>
      </c>
      <c r="Z442" t="str">
        <v/>
      </c>
      <c r="AA442" t="str">
        <v>技術・人文知識・国際業務</v>
      </c>
      <c r="AB442" t="str">
        <v>709-2132</v>
      </c>
      <c r="AC442" t="str">
        <v>岡山県岡山市北区御津矢原294－1</v>
      </c>
      <c r="AD442" t="str">
        <v>成広矢原ｺｰﾎﾟⅢ107号</v>
      </c>
      <c r="AE442" s="31">
        <v>44849</v>
      </c>
      <c r="AF442" s="31">
        <v>44827</v>
      </c>
      <c r="AG442" s="31">
        <v>45807</v>
      </c>
      <c r="AH442" s="31">
        <v>0</v>
      </c>
      <c r="AI442" t="str">
        <v>22.10.01</v>
      </c>
      <c r="AJ442" t="str">
        <v>9/22林</v>
      </c>
      <c r="AK442">
        <v>0</v>
      </c>
      <c r="AL442">
        <v>44827</v>
      </c>
      <c r="AM442">
        <v>0</v>
      </c>
      <c r="AN442">
        <v>0</v>
      </c>
      <c r="AO442">
        <v>0</v>
      </c>
      <c r="AP442">
        <v>0</v>
      </c>
      <c r="AQ442">
        <v>0</v>
      </c>
      <c r="AR442">
        <v>0</v>
      </c>
    </row>
    <row r="443" spans="1:44">
      <c r="A443" t="str">
        <f>H443&amp;COUNTIF($H$2:H443,H443)</f>
        <v>一次旋係21</v>
      </c>
      <c r="B443" t="str">
        <f>F443&amp;COUNTIF($F$2:F443,F443)</f>
        <v>高雄工業 岡山83</v>
      </c>
      <c r="C443" t="str">
        <v>退社</v>
      </c>
      <c r="D443">
        <v>220920</v>
      </c>
      <c r="E443">
        <v>232081</v>
      </c>
      <c r="F443" t="str">
        <v>高雄工業 岡山</v>
      </c>
      <c r="G443" t="str">
        <v>高雄工業株式会社 岡山事業所HUB工場製作1課</v>
      </c>
      <c r="H443" t="str">
        <v>一次旋係</v>
      </c>
      <c r="I443" t="str">
        <v>ハブ加工・自動機の操作・ＮＣプログラム修正</v>
      </c>
      <c r="J443" t="str">
        <v>PHAN MINH THANH</v>
      </c>
      <c r="K443" t="str">
        <v>ファン　ミン　タイン</v>
      </c>
      <c r="L443" t="str">
        <v>男</v>
      </c>
      <c r="M443" t="str">
        <v>ﾍﾞﾄﾅﾑ</v>
      </c>
      <c r="N443" s="31">
        <v>36859</v>
      </c>
      <c r="O443">
        <v>25</v>
      </c>
      <c r="P443">
        <v>1300</v>
      </c>
      <c r="Q443">
        <v>0</v>
      </c>
      <c r="R443">
        <v>1660</v>
      </c>
      <c r="S443">
        <v>0</v>
      </c>
      <c r="T443">
        <v>360</v>
      </c>
      <c r="U443">
        <v>280000</v>
      </c>
      <c r="V443">
        <v>14042</v>
      </c>
      <c r="W443" t="str">
        <v>0</v>
      </c>
      <c r="X443">
        <v>25620</v>
      </c>
      <c r="Y443" s="31">
        <v>46281</v>
      </c>
      <c r="Z443" t="str">
        <v/>
      </c>
      <c r="AA443" t="str">
        <v>技術・人文知識・国際業務</v>
      </c>
      <c r="AB443" t="str">
        <v>709-2132</v>
      </c>
      <c r="AC443" t="str">
        <v>岡山県岡山市北区御津草生2169番地2</v>
      </c>
      <c r="AD443" t="str">
        <v>草生一軒家</v>
      </c>
      <c r="AE443" s="31">
        <v>44820</v>
      </c>
      <c r="AF443" s="31">
        <v>44827</v>
      </c>
      <c r="AG443" s="31">
        <v>45275</v>
      </c>
      <c r="AH443" s="31">
        <v>0</v>
      </c>
      <c r="AI443" t="str">
        <v>22.10.01</v>
      </c>
      <c r="AJ443" t="str">
        <v>9/22林</v>
      </c>
      <c r="AK443">
        <v>0</v>
      </c>
      <c r="AL443">
        <v>44827</v>
      </c>
      <c r="AM443">
        <v>0</v>
      </c>
      <c r="AN443">
        <v>0</v>
      </c>
      <c r="AO443">
        <v>0</v>
      </c>
      <c r="AP443">
        <v>0</v>
      </c>
      <c r="AQ443">
        <v>0</v>
      </c>
      <c r="AR443">
        <v>0</v>
      </c>
    </row>
    <row r="444" spans="1:44">
      <c r="A444" t="str">
        <f>H444&amp;COUNTIF($H$2:H444,H444)</f>
        <v>成型ライン6</v>
      </c>
      <c r="B444" t="str">
        <f>F444&amp;COUNTIF($F$2:F444,F444)</f>
        <v>ピーエムアイ16</v>
      </c>
      <c r="C444" t="str">
        <v>在職中</v>
      </c>
      <c r="D444">
        <v>220921</v>
      </c>
      <c r="E444">
        <v>0</v>
      </c>
      <c r="F444" t="str">
        <v>ピーエムアイ</v>
      </c>
      <c r="G444" t="str">
        <v>製造1</v>
      </c>
      <c r="H444" t="str">
        <v>成型ライン</v>
      </c>
      <c r="I444" t="str">
        <v>プラスチック製品の製造におけるすべての行為</v>
      </c>
      <c r="J444" t="str">
        <v>HO DINH DUONG</v>
      </c>
      <c r="K444" t="str">
        <v>ホー　ディン　ズオン</v>
      </c>
      <c r="L444" t="str">
        <v>男</v>
      </c>
      <c r="M444" t="str">
        <v>ﾍﾞﾄﾅﾑ</v>
      </c>
      <c r="N444" s="31">
        <v>35737</v>
      </c>
      <c r="O444">
        <v>28</v>
      </c>
      <c r="P444">
        <v>1300</v>
      </c>
      <c r="Q444">
        <v>0</v>
      </c>
      <c r="R444">
        <v>1800</v>
      </c>
      <c r="S444">
        <v>0</v>
      </c>
      <c r="T444">
        <v>500</v>
      </c>
      <c r="U444">
        <v>240000</v>
      </c>
      <c r="V444">
        <v>12036</v>
      </c>
      <c r="W444" t="str">
        <v>0</v>
      </c>
      <c r="X444">
        <v>21960</v>
      </c>
      <c r="Y444" s="31">
        <v>46281</v>
      </c>
      <c r="Z444" t="str">
        <v/>
      </c>
      <c r="AA444" t="str">
        <v>技術・人文知識・国際業務</v>
      </c>
      <c r="AB444" t="str">
        <v>471-0805</v>
      </c>
      <c r="AC444" t="str">
        <v>愛知県豊田市美里2-6-9</v>
      </c>
      <c r="AD444" t="str">
        <v>ﾚｼﾞｪﾝﾄﾞK301</v>
      </c>
      <c r="AE444" s="31">
        <v>44827</v>
      </c>
      <c r="AF444" s="31">
        <v>44830</v>
      </c>
      <c r="AG444" s="31">
        <v>0</v>
      </c>
      <c r="AH444" s="31">
        <v>0</v>
      </c>
      <c r="AI444" t="str">
        <v>22.10.01</v>
      </c>
      <c r="AJ444" t="str">
        <v>9/29林</v>
      </c>
      <c r="AK444" t="str">
        <v>2023/1/21~1300UP</v>
      </c>
      <c r="AL444">
        <v>44830</v>
      </c>
      <c r="AM444">
        <v>0</v>
      </c>
      <c r="AN444">
        <v>0</v>
      </c>
      <c r="AO444">
        <v>0</v>
      </c>
      <c r="AP444">
        <v>0</v>
      </c>
      <c r="AQ444">
        <v>0</v>
      </c>
      <c r="AR444">
        <v>0</v>
      </c>
    </row>
    <row r="445" spans="1:44">
      <c r="A445" t="str">
        <f>H445&amp;COUNTIF($H$2:H445,H445)</f>
        <v>生産2課1</v>
      </c>
      <c r="B445" t="str">
        <f>F445&amp;COUNTIF($F$2:F445,F445)</f>
        <v>加藤木材工業 本社12</v>
      </c>
      <c r="C445" t="str">
        <v>退社</v>
      </c>
      <c r="D445">
        <v>220922</v>
      </c>
      <c r="E445">
        <v>5493</v>
      </c>
      <c r="F445" t="str">
        <v>加藤木材工業 本社</v>
      </c>
      <c r="G445" t="str">
        <v>生産1部</v>
      </c>
      <c r="H445" t="str">
        <v>生産2課</v>
      </c>
      <c r="I445" t="str">
        <v>木材加工・検査・梱包</v>
      </c>
      <c r="J445" t="str">
        <v>HOANG ANH TU</v>
      </c>
      <c r="K445" t="str">
        <v>ホアン　アイン　トウ</v>
      </c>
      <c r="L445" t="str">
        <v>男</v>
      </c>
      <c r="M445" t="str">
        <v>ﾍﾞﾄﾅﾑ</v>
      </c>
      <c r="N445" s="31">
        <v>34978</v>
      </c>
      <c r="O445">
        <v>30</v>
      </c>
      <c r="P445">
        <v>1300</v>
      </c>
      <c r="Q445">
        <v>0</v>
      </c>
      <c r="R445">
        <v>1700</v>
      </c>
      <c r="S445">
        <v>0</v>
      </c>
      <c r="T445">
        <v>400</v>
      </c>
      <c r="U445">
        <v>300000</v>
      </c>
      <c r="V445">
        <v>15045</v>
      </c>
      <c r="W445" t="str">
        <v>0</v>
      </c>
      <c r="X445">
        <v>27450</v>
      </c>
      <c r="Y445" s="31">
        <v>46128</v>
      </c>
      <c r="Z445" t="str">
        <v/>
      </c>
      <c r="AA445" t="str">
        <v>技術・人文知識・国際業務</v>
      </c>
      <c r="AB445" t="str">
        <v>486-0806</v>
      </c>
      <c r="AC445" t="str">
        <v>愛知県春日井市大手田酉町1-5-15</v>
      </c>
      <c r="AD445" t="str">
        <v>ｻﾝｳﾞｨﾚｯｼﾞ91-205</v>
      </c>
      <c r="AE445" s="31">
        <v>0</v>
      </c>
      <c r="AF445" s="31">
        <v>44830</v>
      </c>
      <c r="AG445" s="31">
        <v>45198</v>
      </c>
      <c r="AH445" s="31">
        <v>0</v>
      </c>
      <c r="AI445" t="str">
        <v>22.10.01</v>
      </c>
      <c r="AJ445" t="str">
        <v>9/29林</v>
      </c>
      <c r="AK445">
        <v>0</v>
      </c>
      <c r="AL445">
        <v>44830</v>
      </c>
      <c r="AM445">
        <v>0</v>
      </c>
      <c r="AN445">
        <v>0</v>
      </c>
      <c r="AO445">
        <v>0</v>
      </c>
      <c r="AP445">
        <v>0</v>
      </c>
      <c r="AQ445">
        <v>0</v>
      </c>
      <c r="AR445">
        <v>0</v>
      </c>
    </row>
    <row r="446" spans="1:44">
      <c r="A446" t="str">
        <f>H446&amp;COUNTIF($H$2:H446,H446)</f>
        <v>0205</v>
      </c>
      <c r="B446" t="str">
        <f>F446&amp;COUNTIF($F$2:F446,F446)</f>
        <v>ﾌｪﾆﾃｯｸｾﾐｺﾝﾀﾞｸﾀｰ 鹿児島19</v>
      </c>
      <c r="C446" t="str">
        <v>退社</v>
      </c>
      <c r="D446">
        <v>210306</v>
      </c>
      <c r="E446">
        <v>0</v>
      </c>
      <c r="F446" t="str">
        <v>ﾌｪﾆﾃｯｸｾﾐｺﾝﾀﾞｸﾀｰ 鹿児島</v>
      </c>
      <c r="G446">
        <v>0</v>
      </c>
      <c r="H446">
        <v>0</v>
      </c>
      <c r="I446">
        <v>0</v>
      </c>
      <c r="J446" t="str">
        <v>PHUNG VAN NAM</v>
      </c>
      <c r="K446" t="str">
        <v>フン　ヴァン　ナム</v>
      </c>
      <c r="L446" t="str">
        <v>男</v>
      </c>
      <c r="M446" t="str">
        <v>ﾍﾞﾄﾅﾑ</v>
      </c>
      <c r="N446" s="31">
        <v>33294</v>
      </c>
      <c r="O446">
        <v>34</v>
      </c>
      <c r="P446">
        <v>1450</v>
      </c>
      <c r="Q446">
        <v>0</v>
      </c>
      <c r="R446">
        <v>2100</v>
      </c>
      <c r="S446" t="str">
        <v>　2024/1/1～ 2000円⇒2100円</v>
      </c>
      <c r="T446">
        <v>650</v>
      </c>
      <c r="U446">
        <v>240000</v>
      </c>
      <c r="V446">
        <v>12036</v>
      </c>
      <c r="W446" t="str">
        <v>0</v>
      </c>
      <c r="X446">
        <v>21960</v>
      </c>
      <c r="Y446" s="31">
        <v>45850</v>
      </c>
      <c r="Z446" t="str">
        <v/>
      </c>
      <c r="AA446" t="str">
        <v>技術・人文知識・国際業務</v>
      </c>
      <c r="AB446" t="str">
        <v>899-6201</v>
      </c>
      <c r="AC446" t="str">
        <v>鹿児島県姶良郡湧水町木場1218番地</v>
      </c>
      <c r="AD446" t="str">
        <v>尾鉢第2住宅2号棟211号室</v>
      </c>
      <c r="AE446" s="31" t="str">
        <v>個人</v>
      </c>
      <c r="AF446" s="31">
        <v>44831</v>
      </c>
      <c r="AG446" s="31">
        <v>45367</v>
      </c>
      <c r="AH446" s="31">
        <v>0</v>
      </c>
      <c r="AI446" t="str">
        <v>22.10.01</v>
      </c>
      <c r="AJ446" t="str">
        <v>9/29林</v>
      </c>
      <c r="AK446">
        <v>0</v>
      </c>
      <c r="AL446">
        <v>44831</v>
      </c>
      <c r="AM446">
        <v>0</v>
      </c>
      <c r="AN446">
        <v>0</v>
      </c>
      <c r="AO446">
        <v>0</v>
      </c>
      <c r="AP446">
        <v>0</v>
      </c>
      <c r="AQ446">
        <v>0</v>
      </c>
      <c r="AR446">
        <v>0</v>
      </c>
    </row>
    <row r="447" spans="1:44">
      <c r="A447" t="str">
        <f>H447&amp;COUNTIF($H$2:H447,H447)</f>
        <v>0206</v>
      </c>
      <c r="B447" t="str">
        <f>F447&amp;COUNTIF($F$2:F447,F447)</f>
        <v>高雄工業 岡山84</v>
      </c>
      <c r="C447" t="str">
        <v>退社</v>
      </c>
      <c r="D447">
        <v>220923</v>
      </c>
      <c r="E447">
        <v>0</v>
      </c>
      <c r="F447" t="str">
        <v>高雄工業 岡山</v>
      </c>
      <c r="G447">
        <v>0</v>
      </c>
      <c r="H447">
        <v>0</v>
      </c>
      <c r="I447">
        <v>0</v>
      </c>
      <c r="J447" t="str">
        <v>LE VAN LUONG</v>
      </c>
      <c r="K447" t="str">
        <v>レー　ヴァン　ルオン</v>
      </c>
      <c r="L447" t="str">
        <v>男</v>
      </c>
      <c r="M447" t="str">
        <v>ﾍﾞﾄﾅﾑ</v>
      </c>
      <c r="N447" s="31">
        <v>36686</v>
      </c>
      <c r="O447">
        <v>25</v>
      </c>
      <c r="P447">
        <v>1200</v>
      </c>
      <c r="Q447">
        <v>0</v>
      </c>
      <c r="R447">
        <v>1650</v>
      </c>
      <c r="S447">
        <v>0</v>
      </c>
      <c r="T447">
        <v>450</v>
      </c>
      <c r="U447">
        <v>0</v>
      </c>
      <c r="V447" t="str">
        <v/>
      </c>
      <c r="W447" t="str">
        <v>0</v>
      </c>
      <c r="X447" t="str">
        <v/>
      </c>
      <c r="Y447" s="31">
        <v>45192</v>
      </c>
      <c r="Z447" t="str">
        <v/>
      </c>
      <c r="AA447" t="str">
        <v>技術・人文知識・国際業務</v>
      </c>
      <c r="AB447" t="str">
        <v>709-2132</v>
      </c>
      <c r="AC447" t="str">
        <v>岡山県岡山市北区御津草生2169番地2</v>
      </c>
      <c r="AD447" t="str">
        <v>草生一軒家</v>
      </c>
      <c r="AE447" s="31">
        <v>0</v>
      </c>
      <c r="AF447" s="31">
        <v>44834</v>
      </c>
      <c r="AG447" s="31">
        <v>44839</v>
      </c>
      <c r="AH447" s="31">
        <v>0</v>
      </c>
      <c r="AI447" t="str">
        <v>22.10.01</v>
      </c>
      <c r="AJ447" t="str">
        <v>9/29林</v>
      </c>
      <c r="AK447">
        <v>0</v>
      </c>
      <c r="AL447">
        <v>44834</v>
      </c>
      <c r="AM447">
        <v>0</v>
      </c>
      <c r="AN447">
        <v>0</v>
      </c>
      <c r="AO447">
        <v>0</v>
      </c>
      <c r="AP447">
        <v>0</v>
      </c>
      <c r="AQ447">
        <v>0</v>
      </c>
      <c r="AR447">
        <v>0</v>
      </c>
    </row>
    <row r="448" spans="1:44">
      <c r="A448" t="str">
        <f>H448&amp;COUNTIF($H$2:H448,H448)</f>
        <v>成型ライン7</v>
      </c>
      <c r="B448" t="str">
        <f>F448&amp;COUNTIF($F$2:F448,F448)</f>
        <v>ピーエムアイ17</v>
      </c>
      <c r="C448" t="str">
        <v>在職中</v>
      </c>
      <c r="D448">
        <v>220314</v>
      </c>
      <c r="E448">
        <v>222042</v>
      </c>
      <c r="F448" t="str">
        <v>ピーエムアイ</v>
      </c>
      <c r="G448" t="str">
        <v>製造1</v>
      </c>
      <c r="H448" t="str">
        <v>成型ライン</v>
      </c>
      <c r="I448" t="str">
        <v>プラスチック製品の製造におけるすべての行為</v>
      </c>
      <c r="J448" t="str">
        <v>HOANG TRUNG HIEU</v>
      </c>
      <c r="K448" t="str">
        <v>ホアン　ツーン　ヒエウ</v>
      </c>
      <c r="L448" t="str">
        <v>男</v>
      </c>
      <c r="M448" t="str">
        <v>ﾍﾞﾄﾅﾑ</v>
      </c>
      <c r="N448" s="31">
        <v>34424</v>
      </c>
      <c r="O448">
        <v>31</v>
      </c>
      <c r="P448">
        <v>1300</v>
      </c>
      <c r="Q448">
        <v>0</v>
      </c>
      <c r="R448">
        <v>1800</v>
      </c>
      <c r="S448">
        <v>0</v>
      </c>
      <c r="T448">
        <v>500</v>
      </c>
      <c r="U448">
        <v>220000</v>
      </c>
      <c r="V448">
        <v>11033</v>
      </c>
      <c r="W448" t="str">
        <v>0</v>
      </c>
      <c r="X448">
        <v>20130</v>
      </c>
      <c r="Y448" s="31">
        <v>46742</v>
      </c>
      <c r="Z448" t="str">
        <v/>
      </c>
      <c r="AA448" t="str">
        <v>技術・人文知識・国際業務</v>
      </c>
      <c r="AB448" t="str">
        <v>471-0805</v>
      </c>
      <c r="AC448" t="str">
        <v>愛知県豊田市美里2-6-9</v>
      </c>
      <c r="AD448" t="str">
        <v>ﾚｼﾞｪﾝﾄﾞK305</v>
      </c>
      <c r="AE448" s="31">
        <v>44835</v>
      </c>
      <c r="AF448" s="31">
        <v>44837</v>
      </c>
      <c r="AG448" s="31">
        <v>0</v>
      </c>
      <c r="AH448" s="31">
        <v>0</v>
      </c>
      <c r="AI448">
        <v>22.05</v>
      </c>
      <c r="AJ448" t="str">
        <v>OK</v>
      </c>
      <c r="AK448" t="str">
        <v>2022/3/8~2022/9/30まで高雄工業海南第一　2022/10/3～ﾋﾟｰｴﾑｱｲへ異動、2023/7/8～305へ移動</v>
      </c>
      <c r="AL448">
        <v>44837</v>
      </c>
      <c r="AM448">
        <v>0</v>
      </c>
      <c r="AN448">
        <v>0</v>
      </c>
      <c r="AO448">
        <v>0</v>
      </c>
      <c r="AP448">
        <v>0</v>
      </c>
      <c r="AQ448">
        <v>0</v>
      </c>
      <c r="AR448">
        <v>0</v>
      </c>
    </row>
    <row r="449" spans="1:44">
      <c r="A449" t="str">
        <f>H449&amp;COUNTIF($H$2:H449,H449)</f>
        <v>本社製造部製造3課1</v>
      </c>
      <c r="B449" t="str">
        <f>F449&amp;COUNTIF($F$2:F449,F449)</f>
        <v>ユアサ工機 新城1</v>
      </c>
      <c r="C449" t="str">
        <v>退社</v>
      </c>
      <c r="D449">
        <v>221001</v>
      </c>
      <c r="E449">
        <v>6546</v>
      </c>
      <c r="F449" t="str">
        <v>ユアサ工機 新城</v>
      </c>
      <c r="G449" t="str">
        <v>本社製造部製造3課</v>
      </c>
      <c r="H449" t="str">
        <v>本社製造部製造3課</v>
      </c>
      <c r="I449" t="str">
        <v>クランクシャフトの旋盤、マシニング、研磨、仕上げ加工など</v>
      </c>
      <c r="J449" t="str">
        <v>NGUYEN HOANG PHIEN</v>
      </c>
      <c r="K449" t="str">
        <v>グエン　ホアン　フィエン</v>
      </c>
      <c r="L449" t="str">
        <v>男</v>
      </c>
      <c r="M449" t="str">
        <v>ﾍﾞﾄﾅﾑ</v>
      </c>
      <c r="N449" s="31">
        <v>35097</v>
      </c>
      <c r="O449">
        <v>29</v>
      </c>
      <c r="P449">
        <v>1400</v>
      </c>
      <c r="Q449">
        <v>0</v>
      </c>
      <c r="R449">
        <v>1900</v>
      </c>
      <c r="S449">
        <v>0</v>
      </c>
      <c r="T449">
        <v>500</v>
      </c>
      <c r="U449">
        <v>240000</v>
      </c>
      <c r="V449">
        <v>12036</v>
      </c>
      <c r="W449" t="str">
        <v>0</v>
      </c>
      <c r="X449">
        <v>21960</v>
      </c>
      <c r="Y449" s="31">
        <v>46058</v>
      </c>
      <c r="Z449" t="str">
        <v/>
      </c>
      <c r="AA449" t="str">
        <v>技術・人文知識・国際業務</v>
      </c>
      <c r="AB449" t="str">
        <v>441-1231</v>
      </c>
      <c r="AC449" t="str">
        <v>愛知県豊川市一宮町旭251番地</v>
      </c>
      <c r="AD449" t="str">
        <v>ｸﾞﾚｲｽ旭A202号</v>
      </c>
      <c r="AE449" s="31">
        <v>44833</v>
      </c>
      <c r="AF449" s="31">
        <v>44837</v>
      </c>
      <c r="AG449" s="31">
        <v>45765</v>
      </c>
      <c r="AH449" s="31">
        <v>0</v>
      </c>
      <c r="AI449" t="str">
        <v>22.11.01</v>
      </c>
      <c r="AJ449" t="str">
        <v>10/17林</v>
      </c>
      <c r="AK449">
        <v>0</v>
      </c>
      <c r="AL449">
        <v>44837</v>
      </c>
      <c r="AM449">
        <v>0</v>
      </c>
      <c r="AN449">
        <v>0</v>
      </c>
      <c r="AO449">
        <v>0</v>
      </c>
      <c r="AP449">
        <v>0</v>
      </c>
      <c r="AQ449">
        <v>0</v>
      </c>
      <c r="AR449">
        <v>0</v>
      </c>
    </row>
    <row r="450" spans="1:44">
      <c r="A450" t="str">
        <f>H450&amp;COUNTIF($H$2:H450,H450)</f>
        <v>本社製造部製造3課2</v>
      </c>
      <c r="B450" t="str">
        <f>F450&amp;COUNTIF($F$2:F450,F450)</f>
        <v>ユアサ工機 新城2</v>
      </c>
      <c r="C450" t="str">
        <v>退社</v>
      </c>
      <c r="D450">
        <v>221002</v>
      </c>
      <c r="E450">
        <v>6547</v>
      </c>
      <c r="F450" t="str">
        <v>ユアサ工機 新城</v>
      </c>
      <c r="G450" t="str">
        <v>本社製造部製造3課</v>
      </c>
      <c r="H450" t="str">
        <v>本社製造部製造3課</v>
      </c>
      <c r="I450" t="str">
        <v>クランクシャフトの旋盤、マシニング、研磨、仕上げ加工など</v>
      </c>
      <c r="J450" t="str">
        <v>VO MINH PHUONG</v>
      </c>
      <c r="K450" t="str">
        <v>ヴォ　ミン　フォン</v>
      </c>
      <c r="L450" t="str">
        <v>男</v>
      </c>
      <c r="M450" t="str">
        <v>ﾍﾞﾄﾅﾑ</v>
      </c>
      <c r="N450" s="31">
        <v>31801</v>
      </c>
      <c r="O450">
        <v>38</v>
      </c>
      <c r="P450">
        <v>1400</v>
      </c>
      <c r="Q450">
        <v>0</v>
      </c>
      <c r="R450">
        <v>1900</v>
      </c>
      <c r="S450">
        <v>0</v>
      </c>
      <c r="T450">
        <v>500</v>
      </c>
      <c r="U450">
        <v>260000</v>
      </c>
      <c r="V450">
        <v>13039</v>
      </c>
      <c r="W450" t="str">
        <v>0</v>
      </c>
      <c r="X450">
        <v>23790</v>
      </c>
      <c r="Y450" s="31">
        <v>45911</v>
      </c>
      <c r="Z450" t="str">
        <v/>
      </c>
      <c r="AA450" t="str">
        <v>技術・人文知識・国際業務</v>
      </c>
      <c r="AB450" t="str">
        <v>441-1231</v>
      </c>
      <c r="AC450" t="str">
        <v>愛知県豊川市一宮町旭251番地</v>
      </c>
      <c r="AD450" t="str">
        <v>ｸﾞﾚｲｽ旭A202号</v>
      </c>
      <c r="AE450" s="31">
        <v>44833</v>
      </c>
      <c r="AF450" s="31">
        <v>44837</v>
      </c>
      <c r="AG450" s="31">
        <v>45595</v>
      </c>
      <c r="AH450" s="31">
        <v>0</v>
      </c>
      <c r="AI450" t="str">
        <v>22.11.01</v>
      </c>
      <c r="AJ450" t="str">
        <v>10/17林</v>
      </c>
      <c r="AK450">
        <v>0</v>
      </c>
      <c r="AL450">
        <v>44837</v>
      </c>
      <c r="AM450">
        <v>0</v>
      </c>
      <c r="AN450">
        <v>0</v>
      </c>
      <c r="AO450">
        <v>0</v>
      </c>
      <c r="AP450">
        <v>0</v>
      </c>
      <c r="AQ450">
        <v>0</v>
      </c>
      <c r="AR450">
        <v>0</v>
      </c>
    </row>
    <row r="451" spans="1:44">
      <c r="A451" t="str">
        <f>H451&amp;COUNTIF($H$2:H451,H451)</f>
        <v>0207</v>
      </c>
      <c r="B451" t="str">
        <f>F451&amp;COUNTIF($F$2:F451,F451)</f>
        <v>ワーク 志紀6</v>
      </c>
      <c r="C451" t="str">
        <v>退社</v>
      </c>
      <c r="D451">
        <v>221003</v>
      </c>
      <c r="E451">
        <v>0</v>
      </c>
      <c r="F451" t="str">
        <v>ワーク 志紀</v>
      </c>
      <c r="G451">
        <v>0</v>
      </c>
      <c r="H451">
        <v>0</v>
      </c>
      <c r="I451">
        <v>0</v>
      </c>
      <c r="J451" t="str">
        <v>DO VAN TRINH</v>
      </c>
      <c r="K451" t="str">
        <v>ド　バン　チン</v>
      </c>
      <c r="L451" t="str">
        <v>男</v>
      </c>
      <c r="M451" t="str">
        <v>ﾍﾞﾄﾅﾑ</v>
      </c>
      <c r="N451" s="31">
        <v>33676</v>
      </c>
      <c r="O451">
        <v>33</v>
      </c>
      <c r="P451">
        <v>1400</v>
      </c>
      <c r="Q451">
        <v>0</v>
      </c>
      <c r="R451">
        <v>1900</v>
      </c>
      <c r="S451">
        <v>0</v>
      </c>
      <c r="T451">
        <v>500</v>
      </c>
      <c r="U451">
        <v>0</v>
      </c>
      <c r="V451" t="str">
        <v/>
      </c>
      <c r="W451" t="str">
        <v>0</v>
      </c>
      <c r="X451" t="str">
        <v/>
      </c>
      <c r="Y451" s="31">
        <v>45965</v>
      </c>
      <c r="Z451" t="str">
        <v/>
      </c>
      <c r="AA451" t="str">
        <v>技術・人文知識・国際業務</v>
      </c>
      <c r="AB451" t="str">
        <v>581-0875</v>
      </c>
      <c r="AC451" t="str">
        <v>大阪府八尾市高安町南1-69-6</v>
      </c>
      <c r="AD451" t="str">
        <v>高安一番館303号室</v>
      </c>
      <c r="AE451" s="31" t="str">
        <v>個人</v>
      </c>
      <c r="AF451" s="31">
        <v>44837</v>
      </c>
      <c r="AG451" s="31">
        <v>44924</v>
      </c>
      <c r="AH451" s="31">
        <v>0</v>
      </c>
      <c r="AI451" t="str">
        <v>22.10.3</v>
      </c>
      <c r="AJ451" t="str">
        <v>11/4原</v>
      </c>
      <c r="AK451">
        <v>0</v>
      </c>
      <c r="AL451">
        <v>44837</v>
      </c>
      <c r="AM451">
        <v>0</v>
      </c>
      <c r="AN451">
        <v>0</v>
      </c>
      <c r="AO451">
        <v>0</v>
      </c>
      <c r="AP451">
        <v>0</v>
      </c>
      <c r="AQ451">
        <v>0</v>
      </c>
      <c r="AR451">
        <v>0</v>
      </c>
    </row>
    <row r="452" spans="1:44">
      <c r="A452" t="str">
        <f>H452&amp;COUNTIF($H$2:H452,H452)</f>
        <v>製造1課2</v>
      </c>
      <c r="B452" t="str">
        <f>F452&amp;COUNTIF($F$2:F452,F452)</f>
        <v>ユアサ工機 本社1</v>
      </c>
      <c r="C452" t="str">
        <v>退社</v>
      </c>
      <c r="D452">
        <v>221004</v>
      </c>
      <c r="E452">
        <v>0</v>
      </c>
      <c r="F452" t="str">
        <v>ユアサ工機 本社</v>
      </c>
      <c r="G452" t="str">
        <v>本社製造部製造1課</v>
      </c>
      <c r="H452" t="str">
        <v>製造1課</v>
      </c>
      <c r="I452" t="str">
        <v>クランクシャフトの旋盤、マシニング、研磨、仕上げ加工など</v>
      </c>
      <c r="J452" t="str">
        <v>DANG VAN QUANG</v>
      </c>
      <c r="K452" t="str">
        <v>ダン　ヴァン　クアン</v>
      </c>
      <c r="L452" t="str">
        <v>男</v>
      </c>
      <c r="M452" t="str">
        <v>ﾍﾞﾄﾅﾑ</v>
      </c>
      <c r="N452" s="31">
        <v>35966</v>
      </c>
      <c r="O452">
        <v>27</v>
      </c>
      <c r="P452">
        <v>1300</v>
      </c>
      <c r="Q452">
        <v>0</v>
      </c>
      <c r="R452">
        <v>1800</v>
      </c>
      <c r="S452">
        <v>0</v>
      </c>
      <c r="T452">
        <v>500</v>
      </c>
      <c r="U452">
        <v>260000</v>
      </c>
      <c r="V452">
        <v>13039</v>
      </c>
      <c r="W452" t="str">
        <v>0</v>
      </c>
      <c r="X452">
        <v>23790</v>
      </c>
      <c r="Y452" s="31">
        <v>45429</v>
      </c>
      <c r="Z452" t="str">
        <v/>
      </c>
      <c r="AA452" t="str">
        <v>技術・人文知識・国際業務</v>
      </c>
      <c r="AB452" t="str">
        <v>701-0143</v>
      </c>
      <c r="AC452" t="str">
        <v>岡山県岡山市北区白石194-1</v>
      </c>
      <c r="AD452" t="str">
        <v>ｻﾝﾊｲﾂいたのC201</v>
      </c>
      <c r="AE452" s="31">
        <v>0</v>
      </c>
      <c r="AF452" s="31">
        <v>44837</v>
      </c>
      <c r="AG452" s="31">
        <v>45288</v>
      </c>
      <c r="AH452" s="31">
        <v>0</v>
      </c>
      <c r="AI452">
        <v>0</v>
      </c>
      <c r="AJ452">
        <v>0</v>
      </c>
      <c r="AK452">
        <v>0</v>
      </c>
      <c r="AL452">
        <v>44837</v>
      </c>
      <c r="AM452">
        <v>0</v>
      </c>
      <c r="AN452">
        <v>0</v>
      </c>
      <c r="AO452">
        <v>0</v>
      </c>
      <c r="AP452">
        <v>0</v>
      </c>
      <c r="AQ452">
        <v>0</v>
      </c>
      <c r="AR452">
        <v>0</v>
      </c>
    </row>
    <row r="453" spans="1:44">
      <c r="A453" t="str">
        <f>H453&amp;COUNTIF($H$2:H453,H453)</f>
        <v>等速ジョイント10</v>
      </c>
      <c r="B453" t="str">
        <f>F453&amp;COUNTIF($F$2:F453,F453)</f>
        <v>瑞陵精機22</v>
      </c>
      <c r="C453" t="str">
        <v>在職中</v>
      </c>
      <c r="D453">
        <v>221005</v>
      </c>
      <c r="E453">
        <v>0</v>
      </c>
      <c r="F453" t="str">
        <v>瑞陵精機</v>
      </c>
      <c r="G453" t="str">
        <v>製造課</v>
      </c>
      <c r="H453" t="str">
        <v>等速ジョイント</v>
      </c>
      <c r="I453" t="str">
        <v>ＮＣ旋盤、マシニングセンター等の工作機械を使いオペレーターとして製造ラインで製品を加工</v>
      </c>
      <c r="J453" t="str">
        <v>NGUYEN TAT DIEP</v>
      </c>
      <c r="K453" t="str">
        <v>グエン　タット　デイエップ</v>
      </c>
      <c r="L453" t="str">
        <v>男</v>
      </c>
      <c r="M453" t="str">
        <v>ﾍﾞﾄﾅﾑ</v>
      </c>
      <c r="N453" s="31">
        <v>33118</v>
      </c>
      <c r="O453">
        <v>35</v>
      </c>
      <c r="P453">
        <v>1350</v>
      </c>
      <c r="Q453">
        <v>0</v>
      </c>
      <c r="R453">
        <v>1700</v>
      </c>
      <c r="S453">
        <v>0</v>
      </c>
      <c r="T453">
        <v>350</v>
      </c>
      <c r="U453">
        <v>260000</v>
      </c>
      <c r="V453">
        <v>13039</v>
      </c>
      <c r="W453" t="str">
        <v>0</v>
      </c>
      <c r="X453">
        <v>23790</v>
      </c>
      <c r="Y453" s="31">
        <v>46058</v>
      </c>
      <c r="Z453">
        <v>63</v>
      </c>
      <c r="AA453" t="str">
        <v>技術・人文知識・国際業務</v>
      </c>
      <c r="AB453" t="str">
        <v>509-7201</v>
      </c>
      <c r="AC453" t="str">
        <v>岐阜県恵那市大井町1120-303</v>
      </c>
      <c r="AD453" t="str">
        <v>各務ﾊｲﾂ3D</v>
      </c>
      <c r="AE453" s="31">
        <v>0</v>
      </c>
      <c r="AF453" s="31">
        <v>44839</v>
      </c>
      <c r="AG453" s="31">
        <v>0</v>
      </c>
      <c r="AH453" s="31">
        <v>0</v>
      </c>
      <c r="AI453" t="str">
        <v>22.11.01</v>
      </c>
      <c r="AJ453" t="str">
        <v>10/17林</v>
      </c>
      <c r="AK453">
        <v>0</v>
      </c>
      <c r="AL453">
        <v>44839</v>
      </c>
      <c r="AM453">
        <v>0</v>
      </c>
      <c r="AN453">
        <v>0</v>
      </c>
      <c r="AO453">
        <v>0</v>
      </c>
      <c r="AP453">
        <v>0</v>
      </c>
      <c r="AQ453">
        <v>0</v>
      </c>
      <c r="AR453">
        <v>0</v>
      </c>
    </row>
    <row r="454" spans="1:44">
      <c r="A454" t="str">
        <f>H454&amp;COUNTIF($H$2:H454,H454)</f>
        <v>0208</v>
      </c>
      <c r="B454" t="str">
        <f>F454&amp;COUNTIF($F$2:F454,F454)</f>
        <v>六甲電子19</v>
      </c>
      <c r="C454" t="str">
        <v>退社</v>
      </c>
      <c r="D454">
        <v>221006</v>
      </c>
      <c r="E454">
        <v>0</v>
      </c>
      <c r="F454" t="str">
        <v>六甲電子</v>
      </c>
      <c r="G454">
        <v>0</v>
      </c>
      <c r="H454">
        <v>0</v>
      </c>
      <c r="I454">
        <v>0</v>
      </c>
      <c r="J454" t="str">
        <v>LE TRONG LINH</v>
      </c>
      <c r="K454" t="str">
        <v>レ　チョン　リン</v>
      </c>
      <c r="L454" t="str">
        <v>男</v>
      </c>
      <c r="M454" t="str">
        <v>ﾍﾞﾄﾅﾑ</v>
      </c>
      <c r="N454" s="31">
        <v>32662</v>
      </c>
      <c r="O454">
        <v>36</v>
      </c>
      <c r="P454">
        <v>1400</v>
      </c>
      <c r="Q454">
        <v>0</v>
      </c>
      <c r="R454">
        <v>2000</v>
      </c>
      <c r="S454">
        <v>0</v>
      </c>
      <c r="T454">
        <v>600</v>
      </c>
      <c r="U454">
        <v>0</v>
      </c>
      <c r="V454" t="str">
        <v/>
      </c>
      <c r="W454" t="str">
        <v>0</v>
      </c>
      <c r="X454" t="str">
        <v/>
      </c>
      <c r="Y454" s="31">
        <v>45306</v>
      </c>
      <c r="Z454" t="str">
        <v/>
      </c>
      <c r="AA454" t="str">
        <v>技術・人文知識・国際業務</v>
      </c>
      <c r="AB454" t="str">
        <v>663-8122</v>
      </c>
      <c r="AC454" t="str">
        <v>兵庫県西宮市小曽根町1丁目4-28</v>
      </c>
      <c r="AD454" t="str">
        <v>ｸﾞﾘｰﾝﾊｲﾂ小曽根403</v>
      </c>
      <c r="AE454" s="31">
        <v>44849</v>
      </c>
      <c r="AF454" s="31">
        <v>44841</v>
      </c>
      <c r="AG454" s="31">
        <v>44876</v>
      </c>
      <c r="AH454" s="31">
        <v>0</v>
      </c>
      <c r="AI454" t="str">
        <v>22.11.01</v>
      </c>
      <c r="AJ454" t="str">
        <v>10/31林</v>
      </c>
      <c r="AK454">
        <v>0</v>
      </c>
      <c r="AL454">
        <v>44841</v>
      </c>
      <c r="AM454">
        <v>0</v>
      </c>
      <c r="AN454">
        <v>0</v>
      </c>
      <c r="AO454">
        <v>0</v>
      </c>
      <c r="AP454">
        <v>0</v>
      </c>
      <c r="AQ454">
        <v>0</v>
      </c>
      <c r="AR454">
        <v>0</v>
      </c>
    </row>
    <row r="455" spans="1:44">
      <c r="A455" t="str">
        <f>H455&amp;COUNTIF($H$2:H455,H455)</f>
        <v>0209</v>
      </c>
      <c r="B455" t="str">
        <f>F455&amp;COUNTIF($F$2:F455,F455)</f>
        <v>六甲電子20</v>
      </c>
      <c r="C455" t="str">
        <v>退社</v>
      </c>
      <c r="D455">
        <v>221007</v>
      </c>
      <c r="E455">
        <v>0</v>
      </c>
      <c r="F455" t="str">
        <v>六甲電子</v>
      </c>
      <c r="G455">
        <v>0</v>
      </c>
      <c r="H455">
        <v>0</v>
      </c>
      <c r="I455">
        <v>0</v>
      </c>
      <c r="J455" t="str">
        <v>VU DUC THIET</v>
      </c>
      <c r="K455" t="str">
        <v>ヴー　ドゥク　ティエット</v>
      </c>
      <c r="L455" t="str">
        <v>男</v>
      </c>
      <c r="M455" t="str">
        <v>ﾍﾞﾄﾅﾑ</v>
      </c>
      <c r="N455" s="31">
        <v>34976</v>
      </c>
      <c r="O455">
        <v>30</v>
      </c>
      <c r="P455">
        <v>1400</v>
      </c>
      <c r="Q455">
        <v>0</v>
      </c>
      <c r="R455">
        <v>2000</v>
      </c>
      <c r="S455">
        <v>0</v>
      </c>
      <c r="T455">
        <v>600</v>
      </c>
      <c r="U455">
        <v>0</v>
      </c>
      <c r="V455" t="str">
        <v/>
      </c>
      <c r="W455" t="str">
        <v>0</v>
      </c>
      <c r="X455" t="str">
        <v/>
      </c>
      <c r="Y455" s="31">
        <v>46106</v>
      </c>
      <c r="Z455" t="str">
        <v/>
      </c>
      <c r="AA455" t="str">
        <v>技術・人文知識・国際業務</v>
      </c>
      <c r="AB455" t="str">
        <v>658-0014</v>
      </c>
      <c r="AC455" t="str">
        <v>兵庫県神戸市東灘区北青木3－20－23</v>
      </c>
      <c r="AD455" t="str">
        <v>青木ﾏﾝｼｮﾝ303</v>
      </c>
      <c r="AE455" s="31" t="str">
        <v>個人</v>
      </c>
      <c r="AF455" s="31">
        <v>44841</v>
      </c>
      <c r="AG455" s="31">
        <v>44908</v>
      </c>
      <c r="AH455" s="31">
        <v>0</v>
      </c>
      <c r="AI455" t="str">
        <v>22.11.01</v>
      </c>
      <c r="AJ455" t="str">
        <v>10/31林</v>
      </c>
      <c r="AK455">
        <v>0</v>
      </c>
      <c r="AL455">
        <v>44841</v>
      </c>
      <c r="AM455">
        <v>0</v>
      </c>
      <c r="AN455">
        <v>0</v>
      </c>
      <c r="AO455">
        <v>0</v>
      </c>
      <c r="AP455">
        <v>0</v>
      </c>
      <c r="AQ455">
        <v>0</v>
      </c>
      <c r="AR455">
        <v>0</v>
      </c>
    </row>
    <row r="456" spans="1:44">
      <c r="A456" t="str">
        <f>H456&amp;COUNTIF($H$2:H456,H456)</f>
        <v>0210</v>
      </c>
      <c r="B456" t="str">
        <f>F456&amp;COUNTIF($F$2:F456,F456)</f>
        <v>六甲電子21</v>
      </c>
      <c r="C456" t="str">
        <v>退社</v>
      </c>
      <c r="D456">
        <v>221008</v>
      </c>
      <c r="E456">
        <v>0</v>
      </c>
      <c r="F456" t="str">
        <v>六甲電子</v>
      </c>
      <c r="G456">
        <v>0</v>
      </c>
      <c r="H456">
        <v>0</v>
      </c>
      <c r="I456">
        <v>0</v>
      </c>
      <c r="J456" t="str">
        <v>DUONG VIET HOANG</v>
      </c>
      <c r="K456" t="str">
        <v>ズオン　ビエット　ホアン</v>
      </c>
      <c r="L456" t="str">
        <v>男</v>
      </c>
      <c r="M456" t="str">
        <v>ﾍﾞﾄﾅﾑ</v>
      </c>
      <c r="N456" s="31">
        <v>34670</v>
      </c>
      <c r="O456">
        <v>31</v>
      </c>
      <c r="P456">
        <v>1400</v>
      </c>
      <c r="Q456">
        <v>0</v>
      </c>
      <c r="R456">
        <v>2000</v>
      </c>
      <c r="S456">
        <v>0</v>
      </c>
      <c r="T456">
        <v>600</v>
      </c>
      <c r="U456">
        <v>360000</v>
      </c>
      <c r="V456">
        <v>18054</v>
      </c>
      <c r="W456" t="str">
        <v>0</v>
      </c>
      <c r="X456">
        <v>32940</v>
      </c>
      <c r="Y456" s="31">
        <v>45827</v>
      </c>
      <c r="Z456" t="str">
        <v/>
      </c>
      <c r="AA456" t="str">
        <v>技術・人文知識・国際業務</v>
      </c>
      <c r="AB456" t="str">
        <v>660-0084</v>
      </c>
      <c r="AC456" t="str">
        <v>兵庫県尼崎市武庫川町3丁目</v>
      </c>
      <c r="AD456" t="str">
        <v>ｼﾞｮｲﾌﾙﾊｲﾂ204</v>
      </c>
      <c r="AE456" s="31" t="str">
        <v>個人</v>
      </c>
      <c r="AF456" s="31">
        <v>44841</v>
      </c>
      <c r="AG456" s="31">
        <v>45653</v>
      </c>
      <c r="AH456" s="31">
        <v>0</v>
      </c>
      <c r="AI456" t="str">
        <v>22.11.01</v>
      </c>
      <c r="AJ456" t="str">
        <v>10/31林</v>
      </c>
      <c r="AK456">
        <v>0</v>
      </c>
      <c r="AL456">
        <v>44841</v>
      </c>
      <c r="AM456">
        <v>0</v>
      </c>
      <c r="AN456">
        <v>0</v>
      </c>
      <c r="AO456">
        <v>0</v>
      </c>
      <c r="AP456">
        <v>0</v>
      </c>
      <c r="AQ456">
        <v>0</v>
      </c>
      <c r="AR456">
        <v>0</v>
      </c>
    </row>
    <row r="457" spans="1:44">
      <c r="A457" t="str">
        <f>H457&amp;COUNTIF($H$2:H457,H457)</f>
        <v>0211</v>
      </c>
      <c r="B457" t="str">
        <f>F457&amp;COUNTIF($F$2:F457,F457)</f>
        <v>PATEC21</v>
      </c>
      <c r="C457" t="str">
        <v>退社</v>
      </c>
      <c r="D457">
        <v>221009</v>
      </c>
      <c r="E457">
        <v>0</v>
      </c>
      <c r="F457" t="str">
        <v>PATEC</v>
      </c>
      <c r="G457">
        <v>0</v>
      </c>
      <c r="H457">
        <v>0</v>
      </c>
      <c r="I457">
        <v>0</v>
      </c>
      <c r="J457" t="str">
        <v>TRAN DINH MINH</v>
      </c>
      <c r="K457" t="str">
        <v>チャン　ディン　ミン</v>
      </c>
      <c r="L457" t="str">
        <v>男</v>
      </c>
      <c r="M457" t="str">
        <v>ﾍﾞﾄﾅﾑ</v>
      </c>
      <c r="N457" s="31">
        <v>34791</v>
      </c>
      <c r="O457">
        <v>30</v>
      </c>
      <c r="P457">
        <v>1600</v>
      </c>
      <c r="Q457">
        <v>0</v>
      </c>
      <c r="R457">
        <v>2100</v>
      </c>
      <c r="S457" t="str">
        <v>24/2/21～24/8/20まで請求単価50円下げ</v>
      </c>
      <c r="T457">
        <v>500</v>
      </c>
      <c r="U457">
        <v>380000</v>
      </c>
      <c r="V457">
        <v>19057</v>
      </c>
      <c r="W457" t="str">
        <v>0</v>
      </c>
      <c r="X457">
        <v>34770</v>
      </c>
      <c r="Y457" s="31">
        <v>46745</v>
      </c>
      <c r="Z457" t="str">
        <v/>
      </c>
      <c r="AA457" t="str">
        <v>技術・人文知識・国際業務</v>
      </c>
      <c r="AB457" t="str">
        <v>747-0833</v>
      </c>
      <c r="AC457" t="str">
        <v>山口県防府市大字浜方716-15</v>
      </c>
      <c r="AD457" t="str">
        <v>ｱﾙｿｰﾚD103</v>
      </c>
      <c r="AE457" s="31">
        <v>44846</v>
      </c>
      <c r="AF457" s="31">
        <v>44851</v>
      </c>
      <c r="AG457" s="31">
        <v>45742</v>
      </c>
      <c r="AH457" s="31">
        <v>0</v>
      </c>
      <c r="AI457" t="str">
        <v>22.11.01</v>
      </c>
      <c r="AJ457" t="str">
        <v>10/31林</v>
      </c>
      <c r="AK457">
        <v>0</v>
      </c>
      <c r="AL457">
        <v>44851</v>
      </c>
      <c r="AM457">
        <v>0</v>
      </c>
      <c r="AN457">
        <v>0</v>
      </c>
      <c r="AO457">
        <v>0</v>
      </c>
      <c r="AP457">
        <v>0</v>
      </c>
      <c r="AQ457">
        <v>0</v>
      </c>
      <c r="AR457">
        <v>0</v>
      </c>
    </row>
    <row r="458" spans="1:44">
      <c r="A458" t="str">
        <f>H458&amp;COUNTIF($H$2:H458,H458)</f>
        <v>資材課2</v>
      </c>
      <c r="B458" t="str">
        <f>F458&amp;COUNTIF($F$2:F458,F458)</f>
        <v>加藤木材工業 本社13</v>
      </c>
      <c r="C458" t="str">
        <v>退社</v>
      </c>
      <c r="D458">
        <v>221010</v>
      </c>
      <c r="E458">
        <v>5501</v>
      </c>
      <c r="F458" t="str">
        <v>加藤木材工業 本社</v>
      </c>
      <c r="G458" t="str">
        <v>生産企画部</v>
      </c>
      <c r="H458" t="str">
        <v>資材課</v>
      </c>
      <c r="I458" t="str">
        <v>機械オペレーター及び機械メンテナンス他付随する業務</v>
      </c>
      <c r="J458" t="str">
        <v>HUYNH TRUNG TUYEN</v>
      </c>
      <c r="K458" t="str">
        <v>フイン　チュン　トウエン</v>
      </c>
      <c r="L458" t="str">
        <v>男</v>
      </c>
      <c r="M458" t="str">
        <v>ﾍﾞﾄﾅﾑ</v>
      </c>
      <c r="N458" s="31">
        <v>35133</v>
      </c>
      <c r="O458">
        <v>29</v>
      </c>
      <c r="P458">
        <v>1330</v>
      </c>
      <c r="Q458" t="str">
        <v>2025/5/21～1300円⇒1330円</v>
      </c>
      <c r="R458">
        <v>1745</v>
      </c>
      <c r="S458" t="str">
        <v>2025/5/21~1700円⇒1745円</v>
      </c>
      <c r="T458">
        <v>415</v>
      </c>
      <c r="U458">
        <v>300000</v>
      </c>
      <c r="V458">
        <v>15045</v>
      </c>
      <c r="W458" t="str">
        <v>0</v>
      </c>
      <c r="X458">
        <v>27450</v>
      </c>
      <c r="Y458" s="31">
        <v>46900</v>
      </c>
      <c r="Z458" t="str">
        <v/>
      </c>
      <c r="AA458" t="str">
        <v>技術・人文知識・国際業務</v>
      </c>
      <c r="AB458" t="str">
        <v>485-0023</v>
      </c>
      <c r="AC458" t="str">
        <v>愛知県小牧市大字北外山2643番地1</v>
      </c>
      <c r="AD458" t="str">
        <v>ｻﾝﾊﾟﾃｨｰｸⅡ3C</v>
      </c>
      <c r="AE458" s="31" t="str">
        <v>個人</v>
      </c>
      <c r="AF458" s="31">
        <v>44858</v>
      </c>
      <c r="AG458" s="31">
        <v>45878</v>
      </c>
      <c r="AH458" s="31">
        <v>44983</v>
      </c>
      <c r="AI458">
        <v>44858</v>
      </c>
      <c r="AJ458" t="str">
        <v>10/26林</v>
      </c>
      <c r="AK458">
        <v>0</v>
      </c>
      <c r="AL458">
        <v>44858</v>
      </c>
      <c r="AM458">
        <v>0</v>
      </c>
      <c r="AN458">
        <v>0</v>
      </c>
      <c r="AO458">
        <v>0</v>
      </c>
      <c r="AP458">
        <v>0</v>
      </c>
      <c r="AQ458">
        <v>0</v>
      </c>
      <c r="AR458">
        <v>0</v>
      </c>
    </row>
    <row r="459" spans="1:44">
      <c r="A459" t="str">
        <f>H459&amp;COUNTIF($H$2:H459,H459)</f>
        <v>0212</v>
      </c>
      <c r="B459" t="str">
        <f>F459&amp;COUNTIF($F$2:F459,F459)</f>
        <v>加藤木材工業 本社14</v>
      </c>
      <c r="C459" t="str">
        <v>退社</v>
      </c>
      <c r="D459">
        <v>221011</v>
      </c>
      <c r="E459">
        <v>0</v>
      </c>
      <c r="F459" t="str">
        <v>加藤木材工業 本社</v>
      </c>
      <c r="G459">
        <v>0</v>
      </c>
      <c r="H459">
        <v>0</v>
      </c>
      <c r="I459">
        <v>0</v>
      </c>
      <c r="J459" t="str">
        <v>PHAM VAN DUY</v>
      </c>
      <c r="K459" t="str">
        <v>ファム　バン　ズイ</v>
      </c>
      <c r="L459" t="str">
        <v>男</v>
      </c>
      <c r="M459" t="str">
        <v>ﾍﾞﾄﾅﾑ</v>
      </c>
      <c r="N459" s="31">
        <v>35248</v>
      </c>
      <c r="O459">
        <v>29</v>
      </c>
      <c r="P459">
        <v>1300</v>
      </c>
      <c r="Q459">
        <v>0</v>
      </c>
      <c r="R459">
        <v>1700</v>
      </c>
      <c r="S459">
        <v>0</v>
      </c>
      <c r="T459">
        <v>400</v>
      </c>
      <c r="U459">
        <v>180000</v>
      </c>
      <c r="V459">
        <v>9027</v>
      </c>
      <c r="W459" t="str">
        <v>0</v>
      </c>
      <c r="X459">
        <v>16470</v>
      </c>
      <c r="Y459" s="31">
        <v>45444</v>
      </c>
      <c r="Z459" t="str">
        <v/>
      </c>
      <c r="AA459" t="str">
        <v>技術・人文知識・国際業務</v>
      </c>
      <c r="AB459" t="str">
        <v>486-0912</v>
      </c>
      <c r="AC459" t="str">
        <v>愛知県春日井市高山町4-13-13</v>
      </c>
      <c r="AD459" t="str">
        <v>ﾒｿﾞﾝ辻山201</v>
      </c>
      <c r="AE459" s="31">
        <v>44864</v>
      </c>
      <c r="AF459" s="31">
        <v>44865</v>
      </c>
      <c r="AG459" s="31">
        <v>44956</v>
      </c>
      <c r="AH459" s="31">
        <v>44957</v>
      </c>
      <c r="AI459" t="str">
        <v>22.11.01</v>
      </c>
      <c r="AJ459" t="str">
        <v>11/14林</v>
      </c>
      <c r="AK459">
        <v>0</v>
      </c>
      <c r="AL459">
        <v>44865</v>
      </c>
      <c r="AM459">
        <v>0</v>
      </c>
      <c r="AN459">
        <v>0</v>
      </c>
      <c r="AO459">
        <v>0</v>
      </c>
      <c r="AP459">
        <v>0</v>
      </c>
      <c r="AQ459">
        <v>0</v>
      </c>
      <c r="AR459">
        <v>0</v>
      </c>
    </row>
    <row r="460" spans="1:44">
      <c r="A460" t="str">
        <f>H460&amp;COUNTIF($H$2:H460,H460)</f>
        <v>0213</v>
      </c>
      <c r="B460" t="str">
        <f>F460&amp;COUNTIF($F$2:F460,F460)</f>
        <v>オーツカ6</v>
      </c>
      <c r="C460" t="str">
        <v>退社</v>
      </c>
      <c r="D460">
        <v>221101</v>
      </c>
      <c r="E460">
        <v>0</v>
      </c>
      <c r="F460" t="str">
        <v>オーツカ</v>
      </c>
      <c r="G460">
        <v>0</v>
      </c>
      <c r="H460">
        <v>0</v>
      </c>
      <c r="I460">
        <v>0</v>
      </c>
      <c r="J460" t="str">
        <v>片山　アンドレ　リカルド</v>
      </c>
      <c r="K460" t="str">
        <v>カタヤマ　アンドレ　リカルド</v>
      </c>
      <c r="L460" t="str">
        <v>男</v>
      </c>
      <c r="M460" t="str">
        <v>ﾌﾞﾗｼﾞﾙ</v>
      </c>
      <c r="N460" s="31">
        <v>30501</v>
      </c>
      <c r="O460">
        <v>42</v>
      </c>
      <c r="P460">
        <v>1350</v>
      </c>
      <c r="Q460">
        <v>0</v>
      </c>
      <c r="R460">
        <v>1872</v>
      </c>
      <c r="S460">
        <v>0</v>
      </c>
      <c r="T460">
        <v>522</v>
      </c>
      <c r="U460">
        <v>0</v>
      </c>
      <c r="V460" t="str">
        <v/>
      </c>
      <c r="W460" t="str">
        <v>0</v>
      </c>
      <c r="X460" t="str">
        <v/>
      </c>
      <c r="Y460" s="31">
        <v>45759</v>
      </c>
      <c r="Z460" t="str">
        <v/>
      </c>
      <c r="AA460" t="str">
        <v>定住者</v>
      </c>
      <c r="AB460" t="str">
        <v>503-0981</v>
      </c>
      <c r="AC460" t="str">
        <v>岐阜県大垣市桧町847番地</v>
      </c>
      <c r="AD460" t="str">
        <v xml:space="preserve">ｻﾝｼﾃｨ静里B102 </v>
      </c>
      <c r="AE460" s="31" t="str">
        <v>個人</v>
      </c>
      <c r="AF460" s="31">
        <v>44866</v>
      </c>
      <c r="AG460" s="31">
        <v>44894</v>
      </c>
      <c r="AH460" s="31">
        <v>0</v>
      </c>
      <c r="AI460" t="str">
        <v>加入なし</v>
      </c>
      <c r="AJ460" t="str">
        <v>11/14林</v>
      </c>
      <c r="AK460">
        <v>0</v>
      </c>
      <c r="AL460">
        <v>44866</v>
      </c>
      <c r="AM460">
        <v>0</v>
      </c>
      <c r="AN460">
        <v>0</v>
      </c>
      <c r="AO460">
        <v>0</v>
      </c>
      <c r="AP460">
        <v>0</v>
      </c>
      <c r="AQ460">
        <v>0</v>
      </c>
      <c r="AR460">
        <v>0</v>
      </c>
    </row>
    <row r="461" spans="1:44">
      <c r="A461" t="str">
        <f>H461&amp;COUNTIF($H$2:H461,H461)</f>
        <v>H_2次旋7</v>
      </c>
      <c r="B461" t="str">
        <f>F461&amp;COUNTIF($F$2:F461,F461)</f>
        <v>高雄工業 海南第一34</v>
      </c>
      <c r="C461" t="str">
        <v>在職中</v>
      </c>
      <c r="D461">
        <v>231107</v>
      </c>
      <c r="E461">
        <v>222057</v>
      </c>
      <c r="F461" t="str">
        <v>高雄工業 海南第一</v>
      </c>
      <c r="G461" t="str">
        <v>高雄工業株式会社 愛知事業所海南第一工場製作1課</v>
      </c>
      <c r="H461" t="str">
        <v>H_2次旋</v>
      </c>
      <c r="I461" t="str">
        <v>ハブ加工品の2次施削、手動機械オペレーターNCプログラム修正</v>
      </c>
      <c r="J461" t="str">
        <v>NGUYEN VAN LONG</v>
      </c>
      <c r="K461" t="str">
        <v>グエン　ヴァン　ロン</v>
      </c>
      <c r="L461" t="str">
        <v>男</v>
      </c>
      <c r="M461" t="str">
        <v>ﾍﾞﾄﾅﾑ</v>
      </c>
      <c r="N461" s="31">
        <v>36408</v>
      </c>
      <c r="O461">
        <v>26</v>
      </c>
      <c r="P461">
        <v>1300</v>
      </c>
      <c r="Q461">
        <v>0</v>
      </c>
      <c r="R461">
        <v>1700</v>
      </c>
      <c r="S461">
        <v>0</v>
      </c>
      <c r="T461">
        <v>400</v>
      </c>
      <c r="U461">
        <v>240000</v>
      </c>
      <c r="V461">
        <v>12036</v>
      </c>
      <c r="W461" t="str">
        <v>0</v>
      </c>
      <c r="X461">
        <v>21960</v>
      </c>
      <c r="Y461" s="31">
        <v>47058</v>
      </c>
      <c r="Z461" t="str">
        <v/>
      </c>
      <c r="AA461" t="str">
        <v>技術・人文知識・国際業務</v>
      </c>
      <c r="AB461" t="str">
        <v>498-0034</v>
      </c>
      <c r="AC461" t="str">
        <v>愛知県弥富市平島東2-18</v>
      </c>
      <c r="AD461" t="str">
        <v>ｸﾞﾗﾝﾂｺｰﾄ402</v>
      </c>
      <c r="AE461" s="31">
        <v>0</v>
      </c>
      <c r="AF461" s="31">
        <v>45232</v>
      </c>
      <c r="AG461" s="31">
        <v>0</v>
      </c>
      <c r="AH461" s="31">
        <v>0</v>
      </c>
      <c r="AI461" t="str">
        <v>23.11.2</v>
      </c>
      <c r="AJ461" t="str">
        <v>11/20林</v>
      </c>
      <c r="AK461">
        <v>0</v>
      </c>
      <c r="AL461">
        <v>45232</v>
      </c>
      <c r="AM461">
        <v>0</v>
      </c>
      <c r="AN461">
        <v>0</v>
      </c>
      <c r="AO461">
        <v>0</v>
      </c>
      <c r="AP461">
        <v>0</v>
      </c>
      <c r="AQ461" t="str">
        <v>JLPT-N4</v>
      </c>
      <c r="AR461">
        <v>0</v>
      </c>
    </row>
    <row r="462" spans="1:44">
      <c r="A462" t="str">
        <f>H462&amp;COUNTIF($H$2:H462,H462)</f>
        <v>3課2</v>
      </c>
      <c r="B462" t="str">
        <f>F462&amp;COUNTIF($F$2:F462,F462)</f>
        <v>加藤木材工業 本社15</v>
      </c>
      <c r="C462" t="str">
        <v>在職中</v>
      </c>
      <c r="D462">
        <v>221103</v>
      </c>
      <c r="E462">
        <v>5509</v>
      </c>
      <c r="F462" t="str">
        <v>加藤木材工業 本社</v>
      </c>
      <c r="G462" t="str">
        <v>生産1部</v>
      </c>
      <c r="H462" t="str">
        <v>3課</v>
      </c>
      <c r="I462" t="str">
        <v>機械オペレーター及び機械メンテナンス他付随する業務</v>
      </c>
      <c r="J462" t="str">
        <v>MAI THI QUYEN</v>
      </c>
      <c r="K462" t="str">
        <v>マイ　ティ　クェン</v>
      </c>
      <c r="L462" t="str">
        <v>女</v>
      </c>
      <c r="M462" t="str">
        <v>ﾍﾞﾄﾅﾑ</v>
      </c>
      <c r="N462" s="31">
        <v>35464</v>
      </c>
      <c r="O462">
        <v>28</v>
      </c>
      <c r="P462">
        <v>1300</v>
      </c>
      <c r="Q462">
        <v>0</v>
      </c>
      <c r="R462">
        <v>1700</v>
      </c>
      <c r="S462">
        <v>0</v>
      </c>
      <c r="T462">
        <v>400</v>
      </c>
      <c r="U462">
        <v>220000</v>
      </c>
      <c r="V462">
        <v>11033</v>
      </c>
      <c r="W462" t="str">
        <v>0</v>
      </c>
      <c r="X462">
        <v>20130</v>
      </c>
      <c r="Y462" s="31">
        <v>46463</v>
      </c>
      <c r="Z462" t="str">
        <v/>
      </c>
      <c r="AA462" t="str">
        <v>技術・人文知識・国際業務</v>
      </c>
      <c r="AB462" t="str">
        <v>486-0901</v>
      </c>
      <c r="AC462" t="str">
        <v>愛知県春日井市牛山町781-2</v>
      </c>
      <c r="AD462" t="str">
        <v>ﾋﾞﾚｯｼﾞﾊｳｽ牛山3棟404</v>
      </c>
      <c r="AE462" s="31" t="str">
        <v>個人</v>
      </c>
      <c r="AF462" s="31">
        <v>44880</v>
      </c>
      <c r="AG462" s="31">
        <v>0</v>
      </c>
      <c r="AH462" s="31">
        <v>0</v>
      </c>
      <c r="AI462" t="str">
        <v>22.12.1</v>
      </c>
      <c r="AJ462" t="str">
        <v>11/21林</v>
      </c>
      <c r="AK462">
        <v>0</v>
      </c>
      <c r="AL462">
        <v>44880</v>
      </c>
      <c r="AM462">
        <v>0</v>
      </c>
      <c r="AN462">
        <v>0</v>
      </c>
      <c r="AO462">
        <v>0</v>
      </c>
      <c r="AP462">
        <v>0</v>
      </c>
      <c r="AQ462">
        <v>0</v>
      </c>
      <c r="AR462">
        <v>0</v>
      </c>
    </row>
    <row r="463" spans="1:44">
      <c r="A463" t="str">
        <f>H463&amp;COUNTIF($H$2:H463,H463)</f>
        <v>Gライン16</v>
      </c>
      <c r="B463" t="str">
        <f>F463&amp;COUNTIF($F$2:F463,F463)</f>
        <v>高雄工業 本社44</v>
      </c>
      <c r="C463" t="str">
        <v>退社</v>
      </c>
      <c r="D463">
        <v>221104</v>
      </c>
      <c r="E463">
        <v>212033</v>
      </c>
      <c r="F463" t="str">
        <v>高雄工業 本社</v>
      </c>
      <c r="G463" t="str">
        <v>高雄工業株式会社 愛知事業所本社工場製作課</v>
      </c>
      <c r="H463" t="str">
        <v>Gライン</v>
      </c>
      <c r="I463" t="str">
        <v>CVJ部品長軸品の施削加工、NCプログラム修正</v>
      </c>
      <c r="J463" t="str">
        <v>HOANG DUY THANG</v>
      </c>
      <c r="K463" t="str">
        <v>ホアン　ズイ　タン</v>
      </c>
      <c r="L463" t="str">
        <v>男</v>
      </c>
      <c r="M463" t="str">
        <v>ﾍﾞﾄﾅﾑ</v>
      </c>
      <c r="N463" s="31">
        <v>35422</v>
      </c>
      <c r="O463">
        <v>28</v>
      </c>
      <c r="P463">
        <v>1300</v>
      </c>
      <c r="Q463">
        <v>0</v>
      </c>
      <c r="R463">
        <v>1650</v>
      </c>
      <c r="S463">
        <v>0</v>
      </c>
      <c r="T463">
        <v>350</v>
      </c>
      <c r="U463">
        <v>280000</v>
      </c>
      <c r="V463">
        <v>14042</v>
      </c>
      <c r="W463" t="str">
        <v>0</v>
      </c>
      <c r="X463">
        <v>25620</v>
      </c>
      <c r="Y463" s="31">
        <v>45641</v>
      </c>
      <c r="Z463" t="str">
        <v/>
      </c>
      <c r="AA463" t="str">
        <v>技術・人文知識・国際業務</v>
      </c>
      <c r="AB463" t="str">
        <v>498-0032</v>
      </c>
      <c r="AC463" t="str">
        <v>愛知県弥富市平島中4丁目128</v>
      </c>
      <c r="AD463" t="str">
        <v>村上貸家</v>
      </c>
      <c r="AE463" s="31">
        <v>44879</v>
      </c>
      <c r="AF463" s="31">
        <v>44882</v>
      </c>
      <c r="AG463" s="31">
        <v>45380</v>
      </c>
      <c r="AH463" s="31">
        <v>0</v>
      </c>
      <c r="AI463" t="str">
        <v>22.12.1</v>
      </c>
      <c r="AJ463" t="str">
        <v>11/21林</v>
      </c>
      <c r="AK463">
        <v>0</v>
      </c>
      <c r="AL463">
        <v>44882</v>
      </c>
      <c r="AM463">
        <v>0</v>
      </c>
      <c r="AN463">
        <v>0</v>
      </c>
      <c r="AO463">
        <v>0</v>
      </c>
      <c r="AP463">
        <v>0</v>
      </c>
      <c r="AQ463">
        <v>0</v>
      </c>
      <c r="AR463">
        <v>0</v>
      </c>
    </row>
    <row r="464" spans="1:44">
      <c r="A464" t="str">
        <f>H464&amp;COUNTIF($H$2:H464,H464)</f>
        <v>手動旋削9</v>
      </c>
      <c r="B464" t="str">
        <f>F464&amp;COUNTIF($F$2:F464,F464)</f>
        <v>高雄工業 静岡44</v>
      </c>
      <c r="C464" t="str">
        <v>退社</v>
      </c>
      <c r="D464">
        <v>221105</v>
      </c>
      <c r="E464">
        <v>242055</v>
      </c>
      <c r="F464" t="str">
        <v>高雄工業 静岡</v>
      </c>
      <c r="G464" t="str">
        <v>高雄工業株式会社 静岡事業所第一工場製作課</v>
      </c>
      <c r="H464" t="str">
        <v>手動旋削</v>
      </c>
      <c r="I464" t="str">
        <v>CVJ部品短軸品の施削加工、NCプログラム修正</v>
      </c>
      <c r="J464" t="str">
        <v>NGO VAN ANH</v>
      </c>
      <c r="K464" t="str">
        <v>ゴー　ヴァン　アイン</v>
      </c>
      <c r="L464" t="str">
        <v>男</v>
      </c>
      <c r="M464" t="str">
        <v>ﾍﾞﾄﾅﾑ</v>
      </c>
      <c r="N464" s="31">
        <v>35896</v>
      </c>
      <c r="O464">
        <v>27</v>
      </c>
      <c r="P464">
        <v>1300</v>
      </c>
      <c r="Q464">
        <v>0</v>
      </c>
      <c r="R464">
        <v>1670</v>
      </c>
      <c r="S464">
        <v>0</v>
      </c>
      <c r="T464">
        <v>370</v>
      </c>
      <c r="U464">
        <v>300000</v>
      </c>
      <c r="V464">
        <v>15045</v>
      </c>
      <c r="W464" t="str">
        <v>0</v>
      </c>
      <c r="X464">
        <v>27450</v>
      </c>
      <c r="Y464" s="31">
        <v>45626</v>
      </c>
      <c r="Z464" t="str">
        <v/>
      </c>
      <c r="AA464" t="str">
        <v>技術・人文知識・国際業務</v>
      </c>
      <c r="AB464" t="str">
        <v>437-0061</v>
      </c>
      <c r="AC464" t="str">
        <v>静岡県袋井市久能1889-2</v>
      </c>
      <c r="AD464" t="str">
        <v>ﾗﾌｨｰﾈ久能402号</v>
      </c>
      <c r="AE464" s="31">
        <v>0</v>
      </c>
      <c r="AF464" s="31">
        <v>44883</v>
      </c>
      <c r="AG464" s="31">
        <v>45341</v>
      </c>
      <c r="AH464" s="31">
        <v>0</v>
      </c>
      <c r="AI464" t="str">
        <v>22.12.1</v>
      </c>
      <c r="AJ464" t="str">
        <v>11/21林</v>
      </c>
      <c r="AK464">
        <v>0</v>
      </c>
      <c r="AL464">
        <v>44883</v>
      </c>
      <c r="AM464">
        <v>0</v>
      </c>
      <c r="AN464">
        <v>0</v>
      </c>
      <c r="AO464">
        <v>0</v>
      </c>
      <c r="AP464">
        <v>0</v>
      </c>
      <c r="AQ464">
        <v>0</v>
      </c>
      <c r="AR464">
        <v>0</v>
      </c>
    </row>
    <row r="465" spans="1:44">
      <c r="A465" t="str">
        <f>H465&amp;COUNTIF($H$2:H465,H465)</f>
        <v>ナット2</v>
      </c>
      <c r="B465" t="str">
        <f>F465&amp;COUNTIF($F$2:F465,F465)</f>
        <v>高雄工業 静岡45</v>
      </c>
      <c r="C465" t="str">
        <v>退社</v>
      </c>
      <c r="D465">
        <v>221106</v>
      </c>
      <c r="E465">
        <v>242056</v>
      </c>
      <c r="F465" t="str">
        <v>高雄工業 静岡</v>
      </c>
      <c r="G465" t="str">
        <v>高雄工業株式会社 静岡事業所第二工場製作課</v>
      </c>
      <c r="H465" t="str">
        <v>ナット</v>
      </c>
      <c r="I465" t="str">
        <v>産業機械部品の研磨加工、NCプログラム修正</v>
      </c>
      <c r="J465" t="str">
        <v>NGO VAN SANG</v>
      </c>
      <c r="K465" t="str">
        <v>ゴー　ヴァン　サン</v>
      </c>
      <c r="L465" t="str">
        <v>男</v>
      </c>
      <c r="M465" t="str">
        <v>ﾍﾞﾄﾅﾑ</v>
      </c>
      <c r="N465" s="31">
        <v>33244</v>
      </c>
      <c r="O465">
        <v>34</v>
      </c>
      <c r="P465">
        <v>1330</v>
      </c>
      <c r="Q465">
        <v>0</v>
      </c>
      <c r="R465">
        <v>1750</v>
      </c>
      <c r="S465">
        <v>0</v>
      </c>
      <c r="T465">
        <v>420</v>
      </c>
      <c r="U465">
        <v>280000</v>
      </c>
      <c r="V465">
        <v>14042</v>
      </c>
      <c r="W465" t="str">
        <v>0</v>
      </c>
      <c r="X465">
        <v>25620</v>
      </c>
      <c r="Y465" s="31">
        <v>46721</v>
      </c>
      <c r="Z465" t="str">
        <v/>
      </c>
      <c r="AA465" t="str">
        <v>技術・人文知識・国際業務</v>
      </c>
      <c r="AB465" t="str">
        <v>437-0065</v>
      </c>
      <c r="AC465" t="str">
        <v>静岡県袋井市堀越四丁目１番地の1</v>
      </c>
      <c r="AD465" t="str">
        <v>県営堀越団地5棟 205号室</v>
      </c>
      <c r="AE465" s="31" t="str">
        <v>個人</v>
      </c>
      <c r="AF465" s="31">
        <v>44883</v>
      </c>
      <c r="AG465" s="31">
        <v>45853</v>
      </c>
      <c r="AH465" s="31">
        <v>0</v>
      </c>
      <c r="AI465" t="str">
        <v>22.12.1</v>
      </c>
      <c r="AJ465" t="str">
        <v>11/21林</v>
      </c>
      <c r="AK465">
        <v>0</v>
      </c>
      <c r="AL465">
        <v>44883</v>
      </c>
      <c r="AM465">
        <v>0</v>
      </c>
      <c r="AN465">
        <v>0</v>
      </c>
      <c r="AO465">
        <v>0</v>
      </c>
      <c r="AP465">
        <v>0</v>
      </c>
      <c r="AQ465" t="str">
        <v>JLPT-N2</v>
      </c>
      <c r="AR465">
        <v>0</v>
      </c>
    </row>
    <row r="466" spans="1:44">
      <c r="A466" t="str">
        <f>H466&amp;COUNTIF($H$2:H466,H466)</f>
        <v>0214</v>
      </c>
      <c r="B466" t="str">
        <f>F466&amp;COUNTIF($F$2:F466,F466)</f>
        <v>ﾌｪﾆﾃｯｸｾﾐｺﾝﾀﾞｸﾀｰ 鹿児島20</v>
      </c>
      <c r="C466" t="str">
        <v>退社</v>
      </c>
      <c r="D466">
        <v>221107</v>
      </c>
      <c r="E466">
        <v>0</v>
      </c>
      <c r="F466" t="str">
        <v>ﾌｪﾆﾃｯｸｾﾐｺﾝﾀﾞｸﾀｰ 鹿児島</v>
      </c>
      <c r="G466">
        <v>0</v>
      </c>
      <c r="H466">
        <v>0</v>
      </c>
      <c r="I466">
        <v>0</v>
      </c>
      <c r="J466" t="str">
        <v>PHAM TAN LOC</v>
      </c>
      <c r="K466" t="str">
        <v>ファム　タン　ロク</v>
      </c>
      <c r="L466" t="str">
        <v>男</v>
      </c>
      <c r="M466" t="str">
        <v>ﾍﾞﾄﾅﾑ</v>
      </c>
      <c r="N466" s="31">
        <v>30982</v>
      </c>
      <c r="O466">
        <v>41</v>
      </c>
      <c r="P466">
        <v>1400</v>
      </c>
      <c r="Q466">
        <v>0</v>
      </c>
      <c r="R466">
        <v>2000</v>
      </c>
      <c r="S466">
        <v>0</v>
      </c>
      <c r="T466">
        <v>600</v>
      </c>
      <c r="U466">
        <v>180000</v>
      </c>
      <c r="V466">
        <v>9027</v>
      </c>
      <c r="W466">
        <v>1431</v>
      </c>
      <c r="X466">
        <v>16470</v>
      </c>
      <c r="Y466" s="31">
        <v>46180</v>
      </c>
      <c r="Z466" t="str">
        <v/>
      </c>
      <c r="AA466" t="str">
        <v>技術・人文知識・国際業務</v>
      </c>
      <c r="AB466" t="str">
        <v>899-6201</v>
      </c>
      <c r="AC466" t="str">
        <v>鹿児島県姶良郡湧水町木場189番地</v>
      </c>
      <c r="AD466" t="str">
        <v>ｽｲｰﾄﾀｯﾁD号室</v>
      </c>
      <c r="AE466" s="31">
        <v>44885</v>
      </c>
      <c r="AF466" s="31">
        <v>44886</v>
      </c>
      <c r="AG466" s="31">
        <v>45112</v>
      </c>
      <c r="AH466" s="31">
        <v>45107</v>
      </c>
      <c r="AI466" t="str">
        <v>22.12.1</v>
      </c>
      <c r="AJ466" t="str">
        <v>11/28林</v>
      </c>
      <c r="AK466">
        <v>0</v>
      </c>
      <c r="AL466">
        <v>44886</v>
      </c>
      <c r="AM466">
        <v>0</v>
      </c>
      <c r="AN466">
        <v>0</v>
      </c>
      <c r="AO466">
        <v>0</v>
      </c>
      <c r="AP466">
        <v>0</v>
      </c>
      <c r="AQ466">
        <v>0</v>
      </c>
      <c r="AR466">
        <v>0</v>
      </c>
    </row>
    <row r="467" spans="1:44">
      <c r="A467" t="str">
        <f>H467&amp;COUNTIF($H$2:H467,H467)</f>
        <v>1次旋係21</v>
      </c>
      <c r="B467" t="str">
        <f>F467&amp;COUNTIF($F$2:F467,F467)</f>
        <v>高雄工業 岡山85</v>
      </c>
      <c r="C467" t="str">
        <v>退社</v>
      </c>
      <c r="D467">
        <v>221108</v>
      </c>
      <c r="E467">
        <v>232085</v>
      </c>
      <c r="F467" t="str">
        <v>高雄工業 岡山</v>
      </c>
      <c r="G467" t="str">
        <v>高雄工業株式会社 岡山事業所HUB工場製作1課</v>
      </c>
      <c r="H467" t="str">
        <v>1次旋係</v>
      </c>
      <c r="I467" t="str">
        <v>ハブ加工 自動機の操作、ＮＣプログラム修正</v>
      </c>
      <c r="J467" t="str">
        <v>VO DUC SON</v>
      </c>
      <c r="K467" t="str">
        <v>ヴォ　ドゥック　ソン</v>
      </c>
      <c r="L467" t="str">
        <v>男</v>
      </c>
      <c r="M467" t="str">
        <v>ﾍﾞﾄﾅﾑ</v>
      </c>
      <c r="N467" s="31">
        <v>35831</v>
      </c>
      <c r="O467">
        <v>27</v>
      </c>
      <c r="P467">
        <v>1300</v>
      </c>
      <c r="Q467">
        <v>0</v>
      </c>
      <c r="R467">
        <v>1710</v>
      </c>
      <c r="S467">
        <v>0</v>
      </c>
      <c r="T467">
        <v>410</v>
      </c>
      <c r="U467">
        <v>300000</v>
      </c>
      <c r="V467">
        <v>15045</v>
      </c>
      <c r="W467" t="str">
        <v>0</v>
      </c>
      <c r="X467">
        <v>27450</v>
      </c>
      <c r="Y467" s="31">
        <v>46340</v>
      </c>
      <c r="Z467" t="str">
        <v/>
      </c>
      <c r="AA467" t="str">
        <v>技術・人文知識・国際業務</v>
      </c>
      <c r="AB467" t="str">
        <v>709-2107</v>
      </c>
      <c r="AC467" t="str">
        <v>岡山県岡山市北区御津矢原294-1</v>
      </c>
      <c r="AD467" t="str">
        <v>成広矢原ｺｰﾎﾟⅢ103</v>
      </c>
      <c r="AE467" s="31">
        <v>44891</v>
      </c>
      <c r="AF467" s="31">
        <v>44886</v>
      </c>
      <c r="AG467" s="31">
        <v>45555</v>
      </c>
      <c r="AH467" s="31">
        <v>0</v>
      </c>
      <c r="AI467" t="str">
        <v>22.12.1</v>
      </c>
      <c r="AJ467" t="str">
        <v>11/21林</v>
      </c>
      <c r="AK467">
        <v>0</v>
      </c>
      <c r="AL467">
        <v>44886</v>
      </c>
      <c r="AM467">
        <v>0</v>
      </c>
      <c r="AN467">
        <v>0</v>
      </c>
      <c r="AO467">
        <v>0</v>
      </c>
      <c r="AP467">
        <v>0</v>
      </c>
      <c r="AQ467">
        <v>0</v>
      </c>
      <c r="AR467">
        <v>0</v>
      </c>
    </row>
    <row r="468" spans="1:44">
      <c r="A468" t="str">
        <f>H468&amp;COUNTIF($H$2:H468,H468)</f>
        <v>0215</v>
      </c>
      <c r="B468" t="str">
        <f>F468&amp;COUNTIF($F$2:F468,F468)</f>
        <v>加藤木材工業 本社16</v>
      </c>
      <c r="C468" t="str">
        <v>退社</v>
      </c>
      <c r="D468">
        <v>221109</v>
      </c>
      <c r="E468">
        <v>0</v>
      </c>
      <c r="F468" t="str">
        <v>加藤木材工業 本社</v>
      </c>
      <c r="G468">
        <v>0</v>
      </c>
      <c r="H468">
        <v>0</v>
      </c>
      <c r="I468">
        <v>0</v>
      </c>
      <c r="J468" t="str">
        <v>NGUYEN HUY TAI</v>
      </c>
      <c r="K468" t="str">
        <v>グエン　フィ　タイ</v>
      </c>
      <c r="L468" t="str">
        <v>男</v>
      </c>
      <c r="M468" t="str">
        <v>ﾍﾞﾄﾅﾑ</v>
      </c>
      <c r="N468" s="31">
        <v>33220</v>
      </c>
      <c r="O468">
        <v>34</v>
      </c>
      <c r="P468">
        <v>1300</v>
      </c>
      <c r="Q468">
        <v>0</v>
      </c>
      <c r="R468">
        <v>1700</v>
      </c>
      <c r="S468">
        <v>0</v>
      </c>
      <c r="T468">
        <v>400</v>
      </c>
      <c r="U468">
        <v>0</v>
      </c>
      <c r="V468" t="str">
        <v/>
      </c>
      <c r="W468" t="str">
        <v>0</v>
      </c>
      <c r="X468" t="str">
        <v/>
      </c>
      <c r="Y468" s="31">
        <v>45115</v>
      </c>
      <c r="Z468" t="str">
        <v/>
      </c>
      <c r="AA468" t="str">
        <v>技術・人文知識・国際業務</v>
      </c>
      <c r="AB468" t="str">
        <v>486-0807</v>
      </c>
      <c r="AC468" t="str">
        <v>愛知県春日井市大手町2-53-1</v>
      </c>
      <c r="AD468" t="str">
        <v>ﾊﾟｰｸｻｲﾄﾞ泉Ⅱ 201</v>
      </c>
      <c r="AE468" s="31">
        <v>44887</v>
      </c>
      <c r="AF468" s="31">
        <v>44888</v>
      </c>
      <c r="AG468" s="31">
        <v>44915</v>
      </c>
      <c r="AH468" s="31">
        <v>44922</v>
      </c>
      <c r="AI468" t="str">
        <v>22.12.1</v>
      </c>
      <c r="AJ468" t="str">
        <v>11/28林</v>
      </c>
      <c r="AK468">
        <v>0</v>
      </c>
      <c r="AL468">
        <v>44888</v>
      </c>
      <c r="AM468">
        <v>0</v>
      </c>
      <c r="AN468">
        <v>0</v>
      </c>
      <c r="AO468">
        <v>0</v>
      </c>
      <c r="AP468">
        <v>0</v>
      </c>
      <c r="AQ468">
        <v>0</v>
      </c>
      <c r="AR468">
        <v>0</v>
      </c>
    </row>
    <row r="469" spans="1:44">
      <c r="A469" t="str">
        <f>H469&amp;COUNTIF($H$2:H469,H469)</f>
        <v>0216</v>
      </c>
      <c r="B469" t="str">
        <f>F469&amp;COUNTIF($F$2:F469,F469)</f>
        <v>高雄工業 本社45</v>
      </c>
      <c r="C469" t="str">
        <v>退社</v>
      </c>
      <c r="D469">
        <v>221201</v>
      </c>
      <c r="E469">
        <v>0</v>
      </c>
      <c r="F469" t="str">
        <v>高雄工業 本社</v>
      </c>
      <c r="G469" t="str">
        <v>高雄工業株式会社 愛知事業所本社工場製作課</v>
      </c>
      <c r="H469">
        <v>0</v>
      </c>
      <c r="I469">
        <v>0</v>
      </c>
      <c r="J469" t="str">
        <v>NGUYEN THANH DAT</v>
      </c>
      <c r="K469" t="str">
        <v>グエン　タイン　ダット</v>
      </c>
      <c r="L469" t="str">
        <v>男</v>
      </c>
      <c r="M469" t="str">
        <v>ﾍﾞﾄﾅﾑ</v>
      </c>
      <c r="N469" s="31">
        <v>36517</v>
      </c>
      <c r="O469">
        <v>25</v>
      </c>
      <c r="P469">
        <v>1200</v>
      </c>
      <c r="Q469">
        <v>0</v>
      </c>
      <c r="R469">
        <v>1650</v>
      </c>
      <c r="S469">
        <v>0</v>
      </c>
      <c r="T469">
        <v>450</v>
      </c>
      <c r="U469">
        <v>180000</v>
      </c>
      <c r="V469">
        <v>9027</v>
      </c>
      <c r="W469" t="str">
        <v>0</v>
      </c>
      <c r="X469">
        <v>16470</v>
      </c>
      <c r="Y469" s="31">
        <v>45258</v>
      </c>
      <c r="Z469" t="str">
        <v/>
      </c>
      <c r="AA469" t="str">
        <v>技術・人文知識・国際業務</v>
      </c>
      <c r="AB469" t="str">
        <v>498-0032</v>
      </c>
      <c r="AC469" t="str">
        <v>愛知県弥富市平島中4丁目128</v>
      </c>
      <c r="AD469" t="str">
        <v>村上貸家</v>
      </c>
      <c r="AE469" s="31">
        <v>44893</v>
      </c>
      <c r="AF469" s="31">
        <v>44896</v>
      </c>
      <c r="AG469" s="31">
        <v>44985</v>
      </c>
      <c r="AH469" s="31">
        <v>0</v>
      </c>
      <c r="AI469" t="str">
        <v>23.1.1</v>
      </c>
      <c r="AJ469" t="str">
        <v>12/19林</v>
      </c>
      <c r="AK469">
        <v>0</v>
      </c>
      <c r="AL469">
        <v>44896</v>
      </c>
      <c r="AM469">
        <v>0</v>
      </c>
      <c r="AN469">
        <v>0</v>
      </c>
      <c r="AO469">
        <v>0</v>
      </c>
      <c r="AP469">
        <v>0</v>
      </c>
      <c r="AQ469">
        <v>0</v>
      </c>
      <c r="AR469">
        <v>0</v>
      </c>
    </row>
    <row r="470" spans="1:44">
      <c r="A470" t="str">
        <f>H470&amp;COUNTIF($H$2:H470,H470)</f>
        <v>等速ジョイント11</v>
      </c>
      <c r="B470" t="str">
        <f>F470&amp;COUNTIF($F$2:F470,F470)</f>
        <v>瑞陵精機23</v>
      </c>
      <c r="C470" t="str">
        <v>在職中</v>
      </c>
      <c r="D470">
        <v>221203</v>
      </c>
      <c r="E470">
        <v>0</v>
      </c>
      <c r="F470" t="str">
        <v>瑞陵精機</v>
      </c>
      <c r="G470" t="str">
        <v>製造課</v>
      </c>
      <c r="H470" t="str">
        <v>等速ジョイント</v>
      </c>
      <c r="I470" t="str">
        <v>ＮＣ旋盤、マシニングセンター等の工作機械を使いオペレーターとして製造ラインで製品を加工</v>
      </c>
      <c r="J470" t="str">
        <v>LE NHU ANH</v>
      </c>
      <c r="K470" t="str">
        <v>レー　ヌー　アイン</v>
      </c>
      <c r="L470" t="str">
        <v>男</v>
      </c>
      <c r="M470" t="str">
        <v>ﾍﾞﾄﾅﾑ</v>
      </c>
      <c r="N470" s="31">
        <v>36484</v>
      </c>
      <c r="O470">
        <v>26</v>
      </c>
      <c r="P470">
        <v>1310</v>
      </c>
      <c r="Q470">
        <v>0</v>
      </c>
      <c r="R470">
        <v>1700</v>
      </c>
      <c r="S470">
        <v>0</v>
      </c>
      <c r="T470">
        <v>390</v>
      </c>
      <c r="U470">
        <v>240000</v>
      </c>
      <c r="V470">
        <v>12036</v>
      </c>
      <c r="W470" t="str">
        <v>0</v>
      </c>
      <c r="X470">
        <v>21960</v>
      </c>
      <c r="Y470" s="31">
        <v>47102</v>
      </c>
      <c r="Z470" t="str">
        <v/>
      </c>
      <c r="AA470" t="str">
        <v>技術・人文知識・国際業務</v>
      </c>
      <c r="AB470" t="str">
        <v>509-7201</v>
      </c>
      <c r="AC470" t="str">
        <v>岐阜県恵那市大井町1120-303</v>
      </c>
      <c r="AD470" t="str">
        <v>各務ﾊｲﾂ3F</v>
      </c>
      <c r="AE470" s="31">
        <v>0</v>
      </c>
      <c r="AF470" s="31">
        <v>44896</v>
      </c>
      <c r="AG470" s="31">
        <v>0</v>
      </c>
      <c r="AH470" s="31">
        <v>0</v>
      </c>
      <c r="AI470" t="str">
        <v>23.1.1</v>
      </c>
      <c r="AJ470" t="str">
        <v>12/14林</v>
      </c>
      <c r="AK470">
        <v>0</v>
      </c>
      <c r="AL470">
        <v>44896</v>
      </c>
      <c r="AM470">
        <v>0</v>
      </c>
      <c r="AN470">
        <v>0</v>
      </c>
      <c r="AO470">
        <v>0</v>
      </c>
      <c r="AP470">
        <v>0</v>
      </c>
      <c r="AQ470">
        <v>0</v>
      </c>
      <c r="AR470">
        <v>0</v>
      </c>
    </row>
    <row r="471" spans="1:44">
      <c r="A471" t="str">
        <f>H471&amp;COUNTIF($H$2:H471,H471)</f>
        <v>0217</v>
      </c>
      <c r="B471" t="str">
        <f>F471&amp;COUNTIF($F$2:F471,F471)</f>
        <v>瑞陵精機24</v>
      </c>
      <c r="C471" t="str">
        <v>退社</v>
      </c>
      <c r="D471">
        <v>221204</v>
      </c>
      <c r="E471">
        <v>0</v>
      </c>
      <c r="F471" t="str">
        <v>瑞陵精機</v>
      </c>
      <c r="G471">
        <v>0</v>
      </c>
      <c r="H471">
        <v>0</v>
      </c>
      <c r="I471">
        <v>0</v>
      </c>
      <c r="J471" t="str">
        <v>HOANG TUAN ANH</v>
      </c>
      <c r="K471" t="str">
        <v>ホアン　トゥアン　アイン</v>
      </c>
      <c r="L471" t="str">
        <v>男</v>
      </c>
      <c r="M471" t="str">
        <v>ﾍﾞﾄﾅﾑ</v>
      </c>
      <c r="N471" s="31">
        <v>37233</v>
      </c>
      <c r="O471">
        <v>23</v>
      </c>
      <c r="P471">
        <v>1200</v>
      </c>
      <c r="Q471">
        <v>0</v>
      </c>
      <c r="R471">
        <v>1700</v>
      </c>
      <c r="S471">
        <v>0</v>
      </c>
      <c r="T471">
        <v>500</v>
      </c>
      <c r="U471">
        <v>180000</v>
      </c>
      <c r="V471">
        <v>9027</v>
      </c>
      <c r="W471" t="str">
        <v>0</v>
      </c>
      <c r="X471">
        <v>16470</v>
      </c>
      <c r="Y471" s="31">
        <v>45258</v>
      </c>
      <c r="Z471" t="str">
        <v/>
      </c>
      <c r="AA471" t="str">
        <v>技術・人文知識・国際業務</v>
      </c>
      <c r="AB471" t="str">
        <v>509-7201</v>
      </c>
      <c r="AC471" t="str">
        <v>岐阜県岐阜市大井町1120-303</v>
      </c>
      <c r="AD471" t="str">
        <v>各務ﾊｲﾂ2D</v>
      </c>
      <c r="AE471" s="31">
        <v>0</v>
      </c>
      <c r="AF471" s="31">
        <v>44896</v>
      </c>
      <c r="AG471" s="31">
        <v>45034</v>
      </c>
      <c r="AH471" s="31">
        <v>0</v>
      </c>
      <c r="AI471" t="str">
        <v>23.1.1</v>
      </c>
      <c r="AJ471" t="str">
        <v>12/14林</v>
      </c>
      <c r="AK471">
        <v>0</v>
      </c>
      <c r="AL471">
        <v>44896</v>
      </c>
      <c r="AM471">
        <v>0</v>
      </c>
      <c r="AN471">
        <v>0</v>
      </c>
      <c r="AO471">
        <v>0</v>
      </c>
      <c r="AP471">
        <v>0</v>
      </c>
      <c r="AQ471">
        <v>0</v>
      </c>
      <c r="AR471">
        <v>0</v>
      </c>
    </row>
    <row r="472" spans="1:44">
      <c r="A472" t="str">
        <f>H472&amp;COUNTIF($H$2:H472,H472)</f>
        <v>等速ジョイント12</v>
      </c>
      <c r="B472" t="str">
        <f>F472&amp;COUNTIF($F$2:F472,F472)</f>
        <v>瑞陵精機25</v>
      </c>
      <c r="C472" t="str">
        <v>退社</v>
      </c>
      <c r="D472">
        <v>221205</v>
      </c>
      <c r="E472">
        <v>0</v>
      </c>
      <c r="F472" t="str">
        <v>瑞陵精機</v>
      </c>
      <c r="G472" t="str">
        <v>製造課</v>
      </c>
      <c r="H472" t="str">
        <v>等速ジョイント</v>
      </c>
      <c r="I472" t="str">
        <v>ＮＣ旋盤、マシニングセンター等の工作機械を使いオペレーターとして製造ラインで製品を加工</v>
      </c>
      <c r="J472" t="str">
        <v>DUONG HOANG ANH</v>
      </c>
      <c r="K472" t="str">
        <v>ズオン　ホアン　アイン</v>
      </c>
      <c r="L472" t="str">
        <v>男</v>
      </c>
      <c r="M472" t="str">
        <v>ﾍﾞﾄﾅﾑ</v>
      </c>
      <c r="N472" s="31">
        <v>35980</v>
      </c>
      <c r="O472">
        <v>27</v>
      </c>
      <c r="P472">
        <v>1200</v>
      </c>
      <c r="Q472">
        <v>0</v>
      </c>
      <c r="R472">
        <v>1700</v>
      </c>
      <c r="S472">
        <v>0</v>
      </c>
      <c r="T472">
        <v>500</v>
      </c>
      <c r="U472">
        <v>180000</v>
      </c>
      <c r="V472">
        <v>9027</v>
      </c>
      <c r="W472" t="str">
        <v>0</v>
      </c>
      <c r="X472">
        <v>16470</v>
      </c>
      <c r="Y472" s="31">
        <v>45258</v>
      </c>
      <c r="Z472" t="str">
        <v/>
      </c>
      <c r="AA472" t="str">
        <v>技術・人文知識・国際業務</v>
      </c>
      <c r="AB472" t="str">
        <v>509-7201</v>
      </c>
      <c r="AC472" t="str">
        <v>岐阜県岐阜市大井町1120-303</v>
      </c>
      <c r="AD472" t="str">
        <v>各務ﾊｲﾂ4H</v>
      </c>
      <c r="AE472" s="31">
        <v>0</v>
      </c>
      <c r="AF472" s="31">
        <v>44896</v>
      </c>
      <c r="AG472" s="31">
        <v>45150</v>
      </c>
      <c r="AH472" s="31">
        <v>0</v>
      </c>
      <c r="AI472" t="str">
        <v>23.1.1</v>
      </c>
      <c r="AJ472" t="str">
        <v>12/14林</v>
      </c>
      <c r="AK472">
        <v>0</v>
      </c>
      <c r="AL472">
        <v>44896</v>
      </c>
      <c r="AM472">
        <v>0</v>
      </c>
      <c r="AN472">
        <v>0</v>
      </c>
      <c r="AO472">
        <v>0</v>
      </c>
      <c r="AP472">
        <v>0</v>
      </c>
      <c r="AQ472">
        <v>0</v>
      </c>
      <c r="AR472">
        <v>0</v>
      </c>
    </row>
    <row r="473" spans="1:44">
      <c r="A473" t="str">
        <f>H473&amp;COUNTIF($H$2:H473,H473)</f>
        <v>外研1</v>
      </c>
      <c r="B473" t="str">
        <f>F473&amp;COUNTIF($F$2:F473,F473)</f>
        <v>三幸技研6</v>
      </c>
      <c r="C473" t="str">
        <v>退社</v>
      </c>
      <c r="D473">
        <v>221206</v>
      </c>
      <c r="E473">
        <v>0</v>
      </c>
      <c r="F473" t="str">
        <v>三幸技研</v>
      </c>
      <c r="G473" t="str">
        <v>製造部</v>
      </c>
      <c r="H473" t="str">
        <v>外研</v>
      </c>
      <c r="I473" t="str">
        <v>自動車部品の研磨業務、オペレーターとして製造ラインで製品を加工</v>
      </c>
      <c r="J473" t="str">
        <v>DANG THE DONG</v>
      </c>
      <c r="K473" t="str">
        <v>ダン　テー　ドン</v>
      </c>
      <c r="L473" t="str">
        <v>男</v>
      </c>
      <c r="M473" t="str">
        <v>ﾍﾞﾄﾅﾑ</v>
      </c>
      <c r="N473" s="31">
        <v>33248</v>
      </c>
      <c r="O473">
        <v>34</v>
      </c>
      <c r="P473">
        <v>1400</v>
      </c>
      <c r="Q473">
        <v>0</v>
      </c>
      <c r="R473">
        <v>1800</v>
      </c>
      <c r="S473">
        <v>0</v>
      </c>
      <c r="T473">
        <v>400</v>
      </c>
      <c r="U473">
        <v>280000</v>
      </c>
      <c r="V473">
        <v>14042</v>
      </c>
      <c r="W473" t="str">
        <v>0</v>
      </c>
      <c r="X473">
        <v>25620</v>
      </c>
      <c r="Y473" s="31">
        <v>45745</v>
      </c>
      <c r="Z473" t="str">
        <v/>
      </c>
      <c r="AA473" t="str">
        <v>技術・人文知識・国際業務</v>
      </c>
      <c r="AB473" t="str">
        <v>474-0022</v>
      </c>
      <c r="AC473" t="str">
        <v>愛知県大府市若草町2丁目160番地</v>
      </c>
      <c r="AD473" t="str">
        <v>ｺｰﾎﾟ下村203号</v>
      </c>
      <c r="AE473" s="31" t="str">
        <v>個人</v>
      </c>
      <c r="AF473" s="31">
        <v>44896</v>
      </c>
      <c r="AG473" s="31">
        <v>45498</v>
      </c>
      <c r="AH473" s="31">
        <v>0</v>
      </c>
      <c r="AI473" t="str">
        <v>23.1.1</v>
      </c>
      <c r="AJ473" t="str">
        <v>12/14林</v>
      </c>
      <c r="AK473">
        <v>0</v>
      </c>
      <c r="AL473">
        <v>44896</v>
      </c>
      <c r="AM473">
        <v>0</v>
      </c>
      <c r="AN473">
        <v>0</v>
      </c>
      <c r="AO473">
        <v>0</v>
      </c>
      <c r="AP473">
        <v>0</v>
      </c>
      <c r="AQ473">
        <v>0</v>
      </c>
      <c r="AR473">
        <v>0</v>
      </c>
    </row>
    <row r="474" spans="1:44">
      <c r="A474" t="str">
        <f>H474&amp;COUNTIF($H$2:H474,H474)</f>
        <v>H_2次旋8</v>
      </c>
      <c r="B474" t="str">
        <f>F474&amp;COUNTIF($F$2:F474,F474)</f>
        <v>高雄工業 海南第一35</v>
      </c>
      <c r="C474" t="str">
        <v>在職中</v>
      </c>
      <c r="D474">
        <v>240306</v>
      </c>
      <c r="E474">
        <v>222064</v>
      </c>
      <c r="F474" t="str">
        <v>高雄工業 海南第一</v>
      </c>
      <c r="G474" t="str">
        <v>高雄工業株式会社 愛知事業所海南第一工場製作1課</v>
      </c>
      <c r="H474" t="str">
        <v>H_2次旋</v>
      </c>
      <c r="I474" t="str">
        <v>ハブ加工品の2次施削、手動機械オペレーターNCプログラム修正</v>
      </c>
      <c r="J474" t="str">
        <v>LE BA PHU</v>
      </c>
      <c r="K474" t="str">
        <v>レ　バ　フー</v>
      </c>
      <c r="L474" t="str">
        <v>男</v>
      </c>
      <c r="M474" t="str">
        <v>ﾍﾞﾄﾅﾑ</v>
      </c>
      <c r="N474" s="31">
        <v>36526</v>
      </c>
      <c r="O474">
        <v>25</v>
      </c>
      <c r="P474">
        <v>1300</v>
      </c>
      <c r="Q474">
        <v>0</v>
      </c>
      <c r="R474">
        <v>1670</v>
      </c>
      <c r="S474">
        <v>0</v>
      </c>
      <c r="T474">
        <v>370</v>
      </c>
      <c r="U474">
        <v>240000</v>
      </c>
      <c r="V474">
        <v>12036</v>
      </c>
      <c r="W474" t="str">
        <v>0</v>
      </c>
      <c r="X474">
        <v>21960</v>
      </c>
      <c r="Y474" s="31">
        <v>46106</v>
      </c>
      <c r="Z474" t="str">
        <v/>
      </c>
      <c r="AA474" t="str">
        <v>技術・人文知識・国際業務</v>
      </c>
      <c r="AB474" t="str">
        <v>498-0028</v>
      </c>
      <c r="AC474" t="str">
        <v>愛知県弥富市鯏浦町中六109</v>
      </c>
      <c r="AD474" t="str">
        <v>ｾﾗﾀｳﾝ弥冨B棟101</v>
      </c>
      <c r="AE474" s="31">
        <v>0</v>
      </c>
      <c r="AF474" s="31">
        <v>45359</v>
      </c>
      <c r="AG474" s="31">
        <v>0</v>
      </c>
      <c r="AH474" s="31">
        <v>0</v>
      </c>
      <c r="AI474" t="str">
        <v>24.3.8</v>
      </c>
      <c r="AJ474" t="str">
        <v>3/27林</v>
      </c>
      <c r="AK474">
        <v>0</v>
      </c>
      <c r="AL474">
        <v>45359</v>
      </c>
      <c r="AM474">
        <v>0</v>
      </c>
      <c r="AN474">
        <v>0</v>
      </c>
      <c r="AO474">
        <v>0</v>
      </c>
      <c r="AP474">
        <v>0</v>
      </c>
      <c r="AQ474" t="str">
        <v>JLPT-N4</v>
      </c>
      <c r="AR474">
        <v>0</v>
      </c>
    </row>
    <row r="475" spans="1:44">
      <c r="A475" t="str">
        <f>H475&amp;COUNTIF($H$2:H475,H475)</f>
        <v>手動旋削10</v>
      </c>
      <c r="B475" t="str">
        <f>F475&amp;COUNTIF($F$2:F475,F475)</f>
        <v>高雄工業 静岡46</v>
      </c>
      <c r="C475" t="str">
        <v>退社</v>
      </c>
      <c r="D475">
        <v>221208</v>
      </c>
      <c r="E475">
        <v>242058</v>
      </c>
      <c r="F475" t="str">
        <v>高雄工業 静岡</v>
      </c>
      <c r="G475" t="str">
        <v>高雄工業株式会社 静岡事業所第一工場製作課</v>
      </c>
      <c r="H475" t="str">
        <v>手動旋削</v>
      </c>
      <c r="I475" t="str">
        <v>CVJ部品短軸品の施削加工、NCプログラム修正</v>
      </c>
      <c r="J475" t="str">
        <v>TRAN DUC KIEN</v>
      </c>
      <c r="K475" t="str">
        <v>チャン　ドゥック　キエン</v>
      </c>
      <c r="L475" t="str">
        <v>男</v>
      </c>
      <c r="M475" t="str">
        <v>ﾍﾞﾄﾅﾑ</v>
      </c>
      <c r="N475" s="31">
        <v>36302</v>
      </c>
      <c r="O475">
        <v>26</v>
      </c>
      <c r="P475">
        <v>1310</v>
      </c>
      <c r="Q475">
        <v>0</v>
      </c>
      <c r="R475">
        <v>1700</v>
      </c>
      <c r="S475">
        <v>0</v>
      </c>
      <c r="T475">
        <v>390</v>
      </c>
      <c r="U475">
        <v>300000</v>
      </c>
      <c r="V475">
        <v>15045</v>
      </c>
      <c r="W475" t="str">
        <v>0</v>
      </c>
      <c r="X475">
        <v>27450</v>
      </c>
      <c r="Y475" s="31">
        <v>45628</v>
      </c>
      <c r="Z475" t="str">
        <v/>
      </c>
      <c r="AA475" t="str">
        <v>技術・人文知識・国際業務</v>
      </c>
      <c r="AB475" t="str">
        <v>437-0015</v>
      </c>
      <c r="AC475" t="str">
        <v>静岡県袋井市旭町1丁目8番地の18</v>
      </c>
      <c r="AD475" t="str">
        <v>ｼﾃｨﾊｲﾑﾌｶﾂA103号室</v>
      </c>
      <c r="AE475" s="31" t="str">
        <v>個人</v>
      </c>
      <c r="AF475" s="31">
        <v>44903</v>
      </c>
      <c r="AG475" s="31">
        <v>45551</v>
      </c>
      <c r="AH475" s="31">
        <v>0</v>
      </c>
      <c r="AI475" t="str">
        <v>23.1.1</v>
      </c>
      <c r="AJ475" t="str">
        <v>12/14林</v>
      </c>
      <c r="AK475">
        <v>0</v>
      </c>
      <c r="AL475">
        <v>44903</v>
      </c>
      <c r="AM475">
        <v>0</v>
      </c>
      <c r="AN475">
        <v>0</v>
      </c>
      <c r="AO475">
        <v>0</v>
      </c>
      <c r="AP475">
        <v>0</v>
      </c>
      <c r="AQ475">
        <v>0</v>
      </c>
      <c r="AR475">
        <v>0</v>
      </c>
    </row>
    <row r="476" spans="1:44">
      <c r="A476" t="str">
        <f>H476&amp;COUNTIF($H$2:H476,H476)</f>
        <v>H_2次旋9</v>
      </c>
      <c r="B476" t="str">
        <f>F476&amp;COUNTIF($F$2:F476,F476)</f>
        <v>高雄工業 海南第一36</v>
      </c>
      <c r="C476" t="str">
        <v>在職中</v>
      </c>
      <c r="D476">
        <v>240314</v>
      </c>
      <c r="E476">
        <v>222067</v>
      </c>
      <c r="F476" t="str">
        <v>高雄工業 海南第一</v>
      </c>
      <c r="G476" t="str">
        <v>高雄工業株式会社 愛知事業所海南第一工場製作1課</v>
      </c>
      <c r="H476" t="str">
        <v>H_2次旋</v>
      </c>
      <c r="I476" t="str">
        <v>ハブ加工品の2次施削、手動機械オペレーターNCプログラム修正</v>
      </c>
      <c r="J476" t="str">
        <v>PHAM HUNG LUONG</v>
      </c>
      <c r="K476" t="str">
        <v>ファム　フン　ルオン</v>
      </c>
      <c r="L476" t="str">
        <v>男</v>
      </c>
      <c r="M476" t="str">
        <v>ﾍﾞﾄﾅﾑ</v>
      </c>
      <c r="N476" s="31">
        <v>36855</v>
      </c>
      <c r="O476">
        <v>25</v>
      </c>
      <c r="P476">
        <v>1300</v>
      </c>
      <c r="Q476">
        <v>0</v>
      </c>
      <c r="R476">
        <v>1670</v>
      </c>
      <c r="S476">
        <v>0</v>
      </c>
      <c r="T476">
        <v>370</v>
      </c>
      <c r="U476">
        <v>240000</v>
      </c>
      <c r="V476">
        <v>12036</v>
      </c>
      <c r="W476" t="str">
        <v>0</v>
      </c>
      <c r="X476">
        <v>21960</v>
      </c>
      <c r="Y476" s="31">
        <v>46106</v>
      </c>
      <c r="Z476" t="str">
        <v/>
      </c>
      <c r="AA476" t="str">
        <v>技術・人文知識・国際業務</v>
      </c>
      <c r="AB476" t="str">
        <v>498-0032</v>
      </c>
      <c r="AC476" t="str">
        <v>愛知県弥富市平島中4-125</v>
      </c>
      <c r="AD476" t="str">
        <v>平島中四丁目賃家</v>
      </c>
      <c r="AE476" s="31">
        <v>0</v>
      </c>
      <c r="AF476" s="31">
        <v>45365</v>
      </c>
      <c r="AG476" s="31">
        <v>0</v>
      </c>
      <c r="AH476" s="31">
        <v>0</v>
      </c>
      <c r="AI476" t="str">
        <v>24.3.14</v>
      </c>
      <c r="AJ476" t="str">
        <v>3/27林</v>
      </c>
      <c r="AK476">
        <v>0</v>
      </c>
      <c r="AL476">
        <v>45365</v>
      </c>
      <c r="AM476">
        <v>0</v>
      </c>
      <c r="AN476">
        <v>0</v>
      </c>
      <c r="AO476">
        <v>0</v>
      </c>
      <c r="AP476">
        <v>0</v>
      </c>
      <c r="AQ476" t="str">
        <v>JLPT-N4</v>
      </c>
      <c r="AR476">
        <v>0</v>
      </c>
    </row>
    <row r="477" spans="1:44">
      <c r="A477" t="str">
        <f>H477&amp;COUNTIF($H$2:H477,H477)</f>
        <v>Fライン13</v>
      </c>
      <c r="B477" t="str">
        <f>F477&amp;COUNTIF($F$2:F477,F477)</f>
        <v>高雄工業 本社46</v>
      </c>
      <c r="C477" t="str">
        <v>退社</v>
      </c>
      <c r="D477">
        <v>221210</v>
      </c>
      <c r="E477">
        <v>212036</v>
      </c>
      <c r="F477" t="str">
        <v>高雄工業 本社</v>
      </c>
      <c r="G477" t="str">
        <v>高雄工業株式会社 愛知事業所本社工場製作課</v>
      </c>
      <c r="H477" t="str">
        <v>Fライン</v>
      </c>
      <c r="I477" t="str">
        <v>CVJ部品短軸品の施削加工、NCプログラム修正</v>
      </c>
      <c r="J477" t="str">
        <v>VU VAN DINH</v>
      </c>
      <c r="K477" t="str">
        <v>ヴー　ヴァン　ディン</v>
      </c>
      <c r="L477" t="str">
        <v>男</v>
      </c>
      <c r="M477" t="str">
        <v>ﾍﾞﾄﾅﾑ</v>
      </c>
      <c r="N477" s="31">
        <v>31986</v>
      </c>
      <c r="O477">
        <v>38</v>
      </c>
      <c r="P477">
        <v>1250</v>
      </c>
      <c r="Q477">
        <v>0</v>
      </c>
      <c r="R477">
        <v>1650</v>
      </c>
      <c r="S477">
        <v>0</v>
      </c>
      <c r="T477">
        <v>400</v>
      </c>
      <c r="U477">
        <v>260000</v>
      </c>
      <c r="V477">
        <v>13039</v>
      </c>
      <c r="W477" t="str">
        <v>0</v>
      </c>
      <c r="X477">
        <v>23790</v>
      </c>
      <c r="Y477" s="31">
        <v>45645</v>
      </c>
      <c r="Z477" t="str">
        <v/>
      </c>
      <c r="AA477" t="str">
        <v>技術・人文知識・国際業務</v>
      </c>
      <c r="AB477" t="str">
        <v>498-0025</v>
      </c>
      <c r="AC477" t="str">
        <v>愛知県弥富市前ヶ須町西勘助207</v>
      </c>
      <c r="AD477" t="str">
        <v>CASA弥冨B203</v>
      </c>
      <c r="AE477" s="31">
        <v>44904</v>
      </c>
      <c r="AF477" s="31">
        <v>44907</v>
      </c>
      <c r="AG477" s="31">
        <v>45338</v>
      </c>
      <c r="AH477" s="31">
        <v>0</v>
      </c>
      <c r="AI477" t="str">
        <v>23.1.1</v>
      </c>
      <c r="AJ477" t="str">
        <v>12/15林</v>
      </c>
      <c r="AK477">
        <v>0</v>
      </c>
      <c r="AL477">
        <v>44907</v>
      </c>
      <c r="AM477">
        <v>0</v>
      </c>
      <c r="AN477">
        <v>0</v>
      </c>
      <c r="AO477">
        <v>0</v>
      </c>
      <c r="AP477">
        <v>0</v>
      </c>
      <c r="AQ477">
        <v>0</v>
      </c>
      <c r="AR477">
        <v>0</v>
      </c>
    </row>
    <row r="478" spans="1:44">
      <c r="A478" t="str">
        <f>H478&amp;COUNTIF($H$2:H478,H478)</f>
        <v>等速ジョイント13</v>
      </c>
      <c r="B478" t="str">
        <f>F478&amp;COUNTIF($F$2:F478,F478)</f>
        <v>瑞陵精機26</v>
      </c>
      <c r="C478" t="str">
        <v>在職中</v>
      </c>
      <c r="D478">
        <v>221212</v>
      </c>
      <c r="E478">
        <v>0</v>
      </c>
      <c r="F478" t="str">
        <v>瑞陵精機</v>
      </c>
      <c r="G478" t="str">
        <v>製造課</v>
      </c>
      <c r="H478" t="str">
        <v>等速ジョイント</v>
      </c>
      <c r="I478" t="str">
        <v>ＮＣ旋盤、マシニングセンター等の工作機械を使いオペレーターとして製造ラインで製品を加工</v>
      </c>
      <c r="J478" t="str">
        <v>NGUYEN MANH KHAI</v>
      </c>
      <c r="K478" t="str">
        <v>グエン　マン　カイ</v>
      </c>
      <c r="L478" t="str">
        <v>男</v>
      </c>
      <c r="M478" t="str">
        <v>ﾍﾞﾄﾅﾑ</v>
      </c>
      <c r="N478" s="31">
        <v>35771</v>
      </c>
      <c r="O478">
        <v>27</v>
      </c>
      <c r="P478">
        <v>1310</v>
      </c>
      <c r="Q478">
        <v>0</v>
      </c>
      <c r="R478">
        <v>1700</v>
      </c>
      <c r="S478">
        <v>0</v>
      </c>
      <c r="T478">
        <v>390</v>
      </c>
      <c r="U478">
        <v>240000</v>
      </c>
      <c r="V478">
        <v>12036</v>
      </c>
      <c r="W478" t="str">
        <v>0</v>
      </c>
      <c r="X478">
        <v>21960</v>
      </c>
      <c r="Y478" s="31">
        <v>46010</v>
      </c>
      <c r="Z478">
        <v>15</v>
      </c>
      <c r="AA478" t="str">
        <v>技術・人文知識・国際業務</v>
      </c>
      <c r="AB478" t="str">
        <v>509-7201</v>
      </c>
      <c r="AC478" t="str">
        <v>岐阜県恵那市大井町1454-1</v>
      </c>
      <c r="AD478" t="str">
        <v>社宅　一軒家</v>
      </c>
      <c r="AE478" s="31">
        <v>0</v>
      </c>
      <c r="AF478" s="31">
        <v>44907</v>
      </c>
      <c r="AG478" s="31">
        <v>0</v>
      </c>
      <c r="AH478" s="31">
        <v>0</v>
      </c>
      <c r="AI478" t="str">
        <v>23.1.1</v>
      </c>
      <c r="AJ478" t="str">
        <v>12/14林</v>
      </c>
      <c r="AK478">
        <v>0</v>
      </c>
      <c r="AL478">
        <v>44907</v>
      </c>
      <c r="AM478">
        <v>0</v>
      </c>
      <c r="AN478">
        <v>0</v>
      </c>
      <c r="AO478">
        <v>0</v>
      </c>
      <c r="AP478">
        <v>0</v>
      </c>
      <c r="AQ478">
        <v>0</v>
      </c>
      <c r="AR478">
        <v>0</v>
      </c>
    </row>
    <row r="479" spans="1:44">
      <c r="A479" t="str">
        <f>H479&amp;COUNTIF($H$2:H479,H479)</f>
        <v>等速ジョイント14</v>
      </c>
      <c r="B479" t="str">
        <f>F479&amp;COUNTIF($F$2:F479,F479)</f>
        <v>瑞陵精機27</v>
      </c>
      <c r="C479" t="str">
        <v>在職中</v>
      </c>
      <c r="D479">
        <v>221213</v>
      </c>
      <c r="E479">
        <v>0</v>
      </c>
      <c r="F479" t="str">
        <v>瑞陵精機</v>
      </c>
      <c r="G479" t="str">
        <v>製造課</v>
      </c>
      <c r="H479" t="str">
        <v>等速ジョイント</v>
      </c>
      <c r="I479" t="str">
        <v>ＮＣ旋盤、マシニングセンター等の工作機械を使いオペレーターとして製造ラインで製品を加工</v>
      </c>
      <c r="J479" t="str">
        <v>TRAN KHUONG DUY</v>
      </c>
      <c r="K479" t="str">
        <v>チャン　クオン　ズイ</v>
      </c>
      <c r="L479" t="str">
        <v>男</v>
      </c>
      <c r="M479" t="str">
        <v>ﾍﾞﾄﾅﾑ</v>
      </c>
      <c r="N479" s="31">
        <v>36231</v>
      </c>
      <c r="O479">
        <v>26</v>
      </c>
      <c r="P479">
        <v>1310</v>
      </c>
      <c r="Q479">
        <v>0</v>
      </c>
      <c r="R479">
        <v>1700</v>
      </c>
      <c r="S479">
        <v>0</v>
      </c>
      <c r="T479">
        <v>390</v>
      </c>
      <c r="U479">
        <v>240000</v>
      </c>
      <c r="V479">
        <v>12036</v>
      </c>
      <c r="W479" t="str">
        <v>0</v>
      </c>
      <c r="X479">
        <v>21960</v>
      </c>
      <c r="Y479" s="31">
        <v>47106</v>
      </c>
      <c r="Z479" t="str">
        <v/>
      </c>
      <c r="AA479" t="str">
        <v>技術・人文知識・国際業務</v>
      </c>
      <c r="AB479" t="str">
        <v>509-7205</v>
      </c>
      <c r="AC479" t="str">
        <v>岐阜県恵那市長島町中野480-6</v>
      </c>
      <c r="AD479">
        <v>0</v>
      </c>
      <c r="AE479" s="31">
        <v>0</v>
      </c>
      <c r="AF479" s="31">
        <v>44907</v>
      </c>
      <c r="AG479" s="31">
        <v>0</v>
      </c>
      <c r="AH479" s="31">
        <v>0</v>
      </c>
      <c r="AI479" t="str">
        <v>23.1.1</v>
      </c>
      <c r="AJ479" t="str">
        <v>12/14林</v>
      </c>
      <c r="AK479">
        <v>0</v>
      </c>
      <c r="AL479">
        <v>44907</v>
      </c>
      <c r="AM479">
        <v>0</v>
      </c>
      <c r="AN479">
        <v>0</v>
      </c>
      <c r="AO479">
        <v>0</v>
      </c>
      <c r="AP479">
        <v>0</v>
      </c>
      <c r="AQ479">
        <v>0</v>
      </c>
      <c r="AR479">
        <v>0</v>
      </c>
    </row>
    <row r="480" spans="1:44">
      <c r="A480" t="str">
        <f>H480&amp;COUNTIF($H$2:H480,H480)</f>
        <v>等速ジョイント15</v>
      </c>
      <c r="B480" t="str">
        <f>F480&amp;COUNTIF($F$2:F480,F480)</f>
        <v>瑞陵精機28</v>
      </c>
      <c r="C480" t="str">
        <v>退社</v>
      </c>
      <c r="D480">
        <v>221214</v>
      </c>
      <c r="E480">
        <v>0</v>
      </c>
      <c r="F480" t="str">
        <v>瑞陵精機</v>
      </c>
      <c r="G480" t="str">
        <v>製造課</v>
      </c>
      <c r="H480" t="str">
        <v>等速ジョイント</v>
      </c>
      <c r="I480" t="str">
        <v>ＮＣ旋盤、マシニングセンター等の工作機械を使いオペレーターとして製造ラインで製品を加工</v>
      </c>
      <c r="J480" t="str">
        <v>NGUYEN QUY TOAN</v>
      </c>
      <c r="K480" t="str">
        <v>グエン　クイ　トアン</v>
      </c>
      <c r="L480" t="str">
        <v>男</v>
      </c>
      <c r="M480" t="str">
        <v>ﾍﾞﾄﾅﾑ</v>
      </c>
      <c r="N480" s="31">
        <v>32183</v>
      </c>
      <c r="O480">
        <v>37</v>
      </c>
      <c r="P480">
        <v>1250</v>
      </c>
      <c r="Q480">
        <v>0</v>
      </c>
      <c r="R480">
        <v>1700</v>
      </c>
      <c r="S480">
        <v>0</v>
      </c>
      <c r="T480">
        <v>450</v>
      </c>
      <c r="U480">
        <v>340000</v>
      </c>
      <c r="V480">
        <v>17051</v>
      </c>
      <c r="W480" t="str">
        <v>0</v>
      </c>
      <c r="X480">
        <v>31110</v>
      </c>
      <c r="Y480" s="31">
        <v>45654</v>
      </c>
      <c r="Z480" t="str">
        <v/>
      </c>
      <c r="AA480" t="str">
        <v>技術・人文知識・国際業務</v>
      </c>
      <c r="AB480" t="str">
        <v>509-7201</v>
      </c>
      <c r="AC480" t="str">
        <v>岐阜県恵那市大井町2087-170</v>
      </c>
      <c r="AD480" t="str">
        <v>ﾋﾞﾚｯｼﾞﾊｳｽ恵那1号棟403</v>
      </c>
      <c r="AE480" s="31" t="str">
        <v>個人</v>
      </c>
      <c r="AF480" s="31">
        <v>44907</v>
      </c>
      <c r="AG480" s="31">
        <v>45341</v>
      </c>
      <c r="AH480" s="31">
        <v>0</v>
      </c>
      <c r="AI480" t="str">
        <v>23.1.1</v>
      </c>
      <c r="AJ480" t="str">
        <v>12/14林</v>
      </c>
      <c r="AK480">
        <v>0</v>
      </c>
      <c r="AL480">
        <v>44907</v>
      </c>
      <c r="AM480">
        <v>0</v>
      </c>
      <c r="AN480">
        <v>0</v>
      </c>
      <c r="AO480">
        <v>0</v>
      </c>
      <c r="AP480">
        <v>0</v>
      </c>
      <c r="AQ480">
        <v>0</v>
      </c>
      <c r="AR480">
        <v>0</v>
      </c>
    </row>
    <row r="481" spans="1:44">
      <c r="A481" t="str">
        <f>H481&amp;COUNTIF($H$2:H481,H481)</f>
        <v>等速ジョイント16</v>
      </c>
      <c r="B481" t="str">
        <f>F481&amp;COUNTIF($F$2:F481,F481)</f>
        <v>瑞陵精機29</v>
      </c>
      <c r="C481" t="str">
        <v>退社</v>
      </c>
      <c r="D481">
        <v>221215</v>
      </c>
      <c r="E481">
        <v>0</v>
      </c>
      <c r="F481" t="str">
        <v>瑞陵精機</v>
      </c>
      <c r="G481" t="str">
        <v>製造課</v>
      </c>
      <c r="H481" t="str">
        <v>等速ジョイント</v>
      </c>
      <c r="I481" t="str">
        <v>ＮＣ旋盤、マシニングセンター等の工作機械を使いオペレーターとして製造ラインで製品を加工</v>
      </c>
      <c r="J481" t="str">
        <v>DINH PHU HUNG</v>
      </c>
      <c r="K481" t="str">
        <v>ディン　フー　フン</v>
      </c>
      <c r="L481" t="str">
        <v>男</v>
      </c>
      <c r="M481" t="str">
        <v>ﾍﾞﾄﾅﾑ</v>
      </c>
      <c r="N481" s="31">
        <v>36848</v>
      </c>
      <c r="O481">
        <v>25</v>
      </c>
      <c r="P481">
        <v>1250</v>
      </c>
      <c r="Q481">
        <v>0</v>
      </c>
      <c r="R481">
        <v>1700</v>
      </c>
      <c r="S481">
        <v>0</v>
      </c>
      <c r="T481">
        <v>450</v>
      </c>
      <c r="U481">
        <v>280000</v>
      </c>
      <c r="V481">
        <v>14042</v>
      </c>
      <c r="W481" t="str">
        <v>0</v>
      </c>
      <c r="X481">
        <v>25620</v>
      </c>
      <c r="Y481" s="31">
        <v>46010</v>
      </c>
      <c r="Z481" t="str">
        <v/>
      </c>
      <c r="AA481" t="str">
        <v>技術・人文知識・国際業務</v>
      </c>
      <c r="AB481" t="str">
        <v>509-7201</v>
      </c>
      <c r="AC481" t="str">
        <v>岐阜県恵那市大井町1454-1</v>
      </c>
      <c r="AD481" t="str">
        <v>社宅　一軒家</v>
      </c>
      <c r="AE481" s="31">
        <v>0</v>
      </c>
      <c r="AF481" s="31">
        <v>44907</v>
      </c>
      <c r="AG481" s="31">
        <v>45715</v>
      </c>
      <c r="AH481" s="31">
        <v>0</v>
      </c>
      <c r="AI481" t="str">
        <v>23.1.1</v>
      </c>
      <c r="AJ481" t="str">
        <v>12/14林</v>
      </c>
      <c r="AK481">
        <v>0</v>
      </c>
      <c r="AL481">
        <v>44907</v>
      </c>
      <c r="AM481">
        <v>0</v>
      </c>
      <c r="AN481">
        <v>0</v>
      </c>
      <c r="AO481">
        <v>0</v>
      </c>
      <c r="AP481">
        <v>0</v>
      </c>
      <c r="AQ481">
        <v>0</v>
      </c>
      <c r="AR481">
        <v>0</v>
      </c>
    </row>
    <row r="482" spans="1:44">
      <c r="A482" t="str">
        <f>H482&amp;COUNTIF($H$2:H482,H482)</f>
        <v>等速ジョイント17</v>
      </c>
      <c r="B482" t="str">
        <f>F482&amp;COUNTIF($F$2:F482,F482)</f>
        <v>瑞陵精機30</v>
      </c>
      <c r="C482" t="str">
        <v>在職中</v>
      </c>
      <c r="D482">
        <v>221216</v>
      </c>
      <c r="E482">
        <v>0</v>
      </c>
      <c r="F482" t="str">
        <v>瑞陵精機</v>
      </c>
      <c r="G482" t="str">
        <v>製造課</v>
      </c>
      <c r="H482" t="str">
        <v>等速ジョイント</v>
      </c>
      <c r="I482" t="str">
        <v>ＮＣ旋盤、マシニングセンター等の工作機械を使いオペレーターとして製造ラインで製品を加工</v>
      </c>
      <c r="J482" t="str">
        <v>KIEU DUC TUAN</v>
      </c>
      <c r="K482" t="str">
        <v>キエウ　ドゥック　トゥアン</v>
      </c>
      <c r="L482" t="str">
        <v>男</v>
      </c>
      <c r="M482" t="str">
        <v>ﾍﾞﾄﾅﾑ</v>
      </c>
      <c r="N482" s="31">
        <v>36698</v>
      </c>
      <c r="O482">
        <v>25</v>
      </c>
      <c r="P482">
        <v>1310</v>
      </c>
      <c r="Q482">
        <v>0</v>
      </c>
      <c r="R482">
        <v>1700</v>
      </c>
      <c r="S482">
        <v>0</v>
      </c>
      <c r="T482">
        <v>390</v>
      </c>
      <c r="U482">
        <v>240000</v>
      </c>
      <c r="V482">
        <v>12036</v>
      </c>
      <c r="W482" t="str">
        <v>0</v>
      </c>
      <c r="X482">
        <v>21960</v>
      </c>
      <c r="Y482" s="31">
        <v>47106</v>
      </c>
      <c r="Z482" t="str">
        <v/>
      </c>
      <c r="AA482" t="str">
        <v>技術・人文知識・国際業務</v>
      </c>
      <c r="AB482" t="str">
        <v>509-7201</v>
      </c>
      <c r="AC482" t="str">
        <v>岐阜県恵那市大井町1454-1</v>
      </c>
      <c r="AD482" t="str">
        <v>社宅　一軒家</v>
      </c>
      <c r="AE482" s="31">
        <v>0</v>
      </c>
      <c r="AF482" s="31">
        <v>44907</v>
      </c>
      <c r="AG482" s="31">
        <v>0</v>
      </c>
      <c r="AH482" s="31">
        <v>0</v>
      </c>
      <c r="AI482" t="str">
        <v>23.1.1</v>
      </c>
      <c r="AJ482" t="str">
        <v>12/14林</v>
      </c>
      <c r="AK482">
        <v>0</v>
      </c>
      <c r="AL482">
        <v>44907</v>
      </c>
      <c r="AM482">
        <v>0</v>
      </c>
      <c r="AN482">
        <v>0</v>
      </c>
      <c r="AO482">
        <v>0</v>
      </c>
      <c r="AP482">
        <v>0</v>
      </c>
      <c r="AQ482">
        <v>0</v>
      </c>
      <c r="AR482">
        <v>0</v>
      </c>
    </row>
    <row r="483" spans="1:44">
      <c r="A483" t="str">
        <f>H483&amp;COUNTIF($H$2:H483,H483)</f>
        <v>加工課1</v>
      </c>
      <c r="B483" t="str">
        <f>F483&amp;COUNTIF($F$2:F483,F483)</f>
        <v>加藤木材工業 春日井1</v>
      </c>
      <c r="C483" t="str">
        <v>退社</v>
      </c>
      <c r="D483">
        <v>221217</v>
      </c>
      <c r="E483">
        <v>5516</v>
      </c>
      <c r="F483" t="str">
        <v>加藤木材工業 春日井</v>
      </c>
      <c r="G483" t="str">
        <v>生産部</v>
      </c>
      <c r="H483" t="str">
        <v>加工課</v>
      </c>
      <c r="I483" t="str">
        <v>機械オペレーター及び機械メンテナンス他付随する業務</v>
      </c>
      <c r="J483" t="str">
        <v>NGUYEN VINH HIEU</v>
      </c>
      <c r="K483" t="str">
        <v>グエン　ヴィン　ヒエウ</v>
      </c>
      <c r="L483" t="str">
        <v>男</v>
      </c>
      <c r="M483" t="str">
        <v>ﾍﾞﾄﾅﾑ</v>
      </c>
      <c r="N483" s="31">
        <v>34773</v>
      </c>
      <c r="O483">
        <v>30</v>
      </c>
      <c r="P483">
        <v>1300</v>
      </c>
      <c r="Q483">
        <v>0</v>
      </c>
      <c r="R483">
        <v>1700</v>
      </c>
      <c r="S483">
        <v>0</v>
      </c>
      <c r="T483">
        <v>400</v>
      </c>
      <c r="U483">
        <v>300000</v>
      </c>
      <c r="V483">
        <v>15045</v>
      </c>
      <c r="W483" t="str">
        <v>0</v>
      </c>
      <c r="X483">
        <v>27450</v>
      </c>
      <c r="Y483" s="31">
        <v>45319</v>
      </c>
      <c r="Z483" t="str">
        <v/>
      </c>
      <c r="AA483" t="str">
        <v>技術・人文知識・国際業務</v>
      </c>
      <c r="AB483" t="str">
        <v>468-0807</v>
      </c>
      <c r="AC483" t="str">
        <v>愛知県春日井市大手町2-53-1</v>
      </c>
      <c r="AD483" t="str">
        <v>ﾊﾟｰｸｻｲﾄﾞ泉Ⅱ 201</v>
      </c>
      <c r="AE483" s="31">
        <v>0</v>
      </c>
      <c r="AF483" s="31">
        <v>44907</v>
      </c>
      <c r="AG483" s="31">
        <v>45288</v>
      </c>
      <c r="AH483" s="31">
        <v>0</v>
      </c>
      <c r="AI483" t="str">
        <v>23.1.1</v>
      </c>
      <c r="AJ483" t="str">
        <v>12/14林</v>
      </c>
      <c r="AK483">
        <v>0</v>
      </c>
      <c r="AL483">
        <v>44907</v>
      </c>
      <c r="AM483">
        <v>0</v>
      </c>
      <c r="AN483">
        <v>0</v>
      </c>
      <c r="AO483">
        <v>0</v>
      </c>
      <c r="AP483">
        <v>0</v>
      </c>
      <c r="AQ483">
        <v>0</v>
      </c>
      <c r="AR483">
        <v>0</v>
      </c>
    </row>
    <row r="484" spans="1:44">
      <c r="A484" t="str">
        <f>H484&amp;COUNTIF($H$2:H484,H484)</f>
        <v>H_2次旋10</v>
      </c>
      <c r="B484" t="str">
        <f>F484&amp;COUNTIF($F$2:F484,F484)</f>
        <v>高雄工業 海南第一37</v>
      </c>
      <c r="C484" t="str">
        <v>在職中</v>
      </c>
      <c r="D484">
        <v>211020</v>
      </c>
      <c r="E484">
        <v>222032</v>
      </c>
      <c r="F484" t="str">
        <v>高雄工業 海南第一</v>
      </c>
      <c r="G484" t="str">
        <v>高雄工業株式会社 愛知事業所海南第一工場製作1課</v>
      </c>
      <c r="H484" t="str">
        <v>H_2次旋</v>
      </c>
      <c r="I484" t="str">
        <v>ハブ加工品の2次施削、手動機械オペレーターNCプログラム修正</v>
      </c>
      <c r="J484" t="str">
        <v>LE SY THINH</v>
      </c>
      <c r="K484" t="str">
        <v>レー　シー　ティン</v>
      </c>
      <c r="L484" t="str">
        <v>男</v>
      </c>
      <c r="M484" t="str">
        <v>ﾍﾞﾄﾅﾑ</v>
      </c>
      <c r="N484" s="31">
        <v>33832</v>
      </c>
      <c r="O484">
        <v>33</v>
      </c>
      <c r="P484">
        <v>1410</v>
      </c>
      <c r="Q484">
        <v>0</v>
      </c>
      <c r="R484">
        <v>1820</v>
      </c>
      <c r="S484" t="str">
        <v>9/16~ 1600円→1750円</v>
      </c>
      <c r="T484">
        <v>410</v>
      </c>
      <c r="U484">
        <v>280000</v>
      </c>
      <c r="V484">
        <v>14042</v>
      </c>
      <c r="W484" t="str">
        <v>0</v>
      </c>
      <c r="X484">
        <v>25620</v>
      </c>
      <c r="Y484" s="31">
        <v>46601</v>
      </c>
      <c r="Z484" t="str">
        <v/>
      </c>
      <c r="AA484" t="str">
        <v>技術・人文知識・国際業務</v>
      </c>
      <c r="AB484" t="str">
        <v>498-0027</v>
      </c>
      <c r="AC484" t="str">
        <v>愛知県弥富市鯏浦町南前新田83-1</v>
      </c>
      <c r="AD484" t="str">
        <v>ﾋﾞｰﾌﾘｰ8 203号</v>
      </c>
      <c r="AE484" s="31">
        <v>0</v>
      </c>
      <c r="AF484" s="31">
        <v>45397</v>
      </c>
      <c r="AG484" s="31">
        <v>0</v>
      </c>
      <c r="AH484" s="31">
        <v>0</v>
      </c>
      <c r="AI484">
        <v>22.01</v>
      </c>
      <c r="AJ484" t="str">
        <v>4/26林</v>
      </c>
      <c r="AK484">
        <v>0</v>
      </c>
      <c r="AL484">
        <v>44228</v>
      </c>
      <c r="AM484">
        <v>0</v>
      </c>
      <c r="AN484">
        <v>0</v>
      </c>
      <c r="AO484">
        <v>0</v>
      </c>
      <c r="AP484">
        <v>0</v>
      </c>
      <c r="AQ484" t="str">
        <v>NASTEST-N4</v>
      </c>
      <c r="AR484">
        <v>0</v>
      </c>
    </row>
    <row r="485" spans="1:44">
      <c r="A485" t="str">
        <f>H485&amp;COUNTIF($H$2:H485,H485)</f>
        <v>H_2次旋11</v>
      </c>
      <c r="B485" t="str">
        <f>F485&amp;COUNTIF($F$2:F485,F485)</f>
        <v>高雄工業 海南第一38</v>
      </c>
      <c r="C485" t="str">
        <v>在職中</v>
      </c>
      <c r="D485">
        <v>241101</v>
      </c>
      <c r="E485">
        <v>222076</v>
      </c>
      <c r="F485" t="str">
        <v>高雄工業 海南第一</v>
      </c>
      <c r="G485" t="str">
        <v>高雄工業株式会社 愛知事業所海南第一工場製作1課</v>
      </c>
      <c r="H485" t="str">
        <v>H_2次旋</v>
      </c>
      <c r="I485" t="str">
        <v>ハブ加工品の2次施削、手動機械オペレーターNCプログラム修正</v>
      </c>
      <c r="J485" t="str">
        <v>NGUYEN QUOC BAO</v>
      </c>
      <c r="K485" t="str">
        <v>グエン　クォック　バオ</v>
      </c>
      <c r="L485" t="str">
        <v>男</v>
      </c>
      <c r="M485" t="str">
        <v>ﾍﾞﾄﾅﾑ</v>
      </c>
      <c r="N485" s="31">
        <v>36892</v>
      </c>
      <c r="O485">
        <v>24</v>
      </c>
      <c r="P485">
        <v>1250</v>
      </c>
      <c r="Q485">
        <v>0</v>
      </c>
      <c r="R485">
        <v>1650</v>
      </c>
      <c r="S485">
        <v>0</v>
      </c>
      <c r="T485">
        <v>400</v>
      </c>
      <c r="U485">
        <v>260000</v>
      </c>
      <c r="V485">
        <v>13039</v>
      </c>
      <c r="W485" t="str">
        <v>0</v>
      </c>
      <c r="X485">
        <v>23790</v>
      </c>
      <c r="Y485" s="31">
        <v>46325</v>
      </c>
      <c r="Z485" t="str">
        <v/>
      </c>
      <c r="AA485" t="str">
        <v>技術・人文知識・国際業務</v>
      </c>
      <c r="AB485" t="str">
        <v>498-0026</v>
      </c>
      <c r="AC485" t="str">
        <v>愛知県弥富市鯏浦町西前新田119-1</v>
      </c>
      <c r="AD485" t="str">
        <v>ﾗｲﾌｺｱ119　301号</v>
      </c>
      <c r="AE485" s="31">
        <v>0</v>
      </c>
      <c r="AF485" s="31">
        <v>45600</v>
      </c>
      <c r="AG485" s="31">
        <v>0</v>
      </c>
      <c r="AH485" s="31">
        <v>0</v>
      </c>
      <c r="AI485">
        <v>45600</v>
      </c>
      <c r="AJ485" t="str">
        <v>11/20林</v>
      </c>
      <c r="AK485">
        <v>0</v>
      </c>
      <c r="AL485">
        <v>45600</v>
      </c>
      <c r="AM485">
        <v>0</v>
      </c>
      <c r="AN485">
        <v>0</v>
      </c>
      <c r="AO485">
        <v>0</v>
      </c>
      <c r="AP485">
        <v>0</v>
      </c>
      <c r="AQ485">
        <v>0</v>
      </c>
      <c r="AR485">
        <v>0</v>
      </c>
    </row>
    <row r="486" spans="1:44">
      <c r="A486" t="str">
        <f>H486&amp;COUNTIF($H$2:H486,H486)</f>
        <v>加工課2</v>
      </c>
      <c r="B486" t="str">
        <f>F486&amp;COUNTIF($F$2:F486,F486)</f>
        <v>加藤木材工業 春日井2</v>
      </c>
      <c r="C486" t="str">
        <v>退社</v>
      </c>
      <c r="D486">
        <v>221218</v>
      </c>
      <c r="E486">
        <v>5518</v>
      </c>
      <c r="F486" t="str">
        <v>加藤木材工業 春日井</v>
      </c>
      <c r="G486" t="str">
        <v>生産部</v>
      </c>
      <c r="H486" t="str">
        <v>加工課</v>
      </c>
      <c r="I486" t="str">
        <v>機械オペレーター及び機械メンテナンス他付随する業務</v>
      </c>
      <c r="J486" t="str">
        <v>NGUYEN THI LOC</v>
      </c>
      <c r="K486" t="str">
        <v>グエン　ティ　ロック</v>
      </c>
      <c r="L486" t="str">
        <v>女</v>
      </c>
      <c r="M486" t="str">
        <v>ﾍﾞﾄﾅﾑ</v>
      </c>
      <c r="N486" s="31">
        <v>32925</v>
      </c>
      <c r="O486">
        <v>35</v>
      </c>
      <c r="P486">
        <v>1300</v>
      </c>
      <c r="Q486">
        <v>0</v>
      </c>
      <c r="R486">
        <v>1700</v>
      </c>
      <c r="S486">
        <v>0</v>
      </c>
      <c r="T486">
        <v>400</v>
      </c>
      <c r="U486">
        <v>280000</v>
      </c>
      <c r="V486">
        <v>14042</v>
      </c>
      <c r="W486" t="str">
        <v>0</v>
      </c>
      <c r="X486">
        <v>25620</v>
      </c>
      <c r="Y486" s="31">
        <v>46194</v>
      </c>
      <c r="Z486" t="str">
        <v/>
      </c>
      <c r="AA486" t="str">
        <v>技術・人文知識・国際業務</v>
      </c>
      <c r="AB486" t="str">
        <v>485-0023</v>
      </c>
      <c r="AC486" t="str">
        <v>愛知県小牧市大字北外山2643番地1</v>
      </c>
      <c r="AD486" t="str">
        <v>ｻﾝﾊﾟﾃｨｰｸⅡ1E</v>
      </c>
      <c r="AE486" s="31">
        <v>0</v>
      </c>
      <c r="AF486" s="31">
        <v>44914</v>
      </c>
      <c r="AG486" s="31">
        <v>45534</v>
      </c>
      <c r="AH486" s="31">
        <v>0</v>
      </c>
      <c r="AI486" t="str">
        <v>22.12.19</v>
      </c>
      <c r="AJ486" t="str">
        <v>1/9原</v>
      </c>
      <c r="AK486">
        <v>0</v>
      </c>
      <c r="AL486">
        <v>44914</v>
      </c>
      <c r="AM486">
        <v>0</v>
      </c>
      <c r="AN486">
        <v>0</v>
      </c>
      <c r="AO486">
        <v>0</v>
      </c>
      <c r="AP486">
        <v>0</v>
      </c>
      <c r="AQ486">
        <v>0</v>
      </c>
      <c r="AR486">
        <v>0</v>
      </c>
    </row>
    <row r="487" spans="1:44">
      <c r="A487" t="str">
        <f>H487&amp;COUNTIF($H$2:H487,H487)</f>
        <v>資材課3</v>
      </c>
      <c r="B487" t="str">
        <f>F487&amp;COUNTIF($F$2:F487,F487)</f>
        <v>加藤木材工業 本社17</v>
      </c>
      <c r="C487" t="str">
        <v>在職中</v>
      </c>
      <c r="D487">
        <v>230101</v>
      </c>
      <c r="E487">
        <v>5520</v>
      </c>
      <c r="F487" t="str">
        <v>加藤木材工業 本社</v>
      </c>
      <c r="G487" t="str">
        <v>生産企画部</v>
      </c>
      <c r="H487" t="str">
        <v>資材課</v>
      </c>
      <c r="I487" t="str">
        <v>機械オペレーター及び機械メンテナンス他付随する業務</v>
      </c>
      <c r="J487" t="str">
        <v>ZARATE SAKUDA SERGIO EDUARDO</v>
      </c>
      <c r="K487" t="str">
        <v>サラテ　サクダ　セルヒオ　エドゥアルド</v>
      </c>
      <c r="L487" t="str">
        <v>男</v>
      </c>
      <c r="M487" t="str">
        <v>ﾍﾟﾙｰ</v>
      </c>
      <c r="N487" s="31">
        <v>33164</v>
      </c>
      <c r="O487">
        <v>35</v>
      </c>
      <c r="P487">
        <v>1320</v>
      </c>
      <c r="Q487" t="str">
        <v>2025/5/21～1300円⇒1320円</v>
      </c>
      <c r="R487">
        <v>1730</v>
      </c>
      <c r="S487" t="str">
        <v>2025/5/21~1700円⇒1730円</v>
      </c>
      <c r="T487">
        <v>410</v>
      </c>
      <c r="U487">
        <v>320000</v>
      </c>
      <c r="V487">
        <v>16048</v>
      </c>
      <c r="W487" t="str">
        <v>0</v>
      </c>
      <c r="X487">
        <v>29280</v>
      </c>
      <c r="Y487" s="31">
        <v>46529</v>
      </c>
      <c r="Z487" t="str">
        <v/>
      </c>
      <c r="AA487" t="str">
        <v>定住者</v>
      </c>
      <c r="AB487" t="str">
        <v>486-0904</v>
      </c>
      <c r="AC487" t="str">
        <v>愛知県春日井市宮町2-3-16</v>
      </c>
      <c r="AD487" t="str">
        <v>ﾘﾝﾋﾟｱ長斉203</v>
      </c>
      <c r="AE487" s="31">
        <v>44924</v>
      </c>
      <c r="AF487" s="31">
        <v>44932</v>
      </c>
      <c r="AG487" s="31">
        <v>0</v>
      </c>
      <c r="AH487" s="31">
        <v>0</v>
      </c>
      <c r="AI487" t="str">
        <v>23.2.1</v>
      </c>
      <c r="AJ487" t="str">
        <v>1/16林</v>
      </c>
      <c r="AK487">
        <v>0</v>
      </c>
      <c r="AL487">
        <v>44932</v>
      </c>
      <c r="AM487">
        <v>0</v>
      </c>
      <c r="AN487">
        <v>0</v>
      </c>
      <c r="AO487">
        <v>0</v>
      </c>
      <c r="AP487">
        <v>0</v>
      </c>
      <c r="AQ487">
        <v>0</v>
      </c>
      <c r="AR487">
        <v>0</v>
      </c>
    </row>
    <row r="488" spans="1:44">
      <c r="A488" t="str">
        <f>H488&amp;COUNTIF($H$2:H488,H488)</f>
        <v>加工課3</v>
      </c>
      <c r="B488" t="str">
        <f>F488&amp;COUNTIF($F$2:F488,F488)</f>
        <v>加藤木材工業 春日井3</v>
      </c>
      <c r="C488" t="str">
        <v>在職中</v>
      </c>
      <c r="D488">
        <v>230102</v>
      </c>
      <c r="E488">
        <v>5519</v>
      </c>
      <c r="F488" t="str">
        <v>加藤木材工業 春日井</v>
      </c>
      <c r="G488" t="str">
        <v>生産部</v>
      </c>
      <c r="H488" t="str">
        <v>加工課</v>
      </c>
      <c r="I488" t="str">
        <v>機械オペレーター及び機械メンテナンス他付随する業務</v>
      </c>
      <c r="J488" t="str">
        <v>NGUYEN THI QUYEN</v>
      </c>
      <c r="K488" t="str">
        <v>グエン　ティ　クエン</v>
      </c>
      <c r="L488" t="str">
        <v>女</v>
      </c>
      <c r="M488" t="str">
        <v>ﾍﾞﾄﾅﾑ</v>
      </c>
      <c r="N488" s="31">
        <v>33671</v>
      </c>
      <c r="O488">
        <v>33</v>
      </c>
      <c r="P488">
        <v>1330</v>
      </c>
      <c r="Q488" t="str">
        <v>2025/5/21～1300円⇒1330円</v>
      </c>
      <c r="R488">
        <v>1745</v>
      </c>
      <c r="S488" t="str">
        <v>2025/5/21~1700円⇒1745円</v>
      </c>
      <c r="T488">
        <v>415</v>
      </c>
      <c r="U488">
        <v>260000</v>
      </c>
      <c r="V488">
        <v>13039</v>
      </c>
      <c r="W488" t="str">
        <v>0</v>
      </c>
      <c r="X488">
        <v>23790</v>
      </c>
      <c r="Y488" s="31">
        <v>46598</v>
      </c>
      <c r="Z488" t="str">
        <v/>
      </c>
      <c r="AA488" t="str">
        <v>技術・人文知識・国際業務</v>
      </c>
      <c r="AB488" t="str">
        <v>485-0041</v>
      </c>
      <c r="AC488" t="str">
        <v>愛知県小牧市小牧大字3522番地</v>
      </c>
      <c r="AD488" t="str">
        <v>ﾋﾞﾚｯｼﾞﾊｳｽ山北4号棟</v>
      </c>
      <c r="AE488" s="31" t="str">
        <v>個人</v>
      </c>
      <c r="AF488" s="31">
        <v>44932</v>
      </c>
      <c r="AG488" s="31">
        <v>0</v>
      </c>
      <c r="AH488" s="31">
        <v>0</v>
      </c>
      <c r="AI488" t="str">
        <v>23.1.6</v>
      </c>
      <c r="AJ488" t="str">
        <v>1/18林</v>
      </c>
      <c r="AK488">
        <v>0</v>
      </c>
      <c r="AL488">
        <v>44932</v>
      </c>
      <c r="AM488">
        <v>0</v>
      </c>
      <c r="AN488">
        <v>0</v>
      </c>
      <c r="AO488">
        <v>0</v>
      </c>
      <c r="AP488">
        <v>0</v>
      </c>
      <c r="AQ488">
        <v>0</v>
      </c>
      <c r="AR488">
        <v>0</v>
      </c>
    </row>
    <row r="489" spans="1:44">
      <c r="A489" t="str">
        <f>H489&amp;COUNTIF($H$2:H489,H489)</f>
        <v>本社製造部製造3課3</v>
      </c>
      <c r="B489" t="str">
        <f>F489&amp;COUNTIF($F$2:F489,F489)</f>
        <v>ユアサ工機 新城3</v>
      </c>
      <c r="C489" t="str">
        <v>退社</v>
      </c>
      <c r="D489">
        <v>230103</v>
      </c>
      <c r="E489">
        <v>6551</v>
      </c>
      <c r="F489" t="str">
        <v>ユアサ工機 新城</v>
      </c>
      <c r="G489" t="str">
        <v>本社製造部製造3課</v>
      </c>
      <c r="H489" t="str">
        <v>本社製造部製造3課</v>
      </c>
      <c r="I489" t="str">
        <v>クランクシャフトの旋盤、マシニング、研磨、仕上げ加工など</v>
      </c>
      <c r="J489" t="str">
        <v>PHAN QUANG HOP</v>
      </c>
      <c r="K489" t="str">
        <v>ファン　クアン　ホップ</v>
      </c>
      <c r="L489" t="str">
        <v>男</v>
      </c>
      <c r="M489" t="str">
        <v>ﾍﾞﾄﾅﾑ</v>
      </c>
      <c r="N489" s="31">
        <v>36393</v>
      </c>
      <c r="O489">
        <v>26</v>
      </c>
      <c r="P489">
        <v>1400</v>
      </c>
      <c r="Q489">
        <v>0</v>
      </c>
      <c r="R489">
        <v>1900</v>
      </c>
      <c r="S489">
        <v>0</v>
      </c>
      <c r="T489">
        <v>500</v>
      </c>
      <c r="U489">
        <v>220000</v>
      </c>
      <c r="V489">
        <v>11033</v>
      </c>
      <c r="W489" t="str">
        <v>0</v>
      </c>
      <c r="X489">
        <v>20130</v>
      </c>
      <c r="Y489" s="31">
        <v>45899</v>
      </c>
      <c r="Z489" t="str">
        <v/>
      </c>
      <c r="AA489" t="str">
        <v>技術・人文知識・国際業務</v>
      </c>
      <c r="AB489" t="str">
        <v>441-1231</v>
      </c>
      <c r="AC489" t="str">
        <v>愛知県豊川市一宮町旭251番地</v>
      </c>
      <c r="AD489" t="str">
        <v>ｸﾞﾚｲｽ旭A202号</v>
      </c>
      <c r="AE489" s="31">
        <v>0</v>
      </c>
      <c r="AF489" s="31">
        <v>44935</v>
      </c>
      <c r="AG489" s="31">
        <v>45708</v>
      </c>
      <c r="AH489" s="31">
        <v>0</v>
      </c>
      <c r="AI489" t="str">
        <v>23.1.9</v>
      </c>
      <c r="AJ489" t="str">
        <v>1/16林</v>
      </c>
      <c r="AK489">
        <v>0</v>
      </c>
      <c r="AL489">
        <v>44935</v>
      </c>
      <c r="AM489">
        <v>0</v>
      </c>
      <c r="AN489">
        <v>0</v>
      </c>
      <c r="AO489">
        <v>0</v>
      </c>
      <c r="AP489">
        <v>0</v>
      </c>
      <c r="AQ489">
        <v>0</v>
      </c>
      <c r="AR489">
        <v>0</v>
      </c>
    </row>
    <row r="490" spans="1:44">
      <c r="A490" t="str">
        <f>H490&amp;COUNTIF($H$2:H490,H490)</f>
        <v>成型ライン8</v>
      </c>
      <c r="B490" t="str">
        <f>F490&amp;COUNTIF($F$2:F490,F490)</f>
        <v>ピーエムアイ18</v>
      </c>
      <c r="C490" t="str">
        <v>退社</v>
      </c>
      <c r="D490">
        <v>230104</v>
      </c>
      <c r="E490">
        <v>0</v>
      </c>
      <c r="F490" t="str">
        <v>ピーエムアイ</v>
      </c>
      <c r="G490" t="str">
        <v>製造1</v>
      </c>
      <c r="H490" t="str">
        <v>成型ライン</v>
      </c>
      <c r="I490" t="str">
        <v>プラスチック製品の製造におけるすべての行為</v>
      </c>
      <c r="J490" t="str">
        <v>LE THI HIEN</v>
      </c>
      <c r="K490" t="str">
        <v>レー　ティ　ヒエン</v>
      </c>
      <c r="L490" t="str">
        <v>女</v>
      </c>
      <c r="M490" t="str">
        <v>ﾍﾞﾄﾅﾑ</v>
      </c>
      <c r="N490" s="31">
        <v>31362</v>
      </c>
      <c r="O490">
        <v>40</v>
      </c>
      <c r="P490">
        <v>1300</v>
      </c>
      <c r="Q490">
        <v>0</v>
      </c>
      <c r="R490">
        <v>1800</v>
      </c>
      <c r="S490">
        <v>0</v>
      </c>
      <c r="T490">
        <v>500</v>
      </c>
      <c r="U490">
        <v>260000</v>
      </c>
      <c r="V490">
        <v>13039</v>
      </c>
      <c r="W490">
        <v>2067</v>
      </c>
      <c r="X490">
        <v>23790</v>
      </c>
      <c r="Y490" s="31">
        <v>46598</v>
      </c>
      <c r="Z490" t="str">
        <v/>
      </c>
      <c r="AA490" t="str">
        <v>技術・人文知識・国際業務</v>
      </c>
      <c r="AB490" t="str">
        <v>471-0805</v>
      </c>
      <c r="AC490" t="str">
        <v>愛知県豊田市美里2-6-9</v>
      </c>
      <c r="AD490" t="str">
        <v>ﾚｼﾞｪﾝﾄﾞK204</v>
      </c>
      <c r="AE490" s="31">
        <v>44938</v>
      </c>
      <c r="AF490" s="31">
        <v>44939</v>
      </c>
      <c r="AG490" s="31">
        <v>45889</v>
      </c>
      <c r="AH490" s="31">
        <v>0</v>
      </c>
      <c r="AI490" t="str">
        <v>23.2.1</v>
      </c>
      <c r="AJ490" t="str">
        <v>1/16林</v>
      </c>
      <c r="AK490">
        <v>0</v>
      </c>
      <c r="AL490">
        <v>44939</v>
      </c>
      <c r="AM490">
        <v>0</v>
      </c>
      <c r="AN490">
        <v>0</v>
      </c>
      <c r="AO490">
        <v>0</v>
      </c>
      <c r="AP490">
        <v>0</v>
      </c>
      <c r="AQ490">
        <v>0</v>
      </c>
      <c r="AR490">
        <v>0</v>
      </c>
    </row>
    <row r="491" spans="1:44">
      <c r="A491" t="str">
        <f>H491&amp;COUNTIF($H$2:H491,H491)</f>
        <v>検査1</v>
      </c>
      <c r="B491" t="str">
        <f>F491&amp;COUNTIF($F$2:F491,F491)</f>
        <v>PATEC22</v>
      </c>
      <c r="C491" t="str">
        <v>在職中</v>
      </c>
      <c r="D491">
        <v>230105</v>
      </c>
      <c r="E491">
        <v>0</v>
      </c>
      <c r="F491" t="str">
        <v>PATEC</v>
      </c>
      <c r="G491" t="str">
        <v>製造部検査課</v>
      </c>
      <c r="H491" t="str">
        <v>検査</v>
      </c>
      <c r="I491" t="str">
        <v>キズ・へこみ・塗装ムラ・異物混入などの不良を目視で確認</v>
      </c>
      <c r="J491" t="str">
        <v>PHAM VAN THANH</v>
      </c>
      <c r="K491" t="str">
        <v>ファム　バン　タイン</v>
      </c>
      <c r="L491" t="str">
        <v>男</v>
      </c>
      <c r="M491" t="str">
        <v>ﾍﾞﾄﾅﾑ</v>
      </c>
      <c r="N491" s="31">
        <v>34597</v>
      </c>
      <c r="O491">
        <v>31</v>
      </c>
      <c r="P491">
        <v>1500</v>
      </c>
      <c r="Q491">
        <v>0</v>
      </c>
      <c r="R491">
        <v>2000</v>
      </c>
      <c r="S491" t="str">
        <v>24/2/21～24/8/20まで請求単価50円下げ</v>
      </c>
      <c r="T491">
        <v>500</v>
      </c>
      <c r="U491">
        <v>380000</v>
      </c>
      <c r="V491">
        <v>19057</v>
      </c>
      <c r="W491" t="str">
        <v>0</v>
      </c>
      <c r="X491">
        <v>34770</v>
      </c>
      <c r="Y491" s="31">
        <v>46762</v>
      </c>
      <c r="Z491" t="str">
        <v/>
      </c>
      <c r="AA491" t="str">
        <v>技術・人文知識・国際業務</v>
      </c>
      <c r="AB491" t="str">
        <v>747-0834</v>
      </c>
      <c r="AC491" t="str">
        <v>山口県防府市大字田島545-2</v>
      </c>
      <c r="AD491" t="str">
        <v>ﾋﾞﾚｯｼﾞﾊｳｽ田島2棟305号</v>
      </c>
      <c r="AE491" s="31">
        <v>44943</v>
      </c>
      <c r="AF491" s="31">
        <v>44944</v>
      </c>
      <c r="AG491" s="31">
        <v>0</v>
      </c>
      <c r="AH491" s="31">
        <v>0</v>
      </c>
      <c r="AI491" t="str">
        <v>23.2.1</v>
      </c>
      <c r="AJ491" t="str">
        <v>2/15林</v>
      </c>
      <c r="AK491">
        <v>0</v>
      </c>
      <c r="AL491">
        <v>44944</v>
      </c>
      <c r="AM491">
        <v>0</v>
      </c>
      <c r="AN491">
        <v>0</v>
      </c>
      <c r="AO491">
        <v>0</v>
      </c>
      <c r="AP491">
        <v>0</v>
      </c>
      <c r="AQ491">
        <v>0</v>
      </c>
      <c r="AR491">
        <v>0</v>
      </c>
    </row>
    <row r="492" spans="1:44">
      <c r="A492" t="str">
        <f>H492&amp;COUNTIF($H$2:H492,H492)</f>
        <v>CVJ短軸旋盤係9</v>
      </c>
      <c r="B492" t="str">
        <f>F492&amp;COUNTIF($F$2:F492,F492)</f>
        <v>高雄工業 岡山86</v>
      </c>
      <c r="C492" t="str">
        <v>退社</v>
      </c>
      <c r="D492">
        <v>230107</v>
      </c>
      <c r="E492">
        <v>232087</v>
      </c>
      <c r="F492" t="str">
        <v>高雄工業 岡山</v>
      </c>
      <c r="G492" t="str">
        <v>高雄工業株式会社 岡山事業所CVJ工場製作課</v>
      </c>
      <c r="H492" t="str">
        <v>CVJ短軸旋盤係</v>
      </c>
      <c r="I492" t="str">
        <v>ＣＶＪ短軸等速ジョイント旋削加工・ＮＣプログラム修正</v>
      </c>
      <c r="J492" t="str">
        <v>NGUYEN HOANG ANH</v>
      </c>
      <c r="K492" t="str">
        <v>グエン　ホアン　アイン</v>
      </c>
      <c r="L492" t="str">
        <v>男</v>
      </c>
      <c r="M492" t="str">
        <v>ﾍﾞﾄﾅﾑ</v>
      </c>
      <c r="N492" s="31">
        <v>36846</v>
      </c>
      <c r="O492">
        <v>25</v>
      </c>
      <c r="P492">
        <v>1250</v>
      </c>
      <c r="Q492">
        <v>0</v>
      </c>
      <c r="R492">
        <v>1650</v>
      </c>
      <c r="S492">
        <v>0</v>
      </c>
      <c r="T492">
        <v>400</v>
      </c>
      <c r="U492">
        <v>300000</v>
      </c>
      <c r="V492">
        <v>15045</v>
      </c>
      <c r="W492" t="str">
        <v>0</v>
      </c>
      <c r="X492">
        <v>27450</v>
      </c>
      <c r="Y492" s="31">
        <v>45304</v>
      </c>
      <c r="Z492" t="str">
        <v/>
      </c>
      <c r="AA492" t="str">
        <v>技術・人文知識・国際業務</v>
      </c>
      <c r="AB492" t="str">
        <v>709-2107</v>
      </c>
      <c r="AC492" t="str">
        <v>岡山県岡山市北区御津矢原370-1</v>
      </c>
      <c r="AD492" t="str">
        <v>成広矢原ｺｰﾎﾟⅡ102</v>
      </c>
      <c r="AE492" s="31">
        <v>44939</v>
      </c>
      <c r="AF492" s="31">
        <v>44945</v>
      </c>
      <c r="AG492" s="31">
        <v>45310</v>
      </c>
      <c r="AH492" s="31">
        <v>0</v>
      </c>
      <c r="AI492" t="str">
        <v>23.2.1</v>
      </c>
      <c r="AJ492" t="str">
        <v>1/25林</v>
      </c>
      <c r="AK492">
        <v>0</v>
      </c>
      <c r="AL492">
        <v>44945</v>
      </c>
      <c r="AM492">
        <v>0</v>
      </c>
      <c r="AN492">
        <v>0</v>
      </c>
      <c r="AO492">
        <v>0</v>
      </c>
      <c r="AP492">
        <v>0</v>
      </c>
      <c r="AQ492">
        <v>0</v>
      </c>
      <c r="AR492">
        <v>0</v>
      </c>
    </row>
    <row r="493" spans="1:44">
      <c r="A493" t="str">
        <f>H493&amp;COUNTIF($H$2:H493,H493)</f>
        <v>CVJ短軸旋盤係10</v>
      </c>
      <c r="B493" t="str">
        <f>F493&amp;COUNTIF($F$2:F493,F493)</f>
        <v>高雄工業 岡山87</v>
      </c>
      <c r="C493" t="str">
        <v>退社</v>
      </c>
      <c r="D493">
        <v>230108</v>
      </c>
      <c r="E493">
        <v>232086</v>
      </c>
      <c r="F493" t="str">
        <v>高雄工業 岡山</v>
      </c>
      <c r="G493" t="str">
        <v>高雄工業株式会社 岡山事業所CVJ工場製作課</v>
      </c>
      <c r="H493" t="str">
        <v>CVJ短軸旋盤係</v>
      </c>
      <c r="I493" t="str">
        <v>ＣＶＪ短軸等速ジョイント旋削加工、ＮＣプログラム修正</v>
      </c>
      <c r="J493" t="str">
        <v>VU HOANG AN</v>
      </c>
      <c r="K493" t="str">
        <v>ヴー　ホアン　アン</v>
      </c>
      <c r="L493" t="str">
        <v>男</v>
      </c>
      <c r="M493" t="str">
        <v>ﾍﾞﾄﾅﾑ</v>
      </c>
      <c r="N493" s="31">
        <v>36949</v>
      </c>
      <c r="O493">
        <v>24</v>
      </c>
      <c r="P493">
        <v>1300</v>
      </c>
      <c r="Q493">
        <v>0</v>
      </c>
      <c r="R493">
        <v>1680</v>
      </c>
      <c r="S493">
        <v>0</v>
      </c>
      <c r="T493">
        <v>380</v>
      </c>
      <c r="U493">
        <v>220000</v>
      </c>
      <c r="V493">
        <v>11033</v>
      </c>
      <c r="W493" t="str">
        <v>0</v>
      </c>
      <c r="X493">
        <v>20130</v>
      </c>
      <c r="Y493" s="31">
        <v>46400</v>
      </c>
      <c r="Z493" t="str">
        <v/>
      </c>
      <c r="AA493" t="str">
        <v>技術・人文知識・国際業務</v>
      </c>
      <c r="AB493" t="str">
        <v>709-2107</v>
      </c>
      <c r="AC493" t="str">
        <v>岡山県岡山市北区御津矢原307</v>
      </c>
      <c r="AD493" t="str">
        <v>成広矢原ｺｰﾎﾟⅠ205号</v>
      </c>
      <c r="AE493" s="31">
        <v>44939</v>
      </c>
      <c r="AF493" s="31">
        <v>44945</v>
      </c>
      <c r="AG493" s="31">
        <v>45562</v>
      </c>
      <c r="AH493" s="31">
        <v>0</v>
      </c>
      <c r="AI493" t="str">
        <v>23.2.1</v>
      </c>
      <c r="AJ493" t="str">
        <v>1/25林</v>
      </c>
      <c r="AK493">
        <v>0</v>
      </c>
      <c r="AL493">
        <v>44945</v>
      </c>
      <c r="AM493">
        <v>0</v>
      </c>
      <c r="AN493">
        <v>0</v>
      </c>
      <c r="AO493">
        <v>0</v>
      </c>
      <c r="AP493">
        <v>0</v>
      </c>
      <c r="AQ493">
        <v>0</v>
      </c>
      <c r="AR493">
        <v>0</v>
      </c>
    </row>
    <row r="494" spans="1:44">
      <c r="A494" t="str">
        <f>H494&amp;COUNTIF($H$2:H494,H494)</f>
        <v>H_2次旋12</v>
      </c>
      <c r="B494" t="str">
        <f>F494&amp;COUNTIF($F$2:F494,F494)</f>
        <v>高雄工業 海南第一39</v>
      </c>
      <c r="C494" t="str">
        <v>在職中</v>
      </c>
      <c r="D494">
        <v>241205</v>
      </c>
      <c r="E494">
        <v>222077</v>
      </c>
      <c r="F494" t="str">
        <v>高雄工業 海南第一</v>
      </c>
      <c r="G494" t="str">
        <v>高雄工業株式会社 愛知事業所海南第一工場製作1課</v>
      </c>
      <c r="H494" t="str">
        <v>H_2次旋</v>
      </c>
      <c r="I494" t="str">
        <v>ハブ加工品の2次施削、手動機械オペレーターNCプログラム修正</v>
      </c>
      <c r="J494" t="str">
        <v>LA XUAN THANG</v>
      </c>
      <c r="K494" t="str">
        <v>ラー　スアン　タン</v>
      </c>
      <c r="L494" t="str">
        <v>男</v>
      </c>
      <c r="M494" t="str">
        <v>ﾍﾞﾄﾅﾑ</v>
      </c>
      <c r="N494" s="31">
        <v>36899</v>
      </c>
      <c r="O494">
        <v>24</v>
      </c>
      <c r="P494">
        <v>1250</v>
      </c>
      <c r="Q494">
        <v>0</v>
      </c>
      <c r="R494">
        <v>1650</v>
      </c>
      <c r="S494">
        <v>0</v>
      </c>
      <c r="T494">
        <v>400</v>
      </c>
      <c r="U494">
        <v>280000</v>
      </c>
      <c r="V494">
        <v>14042</v>
      </c>
      <c r="W494" t="str">
        <v>0</v>
      </c>
      <c r="X494">
        <v>25620</v>
      </c>
      <c r="Y494" s="31">
        <v>46358</v>
      </c>
      <c r="Z494" t="str">
        <v/>
      </c>
      <c r="AA494" t="str">
        <v>技術・人文知識・国際業務</v>
      </c>
      <c r="AB494" t="str">
        <v>498-0032</v>
      </c>
      <c r="AC494" t="str">
        <v>愛知県弥富市平島中4-125</v>
      </c>
      <c r="AD494">
        <v>0</v>
      </c>
      <c r="AE494" s="31">
        <v>0</v>
      </c>
      <c r="AF494" s="31">
        <v>45635</v>
      </c>
      <c r="AG494" s="31">
        <v>0</v>
      </c>
      <c r="AH494" s="31">
        <v>0</v>
      </c>
      <c r="AI494">
        <v>45635</v>
      </c>
      <c r="AJ494" t="str">
        <v>12/23林</v>
      </c>
      <c r="AK494">
        <v>0</v>
      </c>
      <c r="AL494">
        <v>45635</v>
      </c>
      <c r="AM494">
        <v>0</v>
      </c>
      <c r="AN494">
        <v>0</v>
      </c>
      <c r="AO494">
        <v>0</v>
      </c>
      <c r="AP494">
        <v>0</v>
      </c>
      <c r="AQ494">
        <v>0</v>
      </c>
      <c r="AR494">
        <v>0</v>
      </c>
    </row>
    <row r="495" spans="1:44">
      <c r="A495" t="str">
        <f>H495&amp;COUNTIF($H$2:H495,H495)</f>
        <v>0218</v>
      </c>
      <c r="B495" t="str">
        <f>F495&amp;COUNTIF($F$2:F495,F495)</f>
        <v>プレテック6</v>
      </c>
      <c r="C495" t="str">
        <v>退社</v>
      </c>
      <c r="D495">
        <v>210612</v>
      </c>
      <c r="E495">
        <v>0</v>
      </c>
      <c r="F495" t="str">
        <v>プレテック</v>
      </c>
      <c r="G495">
        <v>0</v>
      </c>
      <c r="H495">
        <v>0</v>
      </c>
      <c r="I495">
        <v>0</v>
      </c>
      <c r="J495" t="str">
        <v>NGUYEN THI NGOC LINH</v>
      </c>
      <c r="K495" t="str">
        <v>グエン　ティ　ゴック　リン</v>
      </c>
      <c r="L495" t="str">
        <v>女</v>
      </c>
      <c r="M495" t="str">
        <v>ﾍﾞﾄﾅﾑ</v>
      </c>
      <c r="N495" s="31">
        <v>34226</v>
      </c>
      <c r="O495">
        <v>32</v>
      </c>
      <c r="P495">
        <v>1300</v>
      </c>
      <c r="Q495">
        <v>0</v>
      </c>
      <c r="R495">
        <v>1750</v>
      </c>
      <c r="S495">
        <v>0</v>
      </c>
      <c r="T495">
        <v>450</v>
      </c>
      <c r="U495">
        <v>180000</v>
      </c>
      <c r="V495">
        <v>9027</v>
      </c>
      <c r="W495" t="str">
        <v>0</v>
      </c>
      <c r="X495">
        <v>16470</v>
      </c>
      <c r="Y495" s="31">
        <v>45325</v>
      </c>
      <c r="Z495" t="str">
        <v/>
      </c>
      <c r="AA495" t="str">
        <v>技術・人文知識・国際業務</v>
      </c>
      <c r="AB495" t="str">
        <v>715-0022</v>
      </c>
      <c r="AC495" t="str">
        <v>岡山県井原市下出部町2丁目8-7</v>
      </c>
      <c r="AD495" t="str">
        <v>ｴｽﾃｰﾄｲﾃﾞﾊﾗB102</v>
      </c>
      <c r="AE495" s="31">
        <v>0</v>
      </c>
      <c r="AF495" s="31">
        <v>44949</v>
      </c>
      <c r="AG495" s="31">
        <v>45061</v>
      </c>
      <c r="AH495" s="31">
        <v>0</v>
      </c>
      <c r="AI495" t="str">
        <v>23.1.23</v>
      </c>
      <c r="AJ495" t="str">
        <v>2/27林</v>
      </c>
      <c r="AK495">
        <v>0</v>
      </c>
      <c r="AL495">
        <v>44949</v>
      </c>
      <c r="AM495">
        <v>0</v>
      </c>
      <c r="AN495">
        <v>0</v>
      </c>
      <c r="AO495">
        <v>0</v>
      </c>
      <c r="AP495">
        <v>0</v>
      </c>
      <c r="AQ495">
        <v>0</v>
      </c>
      <c r="AR495">
        <v>0</v>
      </c>
    </row>
    <row r="496" spans="1:44">
      <c r="A496" t="str">
        <f>H496&amp;COUNTIF($H$2:H496,H496)</f>
        <v>成型ライン9</v>
      </c>
      <c r="B496" t="str">
        <f>F496&amp;COUNTIF($F$2:F496,F496)</f>
        <v>ピーエムアイ19</v>
      </c>
      <c r="C496" t="str">
        <v>退社</v>
      </c>
      <c r="D496">
        <v>230109</v>
      </c>
      <c r="E496">
        <v>0</v>
      </c>
      <c r="F496" t="str">
        <v>ピーエムアイ</v>
      </c>
      <c r="G496" t="str">
        <v>製造1</v>
      </c>
      <c r="H496" t="str">
        <v>成型ライン</v>
      </c>
      <c r="I496" t="str">
        <v>プラスチック製品の製造におけるすべての行為</v>
      </c>
      <c r="J496" t="str">
        <v>NGUYEN THI HIEN</v>
      </c>
      <c r="K496" t="str">
        <v>グエン　ティ　ヒエン</v>
      </c>
      <c r="L496" t="str">
        <v>女</v>
      </c>
      <c r="M496" t="str">
        <v>ﾍﾞﾄﾅﾑ</v>
      </c>
      <c r="N496" s="31">
        <v>32284</v>
      </c>
      <c r="O496">
        <v>37</v>
      </c>
      <c r="P496">
        <v>1300</v>
      </c>
      <c r="Q496">
        <v>0</v>
      </c>
      <c r="R496">
        <v>1800</v>
      </c>
      <c r="S496">
        <v>0</v>
      </c>
      <c r="T496">
        <v>500</v>
      </c>
      <c r="U496">
        <v>240000</v>
      </c>
      <c r="V496">
        <v>12036</v>
      </c>
      <c r="W496" t="str">
        <v>0</v>
      </c>
      <c r="X496">
        <v>21960</v>
      </c>
      <c r="Y496" s="31">
        <v>46668</v>
      </c>
      <c r="Z496" t="str">
        <v/>
      </c>
      <c r="AA496" t="str">
        <v>技術・人文知識・国際業務</v>
      </c>
      <c r="AB496" t="str">
        <v>471-0805</v>
      </c>
      <c r="AC496" t="str">
        <v>愛知県豊田市美里2-6-9</v>
      </c>
      <c r="AD496" t="str">
        <v>ﾚｼﾞｪﾝﾄﾞK204</v>
      </c>
      <c r="AE496" s="31">
        <v>44946</v>
      </c>
      <c r="AF496" s="31">
        <v>44949</v>
      </c>
      <c r="AG496" s="31">
        <v>45995</v>
      </c>
      <c r="AH496" s="31">
        <v>0</v>
      </c>
      <c r="AI496" t="str">
        <v>23.2.1</v>
      </c>
      <c r="AJ496" t="str">
        <v>1/25林</v>
      </c>
      <c r="AK496">
        <v>0</v>
      </c>
      <c r="AL496">
        <v>44949</v>
      </c>
      <c r="AM496">
        <v>0</v>
      </c>
      <c r="AN496">
        <v>0</v>
      </c>
      <c r="AO496">
        <v>0</v>
      </c>
      <c r="AP496">
        <v>0</v>
      </c>
      <c r="AQ496">
        <v>0</v>
      </c>
      <c r="AR496">
        <v>0</v>
      </c>
    </row>
    <row r="497" spans="1:44">
      <c r="A497" t="str">
        <f>H497&amp;COUNTIF($H$2:H497,H497)</f>
        <v>0219</v>
      </c>
      <c r="B497" t="str">
        <f>F497&amp;COUNTIF($F$2:F497,F497)</f>
        <v>PATEC23</v>
      </c>
      <c r="C497" t="str">
        <v>退社</v>
      </c>
      <c r="D497">
        <v>220413</v>
      </c>
      <c r="E497">
        <v>0</v>
      </c>
      <c r="F497" t="str">
        <v>PATEC</v>
      </c>
      <c r="G497">
        <v>0</v>
      </c>
      <c r="H497">
        <v>0</v>
      </c>
      <c r="I497">
        <v>0</v>
      </c>
      <c r="J497" t="str">
        <v>NGUYEN VAN NINH</v>
      </c>
      <c r="K497" t="str">
        <v>グエン　ヴァン　ニン</v>
      </c>
      <c r="L497" t="str">
        <v>男</v>
      </c>
      <c r="M497" t="str">
        <v>ﾍﾞﾄﾅﾑ</v>
      </c>
      <c r="N497" s="31">
        <v>31966</v>
      </c>
      <c r="O497">
        <v>38</v>
      </c>
      <c r="P497">
        <v>1600</v>
      </c>
      <c r="Q497">
        <v>0</v>
      </c>
      <c r="R497">
        <v>2100</v>
      </c>
      <c r="S497" t="str">
        <v>24/2/21～24/8/20まで請求単価50円下げ</v>
      </c>
      <c r="T497">
        <v>500</v>
      </c>
      <c r="U497">
        <v>320000</v>
      </c>
      <c r="V497">
        <v>16048</v>
      </c>
      <c r="W497" t="str">
        <v>0</v>
      </c>
      <c r="X497">
        <v>29280</v>
      </c>
      <c r="Y497" s="31">
        <v>46749</v>
      </c>
      <c r="Z497" t="str">
        <v/>
      </c>
      <c r="AA497" t="str">
        <v>技術・人文知識・国際業務</v>
      </c>
      <c r="AB497" t="str">
        <v>747-0833</v>
      </c>
      <c r="AC497" t="str">
        <v>山口県防府市大字浜方716-15</v>
      </c>
      <c r="AD497" t="str">
        <v>ｱﾙｿｰﾚD201</v>
      </c>
      <c r="AE497" s="31">
        <v>0</v>
      </c>
      <c r="AF497" s="31">
        <v>44957</v>
      </c>
      <c r="AG497" s="31">
        <v>45765</v>
      </c>
      <c r="AH497" s="31">
        <v>0</v>
      </c>
      <c r="AI497" t="str">
        <v>23.2.1</v>
      </c>
      <c r="AJ497" t="str">
        <v>2/15林</v>
      </c>
      <c r="AK497">
        <v>0</v>
      </c>
      <c r="AL497">
        <v>44957</v>
      </c>
      <c r="AM497">
        <v>0</v>
      </c>
      <c r="AN497">
        <v>0</v>
      </c>
      <c r="AO497">
        <v>0</v>
      </c>
      <c r="AP497">
        <v>0</v>
      </c>
      <c r="AQ497">
        <v>0</v>
      </c>
      <c r="AR497">
        <v>0</v>
      </c>
    </row>
    <row r="498" spans="1:44">
      <c r="A498" t="str">
        <f>H498&amp;COUNTIF($H$2:H498,H498)</f>
        <v>0220</v>
      </c>
      <c r="B498" t="str">
        <f>F498&amp;COUNTIF($F$2:F498,F498)</f>
        <v>六甲電子22</v>
      </c>
      <c r="C498" t="str">
        <v>在職中</v>
      </c>
      <c r="D498">
        <v>230110</v>
      </c>
      <c r="E498">
        <v>0</v>
      </c>
      <c r="F498" t="str">
        <v>六甲電子</v>
      </c>
      <c r="G498">
        <v>0</v>
      </c>
      <c r="H498">
        <v>0</v>
      </c>
      <c r="I498">
        <v>0</v>
      </c>
      <c r="J498" t="str">
        <v>NGUYEN VAN TRUONG</v>
      </c>
      <c r="K498" t="str">
        <v>グエン　ヴァン　チュオン</v>
      </c>
      <c r="L498" t="str">
        <v>男</v>
      </c>
      <c r="M498" t="str">
        <v>ﾍﾞﾄﾅﾑ</v>
      </c>
      <c r="N498" s="31">
        <v>35258</v>
      </c>
      <c r="O498">
        <v>29</v>
      </c>
      <c r="P498">
        <v>1400</v>
      </c>
      <c r="Q498">
        <v>0</v>
      </c>
      <c r="R498">
        <v>2000</v>
      </c>
      <c r="S498">
        <v>0</v>
      </c>
      <c r="T498">
        <v>600</v>
      </c>
      <c r="U498">
        <v>280000</v>
      </c>
      <c r="V498">
        <v>14042</v>
      </c>
      <c r="W498" t="str">
        <v>0</v>
      </c>
      <c r="X498">
        <v>25620</v>
      </c>
      <c r="Y498" s="31">
        <v>46974</v>
      </c>
      <c r="Z498" t="str">
        <v/>
      </c>
      <c r="AA498" t="str">
        <v>技術・人文知識・国際業務</v>
      </c>
      <c r="AB498" t="str">
        <v>663-8105</v>
      </c>
      <c r="AC498" t="str">
        <v>兵庫県西宮市中島町7-5</v>
      </c>
      <c r="AD498" t="str">
        <v>ｼｬﾙﾑ三田303</v>
      </c>
      <c r="AE498" s="31">
        <v>45192</v>
      </c>
      <c r="AF498" s="31">
        <v>44957</v>
      </c>
      <c r="AG498" s="31">
        <v>45990</v>
      </c>
      <c r="AH498" s="31">
        <v>0</v>
      </c>
      <c r="AI498" t="str">
        <v>23.2.1</v>
      </c>
      <c r="AJ498" t="str">
        <v>2/15林</v>
      </c>
      <c r="AK498">
        <v>0</v>
      </c>
      <c r="AL498">
        <v>44957</v>
      </c>
      <c r="AM498">
        <v>0</v>
      </c>
      <c r="AN498">
        <v>0</v>
      </c>
      <c r="AO498">
        <v>0</v>
      </c>
      <c r="AP498">
        <v>0</v>
      </c>
      <c r="AQ498">
        <v>0</v>
      </c>
      <c r="AR498">
        <v>0</v>
      </c>
    </row>
    <row r="499" spans="1:44">
      <c r="A499" t="str">
        <f>H499&amp;COUNTIF($H$2:H499,H499)</f>
        <v>0221</v>
      </c>
      <c r="B499" t="str">
        <f>F499&amp;COUNTIF($F$2:F499,F499)</f>
        <v>六甲電子23</v>
      </c>
      <c r="C499" t="str">
        <v>退社</v>
      </c>
      <c r="D499">
        <v>230111</v>
      </c>
      <c r="E499">
        <v>0</v>
      </c>
      <c r="F499" t="str">
        <v>六甲電子</v>
      </c>
      <c r="G499">
        <v>0</v>
      </c>
      <c r="H499">
        <v>0</v>
      </c>
      <c r="I499">
        <v>0</v>
      </c>
      <c r="J499" t="str">
        <v>LE TRUNG DUC</v>
      </c>
      <c r="K499" t="str">
        <v>レ　チュン　ジク</v>
      </c>
      <c r="L499" t="str">
        <v>男</v>
      </c>
      <c r="M499" t="str">
        <v>ﾍﾞﾄﾅﾑ</v>
      </c>
      <c r="N499" s="31">
        <v>33646</v>
      </c>
      <c r="O499">
        <v>33</v>
      </c>
      <c r="P499">
        <v>1400</v>
      </c>
      <c r="Q499">
        <v>0</v>
      </c>
      <c r="R499">
        <v>2000</v>
      </c>
      <c r="S499">
        <v>0</v>
      </c>
      <c r="T499">
        <v>600</v>
      </c>
      <c r="U499">
        <v>180000</v>
      </c>
      <c r="V499">
        <v>9027</v>
      </c>
      <c r="W499" t="str">
        <v>0</v>
      </c>
      <c r="X499">
        <v>16470</v>
      </c>
      <c r="Y499" s="31">
        <v>45029</v>
      </c>
      <c r="Z499" t="str">
        <v/>
      </c>
      <c r="AA499" t="str">
        <v>技術・人文知識・国際業務</v>
      </c>
      <c r="AB499" t="str">
        <v>663-8021</v>
      </c>
      <c r="AC499" t="str">
        <v>兵庫県西宮市上之町25-54</v>
      </c>
      <c r="AD499" t="str">
        <v>西宮ｵﾘｴﾝﾀﾙﾏﾝｼｮﾝ102</v>
      </c>
      <c r="AE499" s="31">
        <v>44953</v>
      </c>
      <c r="AF499" s="31">
        <v>44957</v>
      </c>
      <c r="AG499" s="31">
        <v>44964</v>
      </c>
      <c r="AH499" s="31">
        <v>44966</v>
      </c>
      <c r="AI499">
        <v>0</v>
      </c>
      <c r="AJ499">
        <v>0</v>
      </c>
      <c r="AK499">
        <v>0</v>
      </c>
      <c r="AL499">
        <v>44957</v>
      </c>
      <c r="AM499">
        <v>0</v>
      </c>
      <c r="AN499">
        <v>0</v>
      </c>
      <c r="AO499">
        <v>0</v>
      </c>
      <c r="AP499">
        <v>0</v>
      </c>
      <c r="AQ499">
        <v>0</v>
      </c>
      <c r="AR499">
        <v>0</v>
      </c>
    </row>
    <row r="500" spans="1:44">
      <c r="A500" t="str">
        <f>H500&amp;COUNTIF($H$2:H500,H500)</f>
        <v>0222</v>
      </c>
      <c r="B500" t="str">
        <f>F500&amp;COUNTIF($F$2:F500,F500)</f>
        <v>PATEC24</v>
      </c>
      <c r="C500" t="str">
        <v>退社</v>
      </c>
      <c r="D500">
        <v>230112</v>
      </c>
      <c r="E500">
        <v>0</v>
      </c>
      <c r="F500" t="str">
        <v>PATEC</v>
      </c>
      <c r="G500">
        <v>0</v>
      </c>
      <c r="H500">
        <v>0</v>
      </c>
      <c r="I500">
        <v>0</v>
      </c>
      <c r="J500" t="str">
        <v>TRAN VAN PHONG</v>
      </c>
      <c r="K500" t="str">
        <v>チャン　ヴァン　フォン</v>
      </c>
      <c r="L500" t="str">
        <v>男</v>
      </c>
      <c r="M500" t="str">
        <v>ﾍﾞﾄﾅﾑ</v>
      </c>
      <c r="N500" s="31">
        <v>34322</v>
      </c>
      <c r="O500">
        <v>31</v>
      </c>
      <c r="P500">
        <v>1400</v>
      </c>
      <c r="Q500">
        <v>0</v>
      </c>
      <c r="R500">
        <v>2000</v>
      </c>
      <c r="S500">
        <v>0</v>
      </c>
      <c r="T500">
        <v>600</v>
      </c>
      <c r="U500">
        <v>320000</v>
      </c>
      <c r="V500">
        <v>16048</v>
      </c>
      <c r="W500" t="str">
        <v>0</v>
      </c>
      <c r="X500">
        <v>29280</v>
      </c>
      <c r="Y500" s="31">
        <v>45608</v>
      </c>
      <c r="Z500" t="str">
        <v/>
      </c>
      <c r="AA500" t="str">
        <v>技術・人文知識・国際業務</v>
      </c>
      <c r="AB500" t="str">
        <v>747-0834</v>
      </c>
      <c r="AC500" t="str">
        <v>山口県防府市大字田島1510－5</v>
      </c>
      <c r="AD500" t="str">
        <v>ｱﾒﾆﾃｨﾊｲﾂ田島101</v>
      </c>
      <c r="AE500" s="31">
        <v>44956</v>
      </c>
      <c r="AF500" s="31">
        <v>44957</v>
      </c>
      <c r="AG500" s="31">
        <v>45219</v>
      </c>
      <c r="AH500" s="31">
        <v>0</v>
      </c>
      <c r="AI500" t="str">
        <v>23.2.1</v>
      </c>
      <c r="AJ500" t="str">
        <v>2/15林</v>
      </c>
      <c r="AK500">
        <v>0</v>
      </c>
      <c r="AL500">
        <v>44957</v>
      </c>
      <c r="AM500">
        <v>0</v>
      </c>
      <c r="AN500">
        <v>0</v>
      </c>
      <c r="AO500">
        <v>0</v>
      </c>
      <c r="AP500">
        <v>0</v>
      </c>
      <c r="AQ500">
        <v>0</v>
      </c>
      <c r="AR500">
        <v>0</v>
      </c>
    </row>
    <row r="501" spans="1:44">
      <c r="A501" t="str">
        <f>H501&amp;COUNTIF($H$2:H501,H501)</f>
        <v>本社工場製造1課2工区2班3</v>
      </c>
      <c r="B501" t="str">
        <f>F501&amp;COUNTIF($F$2:F501,F501)</f>
        <v>コーリツ 本社8</v>
      </c>
      <c r="C501" t="str">
        <v>退社</v>
      </c>
      <c r="D501">
        <v>220304</v>
      </c>
      <c r="E501">
        <v>8210035</v>
      </c>
      <c r="F501" t="str">
        <v>コーリツ 本社</v>
      </c>
      <c r="G501" t="str">
        <v>本社工場製造1課2工区2班</v>
      </c>
      <c r="H501" t="str">
        <v>本社工場製造1課2工区2班</v>
      </c>
      <c r="I501">
        <v>0</v>
      </c>
      <c r="J501" t="str">
        <v>VU VAN TOAN</v>
      </c>
      <c r="K501" t="str">
        <v>ヴー　ヴァン　トアン</v>
      </c>
      <c r="L501" t="str">
        <v>男</v>
      </c>
      <c r="M501" t="str">
        <v>ﾍﾞﾄﾅﾑ</v>
      </c>
      <c r="N501" s="31">
        <v>34536</v>
      </c>
      <c r="O501">
        <v>31</v>
      </c>
      <c r="P501">
        <v>1500</v>
      </c>
      <c r="Q501">
        <v>0</v>
      </c>
      <c r="R501">
        <v>2150</v>
      </c>
      <c r="S501">
        <v>0</v>
      </c>
      <c r="T501">
        <v>650</v>
      </c>
      <c r="U501">
        <v>360000</v>
      </c>
      <c r="V501">
        <v>18054</v>
      </c>
      <c r="W501" t="str">
        <v>0</v>
      </c>
      <c r="X501">
        <v>32940</v>
      </c>
      <c r="Y501" s="31">
        <v>46817</v>
      </c>
      <c r="Z501" t="str">
        <v/>
      </c>
      <c r="AA501" t="str">
        <v>技術・人文知識・国際業務</v>
      </c>
      <c r="AB501" t="str">
        <v>444-1332</v>
      </c>
      <c r="AC501" t="str">
        <v>愛知県高浜市湯山町4丁目9番地6</v>
      </c>
      <c r="AD501" t="str">
        <v>ﾋﾞﾚｯｼﾞﾊｳｽ高取3号棟102号</v>
      </c>
      <c r="AE501" s="31" t="str">
        <v>個人</v>
      </c>
      <c r="AF501" s="31">
        <v>44958</v>
      </c>
      <c r="AG501" s="31">
        <v>45736</v>
      </c>
      <c r="AH501" s="31">
        <v>0</v>
      </c>
      <c r="AI501" t="str">
        <v>23.3.1</v>
      </c>
      <c r="AJ501" t="str">
        <v>2/15林</v>
      </c>
      <c r="AK501">
        <v>0</v>
      </c>
      <c r="AL501">
        <v>44958</v>
      </c>
      <c r="AM501">
        <v>0</v>
      </c>
      <c r="AN501">
        <v>0</v>
      </c>
      <c r="AO501" t="str">
        <v>自転車</v>
      </c>
      <c r="AP501">
        <v>45903</v>
      </c>
      <c r="AQ501">
        <v>0</v>
      </c>
      <c r="AR501">
        <v>0</v>
      </c>
    </row>
    <row r="502" spans="1:44">
      <c r="A502" t="str">
        <f>H502&amp;COUNTIF($H$2:H502,H502)</f>
        <v>HUB　検査課係（保留中）1</v>
      </c>
      <c r="B502" t="str">
        <f>F502&amp;COUNTIF($F$2:F502,F502)</f>
        <v>高雄工業 岡山88</v>
      </c>
      <c r="C502" t="str">
        <v>退社</v>
      </c>
      <c r="D502">
        <v>230201</v>
      </c>
      <c r="E502">
        <v>232088</v>
      </c>
      <c r="F502" t="str">
        <v>高雄工業 岡山</v>
      </c>
      <c r="G502" t="str">
        <v>高雄工業株式会社 岡山品質保証部岡山HUB品証課</v>
      </c>
      <c r="H502" t="str">
        <v>HUB　検査課係（保留中）</v>
      </c>
      <c r="I502" t="str">
        <v>HUB旋削加工品の抜き取り検査</v>
      </c>
      <c r="J502" t="str">
        <v>CHU THANH AN</v>
      </c>
      <c r="K502" t="str">
        <v>チュー　タイン　アン</v>
      </c>
      <c r="L502" t="str">
        <v>女</v>
      </c>
      <c r="M502" t="str">
        <v>ﾍﾞﾄﾅﾑ</v>
      </c>
      <c r="N502" s="31">
        <v>36357</v>
      </c>
      <c r="O502">
        <v>26</v>
      </c>
      <c r="P502">
        <v>1300</v>
      </c>
      <c r="Q502">
        <v>0</v>
      </c>
      <c r="R502">
        <v>1660</v>
      </c>
      <c r="S502">
        <v>0</v>
      </c>
      <c r="T502">
        <v>360</v>
      </c>
      <c r="U502">
        <v>180000</v>
      </c>
      <c r="V502">
        <v>9027</v>
      </c>
      <c r="W502" t="str">
        <v>0</v>
      </c>
      <c r="X502">
        <v>16470</v>
      </c>
      <c r="Y502" s="31">
        <v>45382</v>
      </c>
      <c r="Z502" t="str">
        <v/>
      </c>
      <c r="AA502" t="str">
        <v>技術・人文知識・国際業務</v>
      </c>
      <c r="AB502" t="str">
        <v>709-2107</v>
      </c>
      <c r="AC502" t="str">
        <v>岡山県岡山市北区御津矢原370</v>
      </c>
      <c r="AD502" t="str">
        <v>成広ｺｰﾎﾟⅡ207</v>
      </c>
      <c r="AE502" s="31">
        <v>45087</v>
      </c>
      <c r="AF502" s="31">
        <v>44959</v>
      </c>
      <c r="AG502" s="31">
        <v>45135</v>
      </c>
      <c r="AH502" s="31">
        <v>0</v>
      </c>
      <c r="AI502" t="str">
        <v>23.2.2</v>
      </c>
      <c r="AJ502" t="str">
        <v>2/16林</v>
      </c>
      <c r="AK502">
        <v>0</v>
      </c>
      <c r="AL502">
        <v>44959</v>
      </c>
      <c r="AM502">
        <v>0</v>
      </c>
      <c r="AN502">
        <v>0</v>
      </c>
      <c r="AO502">
        <v>0</v>
      </c>
      <c r="AP502">
        <v>0</v>
      </c>
      <c r="AQ502">
        <v>0</v>
      </c>
      <c r="AR502">
        <v>0</v>
      </c>
    </row>
    <row r="503" spans="1:44">
      <c r="A503" t="str">
        <f>H503&amp;COUNTIF($H$2:H503,H503)</f>
        <v>加工課4</v>
      </c>
      <c r="B503" t="str">
        <f>F503&amp;COUNTIF($F$2:F503,F503)</f>
        <v>加藤木材工業 春日井4</v>
      </c>
      <c r="C503" t="str">
        <v>退社</v>
      </c>
      <c r="D503">
        <v>230202</v>
      </c>
      <c r="E503">
        <v>5534</v>
      </c>
      <c r="F503" t="str">
        <v>加藤木材工業 春日井</v>
      </c>
      <c r="G503" t="str">
        <v>生産部</v>
      </c>
      <c r="H503" t="str">
        <v>加工課</v>
      </c>
      <c r="I503" t="str">
        <v>機械オペレーター及び機械メンテナンス他付随する業務</v>
      </c>
      <c r="J503" t="str">
        <v>NGUYEN VAN KIEN</v>
      </c>
      <c r="K503" t="str">
        <v>グエン　ヴァン　キエン</v>
      </c>
      <c r="L503" t="str">
        <v>男</v>
      </c>
      <c r="M503" t="str">
        <v>ﾍﾞﾄﾅﾑ</v>
      </c>
      <c r="N503" s="31">
        <v>35967</v>
      </c>
      <c r="O503">
        <v>27</v>
      </c>
      <c r="P503">
        <v>1300</v>
      </c>
      <c r="Q503">
        <v>0</v>
      </c>
      <c r="R503">
        <v>1700</v>
      </c>
      <c r="S503">
        <v>0</v>
      </c>
      <c r="T503">
        <v>400</v>
      </c>
      <c r="U503">
        <v>300000</v>
      </c>
      <c r="V503">
        <v>15045</v>
      </c>
      <c r="W503" t="str">
        <v>0</v>
      </c>
      <c r="X503">
        <v>27450</v>
      </c>
      <c r="Y503" s="31">
        <v>45321</v>
      </c>
      <c r="Z503" t="str">
        <v/>
      </c>
      <c r="AA503" t="str">
        <v>技術・人文知識・国際業務</v>
      </c>
      <c r="AB503" t="str">
        <v>486-0912</v>
      </c>
      <c r="AC503" t="str">
        <v>愛知県春日井市高山町4-13-13</v>
      </c>
      <c r="AD503" t="str">
        <v>ﾒｿﾞﾝ辻山201</v>
      </c>
      <c r="AE503" s="31">
        <v>0</v>
      </c>
      <c r="AF503" s="31">
        <v>44959</v>
      </c>
      <c r="AG503" s="31">
        <v>45357</v>
      </c>
      <c r="AH503" s="31">
        <v>0</v>
      </c>
      <c r="AI503" t="str">
        <v>23.2.2</v>
      </c>
      <c r="AJ503" t="str">
        <v>2/8林</v>
      </c>
      <c r="AK503">
        <v>0</v>
      </c>
      <c r="AL503">
        <v>44959</v>
      </c>
      <c r="AM503">
        <v>0</v>
      </c>
      <c r="AN503">
        <v>0</v>
      </c>
      <c r="AO503">
        <v>0</v>
      </c>
      <c r="AP503">
        <v>0</v>
      </c>
      <c r="AQ503">
        <v>0</v>
      </c>
      <c r="AR503">
        <v>0</v>
      </c>
    </row>
    <row r="504" spans="1:44">
      <c r="A504" t="str">
        <f>H504&amp;COUNTIF($H$2:H504,H504)</f>
        <v>加工課5</v>
      </c>
      <c r="B504" t="str">
        <f>F504&amp;COUNTIF($F$2:F504,F504)</f>
        <v>加藤木材工業 春日井5</v>
      </c>
      <c r="C504" t="str">
        <v>在職中</v>
      </c>
      <c r="D504">
        <v>230203</v>
      </c>
      <c r="E504">
        <v>5535</v>
      </c>
      <c r="F504" t="str">
        <v>加藤木材工業 春日井</v>
      </c>
      <c r="G504" t="str">
        <v>生産部</v>
      </c>
      <c r="H504" t="str">
        <v>加工課</v>
      </c>
      <c r="I504" t="str">
        <v>機械オペレーター及び機械メンテナンス他付随する業務</v>
      </c>
      <c r="J504" t="str">
        <v>NGUYEN QUANG TRUONG</v>
      </c>
      <c r="K504" t="str">
        <v>グエン　クアン　チュオン</v>
      </c>
      <c r="L504" t="str">
        <v>男</v>
      </c>
      <c r="M504" t="str">
        <v>ﾍﾞﾄﾅﾑ</v>
      </c>
      <c r="N504" s="31">
        <v>36051</v>
      </c>
      <c r="O504">
        <v>27</v>
      </c>
      <c r="P504">
        <v>1310</v>
      </c>
      <c r="Q504" t="str">
        <v>2025/5/21～1300円⇒1310円</v>
      </c>
      <c r="R504">
        <v>1715</v>
      </c>
      <c r="S504" t="str">
        <v>2025/5/21~1700円⇒1715円</v>
      </c>
      <c r="T504">
        <v>405</v>
      </c>
      <c r="U504">
        <v>240000</v>
      </c>
      <c r="V504">
        <v>12036</v>
      </c>
      <c r="W504" t="str">
        <v>0</v>
      </c>
      <c r="X504">
        <v>21960</v>
      </c>
      <c r="Y504" s="31">
        <v>46782</v>
      </c>
      <c r="Z504" t="str">
        <v/>
      </c>
      <c r="AA504" t="str">
        <v>技術・人文知識・国際業務</v>
      </c>
      <c r="AB504" t="str">
        <v>486-0912</v>
      </c>
      <c r="AC504" t="str">
        <v>愛知県春日井市高山町4-13-13</v>
      </c>
      <c r="AD504" t="str">
        <v>ﾒｿﾞﾝ辻山105</v>
      </c>
      <c r="AE504" s="31">
        <v>0</v>
      </c>
      <c r="AF504" s="31">
        <v>44959</v>
      </c>
      <c r="AG504" s="31">
        <v>0</v>
      </c>
      <c r="AH504" s="31">
        <v>0</v>
      </c>
      <c r="AI504" t="str">
        <v>23.2.2</v>
      </c>
      <c r="AJ504" t="str">
        <v>2/8林</v>
      </c>
      <c r="AK504">
        <v>0</v>
      </c>
      <c r="AL504">
        <v>44959</v>
      </c>
      <c r="AM504">
        <v>0</v>
      </c>
      <c r="AN504">
        <v>0</v>
      </c>
      <c r="AO504">
        <v>0</v>
      </c>
      <c r="AP504">
        <v>0</v>
      </c>
      <c r="AQ504">
        <v>0</v>
      </c>
      <c r="AR504">
        <v>0</v>
      </c>
    </row>
    <row r="505" spans="1:44">
      <c r="A505" t="str">
        <f>H505&amp;COUNTIF($H$2:H505,H505)</f>
        <v>加工課6</v>
      </c>
      <c r="B505" t="str">
        <f>F505&amp;COUNTIF($F$2:F505,F505)</f>
        <v>加藤木材工業 春日井6</v>
      </c>
      <c r="C505" t="str">
        <v>退社</v>
      </c>
      <c r="D505">
        <v>230204</v>
      </c>
      <c r="E505">
        <v>5536</v>
      </c>
      <c r="F505" t="str">
        <v>加藤木材工業 春日井</v>
      </c>
      <c r="G505" t="str">
        <v>生産部</v>
      </c>
      <c r="H505" t="str">
        <v>加工課</v>
      </c>
      <c r="I505" t="str">
        <v>機械オペレーター及び機械メンテナンス他付随する業務</v>
      </c>
      <c r="J505" t="str">
        <v>NGUYEN XUAN DUONG</v>
      </c>
      <c r="K505" t="str">
        <v>グエン　スアン　ズオン</v>
      </c>
      <c r="L505" t="str">
        <v>男</v>
      </c>
      <c r="M505" t="str">
        <v>ﾍﾞﾄﾅﾑ</v>
      </c>
      <c r="N505" s="31">
        <v>36058</v>
      </c>
      <c r="O505">
        <v>27</v>
      </c>
      <c r="P505">
        <v>1300</v>
      </c>
      <c r="Q505">
        <v>0</v>
      </c>
      <c r="R505">
        <v>1700</v>
      </c>
      <c r="S505">
        <v>0</v>
      </c>
      <c r="T505">
        <v>400</v>
      </c>
      <c r="U505">
        <v>280000</v>
      </c>
      <c r="V505">
        <v>14042</v>
      </c>
      <c r="W505" t="str">
        <v>0</v>
      </c>
      <c r="X505">
        <v>25620</v>
      </c>
      <c r="Y505" s="31">
        <v>45321</v>
      </c>
      <c r="Z505" t="str">
        <v/>
      </c>
      <c r="AA505" t="str">
        <v>技術・人文知識・国際業務</v>
      </c>
      <c r="AB505" t="str">
        <v>468-0807</v>
      </c>
      <c r="AC505" t="str">
        <v>愛知県春日井市大手町2-53-1</v>
      </c>
      <c r="AD505" t="str">
        <v>ﾊﾟｰｸｻｲﾄﾞ泉Ⅱ 201</v>
      </c>
      <c r="AE505" s="31">
        <v>0</v>
      </c>
      <c r="AF505" s="31">
        <v>44959</v>
      </c>
      <c r="AG505" s="31">
        <v>45379</v>
      </c>
      <c r="AH505" s="31">
        <v>0</v>
      </c>
      <c r="AI505" t="str">
        <v>23.2.2</v>
      </c>
      <c r="AJ505" t="str">
        <v>2/8林</v>
      </c>
      <c r="AK505">
        <v>0</v>
      </c>
      <c r="AL505">
        <v>44959</v>
      </c>
      <c r="AM505">
        <v>0</v>
      </c>
      <c r="AN505">
        <v>0</v>
      </c>
      <c r="AO505">
        <v>0</v>
      </c>
      <c r="AP505">
        <v>0</v>
      </c>
      <c r="AQ505">
        <v>0</v>
      </c>
      <c r="AR505">
        <v>0</v>
      </c>
    </row>
    <row r="506" spans="1:44">
      <c r="A506" t="str">
        <f>H506&amp;COUNTIF($H$2:H506,H506)</f>
        <v>州の崎工場製造1課1工区1班3</v>
      </c>
      <c r="B506" t="str">
        <f>F506&amp;COUNTIF($F$2:F506,F506)</f>
        <v>コーリツ 州の崎22</v>
      </c>
      <c r="C506" t="str">
        <v>在職中</v>
      </c>
      <c r="D506">
        <v>220108</v>
      </c>
      <c r="E506">
        <v>8210027</v>
      </c>
      <c r="F506" t="str">
        <v>コーリツ 州の崎</v>
      </c>
      <c r="G506" t="str">
        <v>州の崎工場製造1課1工区1班</v>
      </c>
      <c r="H506" t="str">
        <v>州の崎工場製造1課1工区1班</v>
      </c>
      <c r="I506">
        <v>0</v>
      </c>
      <c r="J506" t="str">
        <v>NGUYEN TIEN HAI</v>
      </c>
      <c r="K506" t="str">
        <v>グエン　ティエン　ハイ</v>
      </c>
      <c r="L506" t="str">
        <v>男</v>
      </c>
      <c r="M506" t="str">
        <v>ﾍﾞﾄﾅﾑ</v>
      </c>
      <c r="N506" s="31">
        <v>33230</v>
      </c>
      <c r="O506">
        <v>34</v>
      </c>
      <c r="P506">
        <v>1610</v>
      </c>
      <c r="Q506">
        <v>0</v>
      </c>
      <c r="R506">
        <v>2300</v>
      </c>
      <c r="S506">
        <v>0</v>
      </c>
      <c r="T506">
        <v>690</v>
      </c>
      <c r="U506">
        <v>410000</v>
      </c>
      <c r="V506">
        <v>20561</v>
      </c>
      <c r="W506" t="str">
        <v>0</v>
      </c>
      <c r="X506">
        <v>37515</v>
      </c>
      <c r="Y506" s="31">
        <v>46727</v>
      </c>
      <c r="Z506" t="str">
        <v/>
      </c>
      <c r="AA506" t="str">
        <v>技術・人文知識・国際業務</v>
      </c>
      <c r="AB506" t="str">
        <v>475-0074</v>
      </c>
      <c r="AC506" t="str">
        <v>愛知県半田市長根町3丁目1番　</v>
      </c>
      <c r="AD506" t="str">
        <v>県営長根住宅10棟402号</v>
      </c>
      <c r="AE506" s="31" t="str">
        <v>個人</v>
      </c>
      <c r="AF506" s="31">
        <v>44970</v>
      </c>
      <c r="AG506" s="31">
        <v>0</v>
      </c>
      <c r="AH506" s="31">
        <v>0</v>
      </c>
      <c r="AI506" t="str">
        <v>23.3.1</v>
      </c>
      <c r="AJ506" t="str">
        <v>2/27林</v>
      </c>
      <c r="AK506">
        <v>0</v>
      </c>
      <c r="AL506">
        <v>44970</v>
      </c>
      <c r="AM506" t="str">
        <v>普通免許</v>
      </c>
      <c r="AN506">
        <v>46410</v>
      </c>
      <c r="AO506" t="str">
        <v>原付</v>
      </c>
      <c r="AP506">
        <v>46256</v>
      </c>
      <c r="AQ506">
        <v>0</v>
      </c>
      <c r="AR506">
        <v>0</v>
      </c>
    </row>
    <row r="507" spans="1:44">
      <c r="A507" t="str">
        <f>H507&amp;COUNTIF($H$2:H507,H507)</f>
        <v>成型ライン10</v>
      </c>
      <c r="B507" t="str">
        <f>F507&amp;COUNTIF($F$2:F507,F507)</f>
        <v>ピーエムアイ20</v>
      </c>
      <c r="C507" t="str">
        <v>退社</v>
      </c>
      <c r="D507">
        <v>230205</v>
      </c>
      <c r="E507">
        <v>0</v>
      </c>
      <c r="F507" t="str">
        <v>ピーエムアイ</v>
      </c>
      <c r="G507" t="str">
        <v>製造1</v>
      </c>
      <c r="H507" t="str">
        <v>成型ライン</v>
      </c>
      <c r="I507" t="str">
        <v>プラスチック製品の製造におけるすべての行為</v>
      </c>
      <c r="J507" t="str">
        <v>NGUYEN TRUONG GIANG</v>
      </c>
      <c r="K507" t="str">
        <v>グエン　トゥオン　ジャン</v>
      </c>
      <c r="L507" t="str">
        <v>男</v>
      </c>
      <c r="M507" t="str">
        <v>ﾍﾞﾄﾅﾑ</v>
      </c>
      <c r="N507" s="31">
        <v>35363</v>
      </c>
      <c r="O507">
        <v>29</v>
      </c>
      <c r="P507">
        <v>1300</v>
      </c>
      <c r="Q507">
        <v>0</v>
      </c>
      <c r="R507">
        <v>1800</v>
      </c>
      <c r="S507">
        <v>0</v>
      </c>
      <c r="T507">
        <v>500</v>
      </c>
      <c r="U507">
        <v>260000</v>
      </c>
      <c r="V507">
        <v>13039</v>
      </c>
      <c r="W507" t="str">
        <v>0</v>
      </c>
      <c r="X507">
        <v>23790</v>
      </c>
      <c r="Y507" s="31">
        <v>46859</v>
      </c>
      <c r="Z507" t="str">
        <v/>
      </c>
      <c r="AA507" t="str">
        <v>技術・人文知識・国際業務</v>
      </c>
      <c r="AB507" t="str">
        <v>471-0805</v>
      </c>
      <c r="AC507" t="str">
        <v>愛知県豊田市美里2-6-9</v>
      </c>
      <c r="AD507" t="str">
        <v>ﾚｼﾞｪﾝﾄﾞK301</v>
      </c>
      <c r="AE507" s="31">
        <v>44967</v>
      </c>
      <c r="AF507" s="31">
        <v>44970</v>
      </c>
      <c r="AG507" s="31">
        <v>45835</v>
      </c>
      <c r="AH507" s="31">
        <v>0</v>
      </c>
      <c r="AI507" t="str">
        <v>23.2.13</v>
      </c>
      <c r="AJ507" t="str">
        <v>2/27林</v>
      </c>
      <c r="AK507">
        <v>0</v>
      </c>
      <c r="AL507">
        <v>44970</v>
      </c>
      <c r="AM507">
        <v>0</v>
      </c>
      <c r="AN507">
        <v>0</v>
      </c>
      <c r="AO507">
        <v>0</v>
      </c>
      <c r="AP507">
        <v>0</v>
      </c>
      <c r="AQ507">
        <v>0</v>
      </c>
      <c r="AR507">
        <v>0</v>
      </c>
    </row>
    <row r="508" spans="1:44">
      <c r="A508" t="str">
        <f>H508&amp;COUNTIF($H$2:H508,H508)</f>
        <v>成型ライン11</v>
      </c>
      <c r="B508" t="str">
        <f>F508&amp;COUNTIF($F$2:F508,F508)</f>
        <v>ピーエムアイ21</v>
      </c>
      <c r="C508" t="str">
        <v>退社</v>
      </c>
      <c r="D508">
        <v>230206</v>
      </c>
      <c r="E508">
        <v>0</v>
      </c>
      <c r="F508" t="str">
        <v>ピーエムアイ</v>
      </c>
      <c r="G508" t="str">
        <v>製造1</v>
      </c>
      <c r="H508" t="str">
        <v>成型ライン</v>
      </c>
      <c r="I508" t="str">
        <v>プラスチック製品の製造におけるすべての行為</v>
      </c>
      <c r="J508" t="str">
        <v>PHAM HONG CUONG</v>
      </c>
      <c r="K508" t="str">
        <v>ファン　ホン　クオン</v>
      </c>
      <c r="L508" t="str">
        <v>男</v>
      </c>
      <c r="M508" t="str">
        <v>ﾍﾞﾄﾅﾑ</v>
      </c>
      <c r="N508" s="31">
        <v>33303</v>
      </c>
      <c r="O508">
        <v>34</v>
      </c>
      <c r="P508">
        <v>1300</v>
      </c>
      <c r="Q508">
        <v>0</v>
      </c>
      <c r="R508">
        <v>1800</v>
      </c>
      <c r="S508">
        <v>0</v>
      </c>
      <c r="T508">
        <v>500</v>
      </c>
      <c r="U508">
        <v>260000</v>
      </c>
      <c r="V508">
        <v>13039</v>
      </c>
      <c r="W508" t="str">
        <v>0</v>
      </c>
      <c r="X508">
        <v>23790</v>
      </c>
      <c r="Y508" s="31">
        <v>45590</v>
      </c>
      <c r="Z508" t="str">
        <v/>
      </c>
      <c r="AA508" t="str">
        <v>技術・人文知識・国際業務</v>
      </c>
      <c r="AB508" t="str">
        <v>471-0805</v>
      </c>
      <c r="AC508" t="str">
        <v>愛知県豊田市美里2-6-9</v>
      </c>
      <c r="AD508" t="str">
        <v>ﾚｼﾞｪﾝﾄﾞK203</v>
      </c>
      <c r="AE508" s="31">
        <v>44982</v>
      </c>
      <c r="AF508" s="31">
        <v>44978</v>
      </c>
      <c r="AG508" s="31">
        <v>45503</v>
      </c>
      <c r="AH508" s="31">
        <v>0</v>
      </c>
      <c r="AI508" t="str">
        <v>23.3.1</v>
      </c>
      <c r="AJ508" t="str">
        <v>3/24原</v>
      </c>
      <c r="AK508">
        <v>0</v>
      </c>
      <c r="AL508">
        <v>44978</v>
      </c>
      <c r="AM508">
        <v>0</v>
      </c>
      <c r="AN508">
        <v>0</v>
      </c>
      <c r="AO508">
        <v>0</v>
      </c>
      <c r="AP508">
        <v>0</v>
      </c>
      <c r="AQ508">
        <v>0</v>
      </c>
      <c r="AR508">
        <v>0</v>
      </c>
    </row>
    <row r="509" spans="1:44">
      <c r="A509" t="str">
        <f>H509&amp;COUNTIF($H$2:H509,H509)</f>
        <v>1次旋係22</v>
      </c>
      <c r="B509" t="str">
        <f>F509&amp;COUNTIF($F$2:F509,F509)</f>
        <v>高雄工業 岡山89</v>
      </c>
      <c r="C509" t="str">
        <v>退社</v>
      </c>
      <c r="D509">
        <v>230213</v>
      </c>
      <c r="E509">
        <v>232091</v>
      </c>
      <c r="F509" t="str">
        <v>高雄工業 岡山</v>
      </c>
      <c r="G509" t="str">
        <v>高雄工業株式会社 岡山事業所HUB工場製作1課</v>
      </c>
      <c r="H509" t="str">
        <v>1次旋係</v>
      </c>
      <c r="I509" t="str">
        <v>ハブ加工 自動機の操作、ＮＣプログラム修正</v>
      </c>
      <c r="J509" t="str">
        <v>NGUYEN DINH QUYEN</v>
      </c>
      <c r="K509" t="str">
        <v>グエン　ディン　クエン</v>
      </c>
      <c r="L509" t="str">
        <v>男</v>
      </c>
      <c r="M509" t="str">
        <v>ﾍﾞﾄﾅﾑ</v>
      </c>
      <c r="N509" s="31">
        <v>36137</v>
      </c>
      <c r="O509">
        <v>26</v>
      </c>
      <c r="P509">
        <v>1310</v>
      </c>
      <c r="Q509">
        <v>0</v>
      </c>
      <c r="R509">
        <v>1720</v>
      </c>
      <c r="S509">
        <v>0</v>
      </c>
      <c r="T509">
        <v>410</v>
      </c>
      <c r="U509">
        <v>240000</v>
      </c>
      <c r="V509">
        <v>12036</v>
      </c>
      <c r="W509" t="str">
        <v>0</v>
      </c>
      <c r="X509">
        <v>21960</v>
      </c>
      <c r="Y509" s="31">
        <v>46433</v>
      </c>
      <c r="Z509" t="str">
        <v/>
      </c>
      <c r="AA509" t="str">
        <v>技術・人文知識・国際業務</v>
      </c>
      <c r="AB509" t="str">
        <v>709-2107</v>
      </c>
      <c r="AC509" t="str">
        <v>岡山県岡山市北区御津矢原298-1</v>
      </c>
      <c r="AD509" t="str">
        <v>成広矢原ｺｰﾎﾟⅥ205</v>
      </c>
      <c r="AE509" s="31">
        <v>44972</v>
      </c>
      <c r="AF509" s="31">
        <v>44979</v>
      </c>
      <c r="AG509" s="31">
        <v>45863</v>
      </c>
      <c r="AH509" s="31">
        <v>0</v>
      </c>
      <c r="AI509" t="str">
        <v>23.3.1</v>
      </c>
      <c r="AJ509" t="str">
        <v>3/16林</v>
      </c>
      <c r="AK509">
        <v>0</v>
      </c>
      <c r="AL509">
        <v>44979</v>
      </c>
      <c r="AM509">
        <v>0</v>
      </c>
      <c r="AN509">
        <v>0</v>
      </c>
      <c r="AO509">
        <v>0</v>
      </c>
      <c r="AP509">
        <v>0</v>
      </c>
      <c r="AQ509">
        <v>0</v>
      </c>
      <c r="AR509">
        <v>0</v>
      </c>
    </row>
    <row r="510" spans="1:44">
      <c r="A510" t="str">
        <f>H510&amp;COUNTIF($H$2:H510,H510)</f>
        <v>0223</v>
      </c>
      <c r="B510" t="str">
        <f>F510&amp;COUNTIF($F$2:F510,F510)</f>
        <v>PATEC25</v>
      </c>
      <c r="C510" t="str">
        <v>退社</v>
      </c>
      <c r="D510">
        <v>230207</v>
      </c>
      <c r="E510">
        <v>0</v>
      </c>
      <c r="F510" t="str">
        <v>PATEC</v>
      </c>
      <c r="G510">
        <v>0</v>
      </c>
      <c r="H510">
        <v>0</v>
      </c>
      <c r="I510">
        <v>0</v>
      </c>
      <c r="J510" t="str">
        <v>TRAN NHU CANH</v>
      </c>
      <c r="K510" t="str">
        <v>チャン　ニュ　カン</v>
      </c>
      <c r="L510" t="str">
        <v>男</v>
      </c>
      <c r="M510" t="str">
        <v>ﾍﾞﾄﾅﾑ</v>
      </c>
      <c r="N510" s="31">
        <v>32586</v>
      </c>
      <c r="O510">
        <v>36</v>
      </c>
      <c r="P510">
        <v>1400</v>
      </c>
      <c r="Q510">
        <v>0</v>
      </c>
      <c r="R510">
        <v>2000</v>
      </c>
      <c r="S510">
        <v>0</v>
      </c>
      <c r="T510">
        <v>600</v>
      </c>
      <c r="U510">
        <v>300000</v>
      </c>
      <c r="V510">
        <v>15045</v>
      </c>
      <c r="W510" t="str">
        <v>0</v>
      </c>
      <c r="X510">
        <v>27450</v>
      </c>
      <c r="Y510" s="31">
        <v>45321</v>
      </c>
      <c r="Z510" t="str">
        <v/>
      </c>
      <c r="AA510" t="str">
        <v>技術・人文知識・国際業務</v>
      </c>
      <c r="AB510" t="str">
        <v>747-0834</v>
      </c>
      <c r="AC510" t="str">
        <v>山口県防府市大字田島531-1</v>
      </c>
      <c r="AD510" t="str">
        <v>ﾛｼﾞｭﾏﾝ千希A201号</v>
      </c>
      <c r="AE510" s="31">
        <v>44977</v>
      </c>
      <c r="AF510" s="31">
        <v>44979</v>
      </c>
      <c r="AG510" s="31">
        <v>45201</v>
      </c>
      <c r="AH510" s="31">
        <v>0</v>
      </c>
      <c r="AI510" t="str">
        <v>23.3.1</v>
      </c>
      <c r="AJ510" t="str">
        <v>3/30林</v>
      </c>
      <c r="AK510">
        <v>0</v>
      </c>
      <c r="AL510">
        <v>44979</v>
      </c>
      <c r="AM510">
        <v>0</v>
      </c>
      <c r="AN510">
        <v>0</v>
      </c>
      <c r="AO510">
        <v>0</v>
      </c>
      <c r="AP510">
        <v>0</v>
      </c>
      <c r="AQ510">
        <v>0</v>
      </c>
      <c r="AR510">
        <v>0</v>
      </c>
    </row>
    <row r="511" spans="1:44">
      <c r="A511" t="str">
        <f>H511&amp;COUNTIF($H$2:H511,H511)</f>
        <v>0224</v>
      </c>
      <c r="B511" t="str">
        <f>F511&amp;COUNTIF($F$2:F511,F511)</f>
        <v>PATEC26</v>
      </c>
      <c r="C511" t="str">
        <v>退社</v>
      </c>
      <c r="D511">
        <v>230208</v>
      </c>
      <c r="E511">
        <v>0</v>
      </c>
      <c r="F511" t="str">
        <v>PATEC</v>
      </c>
      <c r="G511">
        <v>0</v>
      </c>
      <c r="H511">
        <v>0</v>
      </c>
      <c r="I511">
        <v>0</v>
      </c>
      <c r="J511" t="str">
        <v>DANG NGOC SON</v>
      </c>
      <c r="K511" t="str">
        <v>ダン　ゴック　ソン</v>
      </c>
      <c r="L511" t="str">
        <v>男</v>
      </c>
      <c r="M511" t="str">
        <v>ﾍﾞﾄﾅﾑ</v>
      </c>
      <c r="N511" s="31">
        <v>30351</v>
      </c>
      <c r="O511">
        <v>42</v>
      </c>
      <c r="P511">
        <v>1500</v>
      </c>
      <c r="Q511">
        <v>0</v>
      </c>
      <c r="R511">
        <v>2000</v>
      </c>
      <c r="S511">
        <v>0</v>
      </c>
      <c r="T511">
        <v>500</v>
      </c>
      <c r="U511">
        <v>280000</v>
      </c>
      <c r="V511">
        <v>14042</v>
      </c>
      <c r="W511">
        <v>2226</v>
      </c>
      <c r="X511">
        <v>25620</v>
      </c>
      <c r="Y511" s="31">
        <v>46234</v>
      </c>
      <c r="Z511" t="str">
        <v/>
      </c>
      <c r="AA511" t="str">
        <v>技術・人文知識・国際業務</v>
      </c>
      <c r="AB511" t="str">
        <v>747-0833</v>
      </c>
      <c r="AC511" t="str">
        <v>山口県防府市大字浜方716-15</v>
      </c>
      <c r="AD511" t="str">
        <v>ｱﾙｿｰﾚD203</v>
      </c>
      <c r="AE511" s="31">
        <v>44977</v>
      </c>
      <c r="AF511" s="31">
        <v>44979</v>
      </c>
      <c r="AG511" s="31">
        <v>45471</v>
      </c>
      <c r="AH511" s="31">
        <v>0</v>
      </c>
      <c r="AI511" t="str">
        <v>23.3.1</v>
      </c>
      <c r="AJ511" t="str">
        <v>3/30林</v>
      </c>
      <c r="AK511">
        <v>0</v>
      </c>
      <c r="AL511">
        <v>44979</v>
      </c>
      <c r="AM511">
        <v>0</v>
      </c>
      <c r="AN511">
        <v>0</v>
      </c>
      <c r="AO511">
        <v>0</v>
      </c>
      <c r="AP511">
        <v>0</v>
      </c>
      <c r="AQ511">
        <v>0</v>
      </c>
      <c r="AR511">
        <v>0</v>
      </c>
    </row>
    <row r="512" spans="1:44">
      <c r="A512" t="str">
        <f>H512&amp;COUNTIF($H$2:H512,H512)</f>
        <v>検査2</v>
      </c>
      <c r="B512" t="str">
        <f>F512&amp;COUNTIF($F$2:F512,F512)</f>
        <v>PATEC27</v>
      </c>
      <c r="C512" t="str">
        <v>在職中</v>
      </c>
      <c r="D512">
        <v>230209</v>
      </c>
      <c r="E512">
        <v>0</v>
      </c>
      <c r="F512" t="str">
        <v>PATEC</v>
      </c>
      <c r="G512" t="str">
        <v>製造部検査課</v>
      </c>
      <c r="H512" t="str">
        <v>検査</v>
      </c>
      <c r="I512" t="str">
        <v>キズ・へこみ・塗装ムラ・異物混入などの不良を目視で確認</v>
      </c>
      <c r="J512" t="str">
        <v>LE  VAN THAO</v>
      </c>
      <c r="K512" t="str">
        <v>レ　ヴァン　タオ</v>
      </c>
      <c r="L512" t="str">
        <v>男</v>
      </c>
      <c r="M512" t="str">
        <v>ﾍﾞﾄﾅﾑ</v>
      </c>
      <c r="N512" s="31">
        <v>33629</v>
      </c>
      <c r="O512">
        <v>33</v>
      </c>
      <c r="P512">
        <v>1500</v>
      </c>
      <c r="Q512">
        <v>0</v>
      </c>
      <c r="R512">
        <v>2000</v>
      </c>
      <c r="S512" t="str">
        <v>24/2/21～24/8/20まで請求単価50円下げ</v>
      </c>
      <c r="T512">
        <v>500</v>
      </c>
      <c r="U512">
        <v>360000</v>
      </c>
      <c r="V512">
        <v>18054</v>
      </c>
      <c r="W512" t="str">
        <v>0</v>
      </c>
      <c r="X512">
        <v>32940</v>
      </c>
      <c r="Y512" s="31">
        <v>46901</v>
      </c>
      <c r="Z512" t="str">
        <v/>
      </c>
      <c r="AA512" t="str">
        <v>技術・人文知識・国際業務</v>
      </c>
      <c r="AB512" t="str">
        <v>747-0834</v>
      </c>
      <c r="AC512" t="str">
        <v>山口県防府市大字田島531-1</v>
      </c>
      <c r="AD512" t="str">
        <v>ﾛｼﾞｭﾏﾝ千希A202号</v>
      </c>
      <c r="AE512" s="31">
        <v>44977</v>
      </c>
      <c r="AF512" s="31">
        <v>44979</v>
      </c>
      <c r="AG512" s="31">
        <v>0</v>
      </c>
      <c r="AH512" s="31">
        <v>0</v>
      </c>
      <c r="AI512" t="str">
        <v>23.2.22</v>
      </c>
      <c r="AJ512" t="str">
        <v>2/27林</v>
      </c>
      <c r="AK512">
        <v>0</v>
      </c>
      <c r="AL512">
        <v>44979</v>
      </c>
      <c r="AM512">
        <v>0</v>
      </c>
      <c r="AN512">
        <v>0</v>
      </c>
      <c r="AO512">
        <v>0</v>
      </c>
      <c r="AP512">
        <v>0</v>
      </c>
      <c r="AQ512">
        <v>0</v>
      </c>
      <c r="AR512">
        <v>0</v>
      </c>
    </row>
    <row r="513" spans="1:44">
      <c r="A513" t="str">
        <f>H513&amp;COUNTIF($H$2:H513,H513)</f>
        <v>0225</v>
      </c>
      <c r="B513" t="str">
        <f>F513&amp;COUNTIF($F$2:F513,F513)</f>
        <v>PATEC28</v>
      </c>
      <c r="C513" t="str">
        <v>退社</v>
      </c>
      <c r="D513">
        <v>230210</v>
      </c>
      <c r="E513">
        <v>0</v>
      </c>
      <c r="F513" t="str">
        <v>PATEC</v>
      </c>
      <c r="G513">
        <v>0</v>
      </c>
      <c r="H513">
        <v>0</v>
      </c>
      <c r="I513">
        <v>0</v>
      </c>
      <c r="J513" t="str">
        <v>TRAN NGOC DINH</v>
      </c>
      <c r="K513" t="str">
        <v>チャン　ノック　ディン</v>
      </c>
      <c r="L513" t="str">
        <v>男</v>
      </c>
      <c r="M513" t="str">
        <v>ﾍﾞﾄﾅﾑ</v>
      </c>
      <c r="N513" s="31">
        <v>32567</v>
      </c>
      <c r="O513">
        <v>36</v>
      </c>
      <c r="P513">
        <v>1500</v>
      </c>
      <c r="Q513">
        <v>0</v>
      </c>
      <c r="R513">
        <v>2000</v>
      </c>
      <c r="S513" t="str">
        <v>24/2/21～24/8/20まで請求単価50円下げ</v>
      </c>
      <c r="T513">
        <v>500</v>
      </c>
      <c r="U513">
        <v>340000</v>
      </c>
      <c r="V513">
        <v>17051</v>
      </c>
      <c r="W513" t="str">
        <v>0</v>
      </c>
      <c r="X513">
        <v>31110</v>
      </c>
      <c r="Y513" s="31">
        <v>46334</v>
      </c>
      <c r="Z513" t="str">
        <v/>
      </c>
      <c r="AA513" t="str">
        <v>技術・人文知識・国際業務</v>
      </c>
      <c r="AB513" t="str">
        <v>747-0834</v>
      </c>
      <c r="AC513" t="str">
        <v>山口県防府市大字田島545-2</v>
      </c>
      <c r="AD513" t="str">
        <v>ﾋﾞﾚｯｼﾞﾊｳｽ田島2棟404号</v>
      </c>
      <c r="AE513" s="31" t="str">
        <v>個人</v>
      </c>
      <c r="AF513" s="31">
        <v>44979</v>
      </c>
      <c r="AG513" s="31">
        <v>45625</v>
      </c>
      <c r="AH513" s="31">
        <v>0</v>
      </c>
      <c r="AI513" t="str">
        <v>23.3.1</v>
      </c>
      <c r="AJ513" t="str">
        <v>3/16林</v>
      </c>
      <c r="AK513">
        <v>0</v>
      </c>
      <c r="AL513">
        <v>44979</v>
      </c>
      <c r="AM513">
        <v>0</v>
      </c>
      <c r="AN513">
        <v>0</v>
      </c>
      <c r="AO513">
        <v>0</v>
      </c>
      <c r="AP513">
        <v>0</v>
      </c>
      <c r="AQ513">
        <v>0</v>
      </c>
      <c r="AR513">
        <v>0</v>
      </c>
    </row>
    <row r="514" spans="1:44">
      <c r="A514" t="str">
        <f>H514&amp;COUNTIF($H$2:H514,H514)</f>
        <v>0226</v>
      </c>
      <c r="B514" t="str">
        <f>F514&amp;COUNTIF($F$2:F514,F514)</f>
        <v>PATEC29</v>
      </c>
      <c r="C514" t="str">
        <v>退社</v>
      </c>
      <c r="D514">
        <v>230211</v>
      </c>
      <c r="E514">
        <v>0</v>
      </c>
      <c r="F514" t="str">
        <v>PATEC</v>
      </c>
      <c r="G514">
        <v>0</v>
      </c>
      <c r="H514">
        <v>0</v>
      </c>
      <c r="I514">
        <v>0</v>
      </c>
      <c r="J514" t="str">
        <v>LE NGOC HOI</v>
      </c>
      <c r="K514" t="str">
        <v>レ　ゴック　ホイ</v>
      </c>
      <c r="L514" t="str">
        <v>男</v>
      </c>
      <c r="M514" t="str">
        <v>ﾍﾞﾄﾅﾑ</v>
      </c>
      <c r="N514" s="31">
        <v>32022</v>
      </c>
      <c r="O514">
        <v>38</v>
      </c>
      <c r="P514">
        <v>1600</v>
      </c>
      <c r="Q514">
        <v>0</v>
      </c>
      <c r="R514">
        <v>2100</v>
      </c>
      <c r="S514" t="str">
        <v>24/2/21～24/8/20まで請求単価50円下げ</v>
      </c>
      <c r="T514">
        <v>500</v>
      </c>
      <c r="U514">
        <v>380000</v>
      </c>
      <c r="V514">
        <v>19057</v>
      </c>
      <c r="W514" t="str">
        <v>0</v>
      </c>
      <c r="X514">
        <v>34770</v>
      </c>
      <c r="Y514" s="31">
        <v>46230</v>
      </c>
      <c r="Z514" t="str">
        <v/>
      </c>
      <c r="AA514" t="str">
        <v>技術・人文知識・国際業務</v>
      </c>
      <c r="AB514" t="str">
        <v>747-0833</v>
      </c>
      <c r="AC514" t="str">
        <v>山口県防府市大字浜方716-15</v>
      </c>
      <c r="AD514" t="str">
        <v>ｱﾙｿｰﾚD203</v>
      </c>
      <c r="AE514" s="31">
        <v>44977</v>
      </c>
      <c r="AF514" s="31">
        <v>44979</v>
      </c>
      <c r="AG514" s="31">
        <v>45805</v>
      </c>
      <c r="AH514" s="31">
        <v>0</v>
      </c>
      <c r="AI514" t="str">
        <v>23.3.1</v>
      </c>
      <c r="AJ514" t="str">
        <v>3/16林</v>
      </c>
      <c r="AK514">
        <v>0</v>
      </c>
      <c r="AL514">
        <v>44979</v>
      </c>
      <c r="AM514">
        <v>0</v>
      </c>
      <c r="AN514">
        <v>0</v>
      </c>
      <c r="AO514">
        <v>0</v>
      </c>
      <c r="AP514">
        <v>0</v>
      </c>
      <c r="AQ514">
        <v>0</v>
      </c>
      <c r="AR514">
        <v>0</v>
      </c>
    </row>
    <row r="515" spans="1:44">
      <c r="A515" t="str">
        <f>H515&amp;COUNTIF($H$2:H515,H515)</f>
        <v>1次旋係23</v>
      </c>
      <c r="B515" t="str">
        <f>F515&amp;COUNTIF($F$2:F515,F515)</f>
        <v>高雄工業 岡山90</v>
      </c>
      <c r="C515" t="str">
        <v>退社</v>
      </c>
      <c r="D515">
        <v>230212</v>
      </c>
      <c r="E515">
        <v>232093</v>
      </c>
      <c r="F515" t="str">
        <v>高雄工業 岡山</v>
      </c>
      <c r="G515" t="str">
        <v>高雄工業株式会社 岡山事業所HUB工場製作1課</v>
      </c>
      <c r="H515" t="str">
        <v>1次旋係</v>
      </c>
      <c r="I515" t="str">
        <v>ハブ加工 自動機の操作、ＮＣプログラム修正</v>
      </c>
      <c r="J515" t="str">
        <v>LUU VAN TUNG</v>
      </c>
      <c r="K515" t="str">
        <v>リュ　ヴァン　トゥン</v>
      </c>
      <c r="L515" t="str">
        <v>男</v>
      </c>
      <c r="M515" t="str">
        <v>ﾍﾞﾄﾅﾑ</v>
      </c>
      <c r="N515" s="31">
        <v>36892</v>
      </c>
      <c r="O515">
        <v>24</v>
      </c>
      <c r="P515">
        <v>1310</v>
      </c>
      <c r="Q515">
        <v>0</v>
      </c>
      <c r="R515">
        <v>1710</v>
      </c>
      <c r="S515">
        <v>0</v>
      </c>
      <c r="T515">
        <v>400</v>
      </c>
      <c r="U515">
        <v>220000</v>
      </c>
      <c r="V515">
        <v>11033</v>
      </c>
      <c r="W515" t="str">
        <v>0</v>
      </c>
      <c r="X515">
        <v>20130</v>
      </c>
      <c r="Y515" s="31">
        <v>46433</v>
      </c>
      <c r="Z515" t="str">
        <v/>
      </c>
      <c r="AA515" t="str">
        <v>技術・人文知識・国際業務</v>
      </c>
      <c r="AB515" t="str">
        <v>709-2107</v>
      </c>
      <c r="AC515" t="str">
        <v>岡山県岡山市北区御津矢原297-1</v>
      </c>
      <c r="AD515" t="str">
        <v>成広矢原ｺｰﾎﾟⅤ103</v>
      </c>
      <c r="AE515" s="31">
        <v>44972</v>
      </c>
      <c r="AF515" s="31">
        <v>44979</v>
      </c>
      <c r="AG515" s="31">
        <v>45762</v>
      </c>
      <c r="AH515" s="31">
        <v>0</v>
      </c>
      <c r="AI515" t="str">
        <v>23.3.1</v>
      </c>
      <c r="AJ515" t="str">
        <v>3/16林</v>
      </c>
      <c r="AK515">
        <v>0</v>
      </c>
      <c r="AL515">
        <v>44979</v>
      </c>
      <c r="AM515">
        <v>0</v>
      </c>
      <c r="AN515">
        <v>0</v>
      </c>
      <c r="AO515">
        <v>0</v>
      </c>
      <c r="AP515">
        <v>0</v>
      </c>
      <c r="AQ515">
        <v>0</v>
      </c>
      <c r="AR515">
        <v>0</v>
      </c>
    </row>
    <row r="516" spans="1:44">
      <c r="A516" t="str">
        <f>H516&amp;COUNTIF($H$2:H516,H516)</f>
        <v>1次旋係24</v>
      </c>
      <c r="B516" t="str">
        <f>F516&amp;COUNTIF($F$2:F516,F516)</f>
        <v>高雄工業 岡山91</v>
      </c>
      <c r="C516" t="str">
        <v>退社</v>
      </c>
      <c r="D516">
        <v>230214</v>
      </c>
      <c r="E516">
        <v>232089</v>
      </c>
      <c r="F516" t="str">
        <v>高雄工業 岡山</v>
      </c>
      <c r="G516" t="str">
        <v>高雄工業株式会社 岡山事業所HUB工場製作1課</v>
      </c>
      <c r="H516" t="str">
        <v>1次旋係</v>
      </c>
      <c r="I516" t="str">
        <v>ハブ加工 自動機の操作、ＮＣプログラム修正</v>
      </c>
      <c r="J516" t="str">
        <v>VU DINH QUANG</v>
      </c>
      <c r="K516" t="str">
        <v>ヴー　ディン　クアン</v>
      </c>
      <c r="L516" t="str">
        <v>男</v>
      </c>
      <c r="M516" t="str">
        <v>ﾍﾞﾄﾅﾑ</v>
      </c>
      <c r="N516" s="31">
        <v>36846</v>
      </c>
      <c r="O516">
        <v>25</v>
      </c>
      <c r="P516">
        <v>1300</v>
      </c>
      <c r="Q516">
        <v>0</v>
      </c>
      <c r="R516">
        <v>1700</v>
      </c>
      <c r="S516">
        <v>0</v>
      </c>
      <c r="T516">
        <v>400</v>
      </c>
      <c r="U516">
        <v>220000</v>
      </c>
      <c r="V516">
        <v>11033</v>
      </c>
      <c r="W516" t="str">
        <v>0</v>
      </c>
      <c r="X516">
        <v>20130</v>
      </c>
      <c r="Y516" s="31">
        <v>46433</v>
      </c>
      <c r="Z516" t="str">
        <v/>
      </c>
      <c r="AA516" t="str">
        <v>技術・人文知識・国際業務</v>
      </c>
      <c r="AB516" t="str">
        <v>709-2107</v>
      </c>
      <c r="AC516" t="str">
        <v>岡山県岡山市北区御津矢原297-1</v>
      </c>
      <c r="AD516" t="str">
        <v>成広矢原ｺｰﾎﾟⅤ103</v>
      </c>
      <c r="AE516" s="31">
        <v>44972</v>
      </c>
      <c r="AF516" s="31">
        <v>44979</v>
      </c>
      <c r="AG516" s="31">
        <v>45713</v>
      </c>
      <c r="AH516" s="31">
        <v>0</v>
      </c>
      <c r="AI516" t="str">
        <v>23.3.1</v>
      </c>
      <c r="AJ516" t="str">
        <v>3/16林</v>
      </c>
      <c r="AK516">
        <v>0</v>
      </c>
      <c r="AL516">
        <v>44979</v>
      </c>
      <c r="AM516">
        <v>0</v>
      </c>
      <c r="AN516">
        <v>0</v>
      </c>
      <c r="AO516">
        <v>0</v>
      </c>
      <c r="AP516">
        <v>0</v>
      </c>
      <c r="AQ516">
        <v>0</v>
      </c>
      <c r="AR516">
        <v>0</v>
      </c>
    </row>
    <row r="517" spans="1:44">
      <c r="A517" t="str">
        <f>H517&amp;COUNTIF($H$2:H517,H517)</f>
        <v>1次旋係25</v>
      </c>
      <c r="B517" t="str">
        <f>F517&amp;COUNTIF($F$2:F517,F517)</f>
        <v>高雄工業 岡山92</v>
      </c>
      <c r="C517" t="str">
        <v>退社</v>
      </c>
      <c r="D517">
        <v>230215</v>
      </c>
      <c r="E517">
        <v>232092</v>
      </c>
      <c r="F517" t="str">
        <v>高雄工業 岡山</v>
      </c>
      <c r="G517" t="str">
        <v>高雄工業株式会社 岡山事業所HUB工場製作1課</v>
      </c>
      <c r="H517" t="str">
        <v>1次旋係</v>
      </c>
      <c r="I517" t="str">
        <v>ハブ加工 自動機の操作、ＮＣプログラム修正</v>
      </c>
      <c r="J517" t="str">
        <v>BUI THE DU</v>
      </c>
      <c r="K517" t="str">
        <v>ブイ　テー　ズ</v>
      </c>
      <c r="L517" t="str">
        <v>男</v>
      </c>
      <c r="M517" t="str">
        <v>ﾍﾞﾄﾅﾑ</v>
      </c>
      <c r="N517" s="31">
        <v>35718</v>
      </c>
      <c r="O517">
        <v>28</v>
      </c>
      <c r="P517">
        <v>1300</v>
      </c>
      <c r="Q517">
        <v>0</v>
      </c>
      <c r="R517">
        <v>1700</v>
      </c>
      <c r="S517">
        <v>0</v>
      </c>
      <c r="T517">
        <v>400</v>
      </c>
      <c r="U517">
        <v>240000</v>
      </c>
      <c r="V517">
        <v>12036</v>
      </c>
      <c r="W517" t="str">
        <v>0</v>
      </c>
      <c r="X517">
        <v>21960</v>
      </c>
      <c r="Y517" s="31">
        <v>46433</v>
      </c>
      <c r="Z517" t="str">
        <v/>
      </c>
      <c r="AA517" t="str">
        <v>技術・人文知識・国際業務</v>
      </c>
      <c r="AB517" t="str">
        <v>709-2107</v>
      </c>
      <c r="AC517" t="str">
        <v>岡山県岡山市北区御津矢原294-1</v>
      </c>
      <c r="AD517" t="str">
        <v>成広矢原ｺｰﾎﾟⅢ105</v>
      </c>
      <c r="AE517" s="31">
        <v>44972</v>
      </c>
      <c r="AF517" s="31">
        <v>44979</v>
      </c>
      <c r="AG517" s="31">
        <v>45580</v>
      </c>
      <c r="AH517" s="31">
        <v>0</v>
      </c>
      <c r="AI517" t="str">
        <v>23.3.1</v>
      </c>
      <c r="AJ517" t="str">
        <v>3/16林</v>
      </c>
      <c r="AK517">
        <v>0</v>
      </c>
      <c r="AL517">
        <v>44979</v>
      </c>
      <c r="AM517">
        <v>0</v>
      </c>
      <c r="AN517">
        <v>0</v>
      </c>
      <c r="AO517">
        <v>0</v>
      </c>
      <c r="AP517">
        <v>0</v>
      </c>
      <c r="AQ517">
        <v>0</v>
      </c>
      <c r="AR517">
        <v>0</v>
      </c>
    </row>
    <row r="518" spans="1:44">
      <c r="A518" t="str">
        <f>H518&amp;COUNTIF($H$2:H518,H518)</f>
        <v>1次旋係26</v>
      </c>
      <c r="B518" t="str">
        <f>F518&amp;COUNTIF($F$2:F518,F518)</f>
        <v>高雄工業 岡山93</v>
      </c>
      <c r="C518" t="str">
        <v>退社</v>
      </c>
      <c r="D518">
        <v>230216</v>
      </c>
      <c r="E518">
        <v>232090</v>
      </c>
      <c r="F518" t="str">
        <v>高雄工業 岡山</v>
      </c>
      <c r="G518" t="str">
        <v>高雄工業株式会社 岡山事業所HUB工場製作1課</v>
      </c>
      <c r="H518" t="str">
        <v>1次旋係</v>
      </c>
      <c r="I518" t="str">
        <v>ハブ加工 自動機の操作、ＮＣプログラム修正</v>
      </c>
      <c r="J518" t="str">
        <v>NGUYEN XUAN CUONG</v>
      </c>
      <c r="K518" t="str">
        <v>グエン　スアン　クオン</v>
      </c>
      <c r="L518" t="str">
        <v>男</v>
      </c>
      <c r="M518" t="str">
        <v>ﾍﾞﾄﾅﾑ</v>
      </c>
      <c r="N518" s="31">
        <v>36543</v>
      </c>
      <c r="O518">
        <v>25</v>
      </c>
      <c r="P518">
        <v>1300</v>
      </c>
      <c r="Q518">
        <v>0</v>
      </c>
      <c r="R518">
        <v>1700</v>
      </c>
      <c r="S518">
        <v>0</v>
      </c>
      <c r="T518">
        <v>400</v>
      </c>
      <c r="U518">
        <v>240000</v>
      </c>
      <c r="V518">
        <v>12036</v>
      </c>
      <c r="W518" t="str">
        <v>0</v>
      </c>
      <c r="X518">
        <v>21960</v>
      </c>
      <c r="Y518" s="31">
        <v>46433</v>
      </c>
      <c r="Z518" t="str">
        <v/>
      </c>
      <c r="AA518" t="str">
        <v>技術・人文知識・国際業務</v>
      </c>
      <c r="AB518" t="str">
        <v>709-2107</v>
      </c>
      <c r="AC518" t="str">
        <v>岡山県岡山市北区御津矢原294-1</v>
      </c>
      <c r="AD518" t="str">
        <v>成広矢原ｺｰﾎﾟⅢ105</v>
      </c>
      <c r="AE518" s="31">
        <v>44972</v>
      </c>
      <c r="AF518" s="31">
        <v>44979</v>
      </c>
      <c r="AG518" s="31">
        <v>45686</v>
      </c>
      <c r="AH518" s="31">
        <v>0</v>
      </c>
      <c r="AI518" t="str">
        <v>23.3.1</v>
      </c>
      <c r="AJ518" t="str">
        <v>3/16林</v>
      </c>
      <c r="AK518">
        <v>0</v>
      </c>
      <c r="AL518">
        <v>44979</v>
      </c>
      <c r="AM518">
        <v>0</v>
      </c>
      <c r="AN518">
        <v>0</v>
      </c>
      <c r="AO518">
        <v>0</v>
      </c>
      <c r="AP518">
        <v>0</v>
      </c>
      <c r="AQ518">
        <v>0</v>
      </c>
      <c r="AR518">
        <v>0</v>
      </c>
    </row>
    <row r="519" spans="1:44">
      <c r="A519" t="str">
        <f>H519&amp;COUNTIF($H$2:H519,H519)</f>
        <v>本社工場製造2課3工区6班1</v>
      </c>
      <c r="B519" t="str">
        <f>F519&amp;COUNTIF($F$2:F519,F519)</f>
        <v>コーリツ 本社9</v>
      </c>
      <c r="C519" t="str">
        <v>在職中</v>
      </c>
      <c r="D519">
        <v>200803</v>
      </c>
      <c r="E519">
        <v>8210005</v>
      </c>
      <c r="F519" t="str">
        <v>コーリツ 本社</v>
      </c>
      <c r="G519" t="str">
        <v>本社工場製造2課3工区6班</v>
      </c>
      <c r="H519" t="str">
        <v>本社工場製造2課3工区6班</v>
      </c>
      <c r="I519">
        <v>0</v>
      </c>
      <c r="J519" t="str">
        <v>NGUYEN QUANG HUNG</v>
      </c>
      <c r="K519" t="str">
        <v>グエン　クアン　フン</v>
      </c>
      <c r="L519" t="str">
        <v>男</v>
      </c>
      <c r="M519" t="str">
        <v>ﾍﾞﾄﾅﾑ</v>
      </c>
      <c r="N519" s="31">
        <v>34939</v>
      </c>
      <c r="O519">
        <v>30</v>
      </c>
      <c r="P519">
        <v>1550</v>
      </c>
      <c r="Q519">
        <v>0</v>
      </c>
      <c r="R519">
        <v>2150</v>
      </c>
      <c r="S519">
        <v>0</v>
      </c>
      <c r="T519">
        <v>600</v>
      </c>
      <c r="U519">
        <v>380000</v>
      </c>
      <c r="V519">
        <v>19057</v>
      </c>
      <c r="W519" t="str">
        <v>0</v>
      </c>
      <c r="X519">
        <v>34770</v>
      </c>
      <c r="Y519" s="31">
        <v>46084</v>
      </c>
      <c r="Z519">
        <v>89</v>
      </c>
      <c r="AA519" t="str">
        <v>技術・人文知識・国際業務</v>
      </c>
      <c r="AB519" t="str">
        <v>475-0074</v>
      </c>
      <c r="AC519" t="str">
        <v>愛知県半田市長根町3丁目1番　</v>
      </c>
      <c r="AD519" t="str">
        <v>県営長根住宅5棟303号</v>
      </c>
      <c r="AE519" s="31" t="str">
        <v>個人</v>
      </c>
      <c r="AF519" s="31">
        <v>44984</v>
      </c>
      <c r="AG519" s="31">
        <v>0</v>
      </c>
      <c r="AH519" s="31">
        <v>0</v>
      </c>
      <c r="AI519" t="str">
        <v>23.2.27</v>
      </c>
      <c r="AJ519" t="str">
        <v>3/16林</v>
      </c>
      <c r="AK519" t="str">
        <v>2024/1/22コーリツ州の崎工場⇒本社工場へ異動</v>
      </c>
      <c r="AL519">
        <v>44984</v>
      </c>
      <c r="AM519" t="str">
        <v>普通免許</v>
      </c>
      <c r="AN519">
        <v>45928</v>
      </c>
      <c r="AO519" t="str">
        <v>車</v>
      </c>
      <c r="AP519">
        <v>46202</v>
      </c>
      <c r="AQ519">
        <v>0</v>
      </c>
      <c r="AR519">
        <v>0</v>
      </c>
    </row>
    <row r="520" spans="1:44">
      <c r="A520" t="str">
        <f>H520&amp;COUNTIF($H$2:H520,H520)</f>
        <v>州の崎工場製造2課2工区３班2</v>
      </c>
      <c r="B520" t="str">
        <f>F520&amp;COUNTIF($F$2:F520,F520)</f>
        <v>コーリツ 州の崎23</v>
      </c>
      <c r="C520" t="str">
        <v>在職中</v>
      </c>
      <c r="D520">
        <v>230217</v>
      </c>
      <c r="E520">
        <v>8210043</v>
      </c>
      <c r="F520" t="str">
        <v>コーリツ 州の崎</v>
      </c>
      <c r="G520" t="str">
        <v>州の崎工場製造2課2工区３班</v>
      </c>
      <c r="H520" t="str">
        <v>州の崎工場製造2課2工区３班</v>
      </c>
      <c r="I520">
        <v>0</v>
      </c>
      <c r="J520" t="str">
        <v>NGUYEN DANH TIEP</v>
      </c>
      <c r="K520" t="str">
        <v>グエン　ダン　テイエプ</v>
      </c>
      <c r="L520" t="str">
        <v>男</v>
      </c>
      <c r="M520" t="str">
        <v>ﾍﾞﾄﾅﾑ</v>
      </c>
      <c r="N520" s="31">
        <v>32902</v>
      </c>
      <c r="O520">
        <v>35</v>
      </c>
      <c r="P520">
        <v>1655</v>
      </c>
      <c r="Q520">
        <v>0</v>
      </c>
      <c r="R520">
        <v>2375</v>
      </c>
      <c r="S520">
        <v>0</v>
      </c>
      <c r="T520">
        <v>720</v>
      </c>
      <c r="U520">
        <v>360000</v>
      </c>
      <c r="V520">
        <v>18054</v>
      </c>
      <c r="W520" t="str">
        <v>0</v>
      </c>
      <c r="X520">
        <v>32940</v>
      </c>
      <c r="Y520" s="31">
        <v>46622</v>
      </c>
      <c r="Z520" t="str">
        <v/>
      </c>
      <c r="AA520" t="str">
        <v>技術・人文知識・国際業務</v>
      </c>
      <c r="AB520" t="str">
        <v>475-0074</v>
      </c>
      <c r="AC520" t="str">
        <v>愛知県半田市長根町3丁目1番　</v>
      </c>
      <c r="AD520" t="str">
        <v>県営長根住宅5棟306号</v>
      </c>
      <c r="AE520" s="31" t="str">
        <v>個人</v>
      </c>
      <c r="AF520" s="31">
        <v>44984</v>
      </c>
      <c r="AG520" s="31">
        <v>0</v>
      </c>
      <c r="AH520" s="31">
        <v>0</v>
      </c>
      <c r="AI520" t="str">
        <v>23.2.27</v>
      </c>
      <c r="AJ520" t="str">
        <v>3/16林</v>
      </c>
      <c r="AK520">
        <v>0</v>
      </c>
      <c r="AL520">
        <v>44984</v>
      </c>
      <c r="AM520" t="str">
        <v>普通免許</v>
      </c>
      <c r="AN520">
        <v>46446</v>
      </c>
      <c r="AO520" t="str">
        <v>車</v>
      </c>
      <c r="AP520">
        <v>46140</v>
      </c>
      <c r="AQ520">
        <v>0</v>
      </c>
      <c r="AR520">
        <v>0</v>
      </c>
    </row>
    <row r="521" spans="1:44">
      <c r="A521" t="str">
        <f>H521&amp;COUNTIF($H$2:H521,H521)</f>
        <v>乙川工場製造3課6工区9班5</v>
      </c>
      <c r="B521" t="str">
        <f>F521&amp;COUNTIF($F$2:F521,F521)</f>
        <v>コーリツ 乙川12</v>
      </c>
      <c r="C521" t="str">
        <v>退社</v>
      </c>
      <c r="D521">
        <v>230218</v>
      </c>
      <c r="E521">
        <v>8210042</v>
      </c>
      <c r="F521" t="str">
        <v>コーリツ 乙川</v>
      </c>
      <c r="G521" t="str">
        <v>乙川工場製造3課6工区9班</v>
      </c>
      <c r="H521" t="str">
        <v>乙川工場製造3課6工区9班</v>
      </c>
      <c r="I521">
        <v>0</v>
      </c>
      <c r="J521" t="str">
        <v>DO VAN SON</v>
      </c>
      <c r="K521" t="str">
        <v>ド　ヴァン　ソン</v>
      </c>
      <c r="L521" t="str">
        <v>男</v>
      </c>
      <c r="M521" t="str">
        <v>ﾍﾞﾄﾅﾑ</v>
      </c>
      <c r="N521" s="31">
        <v>35077</v>
      </c>
      <c r="O521">
        <v>29</v>
      </c>
      <c r="P521">
        <v>1400</v>
      </c>
      <c r="Q521">
        <v>0</v>
      </c>
      <c r="R521">
        <v>1990</v>
      </c>
      <c r="S521">
        <v>0</v>
      </c>
      <c r="T521">
        <v>590</v>
      </c>
      <c r="U521">
        <v>320000</v>
      </c>
      <c r="V521">
        <v>16048</v>
      </c>
      <c r="W521" t="str">
        <v>0</v>
      </c>
      <c r="X521">
        <v>29280</v>
      </c>
      <c r="Y521" s="31">
        <v>45528</v>
      </c>
      <c r="Z521" t="str">
        <v/>
      </c>
      <c r="AA521" t="str">
        <v>技術・人文知識・国際業務</v>
      </c>
      <c r="AB521" t="str">
        <v>475-0006</v>
      </c>
      <c r="AC521" t="str">
        <v>愛知県半田市南大矢知町4丁目205番地2</v>
      </c>
      <c r="AD521" t="str">
        <v>ﾒｿﾞﾝﾄﾞﾗﾊﾟﾝⅡ203</v>
      </c>
      <c r="AE521" s="31">
        <v>44981</v>
      </c>
      <c r="AF521" s="31">
        <v>44984</v>
      </c>
      <c r="AG521" s="31">
        <v>45317</v>
      </c>
      <c r="AH521" s="31">
        <v>0</v>
      </c>
      <c r="AI521" t="str">
        <v>23.3.1</v>
      </c>
      <c r="AJ521" t="str">
        <v>3/30林</v>
      </c>
      <c r="AK521">
        <v>0</v>
      </c>
      <c r="AL521">
        <v>44984</v>
      </c>
      <c r="AM521">
        <v>0</v>
      </c>
      <c r="AN521">
        <v>0</v>
      </c>
      <c r="AO521">
        <v>0</v>
      </c>
      <c r="AP521">
        <v>0</v>
      </c>
      <c r="AQ521">
        <v>0</v>
      </c>
      <c r="AR521">
        <v>0</v>
      </c>
    </row>
    <row r="522" spans="1:44">
      <c r="A522" t="str">
        <f>H522&amp;COUNTIF($H$2:H522,H522)</f>
        <v>メラミン課1</v>
      </c>
      <c r="B522" t="str">
        <f>F522&amp;COUNTIF($F$2:F522,F522)</f>
        <v>加藤木材工業 本社18</v>
      </c>
      <c r="C522" t="str">
        <v>退社</v>
      </c>
      <c r="D522">
        <v>230219</v>
      </c>
      <c r="E522">
        <v>5538</v>
      </c>
      <c r="F522" t="str">
        <v>加藤木材工業 本社</v>
      </c>
      <c r="G522" t="str">
        <v>資材供給部</v>
      </c>
      <c r="H522" t="str">
        <v>メラミン課</v>
      </c>
      <c r="I522" t="str">
        <v>機械オペレーター及び機械メンテナンス他付随する業務</v>
      </c>
      <c r="J522" t="str">
        <v>TRAN BA HUNG</v>
      </c>
      <c r="K522" t="str">
        <v>チャン　バ　フン</v>
      </c>
      <c r="L522" t="str">
        <v>男</v>
      </c>
      <c r="M522" t="str">
        <v>ﾍﾞﾄﾅﾑ</v>
      </c>
      <c r="N522" s="31">
        <v>34874</v>
      </c>
      <c r="O522">
        <v>30</v>
      </c>
      <c r="P522">
        <v>1300</v>
      </c>
      <c r="Q522">
        <v>0</v>
      </c>
      <c r="R522">
        <v>1700</v>
      </c>
      <c r="S522">
        <v>0</v>
      </c>
      <c r="T522">
        <v>400</v>
      </c>
      <c r="U522">
        <v>260000</v>
      </c>
      <c r="V522">
        <v>13039</v>
      </c>
      <c r="W522" t="str">
        <v>0</v>
      </c>
      <c r="X522">
        <v>23790</v>
      </c>
      <c r="Y522" s="31">
        <v>46128</v>
      </c>
      <c r="Z522" t="str">
        <v/>
      </c>
      <c r="AA522" t="str">
        <v>技術・人文知識・国際業務</v>
      </c>
      <c r="AB522" t="str">
        <v>486-0806</v>
      </c>
      <c r="AC522" t="str">
        <v>愛知県春日井市大手田酉町1-5-15</v>
      </c>
      <c r="AD522" t="str">
        <v>ｻﾝｳﾞｨﾚｯｼﾞ91-205</v>
      </c>
      <c r="AE522" s="31">
        <v>0</v>
      </c>
      <c r="AF522" s="31">
        <v>44984</v>
      </c>
      <c r="AG522" s="31">
        <v>45334</v>
      </c>
      <c r="AH522" s="31">
        <v>0</v>
      </c>
      <c r="AI522" t="str">
        <v>23.3.1</v>
      </c>
      <c r="AJ522" t="str">
        <v>3/16林</v>
      </c>
      <c r="AK522">
        <v>0</v>
      </c>
      <c r="AL522">
        <v>44984</v>
      </c>
      <c r="AM522">
        <v>0</v>
      </c>
      <c r="AN522">
        <v>0</v>
      </c>
      <c r="AO522">
        <v>0</v>
      </c>
      <c r="AP522">
        <v>0</v>
      </c>
      <c r="AQ522">
        <v>0</v>
      </c>
      <c r="AR522">
        <v>0</v>
      </c>
    </row>
    <row r="523" spans="1:44">
      <c r="A523" t="str">
        <f>H523&amp;COUNTIF($H$2:H523,H523)</f>
        <v>リフト作業2</v>
      </c>
      <c r="B523" t="str">
        <f>F523&amp;COUNTIF($F$2:F523,F523)</f>
        <v>高雄工業 本社47</v>
      </c>
      <c r="C523" t="str">
        <v>退社</v>
      </c>
      <c r="D523">
        <v>230220</v>
      </c>
      <c r="E523">
        <v>212038</v>
      </c>
      <c r="F523" t="str">
        <v>高雄工業 本社</v>
      </c>
      <c r="G523" t="str">
        <v>高雄工業株式会社 愛知事業所本社工場製作課</v>
      </c>
      <c r="H523" t="str">
        <v>リフト作業</v>
      </c>
      <c r="I523" t="str">
        <v>鋳造材料の工場内加工ラインへの供給</v>
      </c>
      <c r="J523" t="str">
        <v>SIDO SERGIO HIROJI</v>
      </c>
      <c r="K523" t="str">
        <v>シドウ　セルジオ　ヒロジ</v>
      </c>
      <c r="L523" t="str">
        <v>男</v>
      </c>
      <c r="M523" t="str">
        <v>ﾌﾞﾗｼﾞﾙ</v>
      </c>
      <c r="N523" s="31">
        <v>21815</v>
      </c>
      <c r="O523">
        <v>66</v>
      </c>
      <c r="P523">
        <v>1400</v>
      </c>
      <c r="Q523">
        <v>0</v>
      </c>
      <c r="R523">
        <v>1780</v>
      </c>
      <c r="S523">
        <v>0</v>
      </c>
      <c r="T523">
        <v>380</v>
      </c>
      <c r="U523">
        <v>260000</v>
      </c>
      <c r="V523">
        <v>13039</v>
      </c>
      <c r="W523" t="str">
        <v>0</v>
      </c>
      <c r="X523">
        <v>23790</v>
      </c>
      <c r="Y523" s="31">
        <v>47026</v>
      </c>
      <c r="Z523" t="str">
        <v/>
      </c>
      <c r="AA523" t="str">
        <v>永住者</v>
      </c>
      <c r="AB523" t="str">
        <v>478-0054</v>
      </c>
      <c r="AC523" t="str">
        <v>愛知県知多市つづじヶ丘1丁目14番地</v>
      </c>
      <c r="AD523" t="str">
        <v>2号棟306号</v>
      </c>
      <c r="AE523" s="31" t="str">
        <v>個人</v>
      </c>
      <c r="AF523" s="31">
        <v>44985</v>
      </c>
      <c r="AG523" s="31">
        <v>45562</v>
      </c>
      <c r="AH523" s="31">
        <v>0</v>
      </c>
      <c r="AI523" t="str">
        <v>23.3.1</v>
      </c>
      <c r="AJ523" t="str">
        <v>3/1林</v>
      </c>
      <c r="AK523">
        <v>0</v>
      </c>
      <c r="AL523">
        <v>44985</v>
      </c>
      <c r="AM523">
        <v>0</v>
      </c>
      <c r="AN523">
        <v>0</v>
      </c>
      <c r="AO523">
        <v>0</v>
      </c>
      <c r="AP523">
        <v>0</v>
      </c>
      <c r="AQ523">
        <v>0</v>
      </c>
      <c r="AR523">
        <v>0</v>
      </c>
    </row>
    <row r="524" spans="1:44">
      <c r="A524" t="str">
        <f>H524&amp;COUNTIF($H$2:H524,H524)</f>
        <v>0227</v>
      </c>
      <c r="B524" t="str">
        <f>F524&amp;COUNTIF($F$2:F524,F524)</f>
        <v>六甲電子24</v>
      </c>
      <c r="C524" t="str">
        <v>退社</v>
      </c>
      <c r="D524">
        <v>230221</v>
      </c>
      <c r="E524">
        <v>0</v>
      </c>
      <c r="F524" t="str">
        <v>六甲電子</v>
      </c>
      <c r="G524">
        <v>0</v>
      </c>
      <c r="H524">
        <v>0</v>
      </c>
      <c r="I524">
        <v>0</v>
      </c>
      <c r="J524" t="str">
        <v>NGUYEN THI TRANG</v>
      </c>
      <c r="K524" t="str">
        <v>グエン　ティ　チャン</v>
      </c>
      <c r="L524" t="str">
        <v>女</v>
      </c>
      <c r="M524" t="str">
        <v>ﾍﾞﾄﾅﾑ</v>
      </c>
      <c r="N524" s="31">
        <v>33120</v>
      </c>
      <c r="O524">
        <v>35</v>
      </c>
      <c r="P524">
        <v>1500</v>
      </c>
      <c r="Q524">
        <v>0</v>
      </c>
      <c r="R524">
        <v>2200</v>
      </c>
      <c r="S524">
        <v>0</v>
      </c>
      <c r="T524">
        <v>700</v>
      </c>
      <c r="U524">
        <v>300000</v>
      </c>
      <c r="V524">
        <v>15045</v>
      </c>
      <c r="W524" t="str">
        <v>0</v>
      </c>
      <c r="X524">
        <v>27450</v>
      </c>
      <c r="Y524" s="31">
        <v>45451</v>
      </c>
      <c r="Z524" t="str">
        <v/>
      </c>
      <c r="AA524" t="str">
        <v>技術・人文知識・国際業務</v>
      </c>
      <c r="AB524" t="str">
        <v>663-8122</v>
      </c>
      <c r="AC524" t="str">
        <v>兵庫県西宮市小曽根町1丁目4-28</v>
      </c>
      <c r="AD524" t="str">
        <v>ｸﾞﾘｰﾝﾊｲﾂ小曽根403</v>
      </c>
      <c r="AE524" s="31">
        <v>44984</v>
      </c>
      <c r="AF524" s="31">
        <v>44985</v>
      </c>
      <c r="AG524" s="31">
        <v>45208</v>
      </c>
      <c r="AH524" s="31">
        <v>0</v>
      </c>
      <c r="AI524" t="str">
        <v>23.3.1</v>
      </c>
      <c r="AJ524" t="str">
        <v>3/24原</v>
      </c>
      <c r="AK524">
        <v>0</v>
      </c>
      <c r="AL524">
        <v>44985</v>
      </c>
      <c r="AM524">
        <v>0</v>
      </c>
      <c r="AN524">
        <v>0</v>
      </c>
      <c r="AO524">
        <v>0</v>
      </c>
      <c r="AP524">
        <v>0</v>
      </c>
      <c r="AQ524">
        <v>0</v>
      </c>
      <c r="AR524">
        <v>0</v>
      </c>
    </row>
    <row r="525" spans="1:44">
      <c r="A525" t="str">
        <f>H525&amp;COUNTIF($H$2:H525,H525)</f>
        <v>乙川工場製造3課5工区7班2</v>
      </c>
      <c r="B525" t="str">
        <f>F525&amp;COUNTIF($F$2:F525,F525)</f>
        <v>コーリツ 乙川13</v>
      </c>
      <c r="C525" t="str">
        <v>在職中</v>
      </c>
      <c r="D525">
        <v>230302</v>
      </c>
      <c r="E525">
        <v>8210046</v>
      </c>
      <c r="F525" t="str">
        <v>コーリツ 乙川</v>
      </c>
      <c r="G525" t="str">
        <v>乙川工場製造3課5工区7班</v>
      </c>
      <c r="H525" t="str">
        <v>乙川工場製造3課5工区7班</v>
      </c>
      <c r="I525">
        <v>0</v>
      </c>
      <c r="J525" t="str">
        <v>PHAM TUAN ANH</v>
      </c>
      <c r="K525" t="str">
        <v>ファム　トゥアン　アン</v>
      </c>
      <c r="L525" t="str">
        <v>男</v>
      </c>
      <c r="M525" t="str">
        <v>ﾍﾞﾄﾅﾑ</v>
      </c>
      <c r="N525" s="31">
        <v>33126</v>
      </c>
      <c r="O525">
        <v>35</v>
      </c>
      <c r="P525">
        <v>1500</v>
      </c>
      <c r="Q525">
        <v>0</v>
      </c>
      <c r="R525">
        <v>2150</v>
      </c>
      <c r="S525">
        <v>0</v>
      </c>
      <c r="T525">
        <v>650</v>
      </c>
      <c r="U525">
        <v>340000</v>
      </c>
      <c r="V525">
        <v>17051</v>
      </c>
      <c r="W525" t="str">
        <v>0</v>
      </c>
      <c r="X525">
        <v>31110</v>
      </c>
      <c r="Y525" s="31">
        <v>46627</v>
      </c>
      <c r="Z525" t="str">
        <v/>
      </c>
      <c r="AA525" t="str">
        <v>技術・人文知識・国際業務</v>
      </c>
      <c r="AB525" t="str">
        <v>475-0061</v>
      </c>
      <c r="AC525" t="str">
        <v>愛知県半田市一ノ草町201-11</v>
      </c>
      <c r="AD525" t="str">
        <v>ﾒｿﾞﾝﾊﾟｰｸｱﾍﾞﾆｭｰ101</v>
      </c>
      <c r="AE525" s="31">
        <v>45073</v>
      </c>
      <c r="AF525" s="31">
        <v>44986</v>
      </c>
      <c r="AG525" s="31">
        <v>0</v>
      </c>
      <c r="AH525" s="31">
        <v>0</v>
      </c>
      <c r="AI525" t="str">
        <v>23.4.1</v>
      </c>
      <c r="AJ525" t="str">
        <v>3/20林</v>
      </c>
      <c r="AK525">
        <v>0</v>
      </c>
      <c r="AL525">
        <v>44986</v>
      </c>
      <c r="AM525" t="str">
        <v>普通免許</v>
      </c>
      <c r="AN525">
        <v>45940</v>
      </c>
      <c r="AO525" t="str">
        <v>車</v>
      </c>
      <c r="AP525">
        <v>45983</v>
      </c>
      <c r="AQ525">
        <v>0</v>
      </c>
      <c r="AR525">
        <v>0</v>
      </c>
    </row>
    <row r="526" spans="1:44">
      <c r="A526" t="str">
        <f>H526&amp;COUNTIF($H$2:H526,H526)</f>
        <v>1次旋係27</v>
      </c>
      <c r="B526" t="str">
        <f>F526&amp;COUNTIF($F$2:F526,F526)</f>
        <v>高雄工業 岡山94</v>
      </c>
      <c r="C526" t="str">
        <v>在職中</v>
      </c>
      <c r="D526">
        <v>230303</v>
      </c>
      <c r="E526">
        <v>232098</v>
      </c>
      <c r="F526" t="str">
        <v>高雄工業 岡山</v>
      </c>
      <c r="G526" t="str">
        <v>高雄工業株式会社 岡山事業所HUB工場製作1課</v>
      </c>
      <c r="H526" t="str">
        <v>1次旋係</v>
      </c>
      <c r="I526" t="str">
        <v>ハブ加工 自動機の操作、ＮＣプログラム修正</v>
      </c>
      <c r="J526" t="str">
        <v>BUI HUU KHOA</v>
      </c>
      <c r="K526" t="str">
        <v>ブイ　フウ　コア</v>
      </c>
      <c r="L526" t="str">
        <v>男</v>
      </c>
      <c r="M526" t="str">
        <v>ﾍﾞﾄﾅﾑ</v>
      </c>
      <c r="N526" s="31">
        <v>35340</v>
      </c>
      <c r="O526">
        <v>29</v>
      </c>
      <c r="P526">
        <v>1310</v>
      </c>
      <c r="Q526">
        <v>0</v>
      </c>
      <c r="R526">
        <v>1720</v>
      </c>
      <c r="S526">
        <v>0</v>
      </c>
      <c r="T526">
        <v>410</v>
      </c>
      <c r="U526">
        <v>260000</v>
      </c>
      <c r="V526">
        <v>13039</v>
      </c>
      <c r="W526" t="str">
        <v>0</v>
      </c>
      <c r="X526">
        <v>23790</v>
      </c>
      <c r="Y526" s="31">
        <v>46440</v>
      </c>
      <c r="Z526" t="str">
        <v/>
      </c>
      <c r="AA526" t="str">
        <v>技術・人文知識・国際業務</v>
      </c>
      <c r="AB526" t="str">
        <v>709-2133</v>
      </c>
      <c r="AC526" t="str">
        <v>岡山県岡山市北区御津金川929-2</v>
      </c>
      <c r="AD526" t="str">
        <v>金川一軒家</v>
      </c>
      <c r="AE526" s="31">
        <v>45108</v>
      </c>
      <c r="AF526" s="31">
        <v>44986</v>
      </c>
      <c r="AG526" s="31">
        <v>0</v>
      </c>
      <c r="AH526" s="31">
        <v>0</v>
      </c>
      <c r="AI526" t="str">
        <v>23.4.1</v>
      </c>
      <c r="AJ526" t="str">
        <v>3/16林</v>
      </c>
      <c r="AK526">
        <v>0</v>
      </c>
      <c r="AL526">
        <v>44986</v>
      </c>
      <c r="AM526">
        <v>0</v>
      </c>
      <c r="AN526">
        <v>0</v>
      </c>
      <c r="AO526">
        <v>0</v>
      </c>
      <c r="AP526">
        <v>0</v>
      </c>
      <c r="AQ526">
        <v>0</v>
      </c>
      <c r="AR526">
        <v>0</v>
      </c>
    </row>
    <row r="527" spans="1:44">
      <c r="A527" t="str">
        <f>H527&amp;COUNTIF($H$2:H527,H527)</f>
        <v>1次旋係28</v>
      </c>
      <c r="B527" t="str">
        <f>F527&amp;COUNTIF($F$2:F527,F527)</f>
        <v>高雄工業 岡山95</v>
      </c>
      <c r="C527" t="str">
        <v>在職中</v>
      </c>
      <c r="D527">
        <v>230305</v>
      </c>
      <c r="E527">
        <v>232097</v>
      </c>
      <c r="F527" t="str">
        <v>高雄工業 岡山</v>
      </c>
      <c r="G527" t="str">
        <v>高雄工業株式会社 岡山事業所HUB工場製作1課</v>
      </c>
      <c r="H527" t="str">
        <v>1次旋係</v>
      </c>
      <c r="I527" t="str">
        <v>ハブ加工 自動機の操作、ＮＣプログラム修正</v>
      </c>
      <c r="J527" t="str">
        <v>DANG MINH QUANG</v>
      </c>
      <c r="K527" t="str">
        <v>ダン　ミイン　クアン</v>
      </c>
      <c r="L527" t="str">
        <v>男</v>
      </c>
      <c r="M527" t="str">
        <v>ﾍﾞﾄﾅﾑ</v>
      </c>
      <c r="N527" s="31">
        <v>35908</v>
      </c>
      <c r="O527">
        <v>27</v>
      </c>
      <c r="P527">
        <v>1310</v>
      </c>
      <c r="Q527">
        <v>0</v>
      </c>
      <c r="R527">
        <v>1730</v>
      </c>
      <c r="S527">
        <v>0</v>
      </c>
      <c r="T527">
        <v>420</v>
      </c>
      <c r="U527">
        <v>260000</v>
      </c>
      <c r="V527">
        <v>13039</v>
      </c>
      <c r="W527" t="str">
        <v>0</v>
      </c>
      <c r="X527">
        <v>23790</v>
      </c>
      <c r="Y527" s="31">
        <v>46440</v>
      </c>
      <c r="Z527" t="str">
        <v/>
      </c>
      <c r="AA527" t="str">
        <v>技術・人文知識・国際業務</v>
      </c>
      <c r="AB527" t="str">
        <v>709-2133</v>
      </c>
      <c r="AC527" t="str">
        <v>岡山県岡山市北区御津金川929-2</v>
      </c>
      <c r="AD527" t="str">
        <v>金川一軒家</v>
      </c>
      <c r="AE527" s="31">
        <v>45108</v>
      </c>
      <c r="AF527" s="31">
        <v>44986</v>
      </c>
      <c r="AG527" s="31">
        <v>0</v>
      </c>
      <c r="AH527" s="31">
        <v>0</v>
      </c>
      <c r="AI527" t="str">
        <v>23.4.1</v>
      </c>
      <c r="AJ527" t="str">
        <v>3/16林</v>
      </c>
      <c r="AK527">
        <v>0</v>
      </c>
      <c r="AL527">
        <v>44986</v>
      </c>
      <c r="AM527">
        <v>0</v>
      </c>
      <c r="AN527">
        <v>0</v>
      </c>
      <c r="AO527">
        <v>0</v>
      </c>
      <c r="AP527">
        <v>0</v>
      </c>
      <c r="AQ527">
        <v>0</v>
      </c>
      <c r="AR527">
        <v>0</v>
      </c>
    </row>
    <row r="528" spans="1:44">
      <c r="A528" t="str">
        <f>H528&amp;COUNTIF($H$2:H528,H528)</f>
        <v>乙川工場製造3課6工区9班6</v>
      </c>
      <c r="B528" t="str">
        <f>F528&amp;COUNTIF($F$2:F528,F528)</f>
        <v>コーリツ 乙川14</v>
      </c>
      <c r="C528" t="str">
        <v>退社</v>
      </c>
      <c r="D528">
        <v>220303</v>
      </c>
      <c r="E528">
        <v>8210036</v>
      </c>
      <c r="F528" t="str">
        <v>コーリツ 乙川</v>
      </c>
      <c r="G528" t="str">
        <v>乙川工場製造3課6工区9班</v>
      </c>
      <c r="H528" t="str">
        <v>乙川工場製造3課6工区9班</v>
      </c>
      <c r="I528">
        <v>0</v>
      </c>
      <c r="J528" t="str">
        <v>BUI VAN DOAN</v>
      </c>
      <c r="K528" t="str">
        <v>ブイ　ヴァン　ドアン</v>
      </c>
      <c r="L528" t="str">
        <v>男</v>
      </c>
      <c r="M528" t="str">
        <v>ﾍﾞﾄﾅﾑ</v>
      </c>
      <c r="N528" s="31">
        <v>33068</v>
      </c>
      <c r="O528">
        <v>35</v>
      </c>
      <c r="P528">
        <v>1400</v>
      </c>
      <c r="Q528">
        <v>0</v>
      </c>
      <c r="R528">
        <v>1990</v>
      </c>
      <c r="S528">
        <v>0</v>
      </c>
      <c r="T528">
        <v>590</v>
      </c>
      <c r="U528">
        <v>410000</v>
      </c>
      <c r="V528">
        <v>20561</v>
      </c>
      <c r="W528" t="str">
        <v>0</v>
      </c>
      <c r="X528">
        <v>37515</v>
      </c>
      <c r="Y528" s="31">
        <v>45892</v>
      </c>
      <c r="Z528" t="str">
        <v/>
      </c>
      <c r="AA528" t="str">
        <v>技術・人文知識・国際業務</v>
      </c>
      <c r="AB528" t="str">
        <v>475-0075</v>
      </c>
      <c r="AC528" t="str">
        <v>愛知県半田市苗代町2丁目19番地</v>
      </c>
      <c r="AD528" t="str">
        <v>ｼｬﾙﾏﾝ苗代102号</v>
      </c>
      <c r="AE528" s="31">
        <v>44971</v>
      </c>
      <c r="AF528" s="31">
        <v>44986</v>
      </c>
      <c r="AG528" s="31">
        <v>45589</v>
      </c>
      <c r="AH528" s="31">
        <v>0</v>
      </c>
      <c r="AI528" t="str">
        <v>23.4.1</v>
      </c>
      <c r="AJ528" t="str">
        <v>3/20林</v>
      </c>
      <c r="AK528">
        <v>0</v>
      </c>
      <c r="AL528">
        <v>44986</v>
      </c>
      <c r="AM528" t="str">
        <v>原付</v>
      </c>
      <c r="AN528">
        <v>45883</v>
      </c>
      <c r="AO528" t="str">
        <v>原付</v>
      </c>
      <c r="AP528">
        <v>45997</v>
      </c>
      <c r="AQ528">
        <v>0</v>
      </c>
      <c r="AR528">
        <v>0</v>
      </c>
    </row>
    <row r="529" spans="1:44">
      <c r="A529" t="str">
        <f>H529&amp;COUNTIF($H$2:H529,H529)</f>
        <v>本社工場製造1課2工区2班4</v>
      </c>
      <c r="B529" t="str">
        <f>F529&amp;COUNTIF($F$2:F529,F529)</f>
        <v>コーリツ 本社10</v>
      </c>
      <c r="C529" t="str">
        <v>退社</v>
      </c>
      <c r="D529">
        <v>220315</v>
      </c>
      <c r="E529">
        <v>8210037</v>
      </c>
      <c r="F529" t="str">
        <v>コーリツ 本社</v>
      </c>
      <c r="G529" t="str">
        <v>本社工場製造1課2工区2班</v>
      </c>
      <c r="H529" t="str">
        <v>本社工場製造1課2工区2班</v>
      </c>
      <c r="I529">
        <v>0</v>
      </c>
      <c r="J529" t="str">
        <v>VU VAN NGHIA</v>
      </c>
      <c r="K529" t="str">
        <v>ヴー　ヴァン　ギエ</v>
      </c>
      <c r="L529" t="str">
        <v>男</v>
      </c>
      <c r="M529" t="str">
        <v>ﾍﾞﾄﾅﾑ</v>
      </c>
      <c r="N529" s="31">
        <v>34262</v>
      </c>
      <c r="O529">
        <v>32</v>
      </c>
      <c r="P529">
        <v>1400</v>
      </c>
      <c r="Q529">
        <v>0</v>
      </c>
      <c r="R529">
        <v>1990</v>
      </c>
      <c r="S529">
        <v>0</v>
      </c>
      <c r="T529">
        <v>590</v>
      </c>
      <c r="U529">
        <v>320000</v>
      </c>
      <c r="V529">
        <v>16048</v>
      </c>
      <c r="W529" t="str">
        <v>0</v>
      </c>
      <c r="X529">
        <v>29280</v>
      </c>
      <c r="Y529" s="31">
        <v>45482</v>
      </c>
      <c r="Z529" t="str">
        <v/>
      </c>
      <c r="AA529" t="str">
        <v>技術・人文知識・国際業務</v>
      </c>
      <c r="AB529" t="str">
        <v>444-1303</v>
      </c>
      <c r="AC529" t="str">
        <v>愛知県高浜市小池町4丁目6番地6</v>
      </c>
      <c r="AD529" t="str">
        <v>ｺｰﾎﾟﾗｽSK102</v>
      </c>
      <c r="AE529" s="31">
        <v>0</v>
      </c>
      <c r="AF529" s="31">
        <v>44986</v>
      </c>
      <c r="AG529" s="31">
        <v>45286</v>
      </c>
      <c r="AH529" s="31">
        <v>0</v>
      </c>
      <c r="AI529" t="str">
        <v>23.4.1</v>
      </c>
      <c r="AJ529" t="str">
        <v>3/30林</v>
      </c>
      <c r="AK529">
        <v>0</v>
      </c>
      <c r="AL529">
        <v>44986</v>
      </c>
      <c r="AM529">
        <v>0</v>
      </c>
      <c r="AN529">
        <v>0</v>
      </c>
      <c r="AO529">
        <v>0</v>
      </c>
      <c r="AP529">
        <v>0</v>
      </c>
      <c r="AQ529">
        <v>0</v>
      </c>
      <c r="AR529">
        <v>0</v>
      </c>
    </row>
    <row r="530" spans="1:44">
      <c r="A530" t="str">
        <f>H530&amp;COUNTIF($H$2:H530,H530)</f>
        <v>亀崎工場製造5課6工区8班2</v>
      </c>
      <c r="B530" t="str">
        <f>F530&amp;COUNTIF($F$2:F530,F530)</f>
        <v>コーリツ 亀崎6</v>
      </c>
      <c r="C530" t="str">
        <v>退社</v>
      </c>
      <c r="D530">
        <v>230301</v>
      </c>
      <c r="E530">
        <v>8210045</v>
      </c>
      <c r="F530" t="str">
        <v>コーリツ 亀崎</v>
      </c>
      <c r="G530" t="str">
        <v>亀崎工場製造5課6工区8班</v>
      </c>
      <c r="H530" t="str">
        <v>亀崎工場製造5課6工区8班</v>
      </c>
      <c r="I530">
        <v>0</v>
      </c>
      <c r="J530" t="str">
        <v>DOAN MINH HAI</v>
      </c>
      <c r="K530" t="str">
        <v>ドアン　ミン　ハイ</v>
      </c>
      <c r="L530" t="str">
        <v>男</v>
      </c>
      <c r="M530" t="str">
        <v>ﾍﾞﾄﾅﾑ</v>
      </c>
      <c r="N530" s="31">
        <v>33608</v>
      </c>
      <c r="O530">
        <v>33</v>
      </c>
      <c r="P530">
        <v>1555</v>
      </c>
      <c r="Q530">
        <v>0</v>
      </c>
      <c r="R530">
        <v>2225</v>
      </c>
      <c r="S530">
        <v>0</v>
      </c>
      <c r="T530">
        <v>670</v>
      </c>
      <c r="U530">
        <v>360000</v>
      </c>
      <c r="V530">
        <v>18054</v>
      </c>
      <c r="W530" t="str">
        <v>0</v>
      </c>
      <c r="X530">
        <v>32940</v>
      </c>
      <c r="Y530" s="31">
        <v>46657</v>
      </c>
      <c r="Z530" t="str">
        <v/>
      </c>
      <c r="AA530" t="str">
        <v>技術・人文知識・国際業務</v>
      </c>
      <c r="AB530" t="str">
        <v>475-0004</v>
      </c>
      <c r="AC530" t="str">
        <v>愛知県半田市上池町5丁目37-1</v>
      </c>
      <c r="AD530" t="str">
        <v>ﾙﾐｴｰﾙ上池203</v>
      </c>
      <c r="AE530" s="31">
        <v>44985</v>
      </c>
      <c r="AF530" s="31">
        <v>44986</v>
      </c>
      <c r="AG530" s="31">
        <v>45735</v>
      </c>
      <c r="AH530" s="31">
        <v>0</v>
      </c>
      <c r="AI530" t="str">
        <v>23.4.1</v>
      </c>
      <c r="AJ530" t="str">
        <v>3/30林</v>
      </c>
      <c r="AK530">
        <v>0</v>
      </c>
      <c r="AL530">
        <v>44986</v>
      </c>
      <c r="AM530" t="str">
        <v>原付</v>
      </c>
      <c r="AN530">
        <v>46058</v>
      </c>
      <c r="AO530" t="str">
        <v>原付</v>
      </c>
      <c r="AP530">
        <v>45727</v>
      </c>
      <c r="AQ530">
        <v>0</v>
      </c>
      <c r="AR530">
        <v>0</v>
      </c>
    </row>
    <row r="531" spans="1:44">
      <c r="A531" t="str">
        <f>H531&amp;COUNTIF($H$2:H531,H531)</f>
        <v>CVJ転造係3</v>
      </c>
      <c r="B531" t="str">
        <f>F531&amp;COUNTIF($F$2:F531,F531)</f>
        <v>高雄工業 岡山96</v>
      </c>
      <c r="C531" t="str">
        <v>退社</v>
      </c>
      <c r="D531">
        <v>230304</v>
      </c>
      <c r="E531">
        <v>232096</v>
      </c>
      <c r="F531" t="str">
        <v>高雄工業 岡山</v>
      </c>
      <c r="G531" t="str">
        <v>高雄工業株式会社 岡山事業所CVJ工場製作課</v>
      </c>
      <c r="H531" t="str">
        <v>CVJ転造係</v>
      </c>
      <c r="I531" t="str">
        <v>ＣＶＪ転造等速ジョイント旋削加工、ＮＣプログラム修正</v>
      </c>
      <c r="J531" t="str">
        <v>NGUYEN NGOC SON</v>
      </c>
      <c r="K531" t="str">
        <v>グエン　ゴック　ソン</v>
      </c>
      <c r="L531" t="str">
        <v>男</v>
      </c>
      <c r="M531" t="str">
        <v>ﾍﾞﾄﾅﾑ</v>
      </c>
      <c r="N531" s="31">
        <v>36153</v>
      </c>
      <c r="O531">
        <v>26</v>
      </c>
      <c r="P531">
        <v>1300</v>
      </c>
      <c r="Q531">
        <v>0</v>
      </c>
      <c r="R531">
        <v>1700</v>
      </c>
      <c r="S531">
        <v>0</v>
      </c>
      <c r="T531">
        <v>400</v>
      </c>
      <c r="U531">
        <v>240000</v>
      </c>
      <c r="V531">
        <v>12036</v>
      </c>
      <c r="W531" t="str">
        <v>0</v>
      </c>
      <c r="X531">
        <v>21960</v>
      </c>
      <c r="Y531" s="31">
        <v>46440</v>
      </c>
      <c r="Z531" t="str">
        <v/>
      </c>
      <c r="AA531" t="str">
        <v>技術・人文知識・国際業務</v>
      </c>
      <c r="AB531" t="str">
        <v>709-2107</v>
      </c>
      <c r="AC531" t="str">
        <v>岡山県岡山市北区御津矢原370</v>
      </c>
      <c r="AD531" t="str">
        <v>成広ｺｰﾎﾟⅡ101</v>
      </c>
      <c r="AE531" s="31">
        <v>44979</v>
      </c>
      <c r="AF531" s="31">
        <v>44986</v>
      </c>
      <c r="AG531" s="31">
        <v>45611</v>
      </c>
      <c r="AH531" s="31">
        <v>0</v>
      </c>
      <c r="AI531" t="str">
        <v>23.4.1</v>
      </c>
      <c r="AJ531" t="str">
        <v>3/16林</v>
      </c>
      <c r="AK531">
        <v>0</v>
      </c>
      <c r="AL531">
        <v>44986</v>
      </c>
      <c r="AM531">
        <v>0</v>
      </c>
      <c r="AN531">
        <v>0</v>
      </c>
      <c r="AO531">
        <v>0</v>
      </c>
      <c r="AP531">
        <v>0</v>
      </c>
      <c r="AQ531">
        <v>0</v>
      </c>
      <c r="AR531">
        <v>0</v>
      </c>
    </row>
    <row r="532" spans="1:44">
      <c r="A532" t="str">
        <f>H532&amp;COUNTIF($H$2:H532,H532)</f>
        <v>1次旋係29</v>
      </c>
      <c r="B532" t="str">
        <f>F532&amp;COUNTIF($F$2:F532,F532)</f>
        <v>高雄工業 岡山97</v>
      </c>
      <c r="C532" t="str">
        <v>退社</v>
      </c>
      <c r="D532">
        <v>230306</v>
      </c>
      <c r="E532">
        <v>232094</v>
      </c>
      <c r="F532" t="str">
        <v>高雄工業 岡山</v>
      </c>
      <c r="G532" t="str">
        <v>高雄工業株式会社 岡山事業所HUB工場製作1課</v>
      </c>
      <c r="H532" t="str">
        <v>1次旋係</v>
      </c>
      <c r="I532" t="str">
        <v>ハブ加工 自動機の操作、ＮＣプログラム修正</v>
      </c>
      <c r="J532" t="str">
        <v>VU HONG KHANH</v>
      </c>
      <c r="K532" t="str">
        <v>ヴー　ホン　カイン</v>
      </c>
      <c r="L532" t="str">
        <v>男</v>
      </c>
      <c r="M532" t="str">
        <v>ﾍﾞﾄﾅﾑ</v>
      </c>
      <c r="N532" s="31">
        <v>35709</v>
      </c>
      <c r="O532">
        <v>28</v>
      </c>
      <c r="P532">
        <v>1300</v>
      </c>
      <c r="Q532">
        <v>0</v>
      </c>
      <c r="R532">
        <v>1700</v>
      </c>
      <c r="S532">
        <v>0</v>
      </c>
      <c r="T532">
        <v>400</v>
      </c>
      <c r="U532">
        <v>240000</v>
      </c>
      <c r="V532">
        <v>12036</v>
      </c>
      <c r="W532" t="str">
        <v>0</v>
      </c>
      <c r="X532">
        <v>21960</v>
      </c>
      <c r="Y532" s="31">
        <v>46440</v>
      </c>
      <c r="Z532" t="str">
        <v/>
      </c>
      <c r="AA532" t="str">
        <v>技術・人文知識・国際業務</v>
      </c>
      <c r="AB532" t="str">
        <v>709-2107</v>
      </c>
      <c r="AC532" t="str">
        <v>岡山県岡山市北区御津矢原370</v>
      </c>
      <c r="AD532" t="str">
        <v>成広ｺｰﾎﾟⅡ101</v>
      </c>
      <c r="AE532" s="31">
        <v>44979</v>
      </c>
      <c r="AF532" s="31">
        <v>44986</v>
      </c>
      <c r="AG532" s="31">
        <v>45686</v>
      </c>
      <c r="AH532" s="31">
        <v>0</v>
      </c>
      <c r="AI532" t="str">
        <v>23.4.1</v>
      </c>
      <c r="AJ532" t="str">
        <v>3/16林</v>
      </c>
      <c r="AK532">
        <v>0</v>
      </c>
      <c r="AL532">
        <v>44986</v>
      </c>
      <c r="AM532">
        <v>0</v>
      </c>
      <c r="AN532">
        <v>0</v>
      </c>
      <c r="AO532">
        <v>0</v>
      </c>
      <c r="AP532">
        <v>0</v>
      </c>
      <c r="AQ532">
        <v>0</v>
      </c>
      <c r="AR532">
        <v>0</v>
      </c>
    </row>
    <row r="533" spans="1:44">
      <c r="A533" t="str">
        <f>H533&amp;COUNTIF($H$2:H533,H533)</f>
        <v>1次旋係30</v>
      </c>
      <c r="B533" t="str">
        <f>F533&amp;COUNTIF($F$2:F533,F533)</f>
        <v>高雄工業 岡山98</v>
      </c>
      <c r="C533" t="str">
        <v>退社</v>
      </c>
      <c r="D533">
        <v>230307</v>
      </c>
      <c r="E533">
        <v>232095</v>
      </c>
      <c r="F533" t="str">
        <v>高雄工業 岡山</v>
      </c>
      <c r="G533" t="str">
        <v>高雄工業株式会社 岡山事業所HUB工場製作1課</v>
      </c>
      <c r="H533" t="str">
        <v>1次旋係</v>
      </c>
      <c r="I533" t="str">
        <v>ハブ加工 自動機の操作、ＮＣプログラム修正</v>
      </c>
      <c r="J533" t="str">
        <v>NGUYEN VAN TAI</v>
      </c>
      <c r="K533" t="str">
        <v>グエン　ヴァン　タイ</v>
      </c>
      <c r="L533" t="str">
        <v>男</v>
      </c>
      <c r="M533" t="str">
        <v>ﾍﾞﾄﾅﾑ</v>
      </c>
      <c r="N533" s="31">
        <v>36865</v>
      </c>
      <c r="O533">
        <v>24</v>
      </c>
      <c r="P533">
        <v>1300</v>
      </c>
      <c r="Q533">
        <v>0</v>
      </c>
      <c r="R533">
        <v>1700</v>
      </c>
      <c r="S533">
        <v>0</v>
      </c>
      <c r="T533">
        <v>400</v>
      </c>
      <c r="U533">
        <v>240000</v>
      </c>
      <c r="V533">
        <v>12036</v>
      </c>
      <c r="W533" t="str">
        <v>0</v>
      </c>
      <c r="X533">
        <v>21960</v>
      </c>
      <c r="Y533" s="31">
        <v>46440</v>
      </c>
      <c r="Z533" t="str">
        <v/>
      </c>
      <c r="AA533" t="str">
        <v>技術・人文知識・国際業務</v>
      </c>
      <c r="AB533" t="str">
        <v>709-2107</v>
      </c>
      <c r="AC533" t="str">
        <v>岡山県岡山市北区御津矢原370</v>
      </c>
      <c r="AD533" t="str">
        <v>成広ｺｰﾎﾟⅡ203</v>
      </c>
      <c r="AE533" s="31">
        <v>45087</v>
      </c>
      <c r="AF533" s="31">
        <v>44986</v>
      </c>
      <c r="AG533" s="31">
        <v>45746</v>
      </c>
      <c r="AH533" s="31">
        <v>0</v>
      </c>
      <c r="AI533" t="str">
        <v>23.4.1</v>
      </c>
      <c r="AJ533" t="str">
        <v>3/16林</v>
      </c>
      <c r="AK533">
        <v>0</v>
      </c>
      <c r="AL533">
        <v>44986</v>
      </c>
      <c r="AM533">
        <v>0</v>
      </c>
      <c r="AN533">
        <v>0</v>
      </c>
      <c r="AO533">
        <v>0</v>
      </c>
      <c r="AP533">
        <v>0</v>
      </c>
      <c r="AQ533">
        <v>0</v>
      </c>
      <c r="AR533">
        <v>0</v>
      </c>
    </row>
    <row r="534" spans="1:44">
      <c r="A534" t="str">
        <f>H534&amp;COUNTIF($H$2:H534,H534)</f>
        <v>州の崎第2工場製造3課5工区7班1</v>
      </c>
      <c r="B534" t="str">
        <f>F534&amp;COUNTIF($F$2:F534,F534)</f>
        <v>コーリツ 本社11</v>
      </c>
      <c r="C534" t="str">
        <v>退社</v>
      </c>
      <c r="D534">
        <v>210404</v>
      </c>
      <c r="E534">
        <v>8210044</v>
      </c>
      <c r="F534" t="str">
        <v>コーリツ 本社</v>
      </c>
      <c r="G534" t="str">
        <v>本社工場製造1課1工区1班</v>
      </c>
      <c r="H534" t="str">
        <v>州の崎第2工場製造3課5工区7班</v>
      </c>
      <c r="I534">
        <v>0</v>
      </c>
      <c r="J534" t="str">
        <v>NGUYEN KHAC TRUNG</v>
      </c>
      <c r="K534" t="str">
        <v>グエン　カック　チュン</v>
      </c>
      <c r="L534" t="str">
        <v>男</v>
      </c>
      <c r="M534" t="str">
        <v>ﾍﾞﾄﾅﾑ</v>
      </c>
      <c r="N534" s="31">
        <v>34845</v>
      </c>
      <c r="O534">
        <v>30</v>
      </c>
      <c r="P534">
        <v>1500</v>
      </c>
      <c r="Q534">
        <v>0</v>
      </c>
      <c r="R534">
        <v>1990</v>
      </c>
      <c r="S534">
        <v>0</v>
      </c>
      <c r="T534">
        <v>490</v>
      </c>
      <c r="U534">
        <v>380000</v>
      </c>
      <c r="V534">
        <v>19057</v>
      </c>
      <c r="W534" t="str">
        <v>0</v>
      </c>
      <c r="X534">
        <v>34770</v>
      </c>
      <c r="Y534" s="31">
        <v>47353</v>
      </c>
      <c r="Z534" t="str">
        <v/>
      </c>
      <c r="AA534" t="str">
        <v>技術・人文知識・国際業務</v>
      </c>
      <c r="AB534" t="str">
        <v>444-1305</v>
      </c>
      <c r="AC534" t="str">
        <v>愛知県高浜市神明町2-2-36</v>
      </c>
      <c r="AD534" t="str">
        <v>ﾄﾞﾐｰﾙ神明B-103</v>
      </c>
      <c r="AE534" s="31">
        <v>44988</v>
      </c>
      <c r="AF534" s="31">
        <v>44991</v>
      </c>
      <c r="AG534" s="31">
        <v>45686</v>
      </c>
      <c r="AH534" s="31">
        <v>0</v>
      </c>
      <c r="AI534" t="str">
        <v>23.4.1</v>
      </c>
      <c r="AJ534" t="str">
        <v>3/20林</v>
      </c>
      <c r="AK534" t="str">
        <v>2024/6/28まで洲の崎　7/1～本社</v>
      </c>
      <c r="AL534">
        <v>44991</v>
      </c>
      <c r="AM534" t="str">
        <v>原付</v>
      </c>
      <c r="AN534">
        <v>46199</v>
      </c>
      <c r="AO534" t="str">
        <v>原付</v>
      </c>
      <c r="AP534">
        <v>45640</v>
      </c>
      <c r="AQ534">
        <v>0</v>
      </c>
      <c r="AR534">
        <v>0</v>
      </c>
    </row>
    <row r="535" spans="1:44">
      <c r="A535" t="str">
        <f>H535&amp;COUNTIF($H$2:H535,H535)</f>
        <v>本社工場製造1課2工区3班1</v>
      </c>
      <c r="B535" t="str">
        <f>F535&amp;COUNTIF($F$2:F535,F535)</f>
        <v>コーリツ 本社12</v>
      </c>
      <c r="C535" t="str">
        <v>在職中</v>
      </c>
      <c r="D535">
        <v>230309</v>
      </c>
      <c r="E535">
        <v>8210048</v>
      </c>
      <c r="F535" t="str">
        <v>コーリツ 本社</v>
      </c>
      <c r="G535" t="str">
        <v>本社工場製造1課2工区3班</v>
      </c>
      <c r="H535" t="str">
        <v>本社工場製造1課2工区3班</v>
      </c>
      <c r="I535">
        <v>0</v>
      </c>
      <c r="J535" t="str">
        <v>BUI XUAN QUYET</v>
      </c>
      <c r="K535" t="str">
        <v>ブイ　スアン　クエット</v>
      </c>
      <c r="L535" t="str">
        <v>男</v>
      </c>
      <c r="M535" t="str">
        <v>ﾍﾞﾄﾅﾑ</v>
      </c>
      <c r="N535" s="31">
        <v>34483</v>
      </c>
      <c r="O535">
        <v>31</v>
      </c>
      <c r="P535">
        <v>1555</v>
      </c>
      <c r="Q535">
        <v>0</v>
      </c>
      <c r="R535">
        <v>2225</v>
      </c>
      <c r="S535">
        <v>0</v>
      </c>
      <c r="T535">
        <v>670</v>
      </c>
      <c r="U535">
        <v>380000</v>
      </c>
      <c r="V535">
        <v>19057</v>
      </c>
      <c r="W535" t="str">
        <v>0</v>
      </c>
      <c r="X535">
        <v>34770</v>
      </c>
      <c r="Y535" s="31">
        <v>46668</v>
      </c>
      <c r="Z535" t="str">
        <v/>
      </c>
      <c r="AA535" t="str">
        <v>技術・人文知識・国際業務</v>
      </c>
      <c r="AB535" t="str">
        <v>444-1332</v>
      </c>
      <c r="AC535" t="str">
        <v>愛知県高浜市湯山町4丁目９番地6</v>
      </c>
      <c r="AD535" t="str">
        <v>ﾋﾞﾚｯｼﾞﾊｳｽ高取2号棟103号室</v>
      </c>
      <c r="AE535" s="31" t="str">
        <v>個人</v>
      </c>
      <c r="AF535" s="31">
        <v>44993</v>
      </c>
      <c r="AG535" s="31">
        <v>0</v>
      </c>
      <c r="AH535" s="31">
        <v>0</v>
      </c>
      <c r="AI535" t="str">
        <v>23.4.1</v>
      </c>
      <c r="AJ535" t="str">
        <v>4/3林</v>
      </c>
      <c r="AK535">
        <v>0</v>
      </c>
      <c r="AL535">
        <v>44993</v>
      </c>
      <c r="AM535" t="str">
        <v>普通免許</v>
      </c>
      <c r="AN535">
        <v>46202</v>
      </c>
      <c r="AO535" t="str">
        <v>車</v>
      </c>
      <c r="AP535">
        <v>46187</v>
      </c>
      <c r="AQ535">
        <v>0</v>
      </c>
      <c r="AR535">
        <v>0</v>
      </c>
    </row>
    <row r="536" spans="1:44">
      <c r="A536" t="str">
        <f>H536&amp;COUNTIF($H$2:H536,H536)</f>
        <v>乙川工場製造3課6工区9班7</v>
      </c>
      <c r="B536" t="str">
        <f>F536&amp;COUNTIF($F$2:F536,F536)</f>
        <v>コーリツ 乙川15</v>
      </c>
      <c r="C536" t="str">
        <v>退社</v>
      </c>
      <c r="D536">
        <v>230308</v>
      </c>
      <c r="E536">
        <v>8210051</v>
      </c>
      <c r="F536" t="str">
        <v>コーリツ 乙川</v>
      </c>
      <c r="G536" t="str">
        <v>乙川工場製造3課6工区9班</v>
      </c>
      <c r="H536" t="str">
        <v>乙川工場製造3課6工区9班</v>
      </c>
      <c r="I536">
        <v>0</v>
      </c>
      <c r="J536" t="str">
        <v>NGUYEN VAN DOAN</v>
      </c>
      <c r="K536" t="str">
        <v>グエン　ヴァン　ドアン</v>
      </c>
      <c r="L536" t="str">
        <v>男</v>
      </c>
      <c r="M536" t="str">
        <v>ﾍﾞﾄﾅﾑ</v>
      </c>
      <c r="N536" s="31">
        <v>34759</v>
      </c>
      <c r="O536">
        <v>30</v>
      </c>
      <c r="P536">
        <v>1450</v>
      </c>
      <c r="Q536">
        <v>0</v>
      </c>
      <c r="R536">
        <v>1990</v>
      </c>
      <c r="S536">
        <v>0</v>
      </c>
      <c r="T536">
        <v>540</v>
      </c>
      <c r="U536">
        <v>180000</v>
      </c>
      <c r="V536">
        <v>9027</v>
      </c>
      <c r="W536" t="str">
        <v>0</v>
      </c>
      <c r="X536">
        <v>16470</v>
      </c>
      <c r="Y536" s="31">
        <v>46709</v>
      </c>
      <c r="Z536" t="str">
        <v/>
      </c>
      <c r="AA536" t="str">
        <v>技術・人文知識・国際業務</v>
      </c>
      <c r="AB536" t="str">
        <v>475-0061</v>
      </c>
      <c r="AC536" t="str">
        <v>愛知県半田市一ノ草町201-11</v>
      </c>
      <c r="AD536" t="str">
        <v>ﾒｿﾞﾝﾊﾟｰｸｱﾍﾞﾆｭｰ101</v>
      </c>
      <c r="AE536" s="31">
        <v>44991</v>
      </c>
      <c r="AF536" s="31">
        <v>44993</v>
      </c>
      <c r="AG536" s="31">
        <v>45043</v>
      </c>
      <c r="AH536" s="31">
        <v>0</v>
      </c>
      <c r="AI536" t="str">
        <v>23.4.1</v>
      </c>
      <c r="AJ536" t="str">
        <v>3/20林</v>
      </c>
      <c r="AK536">
        <v>0</v>
      </c>
      <c r="AL536">
        <v>44993</v>
      </c>
      <c r="AM536">
        <v>0</v>
      </c>
      <c r="AN536">
        <v>0</v>
      </c>
      <c r="AO536">
        <v>0</v>
      </c>
      <c r="AP536">
        <v>0</v>
      </c>
      <c r="AQ536">
        <v>0</v>
      </c>
      <c r="AR536">
        <v>0</v>
      </c>
    </row>
    <row r="537" spans="1:44">
      <c r="A537" t="str">
        <f>H537&amp;COUNTIF($H$2:H537,H537)</f>
        <v>本社工場製造1課2工区3班2</v>
      </c>
      <c r="B537" t="str">
        <f>F537&amp;COUNTIF($F$2:F537,F537)</f>
        <v>コーリツ 本社13</v>
      </c>
      <c r="C537" t="str">
        <v>退社</v>
      </c>
      <c r="D537">
        <v>230310</v>
      </c>
      <c r="E537">
        <v>8210049</v>
      </c>
      <c r="F537" t="str">
        <v>コーリツ 本社</v>
      </c>
      <c r="G537" t="str">
        <v>本社工場製造1課2工区3班</v>
      </c>
      <c r="H537" t="str">
        <v>本社工場製造1課2工区3班</v>
      </c>
      <c r="I537">
        <v>0</v>
      </c>
      <c r="J537" t="str">
        <v>VU HUU HOANG</v>
      </c>
      <c r="K537" t="str">
        <v>ヴ　フュ　ホアン</v>
      </c>
      <c r="L537" t="str">
        <v>男</v>
      </c>
      <c r="M537" t="str">
        <v>ﾍﾞﾄﾅﾑ</v>
      </c>
      <c r="N537" s="31">
        <v>33402</v>
      </c>
      <c r="O537">
        <v>34</v>
      </c>
      <c r="P537">
        <v>1400</v>
      </c>
      <c r="Q537">
        <v>0</v>
      </c>
      <c r="R537">
        <v>1990</v>
      </c>
      <c r="S537">
        <v>0</v>
      </c>
      <c r="T537">
        <v>590</v>
      </c>
      <c r="U537">
        <v>280000</v>
      </c>
      <c r="V537">
        <v>14042</v>
      </c>
      <c r="W537" t="str">
        <v>0</v>
      </c>
      <c r="X537">
        <v>25620</v>
      </c>
      <c r="Y537" s="31">
        <v>45513</v>
      </c>
      <c r="Z537" t="str">
        <v/>
      </c>
      <c r="AA537" t="str">
        <v>技術・人文知識・国際業務</v>
      </c>
      <c r="AB537" t="str">
        <v>447-0011</v>
      </c>
      <c r="AC537" t="str">
        <v>愛知県碧南市平山町3丁目16番地</v>
      </c>
      <c r="AD537" t="str">
        <v>ﾋﾞﾚｯｼﾞﾊｳｽ西端1号棟302</v>
      </c>
      <c r="AE537" s="31" t="str">
        <v>個人</v>
      </c>
      <c r="AF537" s="31">
        <v>44993</v>
      </c>
      <c r="AG537" s="31">
        <v>45247</v>
      </c>
      <c r="AH537" s="31">
        <v>0</v>
      </c>
      <c r="AI537" t="str">
        <v>23.4.1</v>
      </c>
      <c r="AJ537" t="str">
        <v>4/3林</v>
      </c>
      <c r="AK537">
        <v>0</v>
      </c>
      <c r="AL537">
        <v>44993</v>
      </c>
      <c r="AM537">
        <v>0</v>
      </c>
      <c r="AN537">
        <v>0</v>
      </c>
      <c r="AO537">
        <v>0</v>
      </c>
      <c r="AP537">
        <v>0</v>
      </c>
      <c r="AQ537">
        <v>0</v>
      </c>
      <c r="AR537">
        <v>0</v>
      </c>
    </row>
    <row r="538" spans="1:44">
      <c r="A538" t="str">
        <f>H538&amp;COUNTIF($H$2:H538,H538)</f>
        <v>0228</v>
      </c>
      <c r="B538" t="str">
        <f>F538&amp;COUNTIF($F$2:F538,F538)</f>
        <v>ワーク 志紀7</v>
      </c>
      <c r="C538" t="str">
        <v>退社</v>
      </c>
      <c r="D538">
        <v>230311</v>
      </c>
      <c r="E538">
        <v>0</v>
      </c>
      <c r="F538" t="str">
        <v>ワーク 志紀</v>
      </c>
      <c r="G538">
        <v>0</v>
      </c>
      <c r="H538">
        <v>0</v>
      </c>
      <c r="I538">
        <v>0</v>
      </c>
      <c r="J538" t="str">
        <v>NGUYEN VAN TRUYEN</v>
      </c>
      <c r="K538" t="str">
        <v>グエン　ヴァン　チュエン</v>
      </c>
      <c r="L538" t="str">
        <v>男</v>
      </c>
      <c r="M538" t="str">
        <v>ﾍﾞﾄﾅﾑ</v>
      </c>
      <c r="N538" s="31">
        <v>35364</v>
      </c>
      <c r="O538">
        <v>29</v>
      </c>
      <c r="P538">
        <v>1400</v>
      </c>
      <c r="Q538">
        <v>0</v>
      </c>
      <c r="R538">
        <v>1900</v>
      </c>
      <c r="S538">
        <v>0</v>
      </c>
      <c r="T538">
        <v>500</v>
      </c>
      <c r="U538">
        <v>240000</v>
      </c>
      <c r="V538">
        <v>12036</v>
      </c>
      <c r="W538" t="str">
        <v>0</v>
      </c>
      <c r="X538">
        <v>21960</v>
      </c>
      <c r="Y538" s="31">
        <v>45643</v>
      </c>
      <c r="Z538" t="str">
        <v/>
      </c>
      <c r="AA538" t="str">
        <v>技術・人文知識・国際業務</v>
      </c>
      <c r="AB538" t="str">
        <v>581-0875</v>
      </c>
      <c r="AC538" t="str">
        <v>大阪府八尾市高安町南1-69-6</v>
      </c>
      <c r="AD538" t="str">
        <v>高安一番館403</v>
      </c>
      <c r="AE538" s="31">
        <v>44993</v>
      </c>
      <c r="AF538" s="31">
        <v>44994</v>
      </c>
      <c r="AG538" s="31">
        <v>45408</v>
      </c>
      <c r="AH538" s="31">
        <v>0</v>
      </c>
      <c r="AI538" t="str">
        <v>23.4.1</v>
      </c>
      <c r="AJ538" t="str">
        <v>3/30林</v>
      </c>
      <c r="AK538">
        <v>0</v>
      </c>
      <c r="AL538">
        <v>44994</v>
      </c>
      <c r="AM538">
        <v>0</v>
      </c>
      <c r="AN538">
        <v>0</v>
      </c>
      <c r="AO538">
        <v>0</v>
      </c>
      <c r="AP538">
        <v>0</v>
      </c>
      <c r="AQ538">
        <v>0</v>
      </c>
      <c r="AR538">
        <v>0</v>
      </c>
    </row>
    <row r="539" spans="1:44">
      <c r="A539" t="str">
        <f>H539&amp;COUNTIF($H$2:H539,H539)</f>
        <v>0229</v>
      </c>
      <c r="B539" t="str">
        <f>F539&amp;COUNTIF($F$2:F539,F539)</f>
        <v>ワーク 堺8</v>
      </c>
      <c r="C539" t="str">
        <v>退社</v>
      </c>
      <c r="D539">
        <v>230312</v>
      </c>
      <c r="E539">
        <v>0</v>
      </c>
      <c r="F539" t="str">
        <v>ワーク 堺</v>
      </c>
      <c r="G539">
        <v>0</v>
      </c>
      <c r="H539">
        <v>0</v>
      </c>
      <c r="I539">
        <v>0</v>
      </c>
      <c r="J539" t="str">
        <v>VO VAN XUAN</v>
      </c>
      <c r="K539" t="str">
        <v>ヴォ　ヴァン　スアン</v>
      </c>
      <c r="L539" t="str">
        <v>男</v>
      </c>
      <c r="M539" t="str">
        <v>ﾍﾞﾄﾅﾑ</v>
      </c>
      <c r="N539" s="31">
        <v>34862</v>
      </c>
      <c r="O539">
        <v>30</v>
      </c>
      <c r="P539">
        <v>1400</v>
      </c>
      <c r="Q539">
        <v>0</v>
      </c>
      <c r="R539">
        <v>1900</v>
      </c>
      <c r="S539">
        <v>0</v>
      </c>
      <c r="T539">
        <v>500</v>
      </c>
      <c r="U539">
        <v>260000</v>
      </c>
      <c r="V539">
        <v>13039</v>
      </c>
      <c r="W539" t="str">
        <v>0</v>
      </c>
      <c r="X539">
        <v>23790</v>
      </c>
      <c r="Y539" s="31">
        <v>45769</v>
      </c>
      <c r="Z539" t="str">
        <v/>
      </c>
      <c r="AA539" t="str">
        <v>技術・人文知識・国際業務</v>
      </c>
      <c r="AB539" t="str">
        <v>559-0013</v>
      </c>
      <c r="AC539" t="str">
        <v>大阪府大阪市住之江区御崎3-3-20</v>
      </c>
      <c r="AD539" t="str">
        <v>岩本ﾏﾝｼｮﾝ402</v>
      </c>
      <c r="AE539" s="31">
        <v>0</v>
      </c>
      <c r="AF539" s="31">
        <v>44995</v>
      </c>
      <c r="AG539" s="31">
        <v>45371</v>
      </c>
      <c r="AH539" s="31">
        <v>0</v>
      </c>
      <c r="AI539" t="str">
        <v>23.4.1</v>
      </c>
      <c r="AJ539" t="str">
        <v>3/30林</v>
      </c>
      <c r="AK539">
        <v>0</v>
      </c>
      <c r="AL539">
        <v>44995</v>
      </c>
      <c r="AM539">
        <v>0</v>
      </c>
      <c r="AN539">
        <v>0</v>
      </c>
      <c r="AO539">
        <v>0</v>
      </c>
      <c r="AP539">
        <v>0</v>
      </c>
      <c r="AQ539">
        <v>0</v>
      </c>
      <c r="AR539">
        <v>0</v>
      </c>
    </row>
    <row r="540" spans="1:44">
      <c r="A540" t="str">
        <f>H540&amp;COUNTIF($H$2:H540,H540)</f>
        <v>乙川工場製造3課5工区7班3</v>
      </c>
      <c r="B540" t="str">
        <f>F540&amp;COUNTIF($F$2:F540,F540)</f>
        <v>コーリツ 乙川16</v>
      </c>
      <c r="C540" t="str">
        <v>退社</v>
      </c>
      <c r="D540">
        <v>230313</v>
      </c>
      <c r="E540">
        <v>8210047</v>
      </c>
      <c r="F540" t="str">
        <v>コーリツ 乙川</v>
      </c>
      <c r="G540" t="str">
        <v>乙川工場製造3課5工区7班</v>
      </c>
      <c r="H540" t="str">
        <v>乙川工場製造3課5工区7班</v>
      </c>
      <c r="I540">
        <v>0</v>
      </c>
      <c r="J540" t="str">
        <v>DAM XUAN SOAT</v>
      </c>
      <c r="K540" t="str">
        <v>ダム　スアン　ソアット</v>
      </c>
      <c r="L540" t="str">
        <v>男</v>
      </c>
      <c r="M540" t="str">
        <v>ﾍﾞﾄﾅﾑ</v>
      </c>
      <c r="N540" s="31">
        <v>31426</v>
      </c>
      <c r="O540">
        <v>39</v>
      </c>
      <c r="P540">
        <v>1400</v>
      </c>
      <c r="Q540">
        <v>0</v>
      </c>
      <c r="R540">
        <v>1990</v>
      </c>
      <c r="S540">
        <v>0</v>
      </c>
      <c r="T540">
        <v>590</v>
      </c>
      <c r="U540">
        <v>340000</v>
      </c>
      <c r="V540">
        <v>17051</v>
      </c>
      <c r="W540" t="str">
        <v>0</v>
      </c>
      <c r="X540">
        <v>31110</v>
      </c>
      <c r="Y540" s="31">
        <v>45465</v>
      </c>
      <c r="Z540" t="str">
        <v/>
      </c>
      <c r="AA540" t="str">
        <v>技術・人文知識・国際業務</v>
      </c>
      <c r="AB540" t="str">
        <v>475-0086</v>
      </c>
      <c r="AC540" t="str">
        <v>愛知県半田市庚申町2丁目6番地の7</v>
      </c>
      <c r="AD540" t="str">
        <v>ﾊｲﾂこうしんA棟103号</v>
      </c>
      <c r="AE540" s="31" t="str">
        <v>個人</v>
      </c>
      <c r="AF540" s="31">
        <v>44998</v>
      </c>
      <c r="AG540" s="31">
        <v>45461</v>
      </c>
      <c r="AH540" s="31">
        <v>0</v>
      </c>
      <c r="AI540" t="str">
        <v>23.4.1</v>
      </c>
      <c r="AJ540" t="str">
        <v>4/3林</v>
      </c>
      <c r="AK540">
        <v>0</v>
      </c>
      <c r="AL540">
        <v>44998</v>
      </c>
      <c r="AM540">
        <v>0</v>
      </c>
      <c r="AN540">
        <v>0</v>
      </c>
      <c r="AO540">
        <v>0</v>
      </c>
      <c r="AP540">
        <v>0</v>
      </c>
      <c r="AQ540">
        <v>0</v>
      </c>
      <c r="AR540">
        <v>0</v>
      </c>
    </row>
    <row r="541" spans="1:44">
      <c r="A541" t="str">
        <f>H541&amp;COUNTIF($H$2:H541,H541)</f>
        <v>0230</v>
      </c>
      <c r="B541" t="str">
        <f>F541&amp;COUNTIF($F$2:F541,F541)</f>
        <v>PATEC30</v>
      </c>
      <c r="C541" t="str">
        <v>退社</v>
      </c>
      <c r="D541">
        <v>230314</v>
      </c>
      <c r="E541">
        <v>0</v>
      </c>
      <c r="F541" t="str">
        <v>PATEC</v>
      </c>
      <c r="G541">
        <v>0</v>
      </c>
      <c r="H541">
        <v>0</v>
      </c>
      <c r="I541">
        <v>0</v>
      </c>
      <c r="J541" t="str">
        <v>HA THO HOAN</v>
      </c>
      <c r="K541" t="str">
        <v>ハ　ト　ホアン</v>
      </c>
      <c r="L541" t="str">
        <v>男</v>
      </c>
      <c r="M541" t="str">
        <v>ﾍﾞﾄﾅﾑ</v>
      </c>
      <c r="N541" s="31">
        <v>32551</v>
      </c>
      <c r="O541">
        <v>36</v>
      </c>
      <c r="P541">
        <v>1500</v>
      </c>
      <c r="Q541">
        <v>0</v>
      </c>
      <c r="R541">
        <v>2000</v>
      </c>
      <c r="S541">
        <v>0</v>
      </c>
      <c r="T541">
        <v>500</v>
      </c>
      <c r="U541">
        <v>320000</v>
      </c>
      <c r="V541">
        <v>16048</v>
      </c>
      <c r="W541" t="str">
        <v>0</v>
      </c>
      <c r="X541">
        <v>29280</v>
      </c>
      <c r="Y541" s="31">
        <v>45965</v>
      </c>
      <c r="Z541" t="str">
        <v/>
      </c>
      <c r="AA541" t="str">
        <v>技術・人文知識・国際業務</v>
      </c>
      <c r="AB541" t="str">
        <v>747-0834</v>
      </c>
      <c r="AC541" t="str">
        <v>山口県防府市大字田島531-1</v>
      </c>
      <c r="AD541" t="str">
        <v>ﾛｼﾞｭﾏﾝ千希A201号</v>
      </c>
      <c r="AE541" s="31">
        <v>44998</v>
      </c>
      <c r="AF541" s="31">
        <v>44999</v>
      </c>
      <c r="AG541" s="31">
        <v>45316</v>
      </c>
      <c r="AH541" s="31">
        <v>0</v>
      </c>
      <c r="AI541" t="str">
        <v>23.4.1</v>
      </c>
      <c r="AJ541" t="str">
        <v>3/20林</v>
      </c>
      <c r="AK541">
        <v>0</v>
      </c>
      <c r="AL541">
        <v>44999</v>
      </c>
      <c r="AM541">
        <v>0</v>
      </c>
      <c r="AN541">
        <v>0</v>
      </c>
      <c r="AO541">
        <v>0</v>
      </c>
      <c r="AP541">
        <v>0</v>
      </c>
      <c r="AQ541">
        <v>0</v>
      </c>
      <c r="AR541">
        <v>0</v>
      </c>
    </row>
    <row r="542" spans="1:44">
      <c r="A542" t="str">
        <f>H542&amp;COUNTIF($H$2:H542,H542)</f>
        <v>州の埼２工場製造3課５工区７班1</v>
      </c>
      <c r="B542" t="str">
        <f>F542&amp;COUNTIF($F$2:F542,F542)</f>
        <v>コーリツ 州の崎24</v>
      </c>
      <c r="C542" t="str">
        <v>退社</v>
      </c>
      <c r="D542">
        <v>220117</v>
      </c>
      <c r="E542">
        <v>8210052</v>
      </c>
      <c r="F542" t="str">
        <v>コーリツ 州の崎</v>
      </c>
      <c r="G542" t="str">
        <v>州の埼２工場　製造3課５工区７班</v>
      </c>
      <c r="H542" t="str">
        <v>州の埼２工場製造3課５工区７班</v>
      </c>
      <c r="I542">
        <v>0</v>
      </c>
      <c r="J542" t="str">
        <v>VU VAN LONG</v>
      </c>
      <c r="K542" t="str">
        <v>ブー　バン　ロン</v>
      </c>
      <c r="L542" t="str">
        <v>男</v>
      </c>
      <c r="M542" t="str">
        <v>ﾍﾞﾄﾅﾑ</v>
      </c>
      <c r="N542" s="31">
        <v>34808</v>
      </c>
      <c r="O542">
        <v>30</v>
      </c>
      <c r="P542">
        <v>1400</v>
      </c>
      <c r="Q542">
        <v>0</v>
      </c>
      <c r="R542">
        <v>1990</v>
      </c>
      <c r="S542">
        <v>0</v>
      </c>
      <c r="T542">
        <v>590</v>
      </c>
      <c r="U542">
        <v>180000</v>
      </c>
      <c r="V542">
        <v>9027</v>
      </c>
      <c r="W542" t="str">
        <v>0</v>
      </c>
      <c r="X542">
        <v>16470</v>
      </c>
      <c r="Y542" s="31">
        <v>45625</v>
      </c>
      <c r="Z542" t="str">
        <v/>
      </c>
      <c r="AA542" t="str">
        <v>技術・人文知識・国際業務</v>
      </c>
      <c r="AB542" t="str">
        <v>475-0061</v>
      </c>
      <c r="AC542" t="str">
        <v>愛知県半田市一ノ草町201-11</v>
      </c>
      <c r="AD542" t="str">
        <v>ﾒｿﾞﾝﾊﾟｰｸｱﾍﾞﾆｭｰ103</v>
      </c>
      <c r="AE542" s="31">
        <v>45002</v>
      </c>
      <c r="AF542" s="31">
        <v>45005</v>
      </c>
      <c r="AG542" s="31">
        <v>45198</v>
      </c>
      <c r="AH542" s="31">
        <v>0</v>
      </c>
      <c r="AI542" t="str">
        <v>23.4.1</v>
      </c>
      <c r="AJ542" t="str">
        <v>4/3林</v>
      </c>
      <c r="AK542">
        <v>0</v>
      </c>
      <c r="AL542">
        <v>45005</v>
      </c>
      <c r="AM542">
        <v>0</v>
      </c>
      <c r="AN542">
        <v>0</v>
      </c>
      <c r="AO542">
        <v>0</v>
      </c>
      <c r="AP542">
        <v>0</v>
      </c>
      <c r="AQ542">
        <v>0</v>
      </c>
      <c r="AR542">
        <v>0</v>
      </c>
    </row>
    <row r="543" spans="1:44">
      <c r="A543" t="str">
        <f>H543&amp;COUNTIF($H$2:H543,H543)</f>
        <v>J加工2課3</v>
      </c>
      <c r="B543" t="str">
        <f>F543&amp;COUNTIF($F$2:F543,F543)</f>
        <v>加藤木材工業 本社19</v>
      </c>
      <c r="C543" t="str">
        <v>退社</v>
      </c>
      <c r="D543">
        <v>230315</v>
      </c>
      <c r="E543">
        <v>5543</v>
      </c>
      <c r="F543" t="str">
        <v>加藤木材工業 本社</v>
      </c>
      <c r="G543" t="str">
        <v>生産2部</v>
      </c>
      <c r="H543" t="str">
        <v>J加工2課</v>
      </c>
      <c r="I543" t="str">
        <v>木材加工・検査・梱包</v>
      </c>
      <c r="J543" t="str">
        <v>PHAM HUY TIEN</v>
      </c>
      <c r="K543" t="str">
        <v>ファム　フィ　テイエン</v>
      </c>
      <c r="L543" t="str">
        <v>男</v>
      </c>
      <c r="M543" t="str">
        <v>ﾍﾞﾄﾅﾑ</v>
      </c>
      <c r="N543" s="31">
        <v>30065</v>
      </c>
      <c r="O543">
        <v>43</v>
      </c>
      <c r="P543">
        <v>1300</v>
      </c>
      <c r="Q543">
        <v>0</v>
      </c>
      <c r="R543">
        <v>1700</v>
      </c>
      <c r="S543">
        <v>0</v>
      </c>
      <c r="T543">
        <v>400</v>
      </c>
      <c r="U543">
        <v>180000</v>
      </c>
      <c r="V543">
        <v>9027</v>
      </c>
      <c r="W543">
        <v>1431</v>
      </c>
      <c r="X543">
        <v>16470</v>
      </c>
      <c r="Y543" s="31">
        <v>45370</v>
      </c>
      <c r="Z543" t="str">
        <v/>
      </c>
      <c r="AA543" t="str">
        <v>技術・人文知識・国際業務</v>
      </c>
      <c r="AB543" t="str">
        <v>486-0904</v>
      </c>
      <c r="AC543" t="str">
        <v>愛知県春日井市宮町2-3-16</v>
      </c>
      <c r="AD543" t="str">
        <v>ﾘﾝﾋﾟｱ長斉302</v>
      </c>
      <c r="AE543" s="31">
        <v>45017</v>
      </c>
      <c r="AF543" s="31">
        <v>45007</v>
      </c>
      <c r="AG543" s="31">
        <v>45147</v>
      </c>
      <c r="AH543" s="31">
        <v>0</v>
      </c>
      <c r="AI543" t="str">
        <v>23.4.1</v>
      </c>
      <c r="AJ543" t="str">
        <v>4/12林</v>
      </c>
      <c r="AK543">
        <v>0</v>
      </c>
      <c r="AL543">
        <v>45007</v>
      </c>
      <c r="AM543">
        <v>0</v>
      </c>
      <c r="AN543">
        <v>0</v>
      </c>
      <c r="AO543">
        <v>0</v>
      </c>
      <c r="AP543">
        <v>0</v>
      </c>
      <c r="AQ543">
        <v>0</v>
      </c>
      <c r="AR543">
        <v>0</v>
      </c>
    </row>
    <row r="544" spans="1:44">
      <c r="A544" t="str">
        <f>H544&amp;COUNTIF($H$2:H544,H544)</f>
        <v>素材1</v>
      </c>
      <c r="B544" t="str">
        <f>F544&amp;COUNTIF($F$2:F544,F544)</f>
        <v>PATEC31</v>
      </c>
      <c r="C544" t="str">
        <v>在職中</v>
      </c>
      <c r="D544">
        <v>230316</v>
      </c>
      <c r="E544">
        <v>0</v>
      </c>
      <c r="F544" t="str">
        <v>PATEC</v>
      </c>
      <c r="G544" t="str">
        <v>製造部素材課</v>
      </c>
      <c r="H544" t="str">
        <v>素材</v>
      </c>
      <c r="I544" t="str">
        <v>原材料の受入・溶解、低圧鋳造機での成型、熱処理作業、金型整備等</v>
      </c>
      <c r="J544" t="str">
        <v>LE DINH BINH</v>
      </c>
      <c r="K544" t="str">
        <v>レー　ディン　ビン</v>
      </c>
      <c r="L544" t="str">
        <v>男</v>
      </c>
      <c r="M544" t="str">
        <v>ﾍﾞﾄﾅﾑ</v>
      </c>
      <c r="N544" s="31">
        <v>30667</v>
      </c>
      <c r="O544">
        <v>41</v>
      </c>
      <c r="P544">
        <v>1600</v>
      </c>
      <c r="Q544">
        <v>0</v>
      </c>
      <c r="R544">
        <v>2100</v>
      </c>
      <c r="S544" t="str">
        <v>24/2/21～24/8/20まで請求単価50円下げ</v>
      </c>
      <c r="T544">
        <v>500</v>
      </c>
      <c r="U544">
        <v>360000</v>
      </c>
      <c r="V544">
        <v>18054</v>
      </c>
      <c r="W544">
        <v>2862</v>
      </c>
      <c r="X544">
        <v>32940</v>
      </c>
      <c r="Y544" s="31">
        <v>46644</v>
      </c>
      <c r="Z544" t="str">
        <v/>
      </c>
      <c r="AA544" t="str">
        <v>技術・人文知識・国際業務</v>
      </c>
      <c r="AB544" t="str">
        <v>747-0833</v>
      </c>
      <c r="AC544" t="str">
        <v>山口県防府市大字浜方716-15</v>
      </c>
      <c r="AD544" t="str">
        <v>ｱﾙｿｰﾚD102</v>
      </c>
      <c r="AE544" s="31">
        <v>45007</v>
      </c>
      <c r="AF544" s="31">
        <v>45007</v>
      </c>
      <c r="AG544" s="31">
        <v>0</v>
      </c>
      <c r="AH544" s="31">
        <v>0</v>
      </c>
      <c r="AI544" t="str">
        <v>23.4.1</v>
      </c>
      <c r="AJ544" t="str">
        <v>4/12林</v>
      </c>
      <c r="AK544">
        <v>0</v>
      </c>
      <c r="AL544">
        <v>45007</v>
      </c>
      <c r="AM544">
        <v>0</v>
      </c>
      <c r="AN544">
        <v>0</v>
      </c>
      <c r="AO544">
        <v>0</v>
      </c>
      <c r="AP544">
        <v>0</v>
      </c>
      <c r="AQ544">
        <v>0</v>
      </c>
      <c r="AR544">
        <v>0</v>
      </c>
    </row>
    <row r="545" spans="1:44">
      <c r="A545" t="str">
        <f>H545&amp;COUNTIF($H$2:H545,H545)</f>
        <v>亀崎工場製造5課7工区8班1</v>
      </c>
      <c r="B545" t="str">
        <f>F545&amp;COUNTIF($F$2:F545,F545)</f>
        <v>コーリツ 亀崎7</v>
      </c>
      <c r="C545" t="str">
        <v>退社</v>
      </c>
      <c r="D545">
        <v>230317</v>
      </c>
      <c r="E545">
        <v>8210053</v>
      </c>
      <c r="F545" t="str">
        <v>コーリツ 亀崎</v>
      </c>
      <c r="G545" t="str">
        <v>亀崎工場製造5課7工区8班</v>
      </c>
      <c r="H545" t="str">
        <v>亀崎工場製造5課7工区8班</v>
      </c>
      <c r="I545">
        <v>0</v>
      </c>
      <c r="J545" t="str">
        <v>NGUYEN VAN QUANG</v>
      </c>
      <c r="K545" t="str">
        <v>グエン　ヴァン　クアン</v>
      </c>
      <c r="L545" t="str">
        <v>男</v>
      </c>
      <c r="M545" t="str">
        <v>ﾍﾞﾄﾅﾑ</v>
      </c>
      <c r="N545" s="31">
        <v>34353</v>
      </c>
      <c r="O545">
        <v>31</v>
      </c>
      <c r="P545">
        <v>1400</v>
      </c>
      <c r="Q545">
        <v>0</v>
      </c>
      <c r="R545">
        <v>1990</v>
      </c>
      <c r="S545">
        <v>0</v>
      </c>
      <c r="T545">
        <v>590</v>
      </c>
      <c r="U545">
        <v>180000</v>
      </c>
      <c r="V545">
        <v>9027</v>
      </c>
      <c r="W545" t="str">
        <v>0</v>
      </c>
      <c r="X545">
        <v>16470</v>
      </c>
      <c r="Y545" s="31">
        <v>45206</v>
      </c>
      <c r="Z545" t="str">
        <v/>
      </c>
      <c r="AA545" t="str">
        <v>技術・人文知識・国際業務</v>
      </c>
      <c r="AB545" t="str">
        <v>475-0061</v>
      </c>
      <c r="AC545" t="str">
        <v>愛知県半田市一ノ草町201-11</v>
      </c>
      <c r="AD545" t="str">
        <v>ﾒｿﾞﾝﾊﾟｰｸｱﾍﾞﾆｭｰ103</v>
      </c>
      <c r="AE545" s="31">
        <v>45009</v>
      </c>
      <c r="AF545" s="31">
        <v>45012</v>
      </c>
      <c r="AG545" s="31">
        <v>45058</v>
      </c>
      <c r="AH545" s="31">
        <v>0</v>
      </c>
      <c r="AI545" t="str">
        <v>23.4.1</v>
      </c>
      <c r="AJ545" t="str">
        <v>4/12林</v>
      </c>
      <c r="AK545">
        <v>0</v>
      </c>
      <c r="AL545">
        <v>45012</v>
      </c>
      <c r="AM545">
        <v>0</v>
      </c>
      <c r="AN545">
        <v>0</v>
      </c>
      <c r="AO545">
        <v>0</v>
      </c>
      <c r="AP545">
        <v>0</v>
      </c>
      <c r="AQ545">
        <v>0</v>
      </c>
      <c r="AR545">
        <v>0</v>
      </c>
    </row>
    <row r="546" spans="1:44">
      <c r="A546" t="str">
        <f>H546&amp;COUNTIF($H$2:H546,H546)</f>
        <v>手動旋削11</v>
      </c>
      <c r="B546" t="str">
        <f>F546&amp;COUNTIF($F$2:F546,F546)</f>
        <v>高雄工業 静岡47</v>
      </c>
      <c r="C546" t="str">
        <v>退社</v>
      </c>
      <c r="D546">
        <v>230319</v>
      </c>
      <c r="E546">
        <v>242061</v>
      </c>
      <c r="F546" t="str">
        <v>高雄工業 静岡</v>
      </c>
      <c r="G546" t="str">
        <v>高雄工業株式会社 静岡事業所第一工場製作課</v>
      </c>
      <c r="H546" t="str">
        <v>手動旋削</v>
      </c>
      <c r="I546" t="str">
        <v>CVJ部品短軸品の施削加工、NCプログラム修正</v>
      </c>
      <c r="J546" t="str">
        <v>VU NGOC HOAN</v>
      </c>
      <c r="K546" t="str">
        <v>ヴー　ゴック　ホアン</v>
      </c>
      <c r="L546" t="str">
        <v>男</v>
      </c>
      <c r="M546" t="str">
        <v>ﾍﾞﾄﾅﾑ</v>
      </c>
      <c r="N546" s="31">
        <v>35493</v>
      </c>
      <c r="O546">
        <v>28</v>
      </c>
      <c r="P546">
        <v>1300</v>
      </c>
      <c r="Q546">
        <v>0</v>
      </c>
      <c r="R546">
        <v>1680</v>
      </c>
      <c r="S546">
        <v>0</v>
      </c>
      <c r="T546">
        <v>380</v>
      </c>
      <c r="U546">
        <v>300000</v>
      </c>
      <c r="V546">
        <v>15045</v>
      </c>
      <c r="W546" t="str">
        <v>0</v>
      </c>
      <c r="X546">
        <v>27450</v>
      </c>
      <c r="Y546" s="31">
        <v>45793</v>
      </c>
      <c r="Z546" t="str">
        <v/>
      </c>
      <c r="AA546" t="str">
        <v>技術・人文知識・国際業務</v>
      </c>
      <c r="AB546" t="str">
        <v>437-0016</v>
      </c>
      <c r="AC546" t="str">
        <v>静岡県袋井市葵町3丁目3番地3</v>
      </c>
      <c r="AD546" t="str">
        <v>BeehiveresidenceⅣ101</v>
      </c>
      <c r="AE546" s="31">
        <v>45007</v>
      </c>
      <c r="AF546" s="31">
        <v>45012</v>
      </c>
      <c r="AG546" s="31">
        <v>45471</v>
      </c>
      <c r="AH546" s="31">
        <v>0</v>
      </c>
      <c r="AI546" t="str">
        <v>23.4.1</v>
      </c>
      <c r="AJ546" t="str">
        <v>4/12林</v>
      </c>
      <c r="AK546">
        <v>0</v>
      </c>
      <c r="AL546">
        <v>45012</v>
      </c>
      <c r="AM546">
        <v>0</v>
      </c>
      <c r="AN546">
        <v>0</v>
      </c>
      <c r="AO546">
        <v>0</v>
      </c>
      <c r="AP546">
        <v>0</v>
      </c>
      <c r="AQ546">
        <v>0</v>
      </c>
      <c r="AR546">
        <v>0</v>
      </c>
    </row>
    <row r="547" spans="1:44">
      <c r="A547" t="str">
        <f>H547&amp;COUNTIF($H$2:H547,H547)</f>
        <v>H_2次旋13</v>
      </c>
      <c r="B547" t="str">
        <f>F547&amp;COUNTIF($F$2:F547,F547)</f>
        <v>高雄工業 海南第一40</v>
      </c>
      <c r="C547" t="str">
        <v>在職中</v>
      </c>
      <c r="D547">
        <v>241217</v>
      </c>
      <c r="E547">
        <v>222079</v>
      </c>
      <c r="F547" t="str">
        <v>高雄工業 海南第一</v>
      </c>
      <c r="G547" t="str">
        <v>高雄工業株式会社 愛知事業所海南第一工場製作1課</v>
      </c>
      <c r="H547" t="str">
        <v>H_2次旋</v>
      </c>
      <c r="I547" t="str">
        <v>ハブ加工品の2次施削、手動機械オペレーターNCプログラム修正</v>
      </c>
      <c r="J547" t="str">
        <v>PHAM BA DAI</v>
      </c>
      <c r="K547" t="str">
        <v>ファム　バ　ダイ</v>
      </c>
      <c r="L547" t="str">
        <v>男</v>
      </c>
      <c r="M547" t="str">
        <v>ﾍﾞﾄﾅﾑ</v>
      </c>
      <c r="N547" s="31">
        <v>37305</v>
      </c>
      <c r="O547">
        <v>23</v>
      </c>
      <c r="P547">
        <v>1250</v>
      </c>
      <c r="Q547">
        <v>0</v>
      </c>
      <c r="R547">
        <v>1650</v>
      </c>
      <c r="S547">
        <v>0</v>
      </c>
      <c r="T547">
        <v>400</v>
      </c>
      <c r="U547">
        <v>240000</v>
      </c>
      <c r="V547">
        <v>12036</v>
      </c>
      <c r="W547" t="str">
        <v>0</v>
      </c>
      <c r="X547">
        <v>21960</v>
      </c>
      <c r="Y547" s="31">
        <v>46002</v>
      </c>
      <c r="Z547">
        <v>7</v>
      </c>
      <c r="AA547" t="str">
        <v>技術・人文知識・国際業務</v>
      </c>
      <c r="AB547" t="str">
        <v>498-0026</v>
      </c>
      <c r="AC547" t="str">
        <v>愛知県弥富市鯏浦町西前新田119-1</v>
      </c>
      <c r="AD547" t="str">
        <v>ﾗｲﾌｺｱ119　306号</v>
      </c>
      <c r="AE547" s="31">
        <v>0</v>
      </c>
      <c r="AF547" s="31">
        <v>45643</v>
      </c>
      <c r="AG547" s="31">
        <v>0</v>
      </c>
      <c r="AH547" s="31">
        <v>0</v>
      </c>
      <c r="AI547">
        <v>45643</v>
      </c>
      <c r="AJ547" t="str">
        <v>12/26林</v>
      </c>
      <c r="AK547">
        <v>0</v>
      </c>
      <c r="AL547">
        <v>45643</v>
      </c>
      <c r="AM547">
        <v>0</v>
      </c>
      <c r="AN547">
        <v>0</v>
      </c>
      <c r="AO547">
        <v>0</v>
      </c>
      <c r="AP547">
        <v>0</v>
      </c>
      <c r="AQ547">
        <v>0</v>
      </c>
      <c r="AR547">
        <v>0</v>
      </c>
    </row>
    <row r="548" spans="1:44">
      <c r="A548" t="str">
        <f>H548&amp;COUNTIF($H$2:H548,H548)</f>
        <v>1次旋係31</v>
      </c>
      <c r="B548" t="str">
        <f>F548&amp;COUNTIF($F$2:F548,F548)</f>
        <v>高雄工業 岡山99</v>
      </c>
      <c r="C548" t="str">
        <v>退社</v>
      </c>
      <c r="D548">
        <v>230320</v>
      </c>
      <c r="E548">
        <v>232102</v>
      </c>
      <c r="F548" t="str">
        <v>高雄工業 岡山</v>
      </c>
      <c r="G548" t="str">
        <v>高雄工業株式会社 岡山事業所HUB工場製作1課</v>
      </c>
      <c r="H548" t="str">
        <v>1次旋係</v>
      </c>
      <c r="I548" t="str">
        <v>ハブ加工 自動機の操作、ＮＣプログラム修正</v>
      </c>
      <c r="J548" t="str">
        <v>TA NGUYEN DUC</v>
      </c>
      <c r="K548" t="str">
        <v>ター　グエン　ドゥック</v>
      </c>
      <c r="L548" t="str">
        <v>男</v>
      </c>
      <c r="M548" t="str">
        <v>ﾍﾞﾄﾅﾑ</v>
      </c>
      <c r="N548" s="31">
        <v>35746</v>
      </c>
      <c r="O548">
        <v>28</v>
      </c>
      <c r="P548">
        <v>1310</v>
      </c>
      <c r="Q548">
        <v>0</v>
      </c>
      <c r="R548">
        <v>1730</v>
      </c>
      <c r="S548">
        <v>0</v>
      </c>
      <c r="T548">
        <v>420</v>
      </c>
      <c r="U548">
        <v>220000</v>
      </c>
      <c r="V548">
        <v>11033</v>
      </c>
      <c r="W548" t="str">
        <v>0</v>
      </c>
      <c r="X548">
        <v>20130</v>
      </c>
      <c r="Y548" s="31">
        <v>46468</v>
      </c>
      <c r="Z548" t="str">
        <v/>
      </c>
      <c r="AA548" t="str">
        <v>技術・人文知識・国際業務</v>
      </c>
      <c r="AB548" t="str">
        <v>709-2107</v>
      </c>
      <c r="AC548" t="str">
        <v>岡山県岡山市北区御津矢原298-1</v>
      </c>
      <c r="AD548" t="str">
        <v>成広矢原ｺｰﾎﾟⅥ106</v>
      </c>
      <c r="AE548" s="31">
        <v>45009</v>
      </c>
      <c r="AF548" s="31">
        <v>45013</v>
      </c>
      <c r="AG548" s="31">
        <v>45877</v>
      </c>
      <c r="AH548" s="31">
        <v>0</v>
      </c>
      <c r="AI548" t="str">
        <v>23.4.1</v>
      </c>
      <c r="AJ548" t="str">
        <v>4/12林</v>
      </c>
      <c r="AK548">
        <v>0</v>
      </c>
      <c r="AL548">
        <v>45013</v>
      </c>
      <c r="AM548">
        <v>0</v>
      </c>
      <c r="AN548">
        <v>0</v>
      </c>
      <c r="AO548">
        <v>0</v>
      </c>
      <c r="AP548">
        <v>0</v>
      </c>
      <c r="AQ548">
        <v>0</v>
      </c>
      <c r="AR548">
        <v>0</v>
      </c>
    </row>
    <row r="549" spans="1:44">
      <c r="A549" t="str">
        <f>H549&amp;COUNTIF($H$2:H549,H549)</f>
        <v>1次旋係32</v>
      </c>
      <c r="B549" t="str">
        <f>F549&amp;COUNTIF($F$2:F549,F549)</f>
        <v>高雄工業 岡山100</v>
      </c>
      <c r="C549" t="str">
        <v>在職中</v>
      </c>
      <c r="D549">
        <v>230321</v>
      </c>
      <c r="E549">
        <v>232103</v>
      </c>
      <c r="F549" t="str">
        <v>高雄工業 岡山</v>
      </c>
      <c r="G549" t="str">
        <v>高雄工業株式会社 岡山事業所HUB工場製作1課</v>
      </c>
      <c r="H549" t="str">
        <v>1次旋係</v>
      </c>
      <c r="I549" t="str">
        <v>ハブ加工 自動機の操作、ＮＣプログラム修正</v>
      </c>
      <c r="J549" t="str">
        <v>TRAN THANH HUNG</v>
      </c>
      <c r="K549" t="str">
        <v>チャン　タイン　フン</v>
      </c>
      <c r="L549" t="str">
        <v>男</v>
      </c>
      <c r="M549" t="str">
        <v>ﾍﾞﾄﾅﾑ</v>
      </c>
      <c r="N549" s="31">
        <v>35956</v>
      </c>
      <c r="O549">
        <v>27</v>
      </c>
      <c r="P549">
        <v>1320</v>
      </c>
      <c r="Q549">
        <v>0</v>
      </c>
      <c r="R549">
        <v>1740</v>
      </c>
      <c r="S549">
        <v>0</v>
      </c>
      <c r="T549">
        <v>420</v>
      </c>
      <c r="U549">
        <v>260000</v>
      </c>
      <c r="V549">
        <v>13039</v>
      </c>
      <c r="W549" t="str">
        <v>0</v>
      </c>
      <c r="X549">
        <v>23790</v>
      </c>
      <c r="Y549" s="31">
        <v>46468</v>
      </c>
      <c r="Z549" t="str">
        <v/>
      </c>
      <c r="AA549" t="str">
        <v>技術・人文知識・国際業務</v>
      </c>
      <c r="AB549" t="str">
        <v>709-2107</v>
      </c>
      <c r="AC549" t="str">
        <v>岡山県岡山市北区御津矢原370</v>
      </c>
      <c r="AD549" t="str">
        <v>成広ｺｰﾎﾟⅡ102</v>
      </c>
      <c r="AE549" s="31">
        <v>45009</v>
      </c>
      <c r="AF549" s="31">
        <v>45013</v>
      </c>
      <c r="AG549" s="31">
        <v>0</v>
      </c>
      <c r="AH549" s="31">
        <v>0</v>
      </c>
      <c r="AI549" t="str">
        <v>23.4.1</v>
      </c>
      <c r="AJ549" t="str">
        <v>4/12林</v>
      </c>
      <c r="AK549">
        <v>0</v>
      </c>
      <c r="AL549">
        <v>45013</v>
      </c>
      <c r="AM549">
        <v>0</v>
      </c>
      <c r="AN549">
        <v>0</v>
      </c>
      <c r="AO549">
        <v>0</v>
      </c>
      <c r="AP549">
        <v>0</v>
      </c>
      <c r="AQ549">
        <v>0</v>
      </c>
      <c r="AR549">
        <v>0</v>
      </c>
    </row>
    <row r="550" spans="1:44">
      <c r="A550" t="str">
        <f>H550&amp;COUNTIF($H$2:H550,H550)</f>
        <v>1次旋係33</v>
      </c>
      <c r="B550" t="str">
        <f>F550&amp;COUNTIF($F$2:F550,F550)</f>
        <v>高雄工業 岡山101</v>
      </c>
      <c r="C550" t="str">
        <v>在職中</v>
      </c>
      <c r="D550">
        <v>230322</v>
      </c>
      <c r="E550">
        <v>232099</v>
      </c>
      <c r="F550" t="str">
        <v>高雄工業 岡山</v>
      </c>
      <c r="G550" t="str">
        <v>高雄工業株式会社 岡山事業所HUB工場製作1課</v>
      </c>
      <c r="H550" t="str">
        <v>1次旋係</v>
      </c>
      <c r="I550" t="str">
        <v>ハブ加工 自動機の操作、ＮＣプログラム修正</v>
      </c>
      <c r="J550" t="str">
        <v>VO THANH PHONG</v>
      </c>
      <c r="K550" t="str">
        <v>ヴォー　タイン　フォン</v>
      </c>
      <c r="L550" t="str">
        <v>男</v>
      </c>
      <c r="M550" t="str">
        <v>ﾍﾞﾄﾅﾑ</v>
      </c>
      <c r="N550" s="31">
        <v>36793</v>
      </c>
      <c r="O550">
        <v>25</v>
      </c>
      <c r="P550">
        <v>1310</v>
      </c>
      <c r="Q550">
        <v>0</v>
      </c>
      <c r="R550">
        <v>1750</v>
      </c>
      <c r="S550">
        <v>0</v>
      </c>
      <c r="T550">
        <v>440</v>
      </c>
      <c r="U550">
        <v>260000</v>
      </c>
      <c r="V550">
        <v>13039</v>
      </c>
      <c r="W550" t="str">
        <v>0</v>
      </c>
      <c r="X550">
        <v>23790</v>
      </c>
      <c r="Y550" s="31">
        <v>46468</v>
      </c>
      <c r="Z550" t="str">
        <v/>
      </c>
      <c r="AA550" t="str">
        <v>技術・人文知識・国際業務</v>
      </c>
      <c r="AB550" t="str">
        <v>709-2107</v>
      </c>
      <c r="AC550" t="str">
        <v>岡山県岡山市北区御津矢原370</v>
      </c>
      <c r="AD550" t="str">
        <v>成広ｺｰﾎﾟⅡ102</v>
      </c>
      <c r="AE550" s="31">
        <v>45009</v>
      </c>
      <c r="AF550" s="31">
        <v>45013</v>
      </c>
      <c r="AG550" s="31">
        <v>0</v>
      </c>
      <c r="AH550" s="31">
        <v>0</v>
      </c>
      <c r="AI550" t="str">
        <v>23.4.1</v>
      </c>
      <c r="AJ550" t="str">
        <v>4/12林</v>
      </c>
      <c r="AK550">
        <v>0</v>
      </c>
      <c r="AL550">
        <v>45013</v>
      </c>
      <c r="AM550">
        <v>0</v>
      </c>
      <c r="AN550">
        <v>0</v>
      </c>
      <c r="AO550">
        <v>0</v>
      </c>
      <c r="AP550">
        <v>0</v>
      </c>
      <c r="AQ550">
        <v>0</v>
      </c>
      <c r="AR550">
        <v>0</v>
      </c>
    </row>
    <row r="551" spans="1:44">
      <c r="A551" t="str">
        <f>H551&amp;COUNTIF($H$2:H551,H551)</f>
        <v>1次旋係34</v>
      </c>
      <c r="B551" t="str">
        <f>F551&amp;COUNTIF($F$2:F551,F551)</f>
        <v>高雄工業 岡山102</v>
      </c>
      <c r="C551" t="str">
        <v>在職中</v>
      </c>
      <c r="D551">
        <v>230325</v>
      </c>
      <c r="E551">
        <v>232100</v>
      </c>
      <c r="F551" t="str">
        <v>高雄工業 岡山</v>
      </c>
      <c r="G551" t="str">
        <v>高雄工業株式会社 岡山事業所HUB工場製作1課</v>
      </c>
      <c r="H551" t="str">
        <v>1次旋係</v>
      </c>
      <c r="I551" t="str">
        <v>ハブ加工 自動機の操作、ＮＣプログラム修正</v>
      </c>
      <c r="J551" t="str">
        <v>NGUYEN NGOC QUANG</v>
      </c>
      <c r="K551" t="str">
        <v>グエン　ゴック　クアン</v>
      </c>
      <c r="L551" t="str">
        <v>男</v>
      </c>
      <c r="M551" t="str">
        <v>ﾍﾞﾄﾅﾑ</v>
      </c>
      <c r="N551" s="31">
        <v>36800</v>
      </c>
      <c r="O551">
        <v>25</v>
      </c>
      <c r="P551">
        <v>1320</v>
      </c>
      <c r="Q551">
        <v>0</v>
      </c>
      <c r="R551">
        <v>1740</v>
      </c>
      <c r="S551">
        <v>0</v>
      </c>
      <c r="T551">
        <v>420</v>
      </c>
      <c r="U551">
        <v>260000</v>
      </c>
      <c r="V551">
        <v>13039</v>
      </c>
      <c r="W551" t="str">
        <v>0</v>
      </c>
      <c r="X551">
        <v>23790</v>
      </c>
      <c r="Y551" s="31">
        <v>46468</v>
      </c>
      <c r="Z551" t="str">
        <v/>
      </c>
      <c r="AA551" t="str">
        <v>技術・人文知識・国際業務</v>
      </c>
      <c r="AB551" t="str">
        <v>709-2107</v>
      </c>
      <c r="AC551" t="str">
        <v>岡山県岡山市北区御津矢原370</v>
      </c>
      <c r="AD551" t="str">
        <v>成広ｺｰﾎﾟⅡ-203</v>
      </c>
      <c r="AE551" s="31">
        <v>45009</v>
      </c>
      <c r="AF551" s="31">
        <v>45013</v>
      </c>
      <c r="AG551" s="31">
        <v>0</v>
      </c>
      <c r="AH551" s="31">
        <v>0</v>
      </c>
      <c r="AI551" t="str">
        <v>23.4.1</v>
      </c>
      <c r="AJ551" t="str">
        <v>4/12林</v>
      </c>
      <c r="AK551">
        <v>0</v>
      </c>
      <c r="AL551">
        <v>45013</v>
      </c>
      <c r="AM551">
        <v>0</v>
      </c>
      <c r="AN551">
        <v>0</v>
      </c>
      <c r="AO551">
        <v>0</v>
      </c>
      <c r="AP551">
        <v>0</v>
      </c>
      <c r="AQ551">
        <v>0</v>
      </c>
      <c r="AR551">
        <v>0</v>
      </c>
    </row>
    <row r="552" spans="1:44">
      <c r="A552" t="str">
        <f>H552&amp;COUNTIF($H$2:H552,H552)</f>
        <v>一次旋係22</v>
      </c>
      <c r="B552" t="str">
        <f>F552&amp;COUNTIF($F$2:F552,F552)</f>
        <v>高雄工業 岡山103</v>
      </c>
      <c r="C552" t="str">
        <v>退社</v>
      </c>
      <c r="D552">
        <v>230323</v>
      </c>
      <c r="E552">
        <v>232104</v>
      </c>
      <c r="F552" t="str">
        <v>高雄工業 岡山</v>
      </c>
      <c r="G552" t="str">
        <v>高雄工業株式会社 岡山事業所HUB工場製作2課</v>
      </c>
      <c r="H552" t="str">
        <v>一次旋係</v>
      </c>
      <c r="I552" t="str">
        <v>ハブ加工・自動機の操作・ＮＣプログラム修正</v>
      </c>
      <c r="J552" t="str">
        <v>LE MINH HIEU</v>
      </c>
      <c r="K552" t="str">
        <v>レー　ミン　ヒエウ</v>
      </c>
      <c r="L552" t="str">
        <v>男</v>
      </c>
      <c r="M552" t="str">
        <v>ﾍﾞﾄﾅﾑ</v>
      </c>
      <c r="N552" s="31">
        <v>35548</v>
      </c>
      <c r="O552">
        <v>28</v>
      </c>
      <c r="P552">
        <v>1300</v>
      </c>
      <c r="Q552">
        <v>0</v>
      </c>
      <c r="R552">
        <v>1715</v>
      </c>
      <c r="S552">
        <v>0</v>
      </c>
      <c r="T552">
        <v>415</v>
      </c>
      <c r="U552">
        <v>180000</v>
      </c>
      <c r="V552">
        <v>9027</v>
      </c>
      <c r="W552" t="str">
        <v>0</v>
      </c>
      <c r="X552">
        <v>16470</v>
      </c>
      <c r="Y552" s="31">
        <v>45373</v>
      </c>
      <c r="Z552" t="str">
        <v/>
      </c>
      <c r="AA552" t="str">
        <v>技術・人文知識・国際業務</v>
      </c>
      <c r="AB552" t="str">
        <v>709-2107</v>
      </c>
      <c r="AC552" t="str">
        <v>岡山県岡山市北区御津矢原288-1</v>
      </c>
      <c r="AD552" t="str">
        <v>ｸﾞﾗﾝﾃﾞｰｻﾞ109</v>
      </c>
      <c r="AE552" s="31">
        <v>45009</v>
      </c>
      <c r="AF552" s="31">
        <v>45013</v>
      </c>
      <c r="AG552" s="31">
        <v>45432</v>
      </c>
      <c r="AH552" s="31">
        <v>0</v>
      </c>
      <c r="AI552" t="str">
        <v>23.4.1</v>
      </c>
      <c r="AJ552" t="str">
        <v>4/12林</v>
      </c>
      <c r="AK552">
        <v>0</v>
      </c>
      <c r="AL552">
        <v>45013</v>
      </c>
      <c r="AM552">
        <v>0</v>
      </c>
      <c r="AN552">
        <v>0</v>
      </c>
      <c r="AO552">
        <v>0</v>
      </c>
      <c r="AP552">
        <v>0</v>
      </c>
      <c r="AQ552">
        <v>0</v>
      </c>
      <c r="AR552">
        <v>0</v>
      </c>
    </row>
    <row r="553" spans="1:44">
      <c r="A553" t="str">
        <f>H553&amp;COUNTIF($H$2:H553,H553)</f>
        <v>一次旋係23</v>
      </c>
      <c r="B553" t="str">
        <f>F553&amp;COUNTIF($F$2:F553,F553)</f>
        <v>高雄工業 岡山104</v>
      </c>
      <c r="C553" t="str">
        <v>退社</v>
      </c>
      <c r="D553">
        <v>230324</v>
      </c>
      <c r="E553">
        <v>232101</v>
      </c>
      <c r="F553" t="str">
        <v>高雄工業 岡山</v>
      </c>
      <c r="G553" t="str">
        <v>高雄工業株式会社 岡山事業所HUB工場製作1課</v>
      </c>
      <c r="H553" t="str">
        <v>一次旋係</v>
      </c>
      <c r="I553" t="str">
        <v>ハブ加工・自動機の操作・ＮＣプログラム修正</v>
      </c>
      <c r="J553" t="str">
        <v>NGUYEN NGOC PHONG</v>
      </c>
      <c r="K553" t="str">
        <v>グエン　ゴック　フォン</v>
      </c>
      <c r="L553" t="str">
        <v>男</v>
      </c>
      <c r="M553" t="str">
        <v>ﾍﾞﾄﾅﾑ</v>
      </c>
      <c r="N553" s="31">
        <v>36221</v>
      </c>
      <c r="O553">
        <v>26</v>
      </c>
      <c r="P553">
        <v>1200</v>
      </c>
      <c r="Q553">
        <v>0</v>
      </c>
      <c r="R553">
        <v>1660</v>
      </c>
      <c r="S553">
        <v>0</v>
      </c>
      <c r="T553">
        <v>460</v>
      </c>
      <c r="U553">
        <v>180000</v>
      </c>
      <c r="V553">
        <v>9027</v>
      </c>
      <c r="W553" t="str">
        <v>0</v>
      </c>
      <c r="X553">
        <v>16470</v>
      </c>
      <c r="Y553" s="31">
        <v>45373</v>
      </c>
      <c r="Z553" t="str">
        <v/>
      </c>
      <c r="AA553" t="str">
        <v>技術・人文知識・国際業務</v>
      </c>
      <c r="AB553" t="str">
        <v>709-2107</v>
      </c>
      <c r="AC553" t="str">
        <v>岡山県岡山市北区御津矢原288-1</v>
      </c>
      <c r="AD553" t="str">
        <v>ｸﾞﾗﾝﾃﾞｰｻﾞ109</v>
      </c>
      <c r="AE553" s="31">
        <v>45009</v>
      </c>
      <c r="AF553" s="31">
        <v>45013</v>
      </c>
      <c r="AG553" s="31">
        <v>45173</v>
      </c>
      <c r="AH553" s="31">
        <v>0</v>
      </c>
      <c r="AI553" t="str">
        <v>23.4.1</v>
      </c>
      <c r="AJ553" t="str">
        <v>4/12林</v>
      </c>
      <c r="AK553">
        <v>0</v>
      </c>
      <c r="AL553">
        <v>45013</v>
      </c>
      <c r="AM553">
        <v>0</v>
      </c>
      <c r="AN553">
        <v>0</v>
      </c>
      <c r="AO553">
        <v>0</v>
      </c>
      <c r="AP553">
        <v>0</v>
      </c>
      <c r="AQ553">
        <v>0</v>
      </c>
      <c r="AR553">
        <v>0</v>
      </c>
    </row>
    <row r="554" spans="1:44">
      <c r="A554" t="str">
        <f>H554&amp;COUNTIF($H$2:H554,H554)</f>
        <v>等速ジョイント18</v>
      </c>
      <c r="B554" t="str">
        <f>F554&amp;COUNTIF($F$2:F554,F554)</f>
        <v>瑞陵精機31</v>
      </c>
      <c r="C554" t="str">
        <v>退社</v>
      </c>
      <c r="D554">
        <v>230326</v>
      </c>
      <c r="E554">
        <v>0</v>
      </c>
      <c r="F554" t="str">
        <v>瑞陵精機</v>
      </c>
      <c r="G554" t="str">
        <v>製造課</v>
      </c>
      <c r="H554" t="str">
        <v>等速ジョイント</v>
      </c>
      <c r="I554" t="str">
        <v>ＮＣ旋盤、マシニングセンター等の工作機械を使いオペレーターとして製造ラインで製品を加工</v>
      </c>
      <c r="J554" t="str">
        <v>NGUYEN VAN DUNG</v>
      </c>
      <c r="K554" t="str">
        <v>グエン　ヴァン　ズン</v>
      </c>
      <c r="L554" t="str">
        <v>男</v>
      </c>
      <c r="M554" t="str">
        <v>ﾍﾞﾄﾅﾑ</v>
      </c>
      <c r="N554" s="31">
        <v>33252</v>
      </c>
      <c r="O554">
        <v>34</v>
      </c>
      <c r="P554">
        <v>1300</v>
      </c>
      <c r="Q554">
        <v>0</v>
      </c>
      <c r="R554">
        <v>1700</v>
      </c>
      <c r="S554">
        <v>0</v>
      </c>
      <c r="T554">
        <v>400</v>
      </c>
      <c r="U554">
        <v>320000</v>
      </c>
      <c r="V554">
        <v>16048</v>
      </c>
      <c r="W554" t="str">
        <v>0</v>
      </c>
      <c r="X554">
        <v>29280</v>
      </c>
      <c r="Y554" s="31">
        <v>46558</v>
      </c>
      <c r="Z554" t="str">
        <v/>
      </c>
      <c r="AA554" t="str">
        <v>技術・人文知識・国際業務</v>
      </c>
      <c r="AB554" t="str">
        <v>509-7201</v>
      </c>
      <c r="AC554" t="str">
        <v>岐阜県恵那市大井町1120-303</v>
      </c>
      <c r="AD554" t="str">
        <v>各務ﾊｲﾂ4H</v>
      </c>
      <c r="AE554" s="31">
        <v>45661</v>
      </c>
      <c r="AF554" s="31">
        <v>45014</v>
      </c>
      <c r="AG554" s="31">
        <v>45737</v>
      </c>
      <c r="AH554" s="31">
        <v>0</v>
      </c>
      <c r="AI554" t="str">
        <v>23.4.1</v>
      </c>
      <c r="AJ554" t="str">
        <v>4/12林</v>
      </c>
      <c r="AK554">
        <v>0</v>
      </c>
      <c r="AL554">
        <v>45014</v>
      </c>
      <c r="AM554">
        <v>0</v>
      </c>
      <c r="AN554">
        <v>0</v>
      </c>
      <c r="AO554">
        <v>0</v>
      </c>
      <c r="AP554">
        <v>0</v>
      </c>
      <c r="AQ554">
        <v>0</v>
      </c>
      <c r="AR554">
        <v>0</v>
      </c>
    </row>
    <row r="555" spans="1:44">
      <c r="A555" t="str">
        <f>H555&amp;COUNTIF($H$2:H555,H555)</f>
        <v>本社工場製造1課2工区6班1</v>
      </c>
      <c r="B555" t="str">
        <f>F555&amp;COUNTIF($F$2:F555,F555)</f>
        <v>コーリツ 本社14</v>
      </c>
      <c r="C555" t="str">
        <v>退社</v>
      </c>
      <c r="D555">
        <v>230401</v>
      </c>
      <c r="E555">
        <v>8210055</v>
      </c>
      <c r="F555" t="str">
        <v>コーリツ 本社</v>
      </c>
      <c r="G555" t="str">
        <v>本社工場製造2課3工区6班</v>
      </c>
      <c r="H555" t="str">
        <v>本社工場製造1課2工区6班</v>
      </c>
      <c r="I555">
        <v>0</v>
      </c>
      <c r="J555" t="str">
        <v>田中　ヤスヒロ</v>
      </c>
      <c r="K555" t="str">
        <v>タナカ　ヤスヒロ</v>
      </c>
      <c r="L555" t="str">
        <v>男</v>
      </c>
      <c r="M555" t="str">
        <v>ﾌﾞﾗｼﾞﾙ</v>
      </c>
      <c r="N555" s="31">
        <v>36540</v>
      </c>
      <c r="O555">
        <v>25</v>
      </c>
      <c r="P555">
        <v>1400</v>
      </c>
      <c r="Q555">
        <v>0</v>
      </c>
      <c r="R555">
        <v>1990</v>
      </c>
      <c r="S555">
        <v>0</v>
      </c>
      <c r="T555">
        <v>590</v>
      </c>
      <c r="U555">
        <v>260000</v>
      </c>
      <c r="V555">
        <v>13039</v>
      </c>
      <c r="W555" t="str">
        <v>0</v>
      </c>
      <c r="X555">
        <v>23790</v>
      </c>
      <c r="Y555" s="31">
        <v>45382</v>
      </c>
      <c r="Z555" t="str">
        <v/>
      </c>
      <c r="AA555" t="str">
        <v>定住者</v>
      </c>
      <c r="AB555" t="str">
        <v>304-0812</v>
      </c>
      <c r="AC555" t="str">
        <v>茨城県下妻市田下598-3</v>
      </c>
      <c r="AD555" t="str">
        <v>CHODORI　102</v>
      </c>
      <c r="AE555" s="31" t="str">
        <v>個人</v>
      </c>
      <c r="AF555" s="31">
        <v>45026</v>
      </c>
      <c r="AG555" s="31">
        <v>45219</v>
      </c>
      <c r="AH555" s="31">
        <v>0</v>
      </c>
      <c r="AI555" t="str">
        <v>23.5.1</v>
      </c>
      <c r="AJ555" t="str">
        <v>4/13林</v>
      </c>
      <c r="AK555">
        <v>0</v>
      </c>
      <c r="AL555">
        <v>45026</v>
      </c>
      <c r="AM555">
        <v>0</v>
      </c>
      <c r="AN555">
        <v>0</v>
      </c>
      <c r="AO555">
        <v>0</v>
      </c>
      <c r="AP555">
        <v>0</v>
      </c>
      <c r="AQ555">
        <v>0</v>
      </c>
      <c r="AR555">
        <v>0</v>
      </c>
    </row>
    <row r="556" spans="1:44">
      <c r="A556" t="str">
        <f>H556&amp;COUNTIF($H$2:H556,H556)</f>
        <v>等速ジョイント19</v>
      </c>
      <c r="B556" t="str">
        <f>F556&amp;COUNTIF($F$2:F556,F556)</f>
        <v>瑞陵精機32</v>
      </c>
      <c r="C556" t="str">
        <v>退社</v>
      </c>
      <c r="D556">
        <v>230402</v>
      </c>
      <c r="E556">
        <v>0</v>
      </c>
      <c r="F556" t="str">
        <v>瑞陵精機</v>
      </c>
      <c r="G556" t="str">
        <v>製造課</v>
      </c>
      <c r="H556" t="str">
        <v>等速ジョイント</v>
      </c>
      <c r="I556" t="str">
        <v>ＮＣ旋盤、マシニングセンター等の工作機械を使いオペレーターとして製造ラインで製品を加工</v>
      </c>
      <c r="J556" t="str">
        <v>LE VIET TRUNG</v>
      </c>
      <c r="K556" t="str">
        <v>レー　ヴィエット　チュン</v>
      </c>
      <c r="L556" t="str">
        <v>男</v>
      </c>
      <c r="M556" t="str">
        <v>ﾍﾞﾄﾅﾑ</v>
      </c>
      <c r="N556" s="31">
        <v>36751</v>
      </c>
      <c r="O556">
        <v>25</v>
      </c>
      <c r="P556">
        <v>1300</v>
      </c>
      <c r="Q556">
        <v>0</v>
      </c>
      <c r="R556">
        <v>1700</v>
      </c>
      <c r="S556">
        <v>0</v>
      </c>
      <c r="T556">
        <v>400</v>
      </c>
      <c r="U556">
        <v>280000</v>
      </c>
      <c r="V556">
        <v>14042</v>
      </c>
      <c r="W556" t="str">
        <v>0</v>
      </c>
      <c r="X556">
        <v>25620</v>
      </c>
      <c r="Y556" s="31">
        <v>46131</v>
      </c>
      <c r="Z556" t="str">
        <v/>
      </c>
      <c r="AA556" t="str">
        <v>技術・人文知識・国際業務</v>
      </c>
      <c r="AB556" t="str">
        <v>509-7201</v>
      </c>
      <c r="AC556" t="str">
        <v>岐阜県恵那市大井町2087-170</v>
      </c>
      <c r="AD556" t="str">
        <v>ﾋﾞﾚｯｼﾞﾊｳｽ恵那2号棟309</v>
      </c>
      <c r="AE556" s="31" t="str">
        <v>個人</v>
      </c>
      <c r="AF556" s="31">
        <v>45026</v>
      </c>
      <c r="AG556" s="31">
        <v>45835</v>
      </c>
      <c r="AH556" s="31">
        <v>0</v>
      </c>
      <c r="AI556" t="str">
        <v>23.5.1</v>
      </c>
      <c r="AJ556" t="str">
        <v>4/13林</v>
      </c>
      <c r="AK556">
        <v>0</v>
      </c>
      <c r="AL556">
        <v>45026</v>
      </c>
      <c r="AM556">
        <v>0</v>
      </c>
      <c r="AN556">
        <v>0</v>
      </c>
      <c r="AO556">
        <v>0</v>
      </c>
      <c r="AP556">
        <v>0</v>
      </c>
      <c r="AQ556">
        <v>0</v>
      </c>
      <c r="AR556">
        <v>0</v>
      </c>
    </row>
    <row r="557" spans="1:44">
      <c r="A557" t="str">
        <f>H557&amp;COUNTIF($H$2:H557,H557)</f>
        <v>資材課4</v>
      </c>
      <c r="B557" t="str">
        <f>F557&amp;COUNTIF($F$2:F557,F557)</f>
        <v>加藤木材工業 本社20</v>
      </c>
      <c r="C557" t="str">
        <v>退社</v>
      </c>
      <c r="D557">
        <v>230403</v>
      </c>
      <c r="E557">
        <v>5550</v>
      </c>
      <c r="F557" t="str">
        <v>加藤木材工業 本社</v>
      </c>
      <c r="G557" t="str">
        <v>生産企画部</v>
      </c>
      <c r="H557" t="str">
        <v>資材課</v>
      </c>
      <c r="I557" t="str">
        <v>機械オペレーター及び機械メンテナンス他付随する業務</v>
      </c>
      <c r="J557" t="str">
        <v>PHAM DUY QUANG</v>
      </c>
      <c r="K557" t="str">
        <v>ファム　ズイ　クアン</v>
      </c>
      <c r="L557" t="str">
        <v>男</v>
      </c>
      <c r="M557" t="str">
        <v>ﾍﾞﾄﾅﾑ</v>
      </c>
      <c r="N557" s="31">
        <v>34497</v>
      </c>
      <c r="O557">
        <v>31</v>
      </c>
      <c r="P557">
        <v>1320</v>
      </c>
      <c r="Q557" t="str">
        <v>2025/5/21～1300円⇒1320円</v>
      </c>
      <c r="R557">
        <v>1730</v>
      </c>
      <c r="S557" t="str">
        <v>2025/5/21~1700円⇒1730円</v>
      </c>
      <c r="T557">
        <v>410</v>
      </c>
      <c r="U557">
        <v>300000</v>
      </c>
      <c r="V557">
        <v>15045</v>
      </c>
      <c r="W557" t="str">
        <v>0</v>
      </c>
      <c r="X557">
        <v>27450</v>
      </c>
      <c r="Y557" s="31">
        <v>46783</v>
      </c>
      <c r="Z557" t="str">
        <v/>
      </c>
      <c r="AA557" t="str">
        <v>技術・人文知識・国際業務</v>
      </c>
      <c r="AB557" t="str">
        <v>486-0918</v>
      </c>
      <c r="AC557" t="str">
        <v>愛知県春日井市如意申町3丁目3－4</v>
      </c>
      <c r="AD557" t="str">
        <v>Residence Enfinity M1 201</v>
      </c>
      <c r="AE557" s="31">
        <v>45044</v>
      </c>
      <c r="AF557" s="31">
        <v>45026</v>
      </c>
      <c r="AG557" s="31">
        <v>45900</v>
      </c>
      <c r="AH557" s="31">
        <v>0</v>
      </c>
      <c r="AI557" t="str">
        <v>23.5.1</v>
      </c>
      <c r="AJ557" t="str">
        <v>4/13林</v>
      </c>
      <c r="AK557">
        <v>0</v>
      </c>
      <c r="AL557">
        <v>45026</v>
      </c>
      <c r="AM557">
        <v>0</v>
      </c>
      <c r="AN557">
        <v>0</v>
      </c>
      <c r="AO557">
        <v>0</v>
      </c>
      <c r="AP557">
        <v>0</v>
      </c>
      <c r="AQ557">
        <v>0</v>
      </c>
      <c r="AR557">
        <v>0</v>
      </c>
    </row>
    <row r="558" spans="1:44">
      <c r="A558" t="str">
        <f>H558&amp;COUNTIF($H$2:H558,H558)</f>
        <v>資材課5</v>
      </c>
      <c r="B558" t="str">
        <f>F558&amp;COUNTIF($F$2:F558,F558)</f>
        <v>加藤木材工業 本社21</v>
      </c>
      <c r="C558" t="str">
        <v>退社</v>
      </c>
      <c r="D558">
        <v>230404</v>
      </c>
      <c r="E558">
        <v>5551</v>
      </c>
      <c r="F558" t="str">
        <v>加藤木材工業 本社</v>
      </c>
      <c r="G558" t="str">
        <v>生産企画部</v>
      </c>
      <c r="H558" t="str">
        <v>資材課</v>
      </c>
      <c r="I558" t="str">
        <v>機械オペレーター及び機械メンテナンス他付随する業務</v>
      </c>
      <c r="J558" t="str">
        <v>THAI BA THACH</v>
      </c>
      <c r="K558" t="str">
        <v>タイ　バー　タック</v>
      </c>
      <c r="L558" t="str">
        <v>男</v>
      </c>
      <c r="M558" t="str">
        <v>ﾍﾞﾄﾅﾑ</v>
      </c>
      <c r="N558" s="31">
        <v>34497</v>
      </c>
      <c r="O558">
        <v>31</v>
      </c>
      <c r="P558">
        <v>1300</v>
      </c>
      <c r="Q558">
        <v>0</v>
      </c>
      <c r="R558">
        <v>1700</v>
      </c>
      <c r="S558">
        <v>0</v>
      </c>
      <c r="T558">
        <v>400</v>
      </c>
      <c r="U558">
        <v>280000</v>
      </c>
      <c r="V558">
        <v>14042</v>
      </c>
      <c r="W558" t="str">
        <v>0</v>
      </c>
      <c r="X558">
        <v>25620</v>
      </c>
      <c r="Y558" s="31">
        <v>45566</v>
      </c>
      <c r="Z558" t="str">
        <v/>
      </c>
      <c r="AA558" t="str">
        <v>技術・人文知識・国際業務</v>
      </c>
      <c r="AB558" t="str">
        <v>486-0904</v>
      </c>
      <c r="AC558" t="str">
        <v>愛知県春日井市宮町2-3-16</v>
      </c>
      <c r="AD558" t="str">
        <v>ﾘﾝﾋﾟｱ長斉302</v>
      </c>
      <c r="AE558" s="31">
        <v>45044</v>
      </c>
      <c r="AF558" s="31">
        <v>45026</v>
      </c>
      <c r="AG558" s="31">
        <v>45288</v>
      </c>
      <c r="AH558" s="31">
        <v>0</v>
      </c>
      <c r="AI558" t="str">
        <v>23.5.1</v>
      </c>
      <c r="AJ558" t="str">
        <v>4/13林</v>
      </c>
      <c r="AK558">
        <v>0</v>
      </c>
      <c r="AL558">
        <v>45026</v>
      </c>
      <c r="AM558">
        <v>0</v>
      </c>
      <c r="AN558">
        <v>0</v>
      </c>
      <c r="AO558">
        <v>0</v>
      </c>
      <c r="AP558">
        <v>0</v>
      </c>
      <c r="AQ558">
        <v>0</v>
      </c>
      <c r="AR558">
        <v>0</v>
      </c>
    </row>
    <row r="559" spans="1:44">
      <c r="A559" t="str">
        <f>H559&amp;COUNTIF($H$2:H559,H559)</f>
        <v>旋盤ライン19</v>
      </c>
      <c r="B559" t="str">
        <f>F559&amp;COUNTIF($F$2:F559,F559)</f>
        <v>川原鉄工所19</v>
      </c>
      <c r="C559" t="str">
        <v>退社</v>
      </c>
      <c r="D559">
        <v>230405</v>
      </c>
      <c r="E559">
        <v>0</v>
      </c>
      <c r="F559" t="str">
        <v>川原鉄工所</v>
      </c>
      <c r="G559" t="str">
        <v>製造部</v>
      </c>
      <c r="H559" t="str">
        <v>旋盤ライン</v>
      </c>
      <c r="I559" t="str">
        <v>ATミッション部品をはじめとする、各種自動車部品の製造</v>
      </c>
      <c r="J559" t="str">
        <v>NGUYEN NGOC HUNG</v>
      </c>
      <c r="K559" t="str">
        <v>グエン　ゴック　フン</v>
      </c>
      <c r="L559" t="str">
        <v>男</v>
      </c>
      <c r="M559" t="str">
        <v>ﾍﾞﾄﾅﾑ</v>
      </c>
      <c r="N559" s="31">
        <v>32613</v>
      </c>
      <c r="O559">
        <v>36</v>
      </c>
      <c r="P559">
        <v>1300</v>
      </c>
      <c r="Q559">
        <v>0</v>
      </c>
      <c r="R559">
        <v>1650</v>
      </c>
      <c r="S559">
        <v>0</v>
      </c>
      <c r="T559">
        <v>350</v>
      </c>
      <c r="U559">
        <v>320000</v>
      </c>
      <c r="V559">
        <v>16048</v>
      </c>
      <c r="W559" t="str">
        <v>0</v>
      </c>
      <c r="X559">
        <v>29280</v>
      </c>
      <c r="Y559" s="31">
        <v>46852</v>
      </c>
      <c r="Z559" t="str">
        <v/>
      </c>
      <c r="AA559" t="str">
        <v>技術・人文知識・国際業務</v>
      </c>
      <c r="AB559" t="str">
        <v>455-0046</v>
      </c>
      <c r="AC559" t="str">
        <v>愛知県名古屋市港区十一屋3丁目24-1</v>
      </c>
      <c r="AD559" t="str">
        <v>ｸﾞﾛｰﾘｨ十一屋304号</v>
      </c>
      <c r="AE559" s="31">
        <v>45034</v>
      </c>
      <c r="AF559" s="31">
        <v>45034</v>
      </c>
      <c r="AG559" s="31">
        <v>45861</v>
      </c>
      <c r="AH559" s="31">
        <v>0</v>
      </c>
      <c r="AI559" t="str">
        <v>23.5.1</v>
      </c>
      <c r="AJ559" t="str">
        <v>4/24林</v>
      </c>
      <c r="AK559">
        <v>0</v>
      </c>
      <c r="AL559">
        <v>45034</v>
      </c>
      <c r="AM559">
        <v>0</v>
      </c>
      <c r="AN559">
        <v>0</v>
      </c>
      <c r="AO559">
        <v>0</v>
      </c>
      <c r="AP559">
        <v>0</v>
      </c>
      <c r="AQ559">
        <v>0</v>
      </c>
      <c r="AR559">
        <v>0</v>
      </c>
    </row>
    <row r="560" spans="1:44">
      <c r="A560" t="str">
        <f>H560&amp;COUNTIF($H$2:H560,H560)</f>
        <v>旋盤ライン20</v>
      </c>
      <c r="B560" t="str">
        <f>F560&amp;COUNTIF($F$2:F560,F560)</f>
        <v>川原鉄工所20</v>
      </c>
      <c r="C560" t="str">
        <v>退社</v>
      </c>
      <c r="D560">
        <v>230406</v>
      </c>
      <c r="E560">
        <v>0</v>
      </c>
      <c r="F560" t="str">
        <v>川原鉄工所</v>
      </c>
      <c r="G560" t="str">
        <v>製造部</v>
      </c>
      <c r="H560" t="str">
        <v>旋盤ライン</v>
      </c>
      <c r="I560" t="str">
        <v>ATミッション部品をはじめとする、各種自動車部品の製造</v>
      </c>
      <c r="J560" t="str">
        <v>TRAN XUAN DAT</v>
      </c>
      <c r="K560" t="str">
        <v>チャン　スアン　ダット</v>
      </c>
      <c r="L560" t="str">
        <v>男</v>
      </c>
      <c r="M560" t="str">
        <v>ﾍﾞﾄﾅﾑ</v>
      </c>
      <c r="N560" s="31">
        <v>35515</v>
      </c>
      <c r="O560">
        <v>28</v>
      </c>
      <c r="P560">
        <v>1300</v>
      </c>
      <c r="Q560">
        <v>0</v>
      </c>
      <c r="R560">
        <v>1650</v>
      </c>
      <c r="S560">
        <v>0</v>
      </c>
      <c r="T560">
        <v>350</v>
      </c>
      <c r="U560">
        <v>180000</v>
      </c>
      <c r="V560">
        <v>9027</v>
      </c>
      <c r="W560" t="str">
        <v>0</v>
      </c>
      <c r="X560">
        <v>16470</v>
      </c>
      <c r="Y560" s="31">
        <v>45796</v>
      </c>
      <c r="Z560" t="str">
        <v/>
      </c>
      <c r="AA560" t="str">
        <v>技術・人文知識・国際業務</v>
      </c>
      <c r="AB560" t="str">
        <v>455-0831</v>
      </c>
      <c r="AC560" t="str">
        <v>愛知県名古屋市港区十一屋3丁目24-1</v>
      </c>
      <c r="AD560" t="str">
        <v>ｸﾞﾛｰﾘｨ十一屋304号</v>
      </c>
      <c r="AE560" s="31">
        <v>45042</v>
      </c>
      <c r="AF560" s="31">
        <v>45040</v>
      </c>
      <c r="AG560" s="31">
        <v>45391</v>
      </c>
      <c r="AH560" s="31">
        <v>0</v>
      </c>
      <c r="AI560" t="str">
        <v>23.5.1</v>
      </c>
      <c r="AJ560" t="str">
        <v>5/15林</v>
      </c>
      <c r="AK560">
        <v>0</v>
      </c>
      <c r="AL560">
        <v>45040</v>
      </c>
      <c r="AM560">
        <v>0</v>
      </c>
      <c r="AN560">
        <v>0</v>
      </c>
      <c r="AO560">
        <v>0</v>
      </c>
      <c r="AP560">
        <v>0</v>
      </c>
      <c r="AQ560">
        <v>0</v>
      </c>
      <c r="AR560">
        <v>0</v>
      </c>
    </row>
    <row r="561" spans="1:44">
      <c r="A561" t="str">
        <f>H561&amp;COUNTIF($H$2:H561,H561)</f>
        <v>等速ジョイント20</v>
      </c>
      <c r="B561" t="str">
        <f>F561&amp;COUNTIF($F$2:F561,F561)</f>
        <v>瑞陵精機33</v>
      </c>
      <c r="C561" t="str">
        <v>退社</v>
      </c>
      <c r="D561">
        <v>230407</v>
      </c>
      <c r="E561">
        <v>0</v>
      </c>
      <c r="F561" t="str">
        <v>瑞陵精機</v>
      </c>
      <c r="G561" t="str">
        <v>製造課</v>
      </c>
      <c r="H561" t="str">
        <v>等速ジョイント</v>
      </c>
      <c r="I561" t="str">
        <v>ＮＣ旋盤、マシニングセンター等の工作機械を使いオペレーターとして製造ラインで製品を加工</v>
      </c>
      <c r="J561" t="str">
        <v>NGUYEN DINH HUAN</v>
      </c>
      <c r="K561" t="str">
        <v>グエン　ディン　ファン</v>
      </c>
      <c r="L561" t="str">
        <v>男</v>
      </c>
      <c r="M561" t="str">
        <v>ﾍﾞﾄﾅﾑ</v>
      </c>
      <c r="N561" s="31">
        <v>30803</v>
      </c>
      <c r="O561">
        <v>41</v>
      </c>
      <c r="P561">
        <v>1300</v>
      </c>
      <c r="Q561">
        <v>0</v>
      </c>
      <c r="R561">
        <v>1700</v>
      </c>
      <c r="S561">
        <v>0</v>
      </c>
      <c r="T561">
        <v>400</v>
      </c>
      <c r="U561">
        <v>180000</v>
      </c>
      <c r="V561">
        <v>9027</v>
      </c>
      <c r="W561">
        <v>1431</v>
      </c>
      <c r="X561">
        <v>16470</v>
      </c>
      <c r="Y561" s="31">
        <v>45548</v>
      </c>
      <c r="Z561" t="str">
        <v/>
      </c>
      <c r="AA561" t="str">
        <v>技術・人文知識・国際業務</v>
      </c>
      <c r="AB561" t="str">
        <v>509-7201</v>
      </c>
      <c r="AC561" t="str">
        <v>岐阜県岐阜市大井町1120-303</v>
      </c>
      <c r="AD561" t="str">
        <v>各務ﾊｲﾂ2D</v>
      </c>
      <c r="AE561" s="31">
        <v>0</v>
      </c>
      <c r="AF561" s="31">
        <v>45040</v>
      </c>
      <c r="AG561" s="31">
        <v>45190</v>
      </c>
      <c r="AH561" s="31">
        <v>0</v>
      </c>
      <c r="AI561" t="str">
        <v>23.5.1</v>
      </c>
      <c r="AJ561" t="str">
        <v>5/15林</v>
      </c>
      <c r="AK561">
        <v>0</v>
      </c>
      <c r="AL561">
        <v>45040</v>
      </c>
      <c r="AM561">
        <v>0</v>
      </c>
      <c r="AN561">
        <v>0</v>
      </c>
      <c r="AO561">
        <v>0</v>
      </c>
      <c r="AP561">
        <v>0</v>
      </c>
      <c r="AQ561">
        <v>0</v>
      </c>
      <c r="AR561">
        <v>0</v>
      </c>
    </row>
    <row r="562" spans="1:44">
      <c r="A562" t="str">
        <f>H562&amp;COUNTIF($H$2:H562,H562)</f>
        <v>旋盤ライン21</v>
      </c>
      <c r="B562" t="str">
        <f>F562&amp;COUNTIF($F$2:F562,F562)</f>
        <v>川原鉄工所21</v>
      </c>
      <c r="C562" t="str">
        <v>退社</v>
      </c>
      <c r="D562">
        <v>230408</v>
      </c>
      <c r="E562">
        <v>0</v>
      </c>
      <c r="F562" t="str">
        <v>川原鉄工所</v>
      </c>
      <c r="G562" t="str">
        <v>製造部</v>
      </c>
      <c r="H562" t="str">
        <v>旋盤ライン</v>
      </c>
      <c r="I562" t="str">
        <v>ATミッション部品をはじめとする、各種自動車部品の製造</v>
      </c>
      <c r="J562" t="str">
        <v>TRAN NGOC HOAI</v>
      </c>
      <c r="K562" t="str">
        <v>チャン　ゴック　ホアイ</v>
      </c>
      <c r="L562" t="str">
        <v>男</v>
      </c>
      <c r="M562" t="str">
        <v>ﾍﾞﾄﾅﾑ</v>
      </c>
      <c r="N562" s="31">
        <v>34351</v>
      </c>
      <c r="O562">
        <v>31</v>
      </c>
      <c r="P562">
        <v>1300</v>
      </c>
      <c r="Q562">
        <v>0</v>
      </c>
      <c r="R562">
        <v>1650</v>
      </c>
      <c r="S562">
        <v>0</v>
      </c>
      <c r="T562">
        <v>350</v>
      </c>
      <c r="U562">
        <v>180000</v>
      </c>
      <c r="V562">
        <v>9027</v>
      </c>
      <c r="W562" t="str">
        <v>0</v>
      </c>
      <c r="X562">
        <v>16470</v>
      </c>
      <c r="Y562" s="31">
        <v>45459</v>
      </c>
      <c r="Z562" t="str">
        <v/>
      </c>
      <c r="AA562" t="str">
        <v>技術・人文知識・国際業務</v>
      </c>
      <c r="AB562" t="str">
        <v>455-0831</v>
      </c>
      <c r="AC562" t="str">
        <v>愛知県名古屋市港区十一屋3丁目24-1</v>
      </c>
      <c r="AD562" t="str">
        <v>ｸﾞﾛｰﾘｨ十一屋304号</v>
      </c>
      <c r="AE562" s="31">
        <v>45042</v>
      </c>
      <c r="AF562" s="31">
        <v>45043</v>
      </c>
      <c r="AG562" s="31">
        <v>45065</v>
      </c>
      <c r="AH562" s="31">
        <v>0</v>
      </c>
      <c r="AI562" t="str">
        <v>23.5.1</v>
      </c>
      <c r="AJ562" t="str">
        <v>5/15林</v>
      </c>
      <c r="AK562">
        <v>0</v>
      </c>
      <c r="AL562">
        <v>45043</v>
      </c>
      <c r="AM562">
        <v>0</v>
      </c>
      <c r="AN562">
        <v>0</v>
      </c>
      <c r="AO562">
        <v>0</v>
      </c>
      <c r="AP562">
        <v>0</v>
      </c>
      <c r="AQ562">
        <v>0</v>
      </c>
      <c r="AR562">
        <v>0</v>
      </c>
    </row>
    <row r="563" spans="1:44">
      <c r="A563" t="str">
        <f>H563&amp;COUNTIF($H$2:H563,H563)</f>
        <v>本社製造部製造3課4</v>
      </c>
      <c r="B563" t="str">
        <f>F563&amp;COUNTIF($F$2:F563,F563)</f>
        <v>ユアサ工機 新城4</v>
      </c>
      <c r="C563" t="str">
        <v>退社</v>
      </c>
      <c r="D563">
        <v>230501</v>
      </c>
      <c r="E563">
        <v>0</v>
      </c>
      <c r="F563" t="str">
        <v>ユアサ工機 新城</v>
      </c>
      <c r="G563" t="str">
        <v>本社製造部製造3課</v>
      </c>
      <c r="H563" t="str">
        <v>本社製造部製造3課</v>
      </c>
      <c r="I563" t="str">
        <v>クランクシャフトの旋盤、マシニング、研磨、仕上げ加工など</v>
      </c>
      <c r="J563" t="str">
        <v>LE DINH PHUC</v>
      </c>
      <c r="K563" t="str">
        <v>レ　ディン　フック</v>
      </c>
      <c r="L563" t="str">
        <v>男</v>
      </c>
      <c r="M563" t="str">
        <v>ﾍﾞﾄﾅﾑ</v>
      </c>
      <c r="N563" s="31">
        <v>34695</v>
      </c>
      <c r="O563">
        <v>30</v>
      </c>
      <c r="P563">
        <v>1350</v>
      </c>
      <c r="Q563">
        <v>0</v>
      </c>
      <c r="R563">
        <v>1800</v>
      </c>
      <c r="S563">
        <v>0</v>
      </c>
      <c r="T563">
        <v>450</v>
      </c>
      <c r="U563">
        <v>180000</v>
      </c>
      <c r="V563">
        <v>9027</v>
      </c>
      <c r="W563" t="str">
        <v>0</v>
      </c>
      <c r="X563">
        <v>16470</v>
      </c>
      <c r="Y563" s="31">
        <v>46119</v>
      </c>
      <c r="Z563" t="str">
        <v/>
      </c>
      <c r="AA563" t="str">
        <v>技術・人文知識・国際業務</v>
      </c>
      <c r="AB563" t="str">
        <v>441-1231</v>
      </c>
      <c r="AC563" t="str">
        <v>愛知県豊川市一宮町宮前125</v>
      </c>
      <c r="AD563" t="str">
        <v>ﾌｫﾝﾃｲﾝ宮前203</v>
      </c>
      <c r="AE563" s="31">
        <v>45055</v>
      </c>
      <c r="AF563" s="31">
        <v>45056</v>
      </c>
      <c r="AG563" s="31">
        <v>45285</v>
      </c>
      <c r="AH563" s="31">
        <v>0</v>
      </c>
      <c r="AI563" t="str">
        <v>23.6.1</v>
      </c>
      <c r="AJ563" t="str">
        <v>5/29林</v>
      </c>
      <c r="AK563">
        <v>0</v>
      </c>
      <c r="AL563">
        <v>45056</v>
      </c>
      <c r="AM563">
        <v>0</v>
      </c>
      <c r="AN563">
        <v>0</v>
      </c>
      <c r="AO563">
        <v>0</v>
      </c>
      <c r="AP563">
        <v>0</v>
      </c>
      <c r="AQ563">
        <v>0</v>
      </c>
      <c r="AR563">
        <v>0</v>
      </c>
    </row>
    <row r="564" spans="1:44">
      <c r="A564" t="str">
        <f>H564&amp;COUNTIF($H$2:H564,H564)</f>
        <v>手動旋削12</v>
      </c>
      <c r="B564" t="str">
        <f>F564&amp;COUNTIF($F$2:F564,F564)</f>
        <v>高雄工業 静岡48</v>
      </c>
      <c r="C564" t="str">
        <v>退社</v>
      </c>
      <c r="D564">
        <v>230502</v>
      </c>
      <c r="E564">
        <v>242063</v>
      </c>
      <c r="F564" t="str">
        <v>高雄工業 静岡</v>
      </c>
      <c r="G564" t="str">
        <v>高雄工業株式会社 静岡事業所第一工場製作課</v>
      </c>
      <c r="H564" t="str">
        <v>手動旋削</v>
      </c>
      <c r="I564" t="str">
        <v>CVJ部品短軸品の施削加工、NCプログラム修正</v>
      </c>
      <c r="J564" t="str">
        <v>DO TUAN ANH</v>
      </c>
      <c r="K564" t="str">
        <v>ドー　トゥアン　アイン</v>
      </c>
      <c r="L564" t="str">
        <v>男</v>
      </c>
      <c r="M564" t="str">
        <v>ﾍﾞﾄﾅﾑ</v>
      </c>
      <c r="N564" s="31">
        <v>36559</v>
      </c>
      <c r="O564">
        <v>25</v>
      </c>
      <c r="P564">
        <v>1200</v>
      </c>
      <c r="Q564">
        <v>0</v>
      </c>
      <c r="R564">
        <v>1650</v>
      </c>
      <c r="S564">
        <v>0</v>
      </c>
      <c r="T564">
        <v>450</v>
      </c>
      <c r="U564">
        <v>180000</v>
      </c>
      <c r="V564">
        <v>9027</v>
      </c>
      <c r="W564" t="str">
        <v>0</v>
      </c>
      <c r="X564">
        <v>16470</v>
      </c>
      <c r="Y564" s="31">
        <v>45422</v>
      </c>
      <c r="Z564" t="str">
        <v/>
      </c>
      <c r="AA564" t="str">
        <v>技術・人文知識・国際業務</v>
      </c>
      <c r="AB564" t="str">
        <v>437-0015</v>
      </c>
      <c r="AC564" t="str">
        <v>静岡県袋井市旭町1-1-17</v>
      </c>
      <c r="AD564" t="str">
        <v>ｱｻﾋﾒｲﾄ202</v>
      </c>
      <c r="AE564" s="31">
        <v>45056</v>
      </c>
      <c r="AF564" s="31">
        <v>45061</v>
      </c>
      <c r="AG564" s="31">
        <v>45229</v>
      </c>
      <c r="AH564" s="31">
        <v>0</v>
      </c>
      <c r="AI564" t="str">
        <v>23.6.1</v>
      </c>
      <c r="AJ564" t="str">
        <v>5/17林</v>
      </c>
      <c r="AK564">
        <v>0</v>
      </c>
      <c r="AL564">
        <v>45061</v>
      </c>
      <c r="AM564">
        <v>0</v>
      </c>
      <c r="AN564">
        <v>0</v>
      </c>
      <c r="AO564">
        <v>0</v>
      </c>
      <c r="AP564">
        <v>0</v>
      </c>
      <c r="AQ564">
        <v>0</v>
      </c>
      <c r="AR564">
        <v>0</v>
      </c>
    </row>
    <row r="565" spans="1:44">
      <c r="A565" t="str">
        <f>H565&amp;COUNTIF($H$2:H565,H565)</f>
        <v>1次旋係35</v>
      </c>
      <c r="B565" t="str">
        <f>F565&amp;COUNTIF($F$2:F565,F565)</f>
        <v>高雄工業 岡山105</v>
      </c>
      <c r="C565" t="str">
        <v>退社</v>
      </c>
      <c r="D565">
        <v>230506</v>
      </c>
      <c r="E565">
        <v>232105</v>
      </c>
      <c r="F565" t="str">
        <v>高雄工業 岡山</v>
      </c>
      <c r="G565" t="str">
        <v>高雄工業株式会社 岡山事業所HUB工場製作1課</v>
      </c>
      <c r="H565" t="str">
        <v>1次旋係</v>
      </c>
      <c r="I565" t="str">
        <v>ハブ加工 自動機の操作、ＮＣプログラム修正</v>
      </c>
      <c r="J565" t="str">
        <v>PHUNG QUANG DUONG</v>
      </c>
      <c r="K565" t="str">
        <v>フン　クアン　ズオン</v>
      </c>
      <c r="L565" t="str">
        <v>男</v>
      </c>
      <c r="M565" t="str">
        <v>ﾍﾞﾄﾅﾑ</v>
      </c>
      <c r="N565" s="31">
        <v>37030</v>
      </c>
      <c r="O565">
        <v>24</v>
      </c>
      <c r="P565">
        <v>1310</v>
      </c>
      <c r="Q565">
        <v>0</v>
      </c>
      <c r="R565">
        <v>1690</v>
      </c>
      <c r="S565">
        <v>0</v>
      </c>
      <c r="T565">
        <v>380</v>
      </c>
      <c r="U565">
        <v>280000</v>
      </c>
      <c r="V565">
        <v>14042</v>
      </c>
      <c r="W565" t="str">
        <v>0</v>
      </c>
      <c r="X565">
        <v>25620</v>
      </c>
      <c r="Y565" s="31">
        <v>46527</v>
      </c>
      <c r="Z565" t="str">
        <v/>
      </c>
      <c r="AA565" t="str">
        <v>技術・人文知識・国際業務</v>
      </c>
      <c r="AB565" t="str">
        <v>709-2107</v>
      </c>
      <c r="AC565" t="str">
        <v>岡山県岡山市北区御津矢原294-1</v>
      </c>
      <c r="AD565" t="str">
        <v>成広矢原ｺｰﾎﾟⅢ106</v>
      </c>
      <c r="AE565" s="31">
        <v>45056</v>
      </c>
      <c r="AF565" s="31">
        <v>45061</v>
      </c>
      <c r="AG565" s="31">
        <v>45705</v>
      </c>
      <c r="AH565" s="31">
        <v>0</v>
      </c>
      <c r="AI565" t="str">
        <v>23.6.1</v>
      </c>
      <c r="AJ565" t="str">
        <v>5/17林</v>
      </c>
      <c r="AK565">
        <v>0</v>
      </c>
      <c r="AL565">
        <v>45061</v>
      </c>
      <c r="AM565">
        <v>0</v>
      </c>
      <c r="AN565">
        <v>0</v>
      </c>
      <c r="AO565">
        <v>0</v>
      </c>
      <c r="AP565">
        <v>0</v>
      </c>
      <c r="AQ565">
        <v>0</v>
      </c>
      <c r="AR565">
        <v>0</v>
      </c>
    </row>
    <row r="566" spans="1:44">
      <c r="A566" t="str">
        <f>H566&amp;COUNTIF($H$2:H566,H566)</f>
        <v>H_2次旋14</v>
      </c>
      <c r="B566" t="str">
        <f>F566&amp;COUNTIF($F$2:F566,F566)</f>
        <v>高雄工業 海南第一41</v>
      </c>
      <c r="C566" t="str">
        <v>在職中</v>
      </c>
      <c r="D566">
        <v>250107</v>
      </c>
      <c r="E566">
        <v>222082</v>
      </c>
      <c r="F566" t="str">
        <v>高雄工業 海南第一</v>
      </c>
      <c r="G566" t="str">
        <v>高雄工業株式会社 愛知事業所海南第一工場製作1課</v>
      </c>
      <c r="H566" t="str">
        <v>H_2次旋</v>
      </c>
      <c r="I566" t="str">
        <v>ハブ加工品の2次施削、手動機械オペレーターNCプログラム修正</v>
      </c>
      <c r="J566" t="str">
        <v>MAI THANH TUONG DUY</v>
      </c>
      <c r="K566" t="str">
        <v>マイ　タイン　チュオン　ズイ</v>
      </c>
      <c r="L566" t="str">
        <v>男</v>
      </c>
      <c r="M566" t="str">
        <v>ﾍﾞﾄﾅﾑ</v>
      </c>
      <c r="N566" s="31">
        <v>37475</v>
      </c>
      <c r="O566">
        <v>23</v>
      </c>
      <c r="P566">
        <v>1260</v>
      </c>
      <c r="Q566">
        <v>0</v>
      </c>
      <c r="R566">
        <v>1650</v>
      </c>
      <c r="S566">
        <v>0</v>
      </c>
      <c r="T566">
        <v>390</v>
      </c>
      <c r="U566">
        <v>240000</v>
      </c>
      <c r="V566">
        <v>12036</v>
      </c>
      <c r="W566" t="str">
        <v>0</v>
      </c>
      <c r="X566">
        <v>21960</v>
      </c>
      <c r="Y566" s="31">
        <v>46762</v>
      </c>
      <c r="Z566" t="str">
        <v/>
      </c>
      <c r="AA566" t="str">
        <v>技術・人文知識・国際業務</v>
      </c>
      <c r="AB566" t="str">
        <v>498-0026</v>
      </c>
      <c r="AC566" t="str">
        <v>愛知県弥富市鯏浦町西前新田119-1</v>
      </c>
      <c r="AD566" t="str">
        <v>ﾗｲﾌｺｱ119　306号</v>
      </c>
      <c r="AE566" s="31">
        <v>0</v>
      </c>
      <c r="AF566" s="31">
        <v>45673</v>
      </c>
      <c r="AG566" s="31">
        <v>0</v>
      </c>
      <c r="AH566" s="31">
        <v>0</v>
      </c>
      <c r="AI566">
        <v>45673</v>
      </c>
      <c r="AJ566" t="str">
        <v>2/20林</v>
      </c>
      <c r="AK566">
        <v>0</v>
      </c>
      <c r="AL566">
        <v>45673</v>
      </c>
      <c r="AM566">
        <v>0</v>
      </c>
      <c r="AN566">
        <v>0</v>
      </c>
      <c r="AO566">
        <v>0</v>
      </c>
      <c r="AP566">
        <v>0</v>
      </c>
      <c r="AQ566" t="str">
        <v>JLPT-N4</v>
      </c>
      <c r="AR566">
        <v>0</v>
      </c>
    </row>
    <row r="567" spans="1:44">
      <c r="A567" t="str">
        <f>H567&amp;COUNTIF($H$2:H567,H567)</f>
        <v>トラニオン2</v>
      </c>
      <c r="B567" t="str">
        <f>F567&amp;COUNTIF($F$2:F567,F567)</f>
        <v>高雄工業 静岡49</v>
      </c>
      <c r="C567" t="str">
        <v>退社</v>
      </c>
      <c r="D567">
        <v>230504</v>
      </c>
      <c r="E567">
        <v>242064</v>
      </c>
      <c r="F567" t="str">
        <v>高雄工業 静岡</v>
      </c>
      <c r="G567" t="str">
        <v>高雄工業株式会社 静岡事業所第二工場製作課</v>
      </c>
      <c r="H567" t="str">
        <v>トラニオン</v>
      </c>
      <c r="I567" t="str">
        <v>産業機械部品の研磨加工、NCプログラム修正</v>
      </c>
      <c r="J567" t="str">
        <v>CHU DUC NGHI</v>
      </c>
      <c r="K567" t="str">
        <v>チュ　ドゥック　ギー</v>
      </c>
      <c r="L567" t="str">
        <v>男</v>
      </c>
      <c r="M567" t="str">
        <v>ﾍﾞﾄﾅﾑ</v>
      </c>
      <c r="N567" s="31">
        <v>36849</v>
      </c>
      <c r="O567">
        <v>25</v>
      </c>
      <c r="P567">
        <v>1310</v>
      </c>
      <c r="Q567">
        <v>0</v>
      </c>
      <c r="R567">
        <v>1680</v>
      </c>
      <c r="S567">
        <v>0</v>
      </c>
      <c r="T567">
        <v>370</v>
      </c>
      <c r="U567">
        <v>300000</v>
      </c>
      <c r="V567">
        <v>15045</v>
      </c>
      <c r="W567" t="str">
        <v>0</v>
      </c>
      <c r="X567">
        <v>27450</v>
      </c>
      <c r="Y567" s="31">
        <v>46184</v>
      </c>
      <c r="Z567" t="str">
        <v/>
      </c>
      <c r="AA567" t="str">
        <v>技術・人文知識・国際業務</v>
      </c>
      <c r="AB567" t="str">
        <v>437-0061</v>
      </c>
      <c r="AC567" t="str">
        <v>静岡県袋井市久能1889-2</v>
      </c>
      <c r="AD567" t="str">
        <v>ﾗﾌｨｰﾈ久能402号</v>
      </c>
      <c r="AE567" s="31">
        <v>45056</v>
      </c>
      <c r="AF567" s="31">
        <v>45061</v>
      </c>
      <c r="AG567" s="31">
        <v>45915</v>
      </c>
      <c r="AH567" s="31">
        <v>0</v>
      </c>
      <c r="AI567" t="str">
        <v>23.6.1</v>
      </c>
      <c r="AJ567" t="str">
        <v>5/17林</v>
      </c>
      <c r="AK567">
        <v>0</v>
      </c>
      <c r="AL567">
        <v>45061</v>
      </c>
      <c r="AM567">
        <v>0</v>
      </c>
      <c r="AN567">
        <v>0</v>
      </c>
      <c r="AO567">
        <v>0</v>
      </c>
      <c r="AP567">
        <v>0</v>
      </c>
      <c r="AQ567" t="str">
        <v>JLPT-N4</v>
      </c>
      <c r="AR567">
        <v>0</v>
      </c>
    </row>
    <row r="568" spans="1:44">
      <c r="A568" t="str">
        <f>H568&amp;COUNTIF($H$2:H568,H568)</f>
        <v>H_2次旋15</v>
      </c>
      <c r="B568" t="str">
        <f>F568&amp;COUNTIF($F$2:F568,F568)</f>
        <v>高雄工業 海南第一42</v>
      </c>
      <c r="C568" t="str">
        <v>在職中</v>
      </c>
      <c r="D568">
        <v>250404</v>
      </c>
      <c r="E568">
        <v>222087</v>
      </c>
      <c r="F568" t="str">
        <v>高雄工業 海南第一</v>
      </c>
      <c r="G568" t="str">
        <v>高雄工業株式会社 愛知事業所海南第一工場製作1課</v>
      </c>
      <c r="H568" t="str">
        <v>H_2次旋</v>
      </c>
      <c r="I568" t="str">
        <v>ハブ加工品の2次施削、手動機械オペレーターNCプログラム修正</v>
      </c>
      <c r="J568" t="str">
        <v>NGUYEN KHAC TAN</v>
      </c>
      <c r="K568" t="str">
        <v>グエン　カック　タン</v>
      </c>
      <c r="L568" t="str">
        <v>男</v>
      </c>
      <c r="M568" t="str">
        <v>ﾍﾞﾄﾅﾑ</v>
      </c>
      <c r="N568" s="31">
        <v>34535</v>
      </c>
      <c r="O568">
        <v>31</v>
      </c>
      <c r="P568">
        <v>1200</v>
      </c>
      <c r="Q568">
        <v>0</v>
      </c>
      <c r="R568">
        <v>1650</v>
      </c>
      <c r="S568">
        <v>0</v>
      </c>
      <c r="T568">
        <v>450</v>
      </c>
      <c r="U568">
        <v>200000</v>
      </c>
      <c r="V568">
        <v>10030</v>
      </c>
      <c r="W568" t="str">
        <v>0</v>
      </c>
      <c r="X568">
        <v>18300</v>
      </c>
      <c r="Y568" s="31">
        <v>46837</v>
      </c>
      <c r="Z568" t="str">
        <v/>
      </c>
      <c r="AA568" t="str">
        <v>技術・人文知識・国際業務</v>
      </c>
      <c r="AB568" t="str">
        <v>498-0017</v>
      </c>
      <c r="AC568" t="str">
        <v>愛知県弥富市前ヶ須町西勘助207</v>
      </c>
      <c r="AD568" t="str">
        <v>CASA弥冨A203</v>
      </c>
      <c r="AE568" s="31">
        <v>0</v>
      </c>
      <c r="AF568" s="31">
        <v>45748</v>
      </c>
      <c r="AG568" s="31">
        <v>0</v>
      </c>
      <c r="AH568" s="31">
        <v>0</v>
      </c>
      <c r="AI568">
        <v>45748</v>
      </c>
      <c r="AJ568" t="str">
        <v>4/18林</v>
      </c>
      <c r="AK568">
        <v>0</v>
      </c>
      <c r="AL568">
        <v>45748</v>
      </c>
      <c r="AM568">
        <v>0</v>
      </c>
      <c r="AN568">
        <v>0</v>
      </c>
      <c r="AO568">
        <v>0</v>
      </c>
      <c r="AP568">
        <v>0</v>
      </c>
      <c r="AQ568">
        <v>0</v>
      </c>
      <c r="AR568">
        <v>0</v>
      </c>
    </row>
    <row r="569" spans="1:44">
      <c r="A569" t="str">
        <f>H569&amp;COUNTIF($H$2:H569,H569)</f>
        <v>乙川工場製造3課6工区9班8</v>
      </c>
      <c r="B569" t="str">
        <f>F569&amp;COUNTIF($F$2:F569,F569)</f>
        <v>コーリツ 乙川17</v>
      </c>
      <c r="C569" t="str">
        <v>退社</v>
      </c>
      <c r="D569">
        <v>210107</v>
      </c>
      <c r="E569">
        <v>8210056</v>
      </c>
      <c r="F569" t="str">
        <v>コーリツ 乙川</v>
      </c>
      <c r="G569" t="str">
        <v>乙川工場製造3課6工区9班</v>
      </c>
      <c r="H569" t="str">
        <v>乙川工場製造3課6工区9班</v>
      </c>
      <c r="I569">
        <v>0</v>
      </c>
      <c r="J569" t="str">
        <v>PHAM VAN DUNG</v>
      </c>
      <c r="K569" t="str">
        <v>ファム　ヴァン　ズン</v>
      </c>
      <c r="L569" t="str">
        <v>男</v>
      </c>
      <c r="M569" t="str">
        <v>ﾍﾞﾄﾅﾑ</v>
      </c>
      <c r="N569" s="31">
        <v>33227</v>
      </c>
      <c r="O569">
        <v>34</v>
      </c>
      <c r="P569">
        <v>1430</v>
      </c>
      <c r="Q569">
        <v>0</v>
      </c>
      <c r="R569">
        <v>2020</v>
      </c>
      <c r="S569">
        <v>0</v>
      </c>
      <c r="T569">
        <v>590</v>
      </c>
      <c r="U569">
        <v>410000</v>
      </c>
      <c r="V569">
        <v>20561</v>
      </c>
      <c r="W569" t="str">
        <v>0</v>
      </c>
      <c r="X569">
        <v>37515</v>
      </c>
      <c r="Y569" s="31">
        <v>46545</v>
      </c>
      <c r="Z569" t="str">
        <v/>
      </c>
      <c r="AA569" t="str">
        <v>技術・人文知識・国際業務</v>
      </c>
      <c r="AB569" t="str">
        <v>475-0061</v>
      </c>
      <c r="AC569" t="str">
        <v>愛知県半田市一ノ草町201-11</v>
      </c>
      <c r="AD569" t="str">
        <v>ﾒｿﾞﾝﾊﾟｰｸｱﾍﾞﾆｭｰ101</v>
      </c>
      <c r="AE569" s="31">
        <v>45073</v>
      </c>
      <c r="AF569" s="31">
        <v>45064</v>
      </c>
      <c r="AG569" s="31">
        <v>45699</v>
      </c>
      <c r="AH569" s="31">
        <v>0</v>
      </c>
      <c r="AI569" t="str">
        <v>23.6.1</v>
      </c>
      <c r="AJ569" t="str">
        <v>5/29林</v>
      </c>
      <c r="AK569">
        <v>0</v>
      </c>
      <c r="AL569">
        <v>45064</v>
      </c>
      <c r="AM569" t="str">
        <v>原付</v>
      </c>
      <c r="AN569">
        <v>45677</v>
      </c>
      <c r="AO569" t="str">
        <v>原付</v>
      </c>
      <c r="AP569">
        <v>45795</v>
      </c>
      <c r="AQ569">
        <v>0</v>
      </c>
      <c r="AR569">
        <v>0</v>
      </c>
    </row>
    <row r="570" spans="1:44">
      <c r="A570" t="str">
        <f>H570&amp;COUNTIF($H$2:H570,H570)</f>
        <v>等速ジョイント21</v>
      </c>
      <c r="B570" t="str">
        <f>F570&amp;COUNTIF($F$2:F570,F570)</f>
        <v>瑞陵精機34</v>
      </c>
      <c r="C570" t="str">
        <v>在職中</v>
      </c>
      <c r="D570">
        <v>230507</v>
      </c>
      <c r="E570">
        <v>0</v>
      </c>
      <c r="F570" t="str">
        <v>瑞陵精機</v>
      </c>
      <c r="G570" t="str">
        <v>製造課</v>
      </c>
      <c r="H570" t="str">
        <v>等速ジョイント</v>
      </c>
      <c r="I570" t="str">
        <v>ＮＣ旋盤、マシニングセンター等の工作機械を使いオペレーターとして製造ラインで製品を加工</v>
      </c>
      <c r="J570" t="str">
        <v>DAU DUC NGUYEN</v>
      </c>
      <c r="K570" t="str">
        <v>ダウ　ドゥック　グエン</v>
      </c>
      <c r="L570" t="str">
        <v>男</v>
      </c>
      <c r="M570" t="str">
        <v>ﾍﾞﾄﾅﾑ</v>
      </c>
      <c r="N570" s="31">
        <v>36566</v>
      </c>
      <c r="O570">
        <v>25</v>
      </c>
      <c r="P570">
        <v>1350</v>
      </c>
      <c r="Q570">
        <v>0</v>
      </c>
      <c r="R570">
        <v>1750</v>
      </c>
      <c r="S570">
        <v>0</v>
      </c>
      <c r="T570">
        <v>400</v>
      </c>
      <c r="U570">
        <v>300000</v>
      </c>
      <c r="V570">
        <v>15045</v>
      </c>
      <c r="W570" t="str">
        <v>0</v>
      </c>
      <c r="X570">
        <v>27450</v>
      </c>
      <c r="Y570" s="31">
        <v>46931</v>
      </c>
      <c r="Z570" t="str">
        <v/>
      </c>
      <c r="AA570" t="str">
        <v>技術・人文知識・国際業務</v>
      </c>
      <c r="AB570" t="str">
        <v>509-7201</v>
      </c>
      <c r="AC570" t="str">
        <v>岐阜県恵那市大井町1120-303</v>
      </c>
      <c r="AD570" t="str">
        <v>各務ﾊｲﾂ4I</v>
      </c>
      <c r="AE570" s="31">
        <v>45063</v>
      </c>
      <c r="AF570" s="31">
        <v>45068</v>
      </c>
      <c r="AG570" s="31">
        <v>0</v>
      </c>
      <c r="AH570" s="31">
        <v>0</v>
      </c>
      <c r="AI570" t="str">
        <v>23.5.22</v>
      </c>
      <c r="AJ570" t="str">
        <v>6/12林</v>
      </c>
      <c r="AK570">
        <v>0</v>
      </c>
      <c r="AL570">
        <v>45068</v>
      </c>
      <c r="AM570">
        <v>0</v>
      </c>
      <c r="AN570">
        <v>0</v>
      </c>
      <c r="AO570">
        <v>0</v>
      </c>
      <c r="AP570">
        <v>0</v>
      </c>
      <c r="AQ570">
        <v>0</v>
      </c>
      <c r="AR570">
        <v>0</v>
      </c>
    </row>
    <row r="571" spans="1:44">
      <c r="A571" t="str">
        <f>H571&amp;COUNTIF($H$2:H571,H571)</f>
        <v>等速ジョイント22</v>
      </c>
      <c r="B571" t="str">
        <f>F571&amp;COUNTIF($F$2:F571,F571)</f>
        <v>瑞陵精機35</v>
      </c>
      <c r="C571" t="str">
        <v>在職中</v>
      </c>
      <c r="D571">
        <v>230508</v>
      </c>
      <c r="E571">
        <v>0</v>
      </c>
      <c r="F571" t="str">
        <v>瑞陵精機</v>
      </c>
      <c r="G571" t="str">
        <v>製造課</v>
      </c>
      <c r="H571" t="str">
        <v>等速ジョイント</v>
      </c>
      <c r="I571" t="str">
        <v>ＮＣ旋盤、マシニングセンター等の工作機械を使いオペレーターとして製造ラインで製品を加工</v>
      </c>
      <c r="J571" t="str">
        <v>NGUYEN XUAN QUYET</v>
      </c>
      <c r="K571" t="str">
        <v>グエン　スアン　クエット</v>
      </c>
      <c r="L571" t="str">
        <v>男</v>
      </c>
      <c r="M571" t="str">
        <v>ﾍﾞﾄﾅﾑ</v>
      </c>
      <c r="N571" s="31">
        <v>37185</v>
      </c>
      <c r="O571">
        <v>24</v>
      </c>
      <c r="P571">
        <v>1310</v>
      </c>
      <c r="Q571">
        <v>0</v>
      </c>
      <c r="R571">
        <v>1700</v>
      </c>
      <c r="S571">
        <v>0</v>
      </c>
      <c r="T571">
        <v>390</v>
      </c>
      <c r="U571">
        <v>300000</v>
      </c>
      <c r="V571">
        <v>15045</v>
      </c>
      <c r="W571" t="str">
        <v>0</v>
      </c>
      <c r="X571">
        <v>27450</v>
      </c>
      <c r="Y571" s="31">
        <v>46931</v>
      </c>
      <c r="Z571" t="str">
        <v/>
      </c>
      <c r="AA571" t="str">
        <v>技術・人文知識・国際業務</v>
      </c>
      <c r="AB571" t="str">
        <v>509-7201</v>
      </c>
      <c r="AC571" t="str">
        <v>岐阜県恵那市大井町1120-303</v>
      </c>
      <c r="AD571" t="str">
        <v>各務ﾊｲﾂ4I</v>
      </c>
      <c r="AE571" s="31">
        <v>45063</v>
      </c>
      <c r="AF571" s="31">
        <v>45068</v>
      </c>
      <c r="AG571" s="31">
        <v>0</v>
      </c>
      <c r="AH571" s="31">
        <v>0</v>
      </c>
      <c r="AI571" t="str">
        <v>23.5.22</v>
      </c>
      <c r="AJ571" t="str">
        <v>6/12林</v>
      </c>
      <c r="AK571">
        <v>0</v>
      </c>
      <c r="AL571">
        <v>45068</v>
      </c>
      <c r="AM571">
        <v>0</v>
      </c>
      <c r="AN571">
        <v>0</v>
      </c>
      <c r="AO571">
        <v>0</v>
      </c>
      <c r="AP571">
        <v>0</v>
      </c>
      <c r="AQ571">
        <v>0</v>
      </c>
      <c r="AR571">
        <v>0</v>
      </c>
    </row>
    <row r="572" spans="1:44">
      <c r="A572" t="str">
        <f>H572&amp;COUNTIF($H$2:H572,H572)</f>
        <v>等速ジョイント23</v>
      </c>
      <c r="B572" t="str">
        <f>F572&amp;COUNTIF($F$2:F572,F572)</f>
        <v>瑞陵精機36</v>
      </c>
      <c r="C572" t="str">
        <v>退社</v>
      </c>
      <c r="D572">
        <v>230509</v>
      </c>
      <c r="E572">
        <v>0</v>
      </c>
      <c r="F572" t="str">
        <v>瑞陵精機</v>
      </c>
      <c r="G572" t="str">
        <v>製造課</v>
      </c>
      <c r="H572" t="str">
        <v>等速ジョイント</v>
      </c>
      <c r="I572" t="str">
        <v>ＮＣ旋盤、マシニングセンター等の工作機械を使いオペレーターとして製造ラインで製品を加工</v>
      </c>
      <c r="J572" t="str">
        <v>LE VAN NAM</v>
      </c>
      <c r="K572" t="str">
        <v>レー　ヴァン　ナム</v>
      </c>
      <c r="L572" t="str">
        <v>男</v>
      </c>
      <c r="M572" t="str">
        <v>ﾍﾞﾄﾅﾑ</v>
      </c>
      <c r="N572" s="31">
        <v>33983</v>
      </c>
      <c r="O572">
        <v>32</v>
      </c>
      <c r="P572">
        <v>1250</v>
      </c>
      <c r="Q572">
        <v>0</v>
      </c>
      <c r="R572">
        <v>1700</v>
      </c>
      <c r="S572">
        <v>0</v>
      </c>
      <c r="T572">
        <v>450</v>
      </c>
      <c r="U572">
        <v>280000</v>
      </c>
      <c r="V572">
        <v>14042</v>
      </c>
      <c r="W572" t="str">
        <v>0</v>
      </c>
      <c r="X572">
        <v>25620</v>
      </c>
      <c r="Y572" s="31">
        <v>45835</v>
      </c>
      <c r="Z572" t="str">
        <v/>
      </c>
      <c r="AA572" t="str">
        <v>技術・人文知識・国際業務</v>
      </c>
      <c r="AB572" t="str">
        <v>509-7201</v>
      </c>
      <c r="AC572" t="str">
        <v>岐阜県恵那市大井町1120-303</v>
      </c>
      <c r="AD572" t="str">
        <v>各務ﾊｲﾂ3F</v>
      </c>
      <c r="AE572" s="31">
        <v>45077</v>
      </c>
      <c r="AF572" s="31">
        <v>45068</v>
      </c>
      <c r="AG572" s="31">
        <v>45568</v>
      </c>
      <c r="AH572" s="31">
        <v>0</v>
      </c>
      <c r="AI572" t="str">
        <v>23.5.22</v>
      </c>
      <c r="AJ572" t="str">
        <v>6/12林</v>
      </c>
      <c r="AK572">
        <v>0</v>
      </c>
      <c r="AL572">
        <v>45068</v>
      </c>
      <c r="AM572">
        <v>0</v>
      </c>
      <c r="AN572">
        <v>0</v>
      </c>
      <c r="AO572">
        <v>0</v>
      </c>
      <c r="AP572">
        <v>0</v>
      </c>
      <c r="AQ572">
        <v>0</v>
      </c>
      <c r="AR572">
        <v>0</v>
      </c>
    </row>
    <row r="573" spans="1:44">
      <c r="A573" t="str">
        <f>H573&amp;COUNTIF($H$2:H573,H573)</f>
        <v>等速ジョイント24</v>
      </c>
      <c r="B573" t="str">
        <f>F573&amp;COUNTIF($F$2:F573,F573)</f>
        <v>瑞陵精機37</v>
      </c>
      <c r="C573" t="str">
        <v>退社</v>
      </c>
      <c r="D573">
        <v>230510</v>
      </c>
      <c r="E573">
        <v>0</v>
      </c>
      <c r="F573" t="str">
        <v>瑞陵精機</v>
      </c>
      <c r="G573" t="str">
        <v>製造課</v>
      </c>
      <c r="H573" t="str">
        <v>等速ジョイント</v>
      </c>
      <c r="I573" t="str">
        <v>ＮＣ旋盤、マシニングセンター等の工作機械を使いオペレーターとして製造ラインで製品を加工</v>
      </c>
      <c r="J573" t="str">
        <v>PHAM VAN CANH</v>
      </c>
      <c r="K573" t="str">
        <v>ファム　ヴァン　カン</v>
      </c>
      <c r="L573" t="str">
        <v>男</v>
      </c>
      <c r="M573" t="str">
        <v>ﾍﾞﾄﾅﾑ</v>
      </c>
      <c r="N573" s="31">
        <v>35086</v>
      </c>
      <c r="O573">
        <v>29</v>
      </c>
      <c r="P573">
        <v>1250</v>
      </c>
      <c r="Q573">
        <v>0</v>
      </c>
      <c r="R573">
        <v>1700</v>
      </c>
      <c r="S573">
        <v>0</v>
      </c>
      <c r="T573">
        <v>450</v>
      </c>
      <c r="U573">
        <v>320000</v>
      </c>
      <c r="V573">
        <v>16048</v>
      </c>
      <c r="W573" t="str">
        <v>0</v>
      </c>
      <c r="X573">
        <v>29280</v>
      </c>
      <c r="Y573" s="31">
        <v>45835</v>
      </c>
      <c r="Z573" t="str">
        <v/>
      </c>
      <c r="AA573" t="str">
        <v>技術・人文知識・国際業務</v>
      </c>
      <c r="AB573" t="str">
        <v>509-7201</v>
      </c>
      <c r="AC573" t="str">
        <v>岐阜県恵那市大井町1120-303</v>
      </c>
      <c r="AD573" t="str">
        <v>各務ﾊｲﾂ3F</v>
      </c>
      <c r="AE573" s="31">
        <v>45077</v>
      </c>
      <c r="AF573" s="31">
        <v>45068</v>
      </c>
      <c r="AG573" s="31">
        <v>45531</v>
      </c>
      <c r="AH573" s="31">
        <v>0</v>
      </c>
      <c r="AI573" t="str">
        <v>23.5.22</v>
      </c>
      <c r="AJ573" t="str">
        <v>6/12林</v>
      </c>
      <c r="AK573">
        <v>0</v>
      </c>
      <c r="AL573">
        <v>45068</v>
      </c>
      <c r="AM573">
        <v>0</v>
      </c>
      <c r="AN573">
        <v>0</v>
      </c>
      <c r="AO573">
        <v>0</v>
      </c>
      <c r="AP573">
        <v>0</v>
      </c>
      <c r="AQ573">
        <v>0</v>
      </c>
      <c r="AR573">
        <v>0</v>
      </c>
    </row>
    <row r="574" spans="1:44">
      <c r="A574" t="str">
        <f>H574&amp;COUNTIF($H$2:H574,H574)</f>
        <v>乙川工場製造3課5工区7班4</v>
      </c>
      <c r="B574" t="str">
        <f>F574&amp;COUNTIF($F$2:F574,F574)</f>
        <v>コーリツ 乙川18</v>
      </c>
      <c r="C574" t="str">
        <v>退社</v>
      </c>
      <c r="D574">
        <v>230601</v>
      </c>
      <c r="E574">
        <v>8210057</v>
      </c>
      <c r="F574" t="str">
        <v>コーリツ 乙川</v>
      </c>
      <c r="G574" t="str">
        <v>乙川工場製造3課5工区7班</v>
      </c>
      <c r="H574" t="str">
        <v>乙川工場製造3課5工区7班</v>
      </c>
      <c r="I574">
        <v>0</v>
      </c>
      <c r="J574" t="str">
        <v>BUI XUAN DUONG</v>
      </c>
      <c r="K574" t="str">
        <v>ブイ　スアン　ズオン</v>
      </c>
      <c r="L574" t="str">
        <v>男</v>
      </c>
      <c r="M574" t="str">
        <v>ﾍﾞﾄﾅﾑ</v>
      </c>
      <c r="N574" s="31">
        <v>30966</v>
      </c>
      <c r="O574">
        <v>41</v>
      </c>
      <c r="P574">
        <v>1430</v>
      </c>
      <c r="Q574">
        <v>0</v>
      </c>
      <c r="R574">
        <v>2020</v>
      </c>
      <c r="S574">
        <v>0</v>
      </c>
      <c r="T574">
        <v>590</v>
      </c>
      <c r="U574">
        <v>380000</v>
      </c>
      <c r="V574">
        <v>19057</v>
      </c>
      <c r="W574">
        <v>3021</v>
      </c>
      <c r="X574">
        <v>34770</v>
      </c>
      <c r="Y574" s="31">
        <v>45701</v>
      </c>
      <c r="Z574" t="str">
        <v/>
      </c>
      <c r="AA574" t="str">
        <v>技術・人文知識・国際業務</v>
      </c>
      <c r="AB574" t="str">
        <v>475-0086</v>
      </c>
      <c r="AC574" t="str">
        <v>愛知県半田市庚申町2-6-7</v>
      </c>
      <c r="AD574" t="str">
        <v>ﾊｲﾂこうしんA棟103</v>
      </c>
      <c r="AE574" s="31" t="str">
        <v>個人</v>
      </c>
      <c r="AF574" s="31">
        <v>45078</v>
      </c>
      <c r="AG574" s="31">
        <v>45687</v>
      </c>
      <c r="AH574" s="31">
        <v>0</v>
      </c>
      <c r="AI574" t="str">
        <v>23.6.1</v>
      </c>
      <c r="AJ574" t="str">
        <v>6/2原</v>
      </c>
      <c r="AK574">
        <v>0</v>
      </c>
      <c r="AL574">
        <v>45078</v>
      </c>
      <c r="AM574" t="str">
        <v>原付</v>
      </c>
      <c r="AN574">
        <v>45607</v>
      </c>
      <c r="AO574" t="str">
        <v>原付</v>
      </c>
      <c r="AP574">
        <v>46019</v>
      </c>
      <c r="AQ574">
        <v>0</v>
      </c>
      <c r="AR574">
        <v>0</v>
      </c>
    </row>
    <row r="575" spans="1:44">
      <c r="A575" t="str">
        <f>H575&amp;COUNTIF($H$2:H575,H575)</f>
        <v>生産課3</v>
      </c>
      <c r="B575" t="str">
        <f>F575&amp;COUNTIF($F$2:F575,F575)</f>
        <v>加藤木材工業 春日井7</v>
      </c>
      <c r="C575" t="str">
        <v>在職中</v>
      </c>
      <c r="D575">
        <v>230602</v>
      </c>
      <c r="E575">
        <v>5570</v>
      </c>
      <c r="F575" t="str">
        <v>加藤木材工業 春日井</v>
      </c>
      <c r="G575" t="str">
        <v>金物事業部</v>
      </c>
      <c r="H575" t="str">
        <v>生産課</v>
      </c>
      <c r="I575" t="str">
        <v>機械オペレーター及び機械メンテナンス他付随する業務</v>
      </c>
      <c r="J575" t="str">
        <v>NGUYEN VAN DU</v>
      </c>
      <c r="K575" t="str">
        <v>グエン　ヴァン　ズ</v>
      </c>
      <c r="L575" t="str">
        <v>男</v>
      </c>
      <c r="M575" t="str">
        <v>ﾍﾞﾄﾅﾑ</v>
      </c>
      <c r="N575" s="31">
        <v>33704</v>
      </c>
      <c r="O575">
        <v>33</v>
      </c>
      <c r="P575">
        <v>1330</v>
      </c>
      <c r="Q575" t="str">
        <v>2025/5/21～1300円⇒1330円</v>
      </c>
      <c r="R575">
        <v>1745</v>
      </c>
      <c r="S575" t="str">
        <v>2025/5/21~1700円⇒1745円</v>
      </c>
      <c r="T575">
        <v>415</v>
      </c>
      <c r="U575">
        <v>240000</v>
      </c>
      <c r="V575">
        <v>12036</v>
      </c>
      <c r="W575" t="str">
        <v>0</v>
      </c>
      <c r="X575">
        <v>21960</v>
      </c>
      <c r="Y575" s="31">
        <v>46361</v>
      </c>
      <c r="Z575" t="str">
        <v/>
      </c>
      <c r="AA575" t="str">
        <v>技術・人文知識・国際業務</v>
      </c>
      <c r="AB575" t="str">
        <v>485-0832</v>
      </c>
      <c r="AC575" t="str">
        <v>愛知県小牧市応時1丁目66番地</v>
      </c>
      <c r="AD575" t="str">
        <v>ﾌﾚｽｶｲﾄｳ301</v>
      </c>
      <c r="AE575" s="31">
        <v>45077</v>
      </c>
      <c r="AF575" s="31">
        <v>45082</v>
      </c>
      <c r="AG575" s="31">
        <v>0</v>
      </c>
      <c r="AH575" s="31">
        <v>0</v>
      </c>
      <c r="AI575" t="str">
        <v>23.6.5</v>
      </c>
      <c r="AJ575" t="str">
        <v>6/14林</v>
      </c>
      <c r="AK575">
        <v>0</v>
      </c>
      <c r="AL575">
        <v>45082</v>
      </c>
      <c r="AM575">
        <v>0</v>
      </c>
      <c r="AN575">
        <v>0</v>
      </c>
      <c r="AO575">
        <v>0</v>
      </c>
      <c r="AP575">
        <v>0</v>
      </c>
      <c r="AQ575">
        <v>0</v>
      </c>
      <c r="AR575">
        <v>0</v>
      </c>
    </row>
    <row r="576" spans="1:44">
      <c r="A576" t="str">
        <f>H576&amp;COUNTIF($H$2:H576,H576)</f>
        <v>本社工場製造1課2工区3班3</v>
      </c>
      <c r="B576" t="str">
        <f>F576&amp;COUNTIF($F$2:F576,F576)</f>
        <v>コーリツ 本社15</v>
      </c>
      <c r="C576" t="str">
        <v>退社</v>
      </c>
      <c r="D576">
        <v>230603</v>
      </c>
      <c r="E576">
        <v>8210058</v>
      </c>
      <c r="F576" t="str">
        <v>コーリツ 本社</v>
      </c>
      <c r="G576" t="str">
        <v>本社工場製造1課2工区3班</v>
      </c>
      <c r="H576" t="str">
        <v>本社工場製造1課2工区3班</v>
      </c>
      <c r="I576">
        <v>0</v>
      </c>
      <c r="J576" t="str">
        <v>NGUYEN VAN TUYEN</v>
      </c>
      <c r="K576" t="str">
        <v>グエン　バン　トゥエン</v>
      </c>
      <c r="L576" t="str">
        <v>男</v>
      </c>
      <c r="M576" t="str">
        <v>ﾍﾞﾄﾅﾑ</v>
      </c>
      <c r="N576" s="31">
        <v>34115</v>
      </c>
      <c r="O576">
        <v>32</v>
      </c>
      <c r="P576">
        <v>1400</v>
      </c>
      <c r="Q576">
        <v>0</v>
      </c>
      <c r="R576">
        <v>1990</v>
      </c>
      <c r="S576">
        <v>0</v>
      </c>
      <c r="T576">
        <v>590</v>
      </c>
      <c r="U576">
        <v>340000</v>
      </c>
      <c r="V576">
        <v>17051</v>
      </c>
      <c r="W576" t="str">
        <v>0</v>
      </c>
      <c r="X576">
        <v>31110</v>
      </c>
      <c r="Y576" s="31">
        <v>46622</v>
      </c>
      <c r="Z576" t="str">
        <v/>
      </c>
      <c r="AA576" t="str">
        <v>技術・人文知識・国際業務</v>
      </c>
      <c r="AB576" t="str">
        <v>448-0855</v>
      </c>
      <c r="AC576" t="str">
        <v>愛知県刈谷市大正町7丁目401-1</v>
      </c>
      <c r="AD576" t="str">
        <v>ﾆｭｰﾊﾋﾟﾈｽ201</v>
      </c>
      <c r="AE576" s="31">
        <v>45099</v>
      </c>
      <c r="AF576" s="31">
        <v>45089</v>
      </c>
      <c r="AG576" s="31">
        <v>45677</v>
      </c>
      <c r="AH576" s="31">
        <v>0</v>
      </c>
      <c r="AI576" t="str">
        <v>23.6.12</v>
      </c>
      <c r="AJ576" t="str">
        <v>6/21原</v>
      </c>
      <c r="AK576">
        <v>0</v>
      </c>
      <c r="AL576">
        <v>45089</v>
      </c>
      <c r="AM576" t="str">
        <v>普通免許</v>
      </c>
      <c r="AN576">
        <v>45834</v>
      </c>
      <c r="AO576" t="str">
        <v>車</v>
      </c>
      <c r="AP576">
        <v>46270</v>
      </c>
      <c r="AQ576">
        <v>0</v>
      </c>
      <c r="AR576">
        <v>0</v>
      </c>
    </row>
    <row r="577" spans="1:44">
      <c r="A577" t="str">
        <f>H577&amp;COUNTIF($H$2:H577,H577)</f>
        <v>成型ライン12</v>
      </c>
      <c r="B577" t="str">
        <f>F577&amp;COUNTIF($F$2:F577,F577)</f>
        <v>ピーエムアイ22</v>
      </c>
      <c r="C577" t="str">
        <v>退社</v>
      </c>
      <c r="D577">
        <v>220208</v>
      </c>
      <c r="E577">
        <v>0</v>
      </c>
      <c r="F577" t="str">
        <v>ピーエムアイ</v>
      </c>
      <c r="G577" t="str">
        <v>製造1</v>
      </c>
      <c r="H577" t="str">
        <v>成型ライン</v>
      </c>
      <c r="I577" t="str">
        <v>プラスチック製品の製造におけるすべての行為</v>
      </c>
      <c r="J577" t="str">
        <v>NGO QUOC THINH</v>
      </c>
      <c r="K577" t="str">
        <v>ゴ　クオック　テイン</v>
      </c>
      <c r="L577" t="str">
        <v>男</v>
      </c>
      <c r="M577" t="str">
        <v>ﾍﾞﾄﾅﾑ</v>
      </c>
      <c r="N577" s="31">
        <v>35358</v>
      </c>
      <c r="O577">
        <v>29</v>
      </c>
      <c r="P577">
        <v>1300</v>
      </c>
      <c r="Q577">
        <v>0</v>
      </c>
      <c r="R577">
        <v>1800</v>
      </c>
      <c r="S577">
        <v>0</v>
      </c>
      <c r="T577">
        <v>500</v>
      </c>
      <c r="U577">
        <v>260000</v>
      </c>
      <c r="V577">
        <v>13039</v>
      </c>
      <c r="W577" t="str">
        <v>0</v>
      </c>
      <c r="X577">
        <v>23790</v>
      </c>
      <c r="Y577" s="31">
        <v>46742</v>
      </c>
      <c r="Z577" t="str">
        <v/>
      </c>
      <c r="AA577" t="str">
        <v>技術・人文知識・国際業務</v>
      </c>
      <c r="AB577" t="str">
        <v>471-0805</v>
      </c>
      <c r="AC577" t="str">
        <v>愛知県豊田市美里2-6-9</v>
      </c>
      <c r="AD577" t="str">
        <v>ﾚｼﾞｪﾝﾄﾞK305</v>
      </c>
      <c r="AE577" s="31">
        <v>45101</v>
      </c>
      <c r="AF577" s="31">
        <v>45093</v>
      </c>
      <c r="AG577" s="31">
        <v>45755</v>
      </c>
      <c r="AH577" s="31">
        <v>0</v>
      </c>
      <c r="AI577" t="str">
        <v>23.6.16</v>
      </c>
      <c r="AJ577" t="str">
        <v>7/3林</v>
      </c>
      <c r="AK577" t="str">
        <v>2023/7/8～205へ移動</v>
      </c>
      <c r="AL577">
        <v>45093</v>
      </c>
      <c r="AM577">
        <v>0</v>
      </c>
      <c r="AN577">
        <v>0</v>
      </c>
      <c r="AO577">
        <v>0</v>
      </c>
      <c r="AP577">
        <v>0</v>
      </c>
      <c r="AQ577">
        <v>0</v>
      </c>
      <c r="AR577">
        <v>0</v>
      </c>
    </row>
    <row r="578" spans="1:44">
      <c r="A578" t="str">
        <f>H578&amp;COUNTIF($H$2:H578,H578)</f>
        <v>1次旋係36</v>
      </c>
      <c r="B578" t="str">
        <f>F578&amp;COUNTIF($F$2:F578,F578)</f>
        <v>高雄工業 岡山106</v>
      </c>
      <c r="C578" t="str">
        <v>在職中</v>
      </c>
      <c r="D578">
        <v>230604</v>
      </c>
      <c r="E578">
        <v>232110</v>
      </c>
      <c r="F578" t="str">
        <v>高雄工業 岡山</v>
      </c>
      <c r="G578" t="str">
        <v>高雄工業株式会社 岡山事業所HUB工場製作1課</v>
      </c>
      <c r="H578" t="str">
        <v>1次旋係</v>
      </c>
      <c r="I578" t="str">
        <v>ハブ加工 自動機の操作、ＮＣプログラム修正</v>
      </c>
      <c r="J578" t="str">
        <v>DAO VAN LONG</v>
      </c>
      <c r="K578" t="str">
        <v>ダオ　ヴァン　ロン</v>
      </c>
      <c r="L578" t="str">
        <v>男</v>
      </c>
      <c r="M578" t="str">
        <v>ﾍﾞﾄﾅﾑ</v>
      </c>
      <c r="N578" s="31">
        <v>33756</v>
      </c>
      <c r="O578">
        <v>33</v>
      </c>
      <c r="P578">
        <v>1310</v>
      </c>
      <c r="Q578">
        <v>0</v>
      </c>
      <c r="R578">
        <v>1710</v>
      </c>
      <c r="S578">
        <v>0</v>
      </c>
      <c r="T578">
        <v>400</v>
      </c>
      <c r="U578">
        <v>280000</v>
      </c>
      <c r="V578">
        <v>14042</v>
      </c>
      <c r="W578" t="str">
        <v>0</v>
      </c>
      <c r="X578">
        <v>25620</v>
      </c>
      <c r="Y578" s="31">
        <v>46550</v>
      </c>
      <c r="Z578" t="str">
        <v/>
      </c>
      <c r="AA578" t="str">
        <v>技術・人文知識・国際業務</v>
      </c>
      <c r="AB578" t="str">
        <v>709-2107</v>
      </c>
      <c r="AC578" t="str">
        <v>岡山県岡山市北区御津矢原307番地</v>
      </c>
      <c r="AD578" t="str">
        <v>成広矢原ｺｰﾎﾟⅠ103</v>
      </c>
      <c r="AE578" s="31">
        <v>45089</v>
      </c>
      <c r="AF578" s="31">
        <v>45093</v>
      </c>
      <c r="AG578" s="31">
        <v>0</v>
      </c>
      <c r="AH578" s="31">
        <v>0</v>
      </c>
      <c r="AI578" t="str">
        <v>23.6.16</v>
      </c>
      <c r="AJ578" t="str">
        <v>7/3林</v>
      </c>
      <c r="AK578">
        <v>0</v>
      </c>
      <c r="AL578">
        <v>45093</v>
      </c>
      <c r="AM578">
        <v>0</v>
      </c>
      <c r="AN578">
        <v>0</v>
      </c>
      <c r="AO578">
        <v>0</v>
      </c>
      <c r="AP578">
        <v>0</v>
      </c>
      <c r="AQ578">
        <v>0</v>
      </c>
      <c r="AR578">
        <v>0</v>
      </c>
    </row>
    <row r="579" spans="1:44">
      <c r="A579" t="str">
        <f>H579&amp;COUNTIF($H$2:H579,H579)</f>
        <v>1次旋係37</v>
      </c>
      <c r="B579" t="str">
        <f>F579&amp;COUNTIF($F$2:F579,F579)</f>
        <v>高雄工業 岡山107</v>
      </c>
      <c r="C579" t="str">
        <v>在職中</v>
      </c>
      <c r="D579">
        <v>230608</v>
      </c>
      <c r="E579">
        <v>232108</v>
      </c>
      <c r="F579" t="str">
        <v>高雄工業 岡山</v>
      </c>
      <c r="G579" t="str">
        <v>高雄工業株式会社 岡山事業所HUB工場製作1課</v>
      </c>
      <c r="H579" t="str">
        <v>1次旋係</v>
      </c>
      <c r="I579" t="str">
        <v>ハブ加工 自動機の操作、ＮＣプログラム修正</v>
      </c>
      <c r="J579" t="str">
        <v>NGUYEN GIA THO</v>
      </c>
      <c r="K579" t="str">
        <v>グエン　ジャ　トー</v>
      </c>
      <c r="L579" t="str">
        <v>男</v>
      </c>
      <c r="M579" t="str">
        <v>ﾍﾞﾄﾅﾑ</v>
      </c>
      <c r="N579" s="31">
        <v>36244</v>
      </c>
      <c r="O579">
        <v>26</v>
      </c>
      <c r="P579">
        <v>1320</v>
      </c>
      <c r="Q579">
        <v>0</v>
      </c>
      <c r="R579">
        <v>1720</v>
      </c>
      <c r="S579">
        <v>0</v>
      </c>
      <c r="T579">
        <v>400</v>
      </c>
      <c r="U579">
        <v>260000</v>
      </c>
      <c r="V579">
        <v>13039</v>
      </c>
      <c r="W579" t="str">
        <v>0</v>
      </c>
      <c r="X579">
        <v>23790</v>
      </c>
      <c r="Y579" s="31">
        <v>46550</v>
      </c>
      <c r="Z579" t="str">
        <v/>
      </c>
      <c r="AA579" t="str">
        <v>技術・人文知識・国際業務</v>
      </c>
      <c r="AB579" t="str">
        <v>709-2107</v>
      </c>
      <c r="AC579" t="str">
        <v>岡山県岡山市北区御津矢原307番地</v>
      </c>
      <c r="AD579" t="str">
        <v>成広矢原ｺｰﾎﾟⅠ103</v>
      </c>
      <c r="AE579" s="31">
        <v>45089</v>
      </c>
      <c r="AF579" s="31">
        <v>45093</v>
      </c>
      <c r="AG579" s="31">
        <v>0</v>
      </c>
      <c r="AH579" s="31">
        <v>0</v>
      </c>
      <c r="AI579" t="str">
        <v>23.6.16</v>
      </c>
      <c r="AJ579" t="str">
        <v>7/3林</v>
      </c>
      <c r="AK579">
        <v>0</v>
      </c>
      <c r="AL579">
        <v>45093</v>
      </c>
      <c r="AM579">
        <v>0</v>
      </c>
      <c r="AN579">
        <v>0</v>
      </c>
      <c r="AO579">
        <v>0</v>
      </c>
      <c r="AP579">
        <v>0</v>
      </c>
      <c r="AQ579">
        <v>0</v>
      </c>
      <c r="AR579">
        <v>0</v>
      </c>
    </row>
    <row r="580" spans="1:44">
      <c r="A580" t="str">
        <f>H580&amp;COUNTIF($H$2:H580,H580)</f>
        <v>1次旋係38</v>
      </c>
      <c r="B580" t="str">
        <f>F580&amp;COUNTIF($F$2:F580,F580)</f>
        <v>高雄工業 岡山108</v>
      </c>
      <c r="C580" t="str">
        <v>在職中</v>
      </c>
      <c r="D580">
        <v>230611</v>
      </c>
      <c r="E580">
        <v>232109</v>
      </c>
      <c r="F580" t="str">
        <v>高雄工業 岡山</v>
      </c>
      <c r="G580" t="str">
        <v>高雄工業株式会社 岡山事業所HUB工場製作1課</v>
      </c>
      <c r="H580" t="str">
        <v>1次旋係</v>
      </c>
      <c r="I580" t="str">
        <v>ハブ加工 自動機の操作、ＮＣプログラム修正</v>
      </c>
      <c r="J580" t="str">
        <v>NGUYEN DINH THANH</v>
      </c>
      <c r="K580" t="str">
        <v>グエン　ディン　タイン</v>
      </c>
      <c r="L580" t="str">
        <v>男</v>
      </c>
      <c r="M580" t="str">
        <v>ﾍﾞﾄﾅﾑ</v>
      </c>
      <c r="N580" s="31">
        <v>36586</v>
      </c>
      <c r="O580">
        <v>25</v>
      </c>
      <c r="P580">
        <v>1310</v>
      </c>
      <c r="Q580">
        <v>0</v>
      </c>
      <c r="R580">
        <v>1740</v>
      </c>
      <c r="S580">
        <v>0</v>
      </c>
      <c r="T580">
        <v>430</v>
      </c>
      <c r="U580">
        <v>280000</v>
      </c>
      <c r="V580">
        <v>14042</v>
      </c>
      <c r="W580" t="str">
        <v>0</v>
      </c>
      <c r="X580">
        <v>25620</v>
      </c>
      <c r="Y580" s="31">
        <v>46550</v>
      </c>
      <c r="Z580" t="str">
        <v/>
      </c>
      <c r="AA580" t="str">
        <v>技術・人文知識・国際業務</v>
      </c>
      <c r="AB580" t="str">
        <v>709-2107</v>
      </c>
      <c r="AC580" t="str">
        <v>岡山県岡山市北区御津矢原307番地</v>
      </c>
      <c r="AD580" t="str">
        <v>成広矢原ｺｰﾎﾟⅠ203</v>
      </c>
      <c r="AE580" s="31">
        <v>45089</v>
      </c>
      <c r="AF580" s="31">
        <v>45093</v>
      </c>
      <c r="AG580" s="31">
        <v>0</v>
      </c>
      <c r="AH580" s="31">
        <v>0</v>
      </c>
      <c r="AI580" t="str">
        <v>23.6.16</v>
      </c>
      <c r="AJ580" t="str">
        <v>7/3林</v>
      </c>
      <c r="AK580">
        <v>0</v>
      </c>
      <c r="AL580">
        <v>45093</v>
      </c>
      <c r="AM580">
        <v>0</v>
      </c>
      <c r="AN580">
        <v>0</v>
      </c>
      <c r="AO580">
        <v>0</v>
      </c>
      <c r="AP580">
        <v>0</v>
      </c>
      <c r="AQ580">
        <v>0</v>
      </c>
      <c r="AR580">
        <v>0</v>
      </c>
    </row>
    <row r="581" spans="1:44">
      <c r="A581" t="str">
        <f>H581&amp;COUNTIF($H$2:H581,H581)</f>
        <v>1次旋係39</v>
      </c>
      <c r="B581" t="str">
        <f>F581&amp;COUNTIF($F$2:F581,F581)</f>
        <v>高雄工業 岡山109</v>
      </c>
      <c r="C581" t="str">
        <v>退社</v>
      </c>
      <c r="D581">
        <v>230605</v>
      </c>
      <c r="E581">
        <v>232113</v>
      </c>
      <c r="F581" t="str">
        <v>高雄工業 岡山</v>
      </c>
      <c r="G581" t="str">
        <v>高雄工業株式会社 岡山事業所HUB工場製作1課</v>
      </c>
      <c r="H581" t="str">
        <v>1次旋係</v>
      </c>
      <c r="I581" t="str">
        <v>ハブ加工 自動機の操作、ＮＣプログラム修正</v>
      </c>
      <c r="J581" t="str">
        <v>LE CHI VI</v>
      </c>
      <c r="K581" t="str">
        <v>レー　チー　ヴィ</v>
      </c>
      <c r="L581" t="str">
        <v>男</v>
      </c>
      <c r="M581" t="str">
        <v>ﾍﾞﾄﾅﾑ</v>
      </c>
      <c r="N581" s="31">
        <v>36477</v>
      </c>
      <c r="O581">
        <v>26</v>
      </c>
      <c r="P581">
        <v>1300</v>
      </c>
      <c r="Q581">
        <v>0</v>
      </c>
      <c r="R581">
        <v>1690</v>
      </c>
      <c r="S581">
        <v>0</v>
      </c>
      <c r="T581">
        <v>390</v>
      </c>
      <c r="U581">
        <v>240000</v>
      </c>
      <c r="V581">
        <v>12036</v>
      </c>
      <c r="W581" t="str">
        <v>0</v>
      </c>
      <c r="X581">
        <v>21960</v>
      </c>
      <c r="Y581" s="31">
        <v>46550</v>
      </c>
      <c r="Z581" t="str">
        <v/>
      </c>
      <c r="AA581" t="str">
        <v>技術・人文知識・国際業務</v>
      </c>
      <c r="AB581" t="str">
        <v>709-2107</v>
      </c>
      <c r="AC581" t="str">
        <v>岡山県岡山市北区御津矢原298-1</v>
      </c>
      <c r="AD581" t="str">
        <v>成広矢原ｺｰﾎﾟⅥ102</v>
      </c>
      <c r="AE581" s="31">
        <v>45089</v>
      </c>
      <c r="AF581" s="31">
        <v>45093</v>
      </c>
      <c r="AG581" s="31">
        <v>45653</v>
      </c>
      <c r="AH581" s="31">
        <v>0</v>
      </c>
      <c r="AI581" t="str">
        <v>23.6.16</v>
      </c>
      <c r="AJ581" t="str">
        <v>7/3林</v>
      </c>
      <c r="AK581">
        <v>0</v>
      </c>
      <c r="AL581">
        <v>45093</v>
      </c>
      <c r="AM581">
        <v>0</v>
      </c>
      <c r="AN581">
        <v>0</v>
      </c>
      <c r="AO581">
        <v>0</v>
      </c>
      <c r="AP581">
        <v>0</v>
      </c>
      <c r="AQ581">
        <v>0</v>
      </c>
      <c r="AR581">
        <v>0</v>
      </c>
    </row>
    <row r="582" spans="1:44">
      <c r="A582" t="str">
        <f>H582&amp;COUNTIF($H$2:H582,H582)</f>
        <v>1次旋係40</v>
      </c>
      <c r="B582" t="str">
        <f>F582&amp;COUNTIF($F$2:F582,F582)</f>
        <v>高雄工業 岡山110</v>
      </c>
      <c r="C582" t="str">
        <v>退社</v>
      </c>
      <c r="D582">
        <v>230606</v>
      </c>
      <c r="E582">
        <v>232112</v>
      </c>
      <c r="F582" t="str">
        <v>高雄工業 岡山</v>
      </c>
      <c r="G582" t="str">
        <v>高雄工業株式会社 岡山事業所HUB工場製作1課</v>
      </c>
      <c r="H582" t="str">
        <v>1次旋係</v>
      </c>
      <c r="I582" t="str">
        <v>ハブ加工 自動機の操作、ＮＣプログラム修正</v>
      </c>
      <c r="J582" t="str">
        <v>LE DUY KHAI</v>
      </c>
      <c r="K582" t="str">
        <v>レー　ズイ　カイ</v>
      </c>
      <c r="L582" t="str">
        <v>男</v>
      </c>
      <c r="M582" t="str">
        <v>ﾍﾞﾄﾅﾑ</v>
      </c>
      <c r="N582" s="31">
        <v>36426</v>
      </c>
      <c r="O582">
        <v>26</v>
      </c>
      <c r="P582">
        <v>1310</v>
      </c>
      <c r="Q582">
        <v>0</v>
      </c>
      <c r="R582">
        <v>1690</v>
      </c>
      <c r="S582">
        <v>0</v>
      </c>
      <c r="T582">
        <v>380</v>
      </c>
      <c r="U582">
        <v>260000</v>
      </c>
      <c r="V582">
        <v>13039</v>
      </c>
      <c r="W582" t="str">
        <v>0</v>
      </c>
      <c r="X582">
        <v>23790</v>
      </c>
      <c r="Y582" s="31">
        <v>46550</v>
      </c>
      <c r="Z582" t="str">
        <v/>
      </c>
      <c r="AA582" t="str">
        <v>技術・人文知識・国際業務</v>
      </c>
      <c r="AB582" t="str">
        <v>709-2133</v>
      </c>
      <c r="AC582" t="str">
        <v>岡山県岡山市北区御津金川373番地1</v>
      </c>
      <c r="AD582" t="str">
        <v>ﾆｭｰｴﾙﾃﾞｨﾑ小西A202</v>
      </c>
      <c r="AE582" s="31">
        <v>45089</v>
      </c>
      <c r="AF582" s="31">
        <v>45093</v>
      </c>
      <c r="AG582" s="31">
        <v>45700</v>
      </c>
      <c r="AH582" s="31">
        <v>0</v>
      </c>
      <c r="AI582" t="str">
        <v>23.6.16</v>
      </c>
      <c r="AJ582" t="str">
        <v>7/3林</v>
      </c>
      <c r="AK582">
        <v>0</v>
      </c>
      <c r="AL582">
        <v>45093</v>
      </c>
      <c r="AM582">
        <v>0</v>
      </c>
      <c r="AN582">
        <v>0</v>
      </c>
      <c r="AO582">
        <v>0</v>
      </c>
      <c r="AP582">
        <v>0</v>
      </c>
      <c r="AQ582">
        <v>0</v>
      </c>
      <c r="AR582">
        <v>0</v>
      </c>
    </row>
    <row r="583" spans="1:44">
      <c r="A583" t="str">
        <f>H583&amp;COUNTIF($H$2:H583,H583)</f>
        <v>1次旋係41</v>
      </c>
      <c r="B583" t="str">
        <f>F583&amp;COUNTIF($F$2:F583,F583)</f>
        <v>高雄工業 岡山111</v>
      </c>
      <c r="C583" t="str">
        <v>退社</v>
      </c>
      <c r="D583">
        <v>230607</v>
      </c>
      <c r="E583">
        <v>232111</v>
      </c>
      <c r="F583" t="str">
        <v>高雄工業 岡山</v>
      </c>
      <c r="G583" t="str">
        <v>高雄工業株式会社 岡山事業所HUB工場製作1課</v>
      </c>
      <c r="H583" t="str">
        <v>1次旋係</v>
      </c>
      <c r="I583" t="str">
        <v>ハブ加工 自動機の操作、ＮＣプログラム修正</v>
      </c>
      <c r="J583" t="str">
        <v>HOANG TRUNG DUC</v>
      </c>
      <c r="K583" t="str">
        <v>ホアン　チュン　ドゥック</v>
      </c>
      <c r="L583" t="str">
        <v>男</v>
      </c>
      <c r="M583" t="str">
        <v>ﾍﾞﾄﾅﾑ</v>
      </c>
      <c r="N583" s="31">
        <v>34445</v>
      </c>
      <c r="O583">
        <v>31</v>
      </c>
      <c r="P583">
        <v>1310</v>
      </c>
      <c r="Q583">
        <v>0</v>
      </c>
      <c r="R583">
        <v>1690</v>
      </c>
      <c r="S583">
        <v>0</v>
      </c>
      <c r="T583">
        <v>380</v>
      </c>
      <c r="U583">
        <v>260000</v>
      </c>
      <c r="V583">
        <v>13039</v>
      </c>
      <c r="W583" t="str">
        <v>0</v>
      </c>
      <c r="X583">
        <v>23790</v>
      </c>
      <c r="Y583" s="31">
        <v>46550</v>
      </c>
      <c r="Z583" t="str">
        <v/>
      </c>
      <c r="AA583" t="str">
        <v>技術・人文知識・国際業務</v>
      </c>
      <c r="AB583" t="str">
        <v>709-2107</v>
      </c>
      <c r="AC583" t="str">
        <v>岡山県岡山市北区御津矢原307番地</v>
      </c>
      <c r="AD583" t="str">
        <v>成広矢原ｺｰﾎﾟⅠ203</v>
      </c>
      <c r="AE583" s="31">
        <v>45089</v>
      </c>
      <c r="AF583" s="31">
        <v>45093</v>
      </c>
      <c r="AG583" s="31">
        <v>45698</v>
      </c>
      <c r="AH583" s="31">
        <v>0</v>
      </c>
      <c r="AI583" t="str">
        <v>23.6.16</v>
      </c>
      <c r="AJ583" t="str">
        <v>7/3林</v>
      </c>
      <c r="AK583">
        <v>0</v>
      </c>
      <c r="AL583">
        <v>45093</v>
      </c>
      <c r="AM583">
        <v>0</v>
      </c>
      <c r="AN583">
        <v>0</v>
      </c>
      <c r="AO583">
        <v>0</v>
      </c>
      <c r="AP583">
        <v>0</v>
      </c>
      <c r="AQ583">
        <v>0</v>
      </c>
      <c r="AR583">
        <v>0</v>
      </c>
    </row>
    <row r="584" spans="1:44">
      <c r="A584" t="str">
        <f>H584&amp;COUNTIF($H$2:H584,H584)</f>
        <v>1次旋係42</v>
      </c>
      <c r="B584" t="str">
        <f>F584&amp;COUNTIF($F$2:F584,F584)</f>
        <v>高雄工業 岡山112</v>
      </c>
      <c r="C584" t="str">
        <v>退社</v>
      </c>
      <c r="D584">
        <v>230609</v>
      </c>
      <c r="E584">
        <v>232101</v>
      </c>
      <c r="F584" t="str">
        <v>高雄工業 岡山</v>
      </c>
      <c r="G584" t="str">
        <v>高雄工業株式会社 岡山事業所HUB工場製作1課</v>
      </c>
      <c r="H584" t="str">
        <v>1次旋係</v>
      </c>
      <c r="I584" t="str">
        <v>ハブ加工 自動機の操作、ＮＣプログラム修正</v>
      </c>
      <c r="J584" t="str">
        <v>NGUYEN QUOC HUNG</v>
      </c>
      <c r="K584" t="str">
        <v>グエン　コック　フン</v>
      </c>
      <c r="L584" t="str">
        <v>男</v>
      </c>
      <c r="M584" t="str">
        <v>ﾍﾞﾄﾅﾑ</v>
      </c>
      <c r="N584" s="31">
        <v>33830</v>
      </c>
      <c r="O584">
        <v>33</v>
      </c>
      <c r="P584">
        <v>1300</v>
      </c>
      <c r="Q584">
        <v>0</v>
      </c>
      <c r="R584">
        <v>1690</v>
      </c>
      <c r="S584">
        <v>0</v>
      </c>
      <c r="T584">
        <v>390</v>
      </c>
      <c r="U584">
        <v>220000</v>
      </c>
      <c r="V584">
        <v>11033</v>
      </c>
      <c r="W584" t="str">
        <v>0</v>
      </c>
      <c r="X584">
        <v>20130</v>
      </c>
      <c r="Y584" s="31">
        <v>46550</v>
      </c>
      <c r="Z584" t="str">
        <v/>
      </c>
      <c r="AA584" t="str">
        <v>技術・人文知識・国際業務</v>
      </c>
      <c r="AB584" t="str">
        <v>709-2107</v>
      </c>
      <c r="AC584" t="str">
        <v>岡山県岡山市北区御津矢原312-2</v>
      </c>
      <c r="AD584" t="str">
        <v>中須賀ｺｰﾎﾟⅡ101</v>
      </c>
      <c r="AE584" s="31">
        <v>45388</v>
      </c>
      <c r="AF584" s="31">
        <v>45093</v>
      </c>
      <c r="AG584" s="31">
        <v>45572</v>
      </c>
      <c r="AH584" s="31">
        <v>0</v>
      </c>
      <c r="AI584" t="str">
        <v>23.6.16</v>
      </c>
      <c r="AJ584" t="str">
        <v>7/3林</v>
      </c>
      <c r="AK584">
        <v>0</v>
      </c>
      <c r="AL584">
        <v>45093</v>
      </c>
      <c r="AM584">
        <v>0</v>
      </c>
      <c r="AN584">
        <v>0</v>
      </c>
      <c r="AO584">
        <v>0</v>
      </c>
      <c r="AP584">
        <v>0</v>
      </c>
      <c r="AQ584">
        <v>0</v>
      </c>
      <c r="AR584">
        <v>0</v>
      </c>
    </row>
    <row r="585" spans="1:44">
      <c r="A585" t="str">
        <f>H585&amp;COUNTIF($H$2:H585,H585)</f>
        <v>1次旋係43</v>
      </c>
      <c r="B585" t="str">
        <f>F585&amp;COUNTIF($F$2:F585,F585)</f>
        <v>高雄工業 岡山113</v>
      </c>
      <c r="C585" t="str">
        <v>退社</v>
      </c>
      <c r="D585">
        <v>230610</v>
      </c>
      <c r="E585">
        <v>232106</v>
      </c>
      <c r="F585" t="str">
        <v>高雄工業 岡山</v>
      </c>
      <c r="G585" t="str">
        <v>高雄工業株式会社 岡山事業所HUB工場製作1課</v>
      </c>
      <c r="H585" t="str">
        <v>1次旋係</v>
      </c>
      <c r="I585" t="str">
        <v>ハブ加工 自動機の操作、ＮＣプログラム修正</v>
      </c>
      <c r="J585" t="str">
        <v>NGUYEN QUOC THAI</v>
      </c>
      <c r="K585" t="str">
        <v>グエン　コック　タイ</v>
      </c>
      <c r="L585" t="str">
        <v>男</v>
      </c>
      <c r="M585" t="str">
        <v>ﾍﾞﾄﾅﾑ</v>
      </c>
      <c r="N585" s="31">
        <v>37030</v>
      </c>
      <c r="O585">
        <v>24</v>
      </c>
      <c r="P585">
        <v>1300</v>
      </c>
      <c r="Q585">
        <v>0</v>
      </c>
      <c r="R585">
        <v>1690</v>
      </c>
      <c r="S585">
        <v>0</v>
      </c>
      <c r="T585">
        <v>390</v>
      </c>
      <c r="U585">
        <v>260000</v>
      </c>
      <c r="V585">
        <v>13039</v>
      </c>
      <c r="W585" t="str">
        <v>0</v>
      </c>
      <c r="X585">
        <v>23790</v>
      </c>
      <c r="Y585" s="31">
        <v>46550</v>
      </c>
      <c r="Z585" t="str">
        <v/>
      </c>
      <c r="AA585" t="str">
        <v>技術・人文知識・国際業務</v>
      </c>
      <c r="AB585" t="str">
        <v>709-2107</v>
      </c>
      <c r="AC585" t="str">
        <v>岡山県岡山市北区御津矢原298-1</v>
      </c>
      <c r="AD585" t="str">
        <v>成広矢原ｺｰﾎﾟⅥ102</v>
      </c>
      <c r="AE585" s="31">
        <v>45412</v>
      </c>
      <c r="AF585" s="31">
        <v>45093</v>
      </c>
      <c r="AG585" s="31">
        <v>45702</v>
      </c>
      <c r="AH585" s="31">
        <v>0</v>
      </c>
      <c r="AI585" t="str">
        <v>23.6.16</v>
      </c>
      <c r="AJ585" t="str">
        <v>7/3林</v>
      </c>
      <c r="AK585">
        <v>0</v>
      </c>
      <c r="AL585">
        <v>45093</v>
      </c>
      <c r="AM585">
        <v>0</v>
      </c>
      <c r="AN585">
        <v>0</v>
      </c>
      <c r="AO585">
        <v>0</v>
      </c>
      <c r="AP585">
        <v>0</v>
      </c>
      <c r="AQ585">
        <v>0</v>
      </c>
      <c r="AR585">
        <v>0</v>
      </c>
    </row>
    <row r="586" spans="1:44">
      <c r="A586" t="str">
        <f>H586&amp;COUNTIF($H$2:H586,H586)</f>
        <v>本社工場製造1課1工区1班3</v>
      </c>
      <c r="B586" t="str">
        <f>F586&amp;COUNTIF($F$2:F586,F586)</f>
        <v>コーリツ 本社16</v>
      </c>
      <c r="C586" t="str">
        <v>退社</v>
      </c>
      <c r="D586">
        <v>210609</v>
      </c>
      <c r="E586">
        <v>8210059</v>
      </c>
      <c r="F586" t="str">
        <v>コーリツ 本社</v>
      </c>
      <c r="G586" t="str">
        <v>本社工場製造1課1工区1班</v>
      </c>
      <c r="H586" t="str">
        <v>本社工場製造1課1工区1班</v>
      </c>
      <c r="I586">
        <v>0</v>
      </c>
      <c r="J586" t="str">
        <v>NGUYEN VAN TIEN</v>
      </c>
      <c r="K586" t="str">
        <v>グエン　ヴァン　ティエン</v>
      </c>
      <c r="L586" t="str">
        <v>男</v>
      </c>
      <c r="M586" t="str">
        <v>ﾍﾞﾄﾅﾑ</v>
      </c>
      <c r="N586" s="31">
        <v>34826</v>
      </c>
      <c r="O586">
        <v>30</v>
      </c>
      <c r="P586">
        <v>1400</v>
      </c>
      <c r="Q586">
        <v>0</v>
      </c>
      <c r="R586">
        <v>1960</v>
      </c>
      <c r="S586">
        <v>0</v>
      </c>
      <c r="T586">
        <v>560</v>
      </c>
      <c r="U586">
        <v>220000</v>
      </c>
      <c r="V586">
        <v>11033</v>
      </c>
      <c r="W586" t="str">
        <v>0</v>
      </c>
      <c r="X586">
        <v>20130</v>
      </c>
      <c r="Y586" s="31">
        <v>45418</v>
      </c>
      <c r="Z586" t="str">
        <v/>
      </c>
      <c r="AA586" t="str">
        <v>技術・人文知識・国際業務</v>
      </c>
      <c r="AB586" t="str">
        <v>448-0855</v>
      </c>
      <c r="AC586" t="str">
        <v>愛知県刈谷市大正町7丁目401-1</v>
      </c>
      <c r="AD586" t="str">
        <v>ﾆｭｰﾊﾋﾟﾈｽ201</v>
      </c>
      <c r="AE586" s="31">
        <v>45099</v>
      </c>
      <c r="AF586" s="31">
        <v>45103</v>
      </c>
      <c r="AG586" s="31">
        <v>45303</v>
      </c>
      <c r="AH586" s="31">
        <v>0</v>
      </c>
      <c r="AI586" t="str">
        <v>23.6.26</v>
      </c>
      <c r="AJ586" t="str">
        <v>7/5林</v>
      </c>
      <c r="AK586">
        <v>0</v>
      </c>
      <c r="AL586">
        <v>45103</v>
      </c>
      <c r="AM586">
        <v>0</v>
      </c>
      <c r="AN586">
        <v>0</v>
      </c>
      <c r="AO586">
        <v>0</v>
      </c>
      <c r="AP586">
        <v>0</v>
      </c>
      <c r="AQ586">
        <v>0</v>
      </c>
      <c r="AR586">
        <v>0</v>
      </c>
    </row>
    <row r="587" spans="1:44">
      <c r="A587" t="str">
        <f>H587&amp;COUNTIF($H$2:H587,H587)</f>
        <v>転造5</v>
      </c>
      <c r="B587" t="str">
        <f>F587&amp;COUNTIF($F$2:F587,F587)</f>
        <v>高雄工業 静岡50</v>
      </c>
      <c r="C587" t="str">
        <v>退社</v>
      </c>
      <c r="D587">
        <v>230612</v>
      </c>
      <c r="E587">
        <v>242066</v>
      </c>
      <c r="F587" t="str">
        <v>高雄工業 静岡</v>
      </c>
      <c r="G587" t="str">
        <v>高雄工業株式会社 静岡事業所第一工場製作課</v>
      </c>
      <c r="H587" t="str">
        <v>転造</v>
      </c>
      <c r="I587" t="str">
        <v>ＣＶＪ短軸等速ジョイント旋削加工・ＮＣプログラム修正</v>
      </c>
      <c r="J587" t="str">
        <v>TRAN QUOC TRUONG</v>
      </c>
      <c r="K587" t="str">
        <v>チャン　コック　チュオン</v>
      </c>
      <c r="L587" t="str">
        <v>男</v>
      </c>
      <c r="M587" t="str">
        <v>ﾍﾞﾄﾅﾑ</v>
      </c>
      <c r="N587" s="31">
        <v>35972</v>
      </c>
      <c r="O587">
        <v>27</v>
      </c>
      <c r="P587">
        <v>1250</v>
      </c>
      <c r="Q587">
        <v>0</v>
      </c>
      <c r="R587">
        <v>1650</v>
      </c>
      <c r="S587">
        <v>0</v>
      </c>
      <c r="T587">
        <v>400</v>
      </c>
      <c r="U587">
        <v>280000</v>
      </c>
      <c r="V587">
        <v>14042</v>
      </c>
      <c r="W587" t="str">
        <v>0</v>
      </c>
      <c r="X587">
        <v>25620</v>
      </c>
      <c r="Y587" s="31">
        <v>45683</v>
      </c>
      <c r="Z587" t="str">
        <v/>
      </c>
      <c r="AA587" t="str">
        <v>技術・人文知識・国際業務</v>
      </c>
      <c r="AB587" t="str">
        <v>437-0061</v>
      </c>
      <c r="AC587" t="str">
        <v>静岡県袋井市久能1889-2</v>
      </c>
      <c r="AD587" t="str">
        <v>ﾗﾌｨｰﾈ久能303号</v>
      </c>
      <c r="AE587" s="31">
        <v>45097</v>
      </c>
      <c r="AF587" s="31">
        <v>45103</v>
      </c>
      <c r="AG587" s="31">
        <v>45377</v>
      </c>
      <c r="AH587" s="31">
        <v>0</v>
      </c>
      <c r="AI587" t="str">
        <v>23.02.01</v>
      </c>
      <c r="AJ587" t="str">
        <v>7/18原</v>
      </c>
      <c r="AK587" t="str">
        <v>請負より異動(入社23/1/19）</v>
      </c>
      <c r="AL587">
        <v>45103</v>
      </c>
      <c r="AM587">
        <v>0</v>
      </c>
      <c r="AN587">
        <v>0</v>
      </c>
      <c r="AO587">
        <v>0</v>
      </c>
      <c r="AP587">
        <v>0</v>
      </c>
      <c r="AQ587">
        <v>0</v>
      </c>
      <c r="AR587">
        <v>0</v>
      </c>
    </row>
    <row r="588" spans="1:44">
      <c r="A588" t="str">
        <f>H588&amp;COUNTIF($H$2:H588,H588)</f>
        <v>HUB6</v>
      </c>
      <c r="B588" t="str">
        <f>F588&amp;COUNTIF($F$2:F588,F588)</f>
        <v>高雄工業 海南第一43</v>
      </c>
      <c r="C588" t="str">
        <v>在職中</v>
      </c>
      <c r="D588">
        <v>201106</v>
      </c>
      <c r="E588">
        <v>222004</v>
      </c>
      <c r="F588" t="str">
        <v>高雄工業 海南第一</v>
      </c>
      <c r="G588" t="str">
        <v>高雄工業株式会社 愛知事業所海南第一工場製作1課</v>
      </c>
      <c r="H588" t="str">
        <v>HUB</v>
      </c>
      <c r="I588" t="str">
        <v>ハブ加工 機械オペレーター、NCプログラム修正</v>
      </c>
      <c r="J588" t="str">
        <v>NGUYEN DINH TOAN</v>
      </c>
      <c r="K588" t="str">
        <v>グエン　ディン　トアン</v>
      </c>
      <c r="L588" t="str">
        <v>男</v>
      </c>
      <c r="M588" t="str">
        <v>ﾍﾞﾄﾅﾑ</v>
      </c>
      <c r="N588" s="31">
        <v>34415</v>
      </c>
      <c r="O588">
        <v>31</v>
      </c>
      <c r="P588">
        <v>1420</v>
      </c>
      <c r="Q588" t="str">
        <v>6/16~　\1210⇒\1260</v>
      </c>
      <c r="R588">
        <v>1830</v>
      </c>
      <c r="S588" t="str">
        <v>9/16~ 1610円→1760円</v>
      </c>
      <c r="T588">
        <v>410</v>
      </c>
      <c r="U588">
        <v>280000</v>
      </c>
      <c r="V588">
        <v>14042</v>
      </c>
      <c r="W588" t="str">
        <v>0</v>
      </c>
      <c r="X588">
        <v>25620</v>
      </c>
      <c r="Y588" s="31">
        <v>46627</v>
      </c>
      <c r="Z588" t="str">
        <v/>
      </c>
      <c r="AA588" t="str">
        <v>技術・人文知識・国際業務</v>
      </c>
      <c r="AB588" t="str">
        <v>498-0031</v>
      </c>
      <c r="AC588" t="str">
        <v>愛知県弥富市平島町大脇8-6</v>
      </c>
      <c r="AD588">
        <v>0</v>
      </c>
      <c r="AE588" s="31" t="str">
        <v>個人</v>
      </c>
      <c r="AF588" s="31">
        <v>44159</v>
      </c>
      <c r="AG588" s="31">
        <v>0</v>
      </c>
      <c r="AH588" s="31">
        <v>45651</v>
      </c>
      <c r="AI588">
        <v>44197</v>
      </c>
      <c r="AJ588" t="str">
        <v>OK</v>
      </c>
      <c r="AK588">
        <v>0</v>
      </c>
      <c r="AL588">
        <v>44159</v>
      </c>
      <c r="AM588">
        <v>0</v>
      </c>
      <c r="AN588">
        <v>0</v>
      </c>
      <c r="AO588">
        <v>0</v>
      </c>
      <c r="AP588">
        <v>0</v>
      </c>
      <c r="AQ588" t="str">
        <v>JLPT-N3</v>
      </c>
      <c r="AR588">
        <v>0</v>
      </c>
    </row>
    <row r="589" spans="1:44">
      <c r="A589" t="str">
        <f>H589&amp;COUNTIF($H$2:H589,H589)</f>
        <v>本社工場製造1課1工区1班4</v>
      </c>
      <c r="B589" t="str">
        <f>F589&amp;COUNTIF($F$2:F589,F589)</f>
        <v>コーリツ 本社17</v>
      </c>
      <c r="C589" t="str">
        <v>在職中</v>
      </c>
      <c r="D589">
        <v>210710</v>
      </c>
      <c r="E589">
        <v>8210062</v>
      </c>
      <c r="F589" t="str">
        <v>コーリツ 本社</v>
      </c>
      <c r="G589" t="str">
        <v>本社工場製造1課1工区1班</v>
      </c>
      <c r="H589" t="str">
        <v>本社工場製造1課1工区1班</v>
      </c>
      <c r="I589">
        <v>0</v>
      </c>
      <c r="J589" t="str">
        <v>NGUYEN XUAN THANG</v>
      </c>
      <c r="K589" t="str">
        <v>グエン　スワン　タン</v>
      </c>
      <c r="L589" t="str">
        <v>男</v>
      </c>
      <c r="M589" t="str">
        <v>ﾍﾞﾄﾅﾑ</v>
      </c>
      <c r="N589" s="31">
        <v>33139</v>
      </c>
      <c r="O589">
        <v>35</v>
      </c>
      <c r="P589">
        <v>1655</v>
      </c>
      <c r="Q589">
        <v>0</v>
      </c>
      <c r="R589">
        <v>2225</v>
      </c>
      <c r="S589">
        <v>0</v>
      </c>
      <c r="T589">
        <v>570</v>
      </c>
      <c r="U589">
        <v>410000</v>
      </c>
      <c r="V589">
        <v>20561</v>
      </c>
      <c r="W589" t="str">
        <v>0</v>
      </c>
      <c r="X589">
        <v>37515</v>
      </c>
      <c r="Y589" s="31">
        <v>46558</v>
      </c>
      <c r="Z589" t="str">
        <v/>
      </c>
      <c r="AA589" t="str">
        <v>技術・人文知識・国際業務</v>
      </c>
      <c r="AB589" t="str">
        <v>475-0074</v>
      </c>
      <c r="AC589" t="str">
        <v>愛知県半田市長根町３丁目１番</v>
      </c>
      <c r="AD589" t="str">
        <v>県営長根住宅1棟302号</v>
      </c>
      <c r="AE589" s="31" t="str">
        <v>個人</v>
      </c>
      <c r="AF589" s="31">
        <v>45110</v>
      </c>
      <c r="AG589" s="31">
        <v>0</v>
      </c>
      <c r="AH589" s="31">
        <v>0</v>
      </c>
      <c r="AI589" t="str">
        <v>23.7.3</v>
      </c>
      <c r="AJ589" t="str">
        <v>7/13林</v>
      </c>
      <c r="AK589">
        <v>0</v>
      </c>
      <c r="AL589">
        <v>45110</v>
      </c>
      <c r="AM589" t="str">
        <v>普通免許</v>
      </c>
      <c r="AN589">
        <v>45588</v>
      </c>
      <c r="AO589" t="str">
        <v>車</v>
      </c>
      <c r="AP589">
        <v>45915</v>
      </c>
      <c r="AQ589">
        <v>0</v>
      </c>
      <c r="AR589">
        <v>0</v>
      </c>
    </row>
    <row r="590" spans="1:44">
      <c r="A590" t="str">
        <f>H590&amp;COUNTIF($H$2:H590,H590)</f>
        <v>本社製造部製造3課5</v>
      </c>
      <c r="B590" t="str">
        <f>F590&amp;COUNTIF($F$2:F590,F590)</f>
        <v>ユアサ工機 新城5</v>
      </c>
      <c r="C590" t="str">
        <v>退社</v>
      </c>
      <c r="D590">
        <v>230701</v>
      </c>
      <c r="E590">
        <v>0</v>
      </c>
      <c r="F590" t="str">
        <v>ユアサ工機 新城</v>
      </c>
      <c r="G590" t="str">
        <v>本社製造部製造3課</v>
      </c>
      <c r="H590" t="str">
        <v>本社製造部製造3課</v>
      </c>
      <c r="I590" t="str">
        <v>クランクシャフトの旋盤、マシニング、研磨、仕上げ加工など</v>
      </c>
      <c r="J590" t="str">
        <v>HOANG ANH DUNG</v>
      </c>
      <c r="K590" t="str">
        <v>ホアン　アイン　ズン</v>
      </c>
      <c r="L590" t="str">
        <v>男</v>
      </c>
      <c r="M590" t="str">
        <v>ﾍﾞﾄﾅﾑ</v>
      </c>
      <c r="N590" s="31">
        <v>31876</v>
      </c>
      <c r="O590">
        <v>38</v>
      </c>
      <c r="P590">
        <v>1350</v>
      </c>
      <c r="Q590">
        <v>0</v>
      </c>
      <c r="R590">
        <v>1800</v>
      </c>
      <c r="S590">
        <v>0</v>
      </c>
      <c r="T590">
        <v>450</v>
      </c>
      <c r="U590">
        <v>240000</v>
      </c>
      <c r="V590">
        <v>12036</v>
      </c>
      <c r="W590" t="str">
        <v>0</v>
      </c>
      <c r="X590">
        <v>21960</v>
      </c>
      <c r="Y590" s="31">
        <v>46096</v>
      </c>
      <c r="Z590" t="str">
        <v/>
      </c>
      <c r="AA590" t="str">
        <v>技術・人文知識・国際業務</v>
      </c>
      <c r="AB590" t="str">
        <v>441-1231</v>
      </c>
      <c r="AC590" t="str">
        <v>愛知県豊川市一宮町宮前125</v>
      </c>
      <c r="AD590" t="str">
        <v>ﾌｫﾝﾃｲﾝ宮前203</v>
      </c>
      <c r="AE590" s="31">
        <v>45104</v>
      </c>
      <c r="AF590" s="31">
        <v>45110</v>
      </c>
      <c r="AG590" s="31">
        <v>45838</v>
      </c>
      <c r="AH590" s="31">
        <v>0</v>
      </c>
      <c r="AI590" t="str">
        <v>23.7.3</v>
      </c>
      <c r="AJ590" t="str">
        <v>7/13林</v>
      </c>
      <c r="AK590">
        <v>0</v>
      </c>
      <c r="AL590">
        <v>45110</v>
      </c>
      <c r="AM590">
        <v>0</v>
      </c>
      <c r="AN590">
        <v>0</v>
      </c>
      <c r="AO590">
        <v>0</v>
      </c>
      <c r="AP590">
        <v>0</v>
      </c>
      <c r="AQ590">
        <v>0</v>
      </c>
      <c r="AR590">
        <v>0</v>
      </c>
    </row>
    <row r="591" spans="1:44">
      <c r="A591" t="str">
        <f>H591&amp;COUNTIF($H$2:H591,H591)</f>
        <v>本社工場製造1課1工区1班5</v>
      </c>
      <c r="B591" t="str">
        <f>F591&amp;COUNTIF($F$2:F591,F591)</f>
        <v>コーリツ 本社18</v>
      </c>
      <c r="C591" t="str">
        <v>退社</v>
      </c>
      <c r="D591">
        <v>230702</v>
      </c>
      <c r="E591">
        <v>8210063</v>
      </c>
      <c r="F591" t="str">
        <v>コーリツ 本社</v>
      </c>
      <c r="G591" t="str">
        <v>本社工場製造1課1工区1班</v>
      </c>
      <c r="H591" t="str">
        <v>本社工場製造1課1工区1班</v>
      </c>
      <c r="I591">
        <v>0</v>
      </c>
      <c r="J591" t="str">
        <v>NGUYEN DINH TANG</v>
      </c>
      <c r="K591" t="str">
        <v>グエン　デイン　タン</v>
      </c>
      <c r="L591" t="str">
        <v>男</v>
      </c>
      <c r="M591" t="str">
        <v>ﾍﾞﾄﾅﾑ</v>
      </c>
      <c r="N591" s="31">
        <v>32063</v>
      </c>
      <c r="O591">
        <v>38</v>
      </c>
      <c r="P591">
        <v>1400</v>
      </c>
      <c r="Q591">
        <v>0</v>
      </c>
      <c r="R591">
        <v>1990</v>
      </c>
      <c r="S591">
        <v>0</v>
      </c>
      <c r="T591">
        <v>590</v>
      </c>
      <c r="U591">
        <v>320000</v>
      </c>
      <c r="V591">
        <v>16048</v>
      </c>
      <c r="W591" t="str">
        <v>0</v>
      </c>
      <c r="X591">
        <v>29280</v>
      </c>
      <c r="Y591" s="31">
        <v>45911</v>
      </c>
      <c r="Z591" t="str">
        <v/>
      </c>
      <c r="AA591" t="str">
        <v>技術・人文知識・国際業務</v>
      </c>
      <c r="AB591" t="str">
        <v>444-1332</v>
      </c>
      <c r="AC591" t="str">
        <v>愛知県高浜市湯山町八丁目13番地21</v>
      </c>
      <c r="AD591" t="str">
        <v>ﾋﾞﾚｯｼﾞﾊｳｽ湯山1号棟104号室</v>
      </c>
      <c r="AE591" s="31" t="str">
        <v>個人</v>
      </c>
      <c r="AF591" s="31">
        <v>45110</v>
      </c>
      <c r="AG591" s="31">
        <v>45688</v>
      </c>
      <c r="AH591" s="31">
        <v>0</v>
      </c>
      <c r="AI591" t="str">
        <v>23.7.3</v>
      </c>
      <c r="AJ591" t="str">
        <v>7/13林</v>
      </c>
      <c r="AK591">
        <v>0</v>
      </c>
      <c r="AL591">
        <v>45110</v>
      </c>
      <c r="AM591" t="str">
        <v>原付</v>
      </c>
      <c r="AN591">
        <v>47070</v>
      </c>
      <c r="AO591" t="str">
        <v>原付</v>
      </c>
      <c r="AP591">
        <v>46715</v>
      </c>
      <c r="AQ591">
        <v>0</v>
      </c>
      <c r="AR591">
        <v>0</v>
      </c>
    </row>
    <row r="592" spans="1:44">
      <c r="A592" t="str">
        <f>H592&amp;COUNTIF($H$2:H592,H592)</f>
        <v>州の崎工場製造3課5工区6班3</v>
      </c>
      <c r="B592" t="str">
        <f>F592&amp;COUNTIF($F$2:F592,F592)</f>
        <v>コーリツ 州の崎25</v>
      </c>
      <c r="C592" t="str">
        <v>退社</v>
      </c>
      <c r="D592">
        <v>230703</v>
      </c>
      <c r="E592">
        <v>8210061</v>
      </c>
      <c r="F592" t="str">
        <v>コーリツ 州の崎</v>
      </c>
      <c r="G592" t="str">
        <v>州の崎工場製造3課5工区6班</v>
      </c>
      <c r="H592" t="str">
        <v>州の崎工場製造3課5工区6班</v>
      </c>
      <c r="I592">
        <v>0</v>
      </c>
      <c r="J592" t="str">
        <v>NGUYEN VAN ANH</v>
      </c>
      <c r="K592" t="str">
        <v>グエン　バン　アン</v>
      </c>
      <c r="L592" t="str">
        <v>男</v>
      </c>
      <c r="M592" t="str">
        <v>ﾍﾞﾄﾅﾑ</v>
      </c>
      <c r="N592" s="31">
        <v>34476</v>
      </c>
      <c r="O592">
        <v>31</v>
      </c>
      <c r="P592">
        <v>1400</v>
      </c>
      <c r="Q592">
        <v>0</v>
      </c>
      <c r="R592">
        <v>1990</v>
      </c>
      <c r="S592">
        <v>0</v>
      </c>
      <c r="T592">
        <v>590</v>
      </c>
      <c r="U592">
        <v>220000</v>
      </c>
      <c r="V592">
        <v>11033</v>
      </c>
      <c r="W592" t="str">
        <v>0</v>
      </c>
      <c r="X592">
        <v>20130</v>
      </c>
      <c r="Y592" s="31">
        <v>45758</v>
      </c>
      <c r="Z592" t="str">
        <v/>
      </c>
      <c r="AA592" t="str">
        <v>技術・人文知識・国際業務</v>
      </c>
      <c r="AB592" t="str">
        <v>444-1323</v>
      </c>
      <c r="AC592" t="str">
        <v>愛知県高浜市田戸町二丁目6-40</v>
      </c>
      <c r="AD592" t="str">
        <v>県営横浜住宅１棟301</v>
      </c>
      <c r="AE592" s="31">
        <v>45109</v>
      </c>
      <c r="AF592" s="31">
        <v>45110</v>
      </c>
      <c r="AG592" s="31">
        <v>45541</v>
      </c>
      <c r="AH592" s="31">
        <v>0</v>
      </c>
      <c r="AI592" t="str">
        <v>23.7.3</v>
      </c>
      <c r="AJ592" t="str">
        <v>7/13林</v>
      </c>
      <c r="AK592">
        <v>0</v>
      </c>
      <c r="AL592">
        <v>45110</v>
      </c>
      <c r="AM592" t="str">
        <v>普通免許</v>
      </c>
      <c r="AN592">
        <v>46195</v>
      </c>
      <c r="AO592" t="str">
        <v>車</v>
      </c>
      <c r="AP592">
        <v>46452</v>
      </c>
      <c r="AQ592">
        <v>0</v>
      </c>
      <c r="AR592">
        <v>0</v>
      </c>
    </row>
    <row r="593" spans="1:44">
      <c r="A593" t="str">
        <f>H593&amp;COUNTIF($H$2:H593,H593)</f>
        <v>2課2</v>
      </c>
      <c r="B593" t="str">
        <f>F593&amp;COUNTIF($F$2:F593,F593)</f>
        <v>加藤木材工業 本社22</v>
      </c>
      <c r="C593" t="str">
        <v>在職中</v>
      </c>
      <c r="D593">
        <v>230704</v>
      </c>
      <c r="E593">
        <v>5678</v>
      </c>
      <c r="F593" t="str">
        <v>加藤木材工業 本社</v>
      </c>
      <c r="G593" t="str">
        <v>生産1部</v>
      </c>
      <c r="H593" t="str">
        <v>2課</v>
      </c>
      <c r="I593" t="str">
        <v>機械オペレーター及び機械メンテナンス他付随する業務</v>
      </c>
      <c r="J593" t="str">
        <v>DO VAN HIEP</v>
      </c>
      <c r="K593" t="str">
        <v>ド　ヴァン　ヒエップ</v>
      </c>
      <c r="L593" t="str">
        <v>男</v>
      </c>
      <c r="M593" t="str">
        <v>ﾍﾞﾄﾅﾑ</v>
      </c>
      <c r="N593" s="31">
        <v>34363</v>
      </c>
      <c r="O593">
        <v>31</v>
      </c>
      <c r="P593">
        <v>1300</v>
      </c>
      <c r="Q593">
        <v>0</v>
      </c>
      <c r="R593">
        <v>1800</v>
      </c>
      <c r="S593">
        <v>0</v>
      </c>
      <c r="T593">
        <v>500</v>
      </c>
      <c r="U593">
        <v>260000</v>
      </c>
      <c r="V593">
        <v>13039</v>
      </c>
      <c r="W593" t="str">
        <v>0</v>
      </c>
      <c r="X593">
        <v>23790</v>
      </c>
      <c r="Y593" s="31">
        <v>46598</v>
      </c>
      <c r="Z593" t="str">
        <v/>
      </c>
      <c r="AA593" t="str">
        <v>技術・人文知識・国際業務</v>
      </c>
      <c r="AB593" t="str">
        <v>482-0004</v>
      </c>
      <c r="AC593" t="str">
        <v>愛知県岩倉市 五条町渡り所1520-1</v>
      </c>
      <c r="AD593" t="str">
        <v>ﾋﾞﾚｯｼﾞﾊｳｽ岩倉206</v>
      </c>
      <c r="AE593" s="31">
        <v>45207</v>
      </c>
      <c r="AF593" s="31">
        <v>45112</v>
      </c>
      <c r="AG593" s="31">
        <v>0</v>
      </c>
      <c r="AH593" s="31">
        <v>0</v>
      </c>
      <c r="AI593" t="str">
        <v>23.7.5</v>
      </c>
      <c r="AJ593" t="str">
        <v>7/13林</v>
      </c>
      <c r="AK593" t="str">
        <v>2023/7/5ピーエムアイ入社　⇒　2025/2/3加藤木材工業　本社に異動</v>
      </c>
      <c r="AL593">
        <v>45112</v>
      </c>
      <c r="AM593">
        <v>0</v>
      </c>
      <c r="AN593">
        <v>0</v>
      </c>
      <c r="AO593">
        <v>0</v>
      </c>
      <c r="AP593">
        <v>0</v>
      </c>
      <c r="AQ593">
        <v>0</v>
      </c>
      <c r="AR593">
        <v>0</v>
      </c>
    </row>
    <row r="594" spans="1:44">
      <c r="A594" t="str">
        <f>H594&amp;COUNTIF($H$2:H594,H594)</f>
        <v>第5工場1</v>
      </c>
      <c r="B594" t="str">
        <f>F594&amp;COUNTIF($F$2:F594,F594)</f>
        <v>オーツカ7</v>
      </c>
      <c r="C594" t="str">
        <v>退社</v>
      </c>
      <c r="D594">
        <v>230705</v>
      </c>
      <c r="E594">
        <v>0</v>
      </c>
      <c r="F594" t="str">
        <v>オーツカ</v>
      </c>
      <c r="G594" t="str">
        <v>製造部関ヶ原第三製造課</v>
      </c>
      <c r="H594" t="str">
        <v>第5工場</v>
      </c>
      <c r="I594" t="str">
        <v>製造及び検索、それに付随する業務。</v>
      </c>
      <c r="J594" t="str">
        <v>JONDA RAMOS VICTOR ADOLFO</v>
      </c>
      <c r="K594" t="str">
        <v>ホンダ　ビクトル</v>
      </c>
      <c r="L594" t="str">
        <v>男</v>
      </c>
      <c r="M594" t="str">
        <v>ﾍﾟﾙｰ</v>
      </c>
      <c r="N594" s="31">
        <v>28516</v>
      </c>
      <c r="O594">
        <v>47</v>
      </c>
      <c r="P594">
        <v>1400</v>
      </c>
      <c r="Q594">
        <v>0</v>
      </c>
      <c r="R594">
        <v>1872</v>
      </c>
      <c r="S594">
        <v>0</v>
      </c>
      <c r="T594">
        <v>472</v>
      </c>
      <c r="U594">
        <v>220000</v>
      </c>
      <c r="V594">
        <v>11033</v>
      </c>
      <c r="W594">
        <v>1749</v>
      </c>
      <c r="X594">
        <v>20130</v>
      </c>
      <c r="Y594" s="31">
        <v>46081</v>
      </c>
      <c r="Z594" t="str">
        <v/>
      </c>
      <c r="AA594" t="str">
        <v>日本人の配偶者等</v>
      </c>
      <c r="AB594" t="str">
        <v>526-0803</v>
      </c>
      <c r="AC594" t="str">
        <v>滋賀県長浜市東上坂町524-1</v>
      </c>
      <c r="AD594" t="str">
        <v xml:space="preserve"> </v>
      </c>
      <c r="AE594" s="31" t="str">
        <v>個人</v>
      </c>
      <c r="AF594" s="31">
        <v>45112</v>
      </c>
      <c r="AG594" s="31">
        <v>45229</v>
      </c>
      <c r="AH594" s="31">
        <v>0</v>
      </c>
      <c r="AI594" t="str">
        <v>23.7.5</v>
      </c>
      <c r="AJ594" t="str">
        <v>7/13林</v>
      </c>
      <c r="AK594">
        <v>0</v>
      </c>
      <c r="AL594">
        <v>45112</v>
      </c>
      <c r="AM594">
        <v>0</v>
      </c>
      <c r="AN594">
        <v>0</v>
      </c>
      <c r="AO594">
        <v>0</v>
      </c>
      <c r="AP594">
        <v>0</v>
      </c>
      <c r="AQ594">
        <v>0</v>
      </c>
      <c r="AR594">
        <v>0</v>
      </c>
    </row>
    <row r="595" spans="1:44">
      <c r="A595" t="str">
        <f>H595&amp;COUNTIF($H$2:H595,H595)</f>
        <v>材料管理係1</v>
      </c>
      <c r="B595" t="str">
        <f>F595&amp;COUNTIF($F$2:F595,F595)</f>
        <v>高雄工業 岡山114</v>
      </c>
      <c r="C595" t="str">
        <v>在職中</v>
      </c>
      <c r="D595">
        <v>230706</v>
      </c>
      <c r="E595">
        <v>232114</v>
      </c>
      <c r="F595" t="str">
        <v>高雄工業 岡山</v>
      </c>
      <c r="G595" t="str">
        <v>高雄工業株式会社第一営業部岡山営業課</v>
      </c>
      <c r="H595" t="str">
        <v>材料管理係</v>
      </c>
      <c r="I595" t="str">
        <v>鋳造材料の工場内加工ラインへの供給</v>
      </c>
      <c r="J595" t="str">
        <v>HO THI NHUNG</v>
      </c>
      <c r="K595" t="str">
        <v>ホー　ティ　ニュン</v>
      </c>
      <c r="L595" t="str">
        <v>女</v>
      </c>
      <c r="M595" t="str">
        <v>ﾍﾞﾄﾅﾑ</v>
      </c>
      <c r="N595" s="31">
        <v>33757</v>
      </c>
      <c r="O595">
        <v>33</v>
      </c>
      <c r="P595">
        <v>1100</v>
      </c>
      <c r="Q595">
        <v>0</v>
      </c>
      <c r="R595">
        <v>1630</v>
      </c>
      <c r="S595">
        <v>0</v>
      </c>
      <c r="T595">
        <v>530</v>
      </c>
      <c r="U595">
        <v>88000</v>
      </c>
      <c r="V595">
        <v>4413</v>
      </c>
      <c r="W595" t="str">
        <v>0</v>
      </c>
      <c r="X595">
        <v>8052</v>
      </c>
      <c r="Y595" s="31">
        <v>46152</v>
      </c>
      <c r="Z595" t="str">
        <v/>
      </c>
      <c r="AA595" t="str">
        <v>家族滞在</v>
      </c>
      <c r="AB595" t="str">
        <v>709-2107</v>
      </c>
      <c r="AC595" t="str">
        <v>岡山県岡山市北区御津矢原297-1</v>
      </c>
      <c r="AD595" t="str">
        <v>成広矢原ｺｰﾎﾟⅤ201</v>
      </c>
      <c r="AE595" s="31">
        <v>45318</v>
      </c>
      <c r="AF595" s="31">
        <v>45117</v>
      </c>
      <c r="AG595" s="31">
        <v>0</v>
      </c>
      <c r="AH595" s="31">
        <v>0</v>
      </c>
      <c r="AI595" t="str">
        <v>社保なし</v>
      </c>
      <c r="AJ595" t="str">
        <v>8/1原</v>
      </c>
      <c r="AK595">
        <v>0</v>
      </c>
      <c r="AL595">
        <v>45117</v>
      </c>
      <c r="AM595">
        <v>0</v>
      </c>
      <c r="AN595">
        <v>0</v>
      </c>
      <c r="AO595">
        <v>0</v>
      </c>
      <c r="AP595">
        <v>0</v>
      </c>
      <c r="AQ595">
        <v>0</v>
      </c>
      <c r="AR595">
        <v>0</v>
      </c>
    </row>
    <row r="596" spans="1:44">
      <c r="A596" t="str">
        <f>H596&amp;COUNTIF($H$2:H596,H596)</f>
        <v>HUB　検査課係（保留中）2</v>
      </c>
      <c r="B596" t="str">
        <f>F596&amp;COUNTIF($F$2:F596,F596)</f>
        <v>高雄工業 岡山115</v>
      </c>
      <c r="C596" t="str">
        <v>退社</v>
      </c>
      <c r="D596">
        <v>230707</v>
      </c>
      <c r="E596">
        <v>232115</v>
      </c>
      <c r="F596" t="str">
        <v>高雄工業 岡山</v>
      </c>
      <c r="G596" t="str">
        <v>高雄工業株式会社 岡山品質保証部岡山HUB品証課</v>
      </c>
      <c r="H596" t="str">
        <v>HUB　検査課係（保留中）</v>
      </c>
      <c r="I596" t="str">
        <v>HUB旋削加工品の抜き取り検査</v>
      </c>
      <c r="J596" t="str">
        <v>BUI THI PHUONG</v>
      </c>
      <c r="K596" t="str">
        <v>ブイ　ティ　フォン</v>
      </c>
      <c r="L596" t="str">
        <v>女</v>
      </c>
      <c r="M596" t="str">
        <v>ﾍﾞﾄﾅﾑ</v>
      </c>
      <c r="N596" s="31">
        <v>34232</v>
      </c>
      <c r="O596">
        <v>32</v>
      </c>
      <c r="P596">
        <v>1100</v>
      </c>
      <c r="Q596">
        <v>0</v>
      </c>
      <c r="R596">
        <v>1600</v>
      </c>
      <c r="S596">
        <v>0</v>
      </c>
      <c r="T596">
        <v>500</v>
      </c>
      <c r="U596">
        <v>126000</v>
      </c>
      <c r="V596">
        <v>6319</v>
      </c>
      <c r="W596" t="str">
        <v>0</v>
      </c>
      <c r="X596">
        <v>11529</v>
      </c>
      <c r="Y596" s="31">
        <v>45630</v>
      </c>
      <c r="Z596" t="str">
        <v/>
      </c>
      <c r="AA596" t="str">
        <v>家族滞在</v>
      </c>
      <c r="AB596" t="str">
        <v>709-2107</v>
      </c>
      <c r="AC596" t="str">
        <v>岡山県岡山市北区御津矢原370</v>
      </c>
      <c r="AD596" t="str">
        <v>成広ｺｰﾎﾟⅡ206</v>
      </c>
      <c r="AE596" s="31">
        <v>45118</v>
      </c>
      <c r="AF596" s="31">
        <v>45125</v>
      </c>
      <c r="AG596" s="31">
        <v>45180</v>
      </c>
      <c r="AH596" s="31">
        <v>0</v>
      </c>
      <c r="AI596" t="str">
        <v>23.7.18</v>
      </c>
      <c r="AJ596" t="str">
        <v>7/27林</v>
      </c>
      <c r="AK596">
        <v>0</v>
      </c>
      <c r="AL596">
        <v>45125</v>
      </c>
      <c r="AM596">
        <v>0</v>
      </c>
      <c r="AN596">
        <v>0</v>
      </c>
      <c r="AO596">
        <v>0</v>
      </c>
      <c r="AP596">
        <v>0</v>
      </c>
      <c r="AQ596">
        <v>0</v>
      </c>
      <c r="AR596">
        <v>0</v>
      </c>
    </row>
    <row r="597" spans="1:44">
      <c r="A597" t="str">
        <f>H597&amp;COUNTIF($H$2:H597,H597)</f>
        <v>生産課4</v>
      </c>
      <c r="B597" t="str">
        <f>F597&amp;COUNTIF($F$2:F597,F597)</f>
        <v>加藤木材工業 本社23</v>
      </c>
      <c r="C597" t="str">
        <v>退社</v>
      </c>
      <c r="D597">
        <v>230708</v>
      </c>
      <c r="E597">
        <v>5578</v>
      </c>
      <c r="F597" t="str">
        <v>加藤木材工業 本社</v>
      </c>
      <c r="G597" t="str">
        <v>生産2部</v>
      </c>
      <c r="H597" t="str">
        <v>生産課</v>
      </c>
      <c r="I597" t="str">
        <v>機械オペレーター及び機械メンテナンス他付随する業務</v>
      </c>
      <c r="J597" t="str">
        <v>NGUYEN VAN PHUC</v>
      </c>
      <c r="K597" t="str">
        <v>グエン　ヴァン　フック</v>
      </c>
      <c r="L597" t="str">
        <v>男</v>
      </c>
      <c r="M597" t="str">
        <v>ﾍﾞﾄﾅﾑ</v>
      </c>
      <c r="N597" s="31">
        <v>33552</v>
      </c>
      <c r="O597">
        <v>34</v>
      </c>
      <c r="P597">
        <v>1300</v>
      </c>
      <c r="Q597">
        <v>0</v>
      </c>
      <c r="R597">
        <v>1700</v>
      </c>
      <c r="S597">
        <v>0</v>
      </c>
      <c r="T597">
        <v>400</v>
      </c>
      <c r="U597">
        <v>220000</v>
      </c>
      <c r="V597">
        <v>11033</v>
      </c>
      <c r="W597" t="str">
        <v>0</v>
      </c>
      <c r="X597">
        <v>20130</v>
      </c>
      <c r="Y597" s="31">
        <v>46103</v>
      </c>
      <c r="Z597" t="str">
        <v/>
      </c>
      <c r="AA597" t="str">
        <v>技術・人文知識・国際業務</v>
      </c>
      <c r="AB597" t="str">
        <v>485-0832</v>
      </c>
      <c r="AC597" t="str">
        <v>愛知県小牧市応時1丁目66番地</v>
      </c>
      <c r="AD597" t="str">
        <v>ﾌﾚｽｶｲﾄｳ301</v>
      </c>
      <c r="AE597" s="31">
        <v>45126</v>
      </c>
      <c r="AF597" s="31">
        <v>45128</v>
      </c>
      <c r="AG597" s="31">
        <v>45248</v>
      </c>
      <c r="AH597" s="31">
        <v>0</v>
      </c>
      <c r="AI597" t="str">
        <v>23.7.21</v>
      </c>
      <c r="AJ597" t="str">
        <v>7/27林</v>
      </c>
      <c r="AK597">
        <v>0</v>
      </c>
      <c r="AL597">
        <v>45128</v>
      </c>
      <c r="AM597">
        <v>0</v>
      </c>
      <c r="AN597">
        <v>0</v>
      </c>
      <c r="AO597">
        <v>0</v>
      </c>
      <c r="AP597">
        <v>0</v>
      </c>
      <c r="AQ597">
        <v>0</v>
      </c>
      <c r="AR597">
        <v>0</v>
      </c>
    </row>
    <row r="598" spans="1:44">
      <c r="A598" t="str">
        <f>H598&amp;COUNTIF($H$2:H598,H598)</f>
        <v>本社製造部製造3課6</v>
      </c>
      <c r="B598" t="str">
        <f>F598&amp;COUNTIF($F$2:F598,F598)</f>
        <v>ユアサ工機 新城6</v>
      </c>
      <c r="C598" t="str">
        <v>退社</v>
      </c>
      <c r="D598">
        <v>230709</v>
      </c>
      <c r="E598">
        <v>0</v>
      </c>
      <c r="F598" t="str">
        <v>ユアサ工機 新城</v>
      </c>
      <c r="G598" t="str">
        <v>本社製造部製造3課</v>
      </c>
      <c r="H598" t="str">
        <v>本社製造部製造3課</v>
      </c>
      <c r="I598" t="str">
        <v>クランクシャフトの旋盤、マシニング、研磨、仕上げ加工など</v>
      </c>
      <c r="J598" t="str">
        <v>DANG VAN BINH</v>
      </c>
      <c r="K598" t="str">
        <v>ダン　ヴァン　ビン</v>
      </c>
      <c r="L598" t="str">
        <v>男</v>
      </c>
      <c r="M598" t="str">
        <v>ﾍﾞﾄﾅﾑ</v>
      </c>
      <c r="N598" s="31">
        <v>35288</v>
      </c>
      <c r="O598">
        <v>29</v>
      </c>
      <c r="P598">
        <v>1350</v>
      </c>
      <c r="Q598">
        <v>0</v>
      </c>
      <c r="R598">
        <v>1800</v>
      </c>
      <c r="S598">
        <v>0</v>
      </c>
      <c r="T598">
        <v>450</v>
      </c>
      <c r="U598">
        <v>200000</v>
      </c>
      <c r="V598">
        <v>10030</v>
      </c>
      <c r="W598" t="str">
        <v>0</v>
      </c>
      <c r="X598">
        <v>18300</v>
      </c>
      <c r="Y598" s="31">
        <v>45369</v>
      </c>
      <c r="Z598" t="str">
        <v/>
      </c>
      <c r="AA598" t="str">
        <v>技術・人文知識・国際業務</v>
      </c>
      <c r="AB598" t="str">
        <v>441-1342</v>
      </c>
      <c r="AC598" t="str">
        <v>愛知県新城市石田字南畑51-1</v>
      </c>
      <c r="AD598" t="str">
        <v>ﾌﾞﾗﾝｼｪHiroB</v>
      </c>
      <c r="AE598" s="31">
        <v>45123</v>
      </c>
      <c r="AF598" s="31">
        <v>45132</v>
      </c>
      <c r="AG598" s="31">
        <v>45275</v>
      </c>
      <c r="AH598" s="31">
        <v>0</v>
      </c>
      <c r="AI598" t="str">
        <v>23.7.25</v>
      </c>
      <c r="AJ598" t="str">
        <v>8/1原</v>
      </c>
      <c r="AK598">
        <v>0</v>
      </c>
      <c r="AL598">
        <v>45132</v>
      </c>
      <c r="AM598">
        <v>0</v>
      </c>
      <c r="AN598">
        <v>0</v>
      </c>
      <c r="AO598">
        <v>0</v>
      </c>
      <c r="AP598">
        <v>0</v>
      </c>
      <c r="AQ598">
        <v>0</v>
      </c>
      <c r="AR598">
        <v>0</v>
      </c>
    </row>
    <row r="599" spans="1:44">
      <c r="A599" t="str">
        <f>H599&amp;COUNTIF($H$2:H599,H599)</f>
        <v>本社製造部製造3課7</v>
      </c>
      <c r="B599" t="str">
        <f>F599&amp;COUNTIF($F$2:F599,F599)</f>
        <v>ユアサ工機 新城7</v>
      </c>
      <c r="C599" t="str">
        <v>退社</v>
      </c>
      <c r="D599">
        <v>230710</v>
      </c>
      <c r="E599">
        <v>0</v>
      </c>
      <c r="F599" t="str">
        <v>ユアサ工機 新城</v>
      </c>
      <c r="G599" t="str">
        <v>本社製造部製造3課</v>
      </c>
      <c r="H599" t="str">
        <v>本社製造部製造3課</v>
      </c>
      <c r="I599" t="str">
        <v>クランクシャフトの旋盤、マシニング、研磨、仕上げ加工など</v>
      </c>
      <c r="J599" t="str">
        <v>LE XUAN HOANG</v>
      </c>
      <c r="K599" t="str">
        <v>レ　スアン　ホアン</v>
      </c>
      <c r="L599" t="str">
        <v>男</v>
      </c>
      <c r="M599" t="str">
        <v>ﾍﾞﾄﾅﾑ</v>
      </c>
      <c r="N599" s="31">
        <v>35502</v>
      </c>
      <c r="O599">
        <v>28</v>
      </c>
      <c r="P599">
        <v>1350</v>
      </c>
      <c r="Q599">
        <v>0</v>
      </c>
      <c r="R599">
        <v>1800</v>
      </c>
      <c r="S599">
        <v>0</v>
      </c>
      <c r="T599">
        <v>450</v>
      </c>
      <c r="U599">
        <v>200000</v>
      </c>
      <c r="V599">
        <v>10030</v>
      </c>
      <c r="W599" t="str">
        <v>0</v>
      </c>
      <c r="X599">
        <v>18300</v>
      </c>
      <c r="Y599" s="31">
        <v>45634</v>
      </c>
      <c r="Z599" t="str">
        <v/>
      </c>
      <c r="AA599" t="str">
        <v>技術・人文知識・国際業務</v>
      </c>
      <c r="AB599" t="str">
        <v>441-1342</v>
      </c>
      <c r="AC599" t="str">
        <v>愛知県新城市石田字南畑51-1</v>
      </c>
      <c r="AD599" t="str">
        <v>ﾌﾞﾗﾝｼｪHiroB</v>
      </c>
      <c r="AE599" s="31">
        <v>45123</v>
      </c>
      <c r="AF599" s="31">
        <v>45132</v>
      </c>
      <c r="AG599" s="31">
        <v>45273</v>
      </c>
      <c r="AH599" s="31">
        <v>0</v>
      </c>
      <c r="AI599" t="str">
        <v>23.7.25</v>
      </c>
      <c r="AJ599" t="str">
        <v>8/1原</v>
      </c>
      <c r="AK599">
        <v>0</v>
      </c>
      <c r="AL599">
        <v>45132</v>
      </c>
      <c r="AM599">
        <v>0</v>
      </c>
      <c r="AN599">
        <v>0</v>
      </c>
      <c r="AO599">
        <v>0</v>
      </c>
      <c r="AP599">
        <v>0</v>
      </c>
      <c r="AQ599">
        <v>0</v>
      </c>
      <c r="AR599">
        <v>0</v>
      </c>
    </row>
    <row r="600" spans="1:44">
      <c r="A600" t="str">
        <f>H600&amp;COUNTIF($H$2:H600,H600)</f>
        <v>0231</v>
      </c>
      <c r="B600" t="str">
        <f>F600&amp;COUNTIF($F$2:F600,F600)</f>
        <v>コーリツ 亀崎8</v>
      </c>
      <c r="C600" t="str">
        <v>退社</v>
      </c>
      <c r="D600">
        <v>230711</v>
      </c>
      <c r="E600">
        <v>8210064</v>
      </c>
      <c r="F600" t="str">
        <v>コーリツ 亀崎</v>
      </c>
      <c r="G600">
        <v>0</v>
      </c>
      <c r="H600">
        <v>0</v>
      </c>
      <c r="I600">
        <v>0</v>
      </c>
      <c r="J600" t="str">
        <v>HO SY CUONG</v>
      </c>
      <c r="K600" t="str">
        <v>ホー　シー　クオン</v>
      </c>
      <c r="L600" t="str">
        <v>男</v>
      </c>
      <c r="M600" t="str">
        <v>ﾍﾞﾄﾅﾑ</v>
      </c>
      <c r="N600" s="31">
        <v>34375</v>
      </c>
      <c r="O600">
        <v>31</v>
      </c>
      <c r="P600">
        <v>1400</v>
      </c>
      <c r="Q600">
        <v>0</v>
      </c>
      <c r="R600">
        <v>1990</v>
      </c>
      <c r="S600">
        <v>0</v>
      </c>
      <c r="T600">
        <v>590</v>
      </c>
      <c r="U600">
        <v>0</v>
      </c>
      <c r="V600" t="str">
        <v/>
      </c>
      <c r="W600" t="str">
        <v>0</v>
      </c>
      <c r="X600">
        <v>0</v>
      </c>
      <c r="Y600" s="31">
        <v>45620</v>
      </c>
      <c r="Z600" t="str">
        <v/>
      </c>
      <c r="AA600" t="str">
        <v>技術・人文知識・国際業務</v>
      </c>
      <c r="AB600" t="str">
        <v>475-0061</v>
      </c>
      <c r="AC600" t="str">
        <v>愛知県半田市一ノ草町201-11</v>
      </c>
      <c r="AD600" t="str">
        <v>ﾒｿﾞﾝﾊﾟｰｸｱﾍﾞﾆｭｰ103</v>
      </c>
      <c r="AE600" s="31">
        <v>45131</v>
      </c>
      <c r="AF600" s="31">
        <v>45133</v>
      </c>
      <c r="AG600" s="31">
        <v>45149</v>
      </c>
      <c r="AH600" s="31">
        <v>0</v>
      </c>
      <c r="AI600">
        <v>0</v>
      </c>
      <c r="AJ600">
        <v>0</v>
      </c>
      <c r="AK600">
        <v>0</v>
      </c>
      <c r="AL600">
        <v>45133</v>
      </c>
      <c r="AM600">
        <v>0</v>
      </c>
      <c r="AN600">
        <v>0</v>
      </c>
      <c r="AO600">
        <v>0</v>
      </c>
      <c r="AP600">
        <v>0</v>
      </c>
      <c r="AQ600">
        <v>0</v>
      </c>
      <c r="AR600">
        <v>0</v>
      </c>
    </row>
    <row r="601" spans="1:44">
      <c r="A601" t="str">
        <f>H601&amp;COUNTIF($H$2:H601,H601)</f>
        <v>0232</v>
      </c>
      <c r="B601" t="str">
        <f>F601&amp;COUNTIF($F$2:F601,F601)</f>
        <v>コーリツ 州の崎26</v>
      </c>
      <c r="C601" t="str">
        <v>退社</v>
      </c>
      <c r="D601">
        <v>230712</v>
      </c>
      <c r="E601">
        <v>8210065</v>
      </c>
      <c r="F601" t="str">
        <v>コーリツ 州の崎</v>
      </c>
      <c r="G601">
        <v>0</v>
      </c>
      <c r="H601">
        <v>0</v>
      </c>
      <c r="I601">
        <v>0</v>
      </c>
      <c r="J601" t="str">
        <v>PHAN VAN PHI</v>
      </c>
      <c r="K601" t="str">
        <v>ファン　ヴァン　フィ</v>
      </c>
      <c r="L601" t="str">
        <v>男</v>
      </c>
      <c r="M601" t="str">
        <v>ﾍﾞﾄﾅﾑ</v>
      </c>
      <c r="N601" s="31">
        <v>34848</v>
      </c>
      <c r="O601">
        <v>30</v>
      </c>
      <c r="P601">
        <v>1400</v>
      </c>
      <c r="Q601">
        <v>0</v>
      </c>
      <c r="R601">
        <v>1990</v>
      </c>
      <c r="S601">
        <v>0</v>
      </c>
      <c r="T601">
        <v>590</v>
      </c>
      <c r="U601">
        <v>220000</v>
      </c>
      <c r="V601">
        <v>11033</v>
      </c>
      <c r="W601" t="str">
        <v>0</v>
      </c>
      <c r="X601">
        <v>20130</v>
      </c>
      <c r="Y601" s="31">
        <v>45795</v>
      </c>
      <c r="Z601" t="str">
        <v/>
      </c>
      <c r="AA601" t="str">
        <v>技術・人文知識・国際業務</v>
      </c>
      <c r="AB601" t="str">
        <v>475-0061</v>
      </c>
      <c r="AC601" t="str">
        <v>愛知県半田市一ノ草町201-11</v>
      </c>
      <c r="AD601" t="str">
        <v>ﾒｿﾞﾝﾊﾟｰｸｱﾍﾞﾆｭｰ201</v>
      </c>
      <c r="AE601" s="31">
        <v>45131</v>
      </c>
      <c r="AF601" s="31">
        <v>45133</v>
      </c>
      <c r="AG601" s="31">
        <v>45219</v>
      </c>
      <c r="AH601" s="31">
        <v>0</v>
      </c>
      <c r="AI601" t="str">
        <v>23.7.26</v>
      </c>
      <c r="AJ601" t="str">
        <v>8/9林</v>
      </c>
      <c r="AK601">
        <v>0</v>
      </c>
      <c r="AL601">
        <v>45133</v>
      </c>
      <c r="AM601">
        <v>0</v>
      </c>
      <c r="AN601">
        <v>0</v>
      </c>
      <c r="AO601">
        <v>0</v>
      </c>
      <c r="AP601">
        <v>0</v>
      </c>
      <c r="AQ601">
        <v>0</v>
      </c>
      <c r="AR601">
        <v>0</v>
      </c>
    </row>
    <row r="602" spans="1:44">
      <c r="A602" t="str">
        <f>H602&amp;COUNTIF($H$2:H602,H602)</f>
        <v>等速ジョイント25</v>
      </c>
      <c r="B602" t="str">
        <f>F602&amp;COUNTIF($F$2:F602,F602)</f>
        <v>瑞陵精機38</v>
      </c>
      <c r="C602" t="str">
        <v>在職中</v>
      </c>
      <c r="D602">
        <v>230713</v>
      </c>
      <c r="E602">
        <v>0</v>
      </c>
      <c r="F602" t="str">
        <v>瑞陵精機</v>
      </c>
      <c r="G602" t="str">
        <v>製造課</v>
      </c>
      <c r="H602" t="str">
        <v>等速ジョイント</v>
      </c>
      <c r="I602" t="str">
        <v>ＮＣ旋盤、マシニングセンター等の工作機械を使いオペレーターとして製造ラインで製品を加工</v>
      </c>
      <c r="J602" t="str">
        <v>NGUYEN VAN NAM</v>
      </c>
      <c r="K602" t="str">
        <v>グエン　ヴァン　ナム</v>
      </c>
      <c r="L602" t="str">
        <v>男</v>
      </c>
      <c r="M602" t="str">
        <v>ﾍﾞﾄﾅﾑ</v>
      </c>
      <c r="N602" s="31">
        <v>37078</v>
      </c>
      <c r="O602">
        <v>24</v>
      </c>
      <c r="P602">
        <v>1310</v>
      </c>
      <c r="Q602">
        <v>0</v>
      </c>
      <c r="R602">
        <v>1700</v>
      </c>
      <c r="S602">
        <v>0</v>
      </c>
      <c r="T602">
        <v>390</v>
      </c>
      <c r="U602">
        <v>240000</v>
      </c>
      <c r="V602">
        <v>12036</v>
      </c>
      <c r="W602" t="str">
        <v>0</v>
      </c>
      <c r="X602">
        <v>21960</v>
      </c>
      <c r="Y602" s="31">
        <v>46993</v>
      </c>
      <c r="Z602" t="str">
        <v/>
      </c>
      <c r="AA602" t="str">
        <v>技術・人文知識・国際業務</v>
      </c>
      <c r="AB602" t="str">
        <v>509-7201</v>
      </c>
      <c r="AC602" t="str">
        <v>岐阜県恵那市大井町2087-170</v>
      </c>
      <c r="AD602" t="str">
        <v>ﾋﾞﾚｯｼﾞﾊｳｽ恵那１棟403</v>
      </c>
      <c r="AE602" s="31">
        <v>45133</v>
      </c>
      <c r="AF602" s="31">
        <v>45138</v>
      </c>
      <c r="AG602" s="31">
        <v>0</v>
      </c>
      <c r="AH602" s="31">
        <v>45347</v>
      </c>
      <c r="AI602" t="str">
        <v>23.8.1</v>
      </c>
      <c r="AJ602" t="str">
        <v>8/9林</v>
      </c>
      <c r="AK602">
        <v>0</v>
      </c>
      <c r="AL602">
        <v>45138</v>
      </c>
      <c r="AM602">
        <v>0</v>
      </c>
      <c r="AN602">
        <v>0</v>
      </c>
      <c r="AO602">
        <v>0</v>
      </c>
      <c r="AP602">
        <v>0</v>
      </c>
      <c r="AQ602">
        <v>0</v>
      </c>
      <c r="AR602">
        <v>0</v>
      </c>
    </row>
    <row r="603" spans="1:44">
      <c r="A603" t="str">
        <f>H603&amp;COUNTIF($H$2:H603,H603)</f>
        <v>等速ジョイント26</v>
      </c>
      <c r="B603" t="str">
        <f>F603&amp;COUNTIF($F$2:F603,F603)</f>
        <v>瑞陵精機39</v>
      </c>
      <c r="C603" t="str">
        <v>在職中</v>
      </c>
      <c r="D603">
        <v>230714</v>
      </c>
      <c r="E603">
        <v>0</v>
      </c>
      <c r="F603" t="str">
        <v>瑞陵精機</v>
      </c>
      <c r="G603" t="str">
        <v>製造課</v>
      </c>
      <c r="H603" t="str">
        <v>等速ジョイント</v>
      </c>
      <c r="I603" t="str">
        <v>ＮＣ旋盤、マシニングセンター等の工作機械を使いオペレーターとして製造ラインで製品を加工</v>
      </c>
      <c r="J603" t="str">
        <v>THAI VAN HUNG</v>
      </c>
      <c r="K603" t="str">
        <v>タイ　ヴァン　フン</v>
      </c>
      <c r="L603" t="str">
        <v>男</v>
      </c>
      <c r="M603" t="str">
        <v>ﾍﾞﾄﾅﾑ</v>
      </c>
      <c r="N603" s="31">
        <v>35400</v>
      </c>
      <c r="O603">
        <v>29</v>
      </c>
      <c r="P603">
        <v>1310</v>
      </c>
      <c r="Q603">
        <v>0</v>
      </c>
      <c r="R603">
        <v>1700</v>
      </c>
      <c r="S603">
        <v>0</v>
      </c>
      <c r="T603">
        <v>390</v>
      </c>
      <c r="U603">
        <v>260000</v>
      </c>
      <c r="V603">
        <v>13039</v>
      </c>
      <c r="W603" t="str">
        <v>0</v>
      </c>
      <c r="X603">
        <v>23790</v>
      </c>
      <c r="Y603" s="31">
        <v>46993</v>
      </c>
      <c r="Z603" t="str">
        <v/>
      </c>
      <c r="AA603" t="str">
        <v>技術・人文知識・国際業務</v>
      </c>
      <c r="AB603" t="str">
        <v>509-7201</v>
      </c>
      <c r="AC603" t="str">
        <v>岐阜県恵那市大井町1120-303</v>
      </c>
      <c r="AD603" t="str">
        <v>各務ﾊｲﾂ3E</v>
      </c>
      <c r="AE603" s="31">
        <v>45133</v>
      </c>
      <c r="AF603" s="31">
        <v>45138</v>
      </c>
      <c r="AG603" s="31">
        <v>0</v>
      </c>
      <c r="AH603" s="31">
        <v>0</v>
      </c>
      <c r="AI603" t="str">
        <v>23.8.1</v>
      </c>
      <c r="AJ603" t="str">
        <v>8/9林</v>
      </c>
      <c r="AK603">
        <v>0</v>
      </c>
      <c r="AL603">
        <v>45138</v>
      </c>
      <c r="AM603">
        <v>0</v>
      </c>
      <c r="AN603">
        <v>0</v>
      </c>
      <c r="AO603">
        <v>0</v>
      </c>
      <c r="AP603">
        <v>0</v>
      </c>
      <c r="AQ603">
        <v>0</v>
      </c>
      <c r="AR603">
        <v>0</v>
      </c>
    </row>
    <row r="604" spans="1:44">
      <c r="A604" t="str">
        <f>H604&amp;COUNTIF($H$2:H604,H604)</f>
        <v>等速ジョイント27</v>
      </c>
      <c r="B604" t="str">
        <f>F604&amp;COUNTIF($F$2:F604,F604)</f>
        <v>瑞陵精機40</v>
      </c>
      <c r="C604" t="str">
        <v>在職中</v>
      </c>
      <c r="D604">
        <v>230715</v>
      </c>
      <c r="E604">
        <v>0</v>
      </c>
      <c r="F604" t="str">
        <v>瑞陵精機</v>
      </c>
      <c r="G604" t="str">
        <v>製造課</v>
      </c>
      <c r="H604" t="str">
        <v>等速ジョイント</v>
      </c>
      <c r="I604" t="str">
        <v>ＮＣ旋盤、マシニングセンター等の工作機械を使いオペレーターとして製造ラインで製品を加工</v>
      </c>
      <c r="J604" t="str">
        <v>NGUYEN THANH LONG</v>
      </c>
      <c r="K604" t="str">
        <v>グエン　タイン　ロン</v>
      </c>
      <c r="L604" t="str">
        <v>男</v>
      </c>
      <c r="M604" t="str">
        <v>ﾍﾞﾄﾅﾑ</v>
      </c>
      <c r="N604" s="31">
        <v>36146</v>
      </c>
      <c r="O604">
        <v>26</v>
      </c>
      <c r="P604">
        <v>1310</v>
      </c>
      <c r="Q604">
        <v>0</v>
      </c>
      <c r="R604">
        <v>1700</v>
      </c>
      <c r="S604">
        <v>0</v>
      </c>
      <c r="T604">
        <v>390</v>
      </c>
      <c r="U604">
        <v>260000</v>
      </c>
      <c r="V604">
        <v>13039</v>
      </c>
      <c r="W604" t="str">
        <v>0</v>
      </c>
      <c r="X604">
        <v>23790</v>
      </c>
      <c r="Y604" s="31">
        <v>46993</v>
      </c>
      <c r="Z604" t="str">
        <v/>
      </c>
      <c r="AA604" t="str">
        <v>技術・人文知識・国際業務</v>
      </c>
      <c r="AB604" t="str">
        <v>509-7201</v>
      </c>
      <c r="AC604" t="str">
        <v>岐阜県恵那市大井町1120-303</v>
      </c>
      <c r="AD604" t="str">
        <v>各務ﾊｲﾂ4H</v>
      </c>
      <c r="AE604" s="31">
        <v>45133</v>
      </c>
      <c r="AF604" s="31">
        <v>45138</v>
      </c>
      <c r="AG604" s="31">
        <v>0</v>
      </c>
      <c r="AH604" s="31">
        <v>0</v>
      </c>
      <c r="AI604" t="str">
        <v>23.8.1</v>
      </c>
      <c r="AJ604" t="str">
        <v>8/9林</v>
      </c>
      <c r="AK604">
        <v>0</v>
      </c>
      <c r="AL604">
        <v>45138</v>
      </c>
      <c r="AM604">
        <v>0</v>
      </c>
      <c r="AN604">
        <v>0</v>
      </c>
      <c r="AO604">
        <v>0</v>
      </c>
      <c r="AP604">
        <v>0</v>
      </c>
      <c r="AQ604">
        <v>0</v>
      </c>
      <c r="AR604">
        <v>0</v>
      </c>
    </row>
    <row r="605" spans="1:44">
      <c r="A605" t="str">
        <f>H605&amp;COUNTIF($H$2:H605,H605)</f>
        <v>本社工場製造1課1工区1班6</v>
      </c>
      <c r="B605" t="str">
        <f>F605&amp;COUNTIF($F$2:F605,F605)</f>
        <v>コーリツ 本社19</v>
      </c>
      <c r="C605" t="str">
        <v>在職中</v>
      </c>
      <c r="D605">
        <v>230801</v>
      </c>
      <c r="E605">
        <v>8210068</v>
      </c>
      <c r="F605" t="str">
        <v>コーリツ 本社</v>
      </c>
      <c r="G605" t="str">
        <v>本社工場製造1課1工区1班</v>
      </c>
      <c r="H605" t="str">
        <v>本社工場製造1課1工区1班</v>
      </c>
      <c r="I605">
        <v>0</v>
      </c>
      <c r="J605" t="str">
        <v>NGUYEN TIEN DAT</v>
      </c>
      <c r="K605" t="str">
        <v>グエン　ティエン　ダット</v>
      </c>
      <c r="L605" t="str">
        <v>男</v>
      </c>
      <c r="M605" t="str">
        <v>ﾍﾞﾄﾅﾑ</v>
      </c>
      <c r="N605" s="31">
        <v>35830</v>
      </c>
      <c r="O605">
        <v>27</v>
      </c>
      <c r="P605">
        <v>1555</v>
      </c>
      <c r="Q605">
        <v>0</v>
      </c>
      <c r="R605">
        <v>2225</v>
      </c>
      <c r="S605">
        <v>0</v>
      </c>
      <c r="T605">
        <v>670</v>
      </c>
      <c r="U605">
        <v>360000</v>
      </c>
      <c r="V605">
        <v>18054</v>
      </c>
      <c r="W605" t="str">
        <v>0</v>
      </c>
      <c r="X605">
        <v>32940</v>
      </c>
      <c r="Y605" s="31">
        <v>46843</v>
      </c>
      <c r="Z605" t="str">
        <v/>
      </c>
      <c r="AA605" t="str">
        <v>技術・人文知識・国際業務</v>
      </c>
      <c r="AB605" t="str">
        <v>444-1305</v>
      </c>
      <c r="AC605" t="str">
        <v>愛知県高浜市神明町1丁目2-1</v>
      </c>
      <c r="AD605" t="str">
        <v>古橋ﾏﾝｼｮﾝ101</v>
      </c>
      <c r="AE605" s="31">
        <v>45140</v>
      </c>
      <c r="AF605" s="31">
        <v>45139</v>
      </c>
      <c r="AG605" s="31">
        <v>0</v>
      </c>
      <c r="AH605" s="31">
        <v>0</v>
      </c>
      <c r="AI605" t="str">
        <v>23.8.1</v>
      </c>
      <c r="AJ605" t="str">
        <v>8/10林</v>
      </c>
      <c r="AK605">
        <v>0</v>
      </c>
      <c r="AL605">
        <v>45139</v>
      </c>
      <c r="AM605" t="str">
        <v>原付</v>
      </c>
      <c r="AN605">
        <v>45720</v>
      </c>
      <c r="AO605" t="str">
        <v>原付</v>
      </c>
      <c r="AP605">
        <v>46080</v>
      </c>
      <c r="AQ605">
        <v>0</v>
      </c>
      <c r="AR605">
        <v>0</v>
      </c>
    </row>
    <row r="606" spans="1:44">
      <c r="A606" t="str">
        <f>H606&amp;COUNTIF($H$2:H606,H606)</f>
        <v>本社工場製造1課1工区1班7</v>
      </c>
      <c r="B606" t="str">
        <f>F606&amp;COUNTIF($F$2:F606,F606)</f>
        <v>コーリツ 本社20</v>
      </c>
      <c r="C606" t="str">
        <v>在職中</v>
      </c>
      <c r="D606">
        <v>230802</v>
      </c>
      <c r="E606">
        <v>8210069</v>
      </c>
      <c r="F606" t="str">
        <v>コーリツ 本社</v>
      </c>
      <c r="G606" t="str">
        <v>本社工場製造1課1工区1班</v>
      </c>
      <c r="H606" t="str">
        <v>本社工場製造1課1工区1班</v>
      </c>
      <c r="I606">
        <v>0</v>
      </c>
      <c r="J606" t="str">
        <v>LE NHI</v>
      </c>
      <c r="K606" t="str">
        <v>レー　ニー</v>
      </c>
      <c r="L606" t="str">
        <v>男</v>
      </c>
      <c r="M606" t="str">
        <v>ﾍﾞﾄﾅﾑ</v>
      </c>
      <c r="N606" s="31">
        <v>35119</v>
      </c>
      <c r="O606">
        <v>29</v>
      </c>
      <c r="P606">
        <v>1555</v>
      </c>
      <c r="Q606">
        <v>0</v>
      </c>
      <c r="R606">
        <v>2225</v>
      </c>
      <c r="S606">
        <v>0</v>
      </c>
      <c r="T606">
        <v>670</v>
      </c>
      <c r="U606">
        <v>360000</v>
      </c>
      <c r="V606">
        <v>18054</v>
      </c>
      <c r="W606" t="str">
        <v>0</v>
      </c>
      <c r="X606">
        <v>32940</v>
      </c>
      <c r="Y606" s="31">
        <v>46119</v>
      </c>
      <c r="Z606" t="str">
        <v/>
      </c>
      <c r="AA606" t="str">
        <v>技術・人文知識・国際業務</v>
      </c>
      <c r="AB606" t="str">
        <v>444-1305</v>
      </c>
      <c r="AC606" t="str">
        <v>愛知県高浜市神明町1丁目2-1</v>
      </c>
      <c r="AD606" t="str">
        <v>古橋ﾏﾝｼｮﾝ101</v>
      </c>
      <c r="AE606" s="31">
        <v>45140</v>
      </c>
      <c r="AF606" s="31">
        <v>45139</v>
      </c>
      <c r="AG606" s="31">
        <v>0</v>
      </c>
      <c r="AH606" s="31">
        <v>0</v>
      </c>
      <c r="AI606" t="str">
        <v>23.8.1</v>
      </c>
      <c r="AJ606" t="str">
        <v>8/10林</v>
      </c>
      <c r="AK606">
        <v>0</v>
      </c>
      <c r="AL606">
        <v>45139</v>
      </c>
      <c r="AM606">
        <v>0</v>
      </c>
      <c r="AN606">
        <v>0</v>
      </c>
      <c r="AO606" t="str">
        <v>自転車</v>
      </c>
      <c r="AP606">
        <v>45903</v>
      </c>
      <c r="AQ606">
        <v>0</v>
      </c>
      <c r="AR606">
        <v>0</v>
      </c>
    </row>
    <row r="607" spans="1:44">
      <c r="A607" t="str">
        <f>H607&amp;COUNTIF($H$2:H607,H607)</f>
        <v>一次旋係24</v>
      </c>
      <c r="B607" t="str">
        <f>F607&amp;COUNTIF($F$2:F607,F607)</f>
        <v>高雄工業 岡山116</v>
      </c>
      <c r="C607" t="str">
        <v>退社</v>
      </c>
      <c r="D607">
        <v>230803</v>
      </c>
      <c r="E607">
        <v>232117</v>
      </c>
      <c r="F607" t="str">
        <v>高雄工業 岡山</v>
      </c>
      <c r="G607" t="str">
        <v>高雄工業株式会社 岡山事業所HUB工場製作2課</v>
      </c>
      <c r="H607" t="str">
        <v>一次旋係</v>
      </c>
      <c r="I607" t="str">
        <v>ハブ加工・自動機の操作・ＮＣプログラム修正</v>
      </c>
      <c r="J607" t="str">
        <v>NGUYEN QUOC LONG</v>
      </c>
      <c r="K607" t="str">
        <v>グエン　クォック　ロン</v>
      </c>
      <c r="L607" t="str">
        <v>男</v>
      </c>
      <c r="M607" t="str">
        <v>ﾍﾞﾄﾅﾑ</v>
      </c>
      <c r="N607" s="31">
        <v>36751</v>
      </c>
      <c r="O607">
        <v>25</v>
      </c>
      <c r="P607">
        <v>1200</v>
      </c>
      <c r="Q607">
        <v>0</v>
      </c>
      <c r="R607">
        <v>1650</v>
      </c>
      <c r="S607">
        <v>0</v>
      </c>
      <c r="T607">
        <v>450</v>
      </c>
      <c r="U607">
        <v>180000</v>
      </c>
      <c r="V607">
        <v>9027</v>
      </c>
      <c r="W607" t="str">
        <v>0</v>
      </c>
      <c r="X607">
        <v>16470</v>
      </c>
      <c r="Y607" s="31">
        <v>45499</v>
      </c>
      <c r="Z607" t="str">
        <v/>
      </c>
      <c r="AA607" t="str">
        <v>技術・人文知識・国際業務</v>
      </c>
      <c r="AB607" t="str">
        <v>709-2133</v>
      </c>
      <c r="AC607" t="str">
        <v>岡山県岡山市北区御津金川640</v>
      </c>
      <c r="AD607">
        <v>0</v>
      </c>
      <c r="AE607" s="31">
        <v>45133</v>
      </c>
      <c r="AF607" s="31">
        <v>45139</v>
      </c>
      <c r="AG607" s="31">
        <v>45397</v>
      </c>
      <c r="AH607" s="31">
        <v>0</v>
      </c>
      <c r="AI607" t="str">
        <v>23.8.1</v>
      </c>
      <c r="AJ607" t="str">
        <v>8/10林</v>
      </c>
      <c r="AK607">
        <v>0</v>
      </c>
      <c r="AL607">
        <v>45139</v>
      </c>
      <c r="AM607">
        <v>0</v>
      </c>
      <c r="AN607">
        <v>0</v>
      </c>
      <c r="AO607">
        <v>0</v>
      </c>
      <c r="AP607">
        <v>0</v>
      </c>
      <c r="AQ607">
        <v>0</v>
      </c>
      <c r="AR607">
        <v>0</v>
      </c>
    </row>
    <row r="608" spans="1:44">
      <c r="A608" t="str">
        <f>H608&amp;COUNTIF($H$2:H608,H608)</f>
        <v>1次旋係44</v>
      </c>
      <c r="B608" t="str">
        <f>F608&amp;COUNTIF($F$2:F608,F608)</f>
        <v>高雄工業 岡山117</v>
      </c>
      <c r="C608" t="str">
        <v>退社</v>
      </c>
      <c r="D608">
        <v>230804</v>
      </c>
      <c r="E608">
        <v>232119</v>
      </c>
      <c r="F608" t="str">
        <v>高雄工業 岡山</v>
      </c>
      <c r="G608" t="str">
        <v>高雄工業株式会社 岡山事業所HUB工場製作1課</v>
      </c>
      <c r="H608" t="str">
        <v>1次旋係</v>
      </c>
      <c r="I608" t="str">
        <v>ハブ加工 自動機の操作、ＮＣプログラム修正</v>
      </c>
      <c r="J608" t="str">
        <v>TRAN VAN HUAN</v>
      </c>
      <c r="K608" t="str">
        <v>チャン　ヴァン　ファン</v>
      </c>
      <c r="L608" t="str">
        <v>男</v>
      </c>
      <c r="M608" t="str">
        <v>ﾍﾞﾄﾅﾑ</v>
      </c>
      <c r="N608" s="31">
        <v>36740</v>
      </c>
      <c r="O608">
        <v>25</v>
      </c>
      <c r="P608">
        <v>1300</v>
      </c>
      <c r="Q608">
        <v>0</v>
      </c>
      <c r="R608">
        <v>1690</v>
      </c>
      <c r="S608">
        <v>0</v>
      </c>
      <c r="T608">
        <v>390</v>
      </c>
      <c r="U608">
        <v>300000</v>
      </c>
      <c r="V608">
        <v>15045</v>
      </c>
      <c r="W608" t="str">
        <v>0</v>
      </c>
      <c r="X608">
        <v>27450</v>
      </c>
      <c r="Y608" s="31">
        <v>46594</v>
      </c>
      <c r="Z608" t="str">
        <v/>
      </c>
      <c r="AA608" t="str">
        <v>技術・人文知識・国際業務</v>
      </c>
      <c r="AB608" t="str">
        <v>709-2133</v>
      </c>
      <c r="AC608" t="str">
        <v>岡山県岡山市北区御津金川640</v>
      </c>
      <c r="AD608">
        <v>0</v>
      </c>
      <c r="AE608" s="31">
        <v>45133</v>
      </c>
      <c r="AF608" s="31">
        <v>45139</v>
      </c>
      <c r="AG608" s="31">
        <v>45761</v>
      </c>
      <c r="AH608" s="31">
        <v>0</v>
      </c>
      <c r="AI608" t="str">
        <v>23.8.1</v>
      </c>
      <c r="AJ608" t="str">
        <v>8/23林</v>
      </c>
      <c r="AK608">
        <v>0</v>
      </c>
      <c r="AL608">
        <v>45139</v>
      </c>
      <c r="AM608">
        <v>0</v>
      </c>
      <c r="AN608">
        <v>0</v>
      </c>
      <c r="AO608">
        <v>0</v>
      </c>
      <c r="AP608">
        <v>0</v>
      </c>
      <c r="AQ608">
        <v>0</v>
      </c>
      <c r="AR608">
        <v>0</v>
      </c>
    </row>
    <row r="609" spans="1:44">
      <c r="A609" t="str">
        <f>H609&amp;COUNTIF($H$2:H609,H609)</f>
        <v>1次旋係45</v>
      </c>
      <c r="B609" t="str">
        <f>F609&amp;COUNTIF($F$2:F609,F609)</f>
        <v>高雄工業 岡山118</v>
      </c>
      <c r="C609" t="str">
        <v>退社</v>
      </c>
      <c r="D609">
        <v>230805</v>
      </c>
      <c r="E609">
        <v>232116</v>
      </c>
      <c r="F609" t="str">
        <v>高雄工業 岡山</v>
      </c>
      <c r="G609" t="str">
        <v>高雄工業株式会社 岡山事業所HUB工場製作1課</v>
      </c>
      <c r="H609" t="str">
        <v>1次旋係</v>
      </c>
      <c r="I609" t="str">
        <v>ハブ加工 自動機の操作、ＮＣプログラム修正</v>
      </c>
      <c r="J609" t="str">
        <v>NGUYEN VAN HOI</v>
      </c>
      <c r="K609" t="str">
        <v>グエン　ヴァン　ホイ</v>
      </c>
      <c r="L609" t="str">
        <v>男</v>
      </c>
      <c r="M609" t="str">
        <v>ﾍﾞﾄﾅﾑ</v>
      </c>
      <c r="N609" s="31">
        <v>37079</v>
      </c>
      <c r="O609">
        <v>24</v>
      </c>
      <c r="P609">
        <v>1300</v>
      </c>
      <c r="Q609">
        <v>0</v>
      </c>
      <c r="R609">
        <v>1690</v>
      </c>
      <c r="S609">
        <v>0</v>
      </c>
      <c r="T609">
        <v>390</v>
      </c>
      <c r="U609">
        <v>220000</v>
      </c>
      <c r="V609">
        <v>11033</v>
      </c>
      <c r="W609" t="str">
        <v>0</v>
      </c>
      <c r="X609">
        <v>20130</v>
      </c>
      <c r="Y609" s="31">
        <v>46594</v>
      </c>
      <c r="Z609" t="str">
        <v/>
      </c>
      <c r="AA609" t="str">
        <v>技術・人文知識・国際業務</v>
      </c>
      <c r="AB609" t="str">
        <v>709-2133</v>
      </c>
      <c r="AC609" t="str">
        <v>岡山県岡山市北区御津金川640</v>
      </c>
      <c r="AD609">
        <v>0</v>
      </c>
      <c r="AE609" s="31">
        <v>45133</v>
      </c>
      <c r="AF609" s="31">
        <v>45139</v>
      </c>
      <c r="AG609" s="31">
        <v>45667</v>
      </c>
      <c r="AH609" s="31">
        <v>0</v>
      </c>
      <c r="AI609" t="str">
        <v>23.8.1</v>
      </c>
      <c r="AJ609" t="str">
        <v>8/23林</v>
      </c>
      <c r="AK609">
        <v>0</v>
      </c>
      <c r="AL609">
        <v>45139</v>
      </c>
      <c r="AM609">
        <v>0</v>
      </c>
      <c r="AN609">
        <v>0</v>
      </c>
      <c r="AO609">
        <v>0</v>
      </c>
      <c r="AP609">
        <v>0</v>
      </c>
      <c r="AQ609">
        <v>0</v>
      </c>
      <c r="AR609">
        <v>0</v>
      </c>
    </row>
    <row r="610" spans="1:44">
      <c r="A610" t="str">
        <f>H610&amp;COUNTIF($H$2:H610,H610)</f>
        <v>1次旋係46</v>
      </c>
      <c r="B610" t="str">
        <f>F610&amp;COUNTIF($F$2:F610,F610)</f>
        <v>高雄工業 岡山119</v>
      </c>
      <c r="C610" t="str">
        <v>退社</v>
      </c>
      <c r="D610">
        <v>230806</v>
      </c>
      <c r="E610">
        <v>232118</v>
      </c>
      <c r="F610" t="str">
        <v>高雄工業 岡山</v>
      </c>
      <c r="G610" t="str">
        <v>高雄工業株式会社 岡山事業所HUB工場製作1課</v>
      </c>
      <c r="H610" t="str">
        <v>1次旋係</v>
      </c>
      <c r="I610" t="str">
        <v>ハブ加工 自動機の操作、ＮＣプログラム修正</v>
      </c>
      <c r="J610" t="str">
        <v>DU DUC CANH</v>
      </c>
      <c r="K610" t="str">
        <v>ズ　ドゥック　カイン</v>
      </c>
      <c r="L610" t="str">
        <v>男</v>
      </c>
      <c r="M610" t="str">
        <v>ﾍﾞﾄﾅﾑ</v>
      </c>
      <c r="N610" s="31">
        <v>36596</v>
      </c>
      <c r="O610">
        <v>25</v>
      </c>
      <c r="P610">
        <v>1250</v>
      </c>
      <c r="Q610">
        <v>0</v>
      </c>
      <c r="R610">
        <v>1690</v>
      </c>
      <c r="S610">
        <v>0</v>
      </c>
      <c r="T610">
        <v>440</v>
      </c>
      <c r="U610">
        <v>240000</v>
      </c>
      <c r="V610">
        <v>12036</v>
      </c>
      <c r="W610" t="str">
        <v>0</v>
      </c>
      <c r="X610">
        <v>21960</v>
      </c>
      <c r="Y610" s="31">
        <v>46594</v>
      </c>
      <c r="Z610" t="str">
        <v/>
      </c>
      <c r="AA610" t="str">
        <v>技術・人文知識・国際業務</v>
      </c>
      <c r="AB610" t="str">
        <v>709-2133</v>
      </c>
      <c r="AC610" t="str">
        <v>岡山県岡山市北区御津金川640</v>
      </c>
      <c r="AD610">
        <v>0</v>
      </c>
      <c r="AE610" s="31">
        <v>45133</v>
      </c>
      <c r="AF610" s="31">
        <v>45139</v>
      </c>
      <c r="AG610" s="31">
        <v>45602</v>
      </c>
      <c r="AH610" s="31">
        <v>0</v>
      </c>
      <c r="AI610" t="str">
        <v>23.8.1</v>
      </c>
      <c r="AJ610" t="str">
        <v>8/23林</v>
      </c>
      <c r="AK610">
        <v>0</v>
      </c>
      <c r="AL610">
        <v>45139</v>
      </c>
      <c r="AM610">
        <v>0</v>
      </c>
      <c r="AN610">
        <v>0</v>
      </c>
      <c r="AO610">
        <v>0</v>
      </c>
      <c r="AP610">
        <v>0</v>
      </c>
      <c r="AQ610">
        <v>0</v>
      </c>
      <c r="AR610">
        <v>0</v>
      </c>
    </row>
    <row r="611" spans="1:44">
      <c r="A611" t="str">
        <f>H611&amp;COUNTIF($H$2:H611,H611)</f>
        <v>内輪5</v>
      </c>
      <c r="B611" t="str">
        <f>F611&amp;COUNTIF($F$2:F611,F611)</f>
        <v>高雄工業 静岡51</v>
      </c>
      <c r="C611" t="str">
        <v>退社</v>
      </c>
      <c r="D611">
        <v>230807</v>
      </c>
      <c r="E611">
        <v>242070</v>
      </c>
      <c r="F611" t="str">
        <v>高雄工業 静岡</v>
      </c>
      <c r="G611" t="str">
        <v>高雄工業株式会社 静岡事業所第二工場製作課</v>
      </c>
      <c r="H611" t="str">
        <v>内輪</v>
      </c>
      <c r="I611" t="str">
        <v>産業機械部品の研磨加工、NCプログラム修正</v>
      </c>
      <c r="J611" t="str">
        <v>VAN DUC NHIEN</v>
      </c>
      <c r="K611" t="str">
        <v>ヴァン　ドゥック　ニエン</v>
      </c>
      <c r="L611" t="str">
        <v>男</v>
      </c>
      <c r="M611" t="str">
        <v>ﾍﾞﾄﾅﾑ</v>
      </c>
      <c r="N611" s="31">
        <v>36053</v>
      </c>
      <c r="O611">
        <v>27</v>
      </c>
      <c r="P611">
        <v>1300</v>
      </c>
      <c r="Q611">
        <v>0</v>
      </c>
      <c r="R611">
        <v>1690</v>
      </c>
      <c r="S611">
        <v>0</v>
      </c>
      <c r="T611">
        <v>390</v>
      </c>
      <c r="U611">
        <v>240000</v>
      </c>
      <c r="V611">
        <v>12036</v>
      </c>
      <c r="W611" t="str">
        <v>0</v>
      </c>
      <c r="X611">
        <v>21960</v>
      </c>
      <c r="Y611" s="31">
        <v>45892</v>
      </c>
      <c r="Z611" t="str">
        <v/>
      </c>
      <c r="AA611" t="str">
        <v>技術・人文知識・国際業務</v>
      </c>
      <c r="AB611" t="str">
        <v>437-0016</v>
      </c>
      <c r="AC611" t="str">
        <v>静岡県袋井市葵町3丁目3番地3</v>
      </c>
      <c r="AD611" t="str">
        <v>BeehiveresidenceⅢ201</v>
      </c>
      <c r="AE611" s="31">
        <v>45133</v>
      </c>
      <c r="AF611" s="31">
        <v>45139</v>
      </c>
      <c r="AG611" s="31">
        <v>45611</v>
      </c>
      <c r="AH611" s="31">
        <v>0</v>
      </c>
      <c r="AI611" t="str">
        <v>23.8.1</v>
      </c>
      <c r="AJ611" t="str">
        <v>8/23林</v>
      </c>
      <c r="AK611">
        <v>0</v>
      </c>
      <c r="AL611">
        <v>45139</v>
      </c>
      <c r="AM611">
        <v>0</v>
      </c>
      <c r="AN611">
        <v>0</v>
      </c>
      <c r="AO611">
        <v>0</v>
      </c>
      <c r="AP611">
        <v>0</v>
      </c>
      <c r="AQ611">
        <v>0</v>
      </c>
      <c r="AR611">
        <v>0</v>
      </c>
    </row>
    <row r="612" spans="1:44">
      <c r="A612" t="str">
        <f>H612&amp;COUNTIF($H$2:H612,H612)</f>
        <v>長軸バリ取り2</v>
      </c>
      <c r="B612" t="str">
        <f>F612&amp;COUNTIF($F$2:F612,F612)</f>
        <v>高雄工業 静岡52</v>
      </c>
      <c r="C612" t="str">
        <v>退社</v>
      </c>
      <c r="D612">
        <v>230809</v>
      </c>
      <c r="E612">
        <v>242071</v>
      </c>
      <c r="F612" t="str">
        <v>高雄工業 静岡</v>
      </c>
      <c r="G612" t="str">
        <v>高雄工業株式会社 静岡事業所第二工場製作課</v>
      </c>
      <c r="H612" t="str">
        <v>長軸バリ取り</v>
      </c>
      <c r="I612" t="str">
        <v>長軸バリ取り、検査作業。</v>
      </c>
      <c r="J612" t="str">
        <v>NGUYEN HUU NHAT</v>
      </c>
      <c r="K612" t="str">
        <v>グエン　ヒュ　ニャット</v>
      </c>
      <c r="L612" t="str">
        <v>男</v>
      </c>
      <c r="M612" t="str">
        <v>ﾍﾞﾄﾅﾑ</v>
      </c>
      <c r="N612" s="31">
        <v>36239</v>
      </c>
      <c r="O612">
        <v>26</v>
      </c>
      <c r="P612">
        <v>1200</v>
      </c>
      <c r="Q612">
        <v>0</v>
      </c>
      <c r="R612">
        <v>1650</v>
      </c>
      <c r="S612">
        <v>0</v>
      </c>
      <c r="T612">
        <v>450</v>
      </c>
      <c r="U612">
        <v>180000</v>
      </c>
      <c r="V612">
        <v>9027</v>
      </c>
      <c r="W612" t="str">
        <v>0</v>
      </c>
      <c r="X612">
        <v>16470</v>
      </c>
      <c r="Y612" s="31">
        <v>45499</v>
      </c>
      <c r="Z612" t="str">
        <v/>
      </c>
      <c r="AA612" t="str">
        <v>技術・人文知識・国際業務</v>
      </c>
      <c r="AB612" t="str">
        <v>437-0016</v>
      </c>
      <c r="AC612" t="str">
        <v>静岡県袋井市葵町3丁目3番地3</v>
      </c>
      <c r="AD612" t="str">
        <v>BeehiveresidenceⅢ201</v>
      </c>
      <c r="AE612" s="31">
        <v>45133</v>
      </c>
      <c r="AF612" s="31">
        <v>45139</v>
      </c>
      <c r="AG612" s="31">
        <v>45282</v>
      </c>
      <c r="AH612" s="31">
        <v>0</v>
      </c>
      <c r="AI612" t="str">
        <v>23.8.1</v>
      </c>
      <c r="AJ612" t="str">
        <v>8/23林</v>
      </c>
      <c r="AK612">
        <v>0</v>
      </c>
      <c r="AL612">
        <v>45139</v>
      </c>
      <c r="AM612">
        <v>0</v>
      </c>
      <c r="AN612">
        <v>0</v>
      </c>
      <c r="AO612">
        <v>0</v>
      </c>
      <c r="AP612">
        <v>0</v>
      </c>
      <c r="AQ612">
        <v>0</v>
      </c>
      <c r="AR612">
        <v>0</v>
      </c>
    </row>
    <row r="613" spans="1:44">
      <c r="A613" t="str">
        <f>H613&amp;COUNTIF($H$2:H613,H613)</f>
        <v>転造6</v>
      </c>
      <c r="B613" t="str">
        <f>F613&amp;COUNTIF($F$2:F613,F613)</f>
        <v>高雄工業 静岡53</v>
      </c>
      <c r="C613" t="str">
        <v>退社</v>
      </c>
      <c r="D613">
        <v>230810</v>
      </c>
      <c r="E613">
        <v>242068</v>
      </c>
      <c r="F613" t="str">
        <v>高雄工業 静岡</v>
      </c>
      <c r="G613" t="str">
        <v>高雄工業株式会社 静岡事業所第一工場製作課</v>
      </c>
      <c r="H613" t="str">
        <v>転造</v>
      </c>
      <c r="I613" t="str">
        <v>ＣＶＪ短軸等速ジョイント旋削加工・ＮＣプログラム修正</v>
      </c>
      <c r="J613" t="str">
        <v>DANG TRONG BA</v>
      </c>
      <c r="K613" t="str">
        <v>ダン　チョン　バ</v>
      </c>
      <c r="L613" t="str">
        <v>男</v>
      </c>
      <c r="M613" t="str">
        <v>ﾍﾞﾄﾅﾑ</v>
      </c>
      <c r="N613" s="31">
        <v>32899</v>
      </c>
      <c r="O613">
        <v>35</v>
      </c>
      <c r="P613">
        <v>1300</v>
      </c>
      <c r="Q613">
        <v>0</v>
      </c>
      <c r="R613">
        <v>1690</v>
      </c>
      <c r="S613">
        <v>0</v>
      </c>
      <c r="T613">
        <v>390</v>
      </c>
      <c r="U613">
        <v>240000</v>
      </c>
      <c r="V613">
        <v>12036</v>
      </c>
      <c r="W613" t="str">
        <v>0</v>
      </c>
      <c r="X613">
        <v>21960</v>
      </c>
      <c r="Y613" s="31">
        <v>45897</v>
      </c>
      <c r="Z613" t="str">
        <v/>
      </c>
      <c r="AA613" t="str">
        <v>技術・人文知識・国際業務</v>
      </c>
      <c r="AB613" t="str">
        <v>437-0061</v>
      </c>
      <c r="AC613" t="str">
        <v>静岡県袋井市久能1889-2</v>
      </c>
      <c r="AD613" t="str">
        <v>ﾗﾌｨｰﾈ久能303号</v>
      </c>
      <c r="AE613" s="31">
        <v>45133</v>
      </c>
      <c r="AF613" s="31">
        <v>45139</v>
      </c>
      <c r="AG613" s="31">
        <v>45590</v>
      </c>
      <c r="AH613" s="31">
        <v>0</v>
      </c>
      <c r="AI613" t="str">
        <v>23.8.1</v>
      </c>
      <c r="AJ613" t="str">
        <v>8/23林</v>
      </c>
      <c r="AK613">
        <v>0</v>
      </c>
      <c r="AL613">
        <v>45139</v>
      </c>
      <c r="AM613">
        <v>0</v>
      </c>
      <c r="AN613">
        <v>0</v>
      </c>
      <c r="AO613">
        <v>0</v>
      </c>
      <c r="AP613">
        <v>0</v>
      </c>
      <c r="AQ613">
        <v>0</v>
      </c>
      <c r="AR613">
        <v>0</v>
      </c>
    </row>
    <row r="614" spans="1:44">
      <c r="A614" t="str">
        <f>H614&amp;COUNTIF($H$2:H614,H614)</f>
        <v>Gライン17</v>
      </c>
      <c r="B614" t="str">
        <f>F614&amp;COUNTIF($F$2:F614,F614)</f>
        <v>川原鉄工所22</v>
      </c>
      <c r="C614" t="str">
        <v>退社</v>
      </c>
      <c r="D614">
        <v>230813</v>
      </c>
      <c r="E614">
        <v>212041</v>
      </c>
      <c r="F614" t="str">
        <v>川原鉄工所</v>
      </c>
      <c r="G614" t="str">
        <v>高雄工業株式会社 本社工場製作課</v>
      </c>
      <c r="H614" t="str">
        <v>Gライン</v>
      </c>
      <c r="I614" t="str">
        <v>CVJ部品長軸品の施削加工、NCプログラム修正</v>
      </c>
      <c r="J614" t="str">
        <v>NGUYEN DUY LAN</v>
      </c>
      <c r="K614" t="str">
        <v>グエン　ズイ　ラン</v>
      </c>
      <c r="L614" t="str">
        <v>男</v>
      </c>
      <c r="M614" t="str">
        <v>ﾍﾞﾄﾅﾑ</v>
      </c>
      <c r="N614" s="31">
        <v>36654</v>
      </c>
      <c r="O614">
        <v>25</v>
      </c>
      <c r="P614">
        <v>1250</v>
      </c>
      <c r="Q614">
        <v>0</v>
      </c>
      <c r="R614">
        <v>1650</v>
      </c>
      <c r="S614">
        <v>0</v>
      </c>
      <c r="T614">
        <v>400</v>
      </c>
      <c r="U614">
        <v>300000</v>
      </c>
      <c r="V614">
        <v>15045</v>
      </c>
      <c r="W614" t="str">
        <v>0</v>
      </c>
      <c r="X614">
        <v>27450</v>
      </c>
      <c r="Y614" s="31">
        <v>45903</v>
      </c>
      <c r="Z614" t="str">
        <v/>
      </c>
      <c r="AA614" t="str">
        <v>技術・人文知識・国際業務</v>
      </c>
      <c r="AB614" t="str">
        <v>455-0831</v>
      </c>
      <c r="AC614" t="str">
        <v>愛知県名古屋市港区十一屋3丁目24-1</v>
      </c>
      <c r="AD614" t="str">
        <v>ｸﾞﾛｰﾘｨ十一屋304号</v>
      </c>
      <c r="AE614" s="31">
        <v>45133</v>
      </c>
      <c r="AF614" s="31">
        <v>45139</v>
      </c>
      <c r="AG614" s="31">
        <v>45755</v>
      </c>
      <c r="AH614" s="31">
        <v>0</v>
      </c>
      <c r="AI614" t="str">
        <v>23.8.1</v>
      </c>
      <c r="AJ614" t="str">
        <v>8/9林</v>
      </c>
      <c r="AK614" t="str">
        <v>2024/6/11高雄本社終了　202/6/17から川原鉄工所開始</v>
      </c>
      <c r="AL614">
        <v>45139</v>
      </c>
      <c r="AM614">
        <v>0</v>
      </c>
      <c r="AN614">
        <v>0</v>
      </c>
      <c r="AO614">
        <v>0</v>
      </c>
      <c r="AP614">
        <v>0</v>
      </c>
      <c r="AQ614">
        <v>0</v>
      </c>
      <c r="AR614">
        <v>0</v>
      </c>
    </row>
    <row r="615" spans="1:44">
      <c r="A615" t="str">
        <f>H615&amp;COUNTIF($H$2:H615,H615)</f>
        <v>転造7</v>
      </c>
      <c r="B615" t="str">
        <f>F615&amp;COUNTIF($F$2:F615,F615)</f>
        <v>高雄工業 静岡54</v>
      </c>
      <c r="C615" t="str">
        <v>退社</v>
      </c>
      <c r="D615">
        <v>230808</v>
      </c>
      <c r="E615">
        <v>242069</v>
      </c>
      <c r="F615" t="str">
        <v>高雄工業 静岡</v>
      </c>
      <c r="G615" t="str">
        <v>高雄工業株式会社 静岡事業所第一工場製作課</v>
      </c>
      <c r="H615" t="str">
        <v>転造</v>
      </c>
      <c r="I615" t="str">
        <v>ＣＶＪ短軸等速ジョイント旋削加工・ＮＣプログラム修正</v>
      </c>
      <c r="J615" t="str">
        <v>NGUYEN CONG THANH</v>
      </c>
      <c r="K615" t="str">
        <v>グエン　コン　タイン</v>
      </c>
      <c r="L615" t="str">
        <v>男</v>
      </c>
      <c r="M615" t="str">
        <v>ﾍﾞﾄﾅﾑ</v>
      </c>
      <c r="N615" s="31">
        <v>37208</v>
      </c>
      <c r="O615">
        <v>24</v>
      </c>
      <c r="P615">
        <v>1310</v>
      </c>
      <c r="Q615">
        <v>0</v>
      </c>
      <c r="R615">
        <v>1690</v>
      </c>
      <c r="S615">
        <v>0</v>
      </c>
      <c r="T615">
        <v>380</v>
      </c>
      <c r="U615">
        <v>260000</v>
      </c>
      <c r="V615">
        <v>13039</v>
      </c>
      <c r="W615" t="str">
        <v>0</v>
      </c>
      <c r="X615">
        <v>23790</v>
      </c>
      <c r="Y615" s="31">
        <v>47001</v>
      </c>
      <c r="Z615" t="str">
        <v/>
      </c>
      <c r="AA615" t="str">
        <v>技術・人文知識・国際業務</v>
      </c>
      <c r="AB615" t="str">
        <v>437-0061</v>
      </c>
      <c r="AC615" t="str">
        <v>静岡県袋井市久能1889-2</v>
      </c>
      <c r="AD615" t="str">
        <v>ﾗﾌｨｰﾈ久能303号</v>
      </c>
      <c r="AE615" s="31">
        <v>45133</v>
      </c>
      <c r="AF615" s="31">
        <v>45139</v>
      </c>
      <c r="AG615" s="31">
        <v>45961</v>
      </c>
      <c r="AH615" s="31">
        <v>0</v>
      </c>
      <c r="AI615" t="str">
        <v>23.8.1</v>
      </c>
      <c r="AJ615" t="str">
        <v>8/23林</v>
      </c>
      <c r="AK615">
        <v>0</v>
      </c>
      <c r="AL615">
        <v>45139</v>
      </c>
      <c r="AM615">
        <v>0</v>
      </c>
      <c r="AN615">
        <v>0</v>
      </c>
      <c r="AO615">
        <v>0</v>
      </c>
      <c r="AP615">
        <v>0</v>
      </c>
      <c r="AQ615">
        <v>0</v>
      </c>
      <c r="AR615">
        <v>0</v>
      </c>
    </row>
    <row r="616" spans="1:44">
      <c r="A616" t="str">
        <f>H616&amp;COUNTIF($H$2:H616,H616)</f>
        <v>HUB7</v>
      </c>
      <c r="B616" t="str">
        <f>F616&amp;COUNTIF($F$2:F616,F616)</f>
        <v>高雄工業 海南第一44</v>
      </c>
      <c r="C616" t="str">
        <v>在職中</v>
      </c>
      <c r="D616">
        <v>210910</v>
      </c>
      <c r="E616">
        <v>222027</v>
      </c>
      <c r="F616" t="str">
        <v>高雄工業 海南第一</v>
      </c>
      <c r="G616" t="str">
        <v>高雄工業株式会社 愛知事業所海南第一工場製作1課</v>
      </c>
      <c r="H616" t="str">
        <v>HUB</v>
      </c>
      <c r="I616" t="str">
        <v>ハブ加工 機械オペレーター、NCプログラム修正</v>
      </c>
      <c r="J616" t="str">
        <v>DUONG VAN THIEP</v>
      </c>
      <c r="K616" t="str">
        <v>ズオン　ヴァン　ティェプ</v>
      </c>
      <c r="L616" t="str">
        <v>男</v>
      </c>
      <c r="M616" t="str">
        <v>ﾍﾞﾄﾅﾑ</v>
      </c>
      <c r="N616" s="31">
        <v>32792</v>
      </c>
      <c r="O616">
        <v>36</v>
      </c>
      <c r="P616">
        <v>1410</v>
      </c>
      <c r="Q616">
        <v>0</v>
      </c>
      <c r="R616">
        <v>1820</v>
      </c>
      <c r="S616" t="str">
        <v>9/16~ 1600円→1750円</v>
      </c>
      <c r="T616">
        <v>410</v>
      </c>
      <c r="U616">
        <v>300000</v>
      </c>
      <c r="V616">
        <v>15045</v>
      </c>
      <c r="W616" t="str">
        <v>0</v>
      </c>
      <c r="X616">
        <v>27450</v>
      </c>
      <c r="Y616" s="31">
        <v>46524</v>
      </c>
      <c r="Z616" t="str">
        <v/>
      </c>
      <c r="AA616" t="str">
        <v>技術・人文知識・国際業務</v>
      </c>
      <c r="AB616" t="str">
        <v>498-0021</v>
      </c>
      <c r="AC616" t="str">
        <v>愛知県弥富市鯏浦町浦六1-1</v>
      </c>
      <c r="AD616" t="str">
        <v>ｸﾞﾘｰﾝﾊｲﾂA棟201</v>
      </c>
      <c r="AE616" s="31">
        <v>44458</v>
      </c>
      <c r="AF616" s="31">
        <v>44460</v>
      </c>
      <c r="AG616" s="31">
        <v>46017</v>
      </c>
      <c r="AH616" s="31">
        <v>0</v>
      </c>
      <c r="AI616">
        <v>44531</v>
      </c>
      <c r="AJ616" t="str">
        <v>OK</v>
      </c>
      <c r="AK616">
        <v>0</v>
      </c>
      <c r="AL616">
        <v>44460</v>
      </c>
      <c r="AM616">
        <v>0</v>
      </c>
      <c r="AN616">
        <v>0</v>
      </c>
      <c r="AO616">
        <v>0</v>
      </c>
      <c r="AP616">
        <v>0</v>
      </c>
      <c r="AQ616" t="str">
        <v>JLPT-N4</v>
      </c>
      <c r="AR616">
        <v>0</v>
      </c>
    </row>
    <row r="617" spans="1:44">
      <c r="A617" t="str">
        <f>H617&amp;COUNTIF($H$2:H617,H617)</f>
        <v>HUB8</v>
      </c>
      <c r="B617" t="str">
        <f>F617&amp;COUNTIF($F$2:F617,F617)</f>
        <v>高雄工業 海南第一45</v>
      </c>
      <c r="C617" t="str">
        <v>在職中</v>
      </c>
      <c r="D617">
        <v>220116</v>
      </c>
      <c r="E617">
        <v>222038</v>
      </c>
      <c r="F617" t="str">
        <v>高雄工業 海南第一</v>
      </c>
      <c r="G617" t="str">
        <v>高雄工業株式会社 愛知事業所海南第一工場製作1課</v>
      </c>
      <c r="H617" t="str">
        <v>HUB</v>
      </c>
      <c r="I617" t="str">
        <v>ハブ加工 機械オペレーター、NCプログラム修正</v>
      </c>
      <c r="J617" t="str">
        <v>NGUYEN VAN CANH</v>
      </c>
      <c r="K617" t="str">
        <v>グエン　バン　カイン</v>
      </c>
      <c r="L617" t="str">
        <v>男</v>
      </c>
      <c r="M617" t="str">
        <v>ﾍﾞﾄﾅﾑ</v>
      </c>
      <c r="N617" s="31">
        <v>34773</v>
      </c>
      <c r="O617">
        <v>30</v>
      </c>
      <c r="P617">
        <v>1410</v>
      </c>
      <c r="Q617">
        <v>0</v>
      </c>
      <c r="R617">
        <v>1830</v>
      </c>
      <c r="S617">
        <v>0</v>
      </c>
      <c r="T617">
        <v>420</v>
      </c>
      <c r="U617">
        <v>300000</v>
      </c>
      <c r="V617">
        <v>15045</v>
      </c>
      <c r="W617" t="str">
        <v>0</v>
      </c>
      <c r="X617">
        <v>27450</v>
      </c>
      <c r="Y617" s="31">
        <v>46720</v>
      </c>
      <c r="Z617" t="str">
        <v/>
      </c>
      <c r="AA617" t="str">
        <v>技術・人文知識・国際業務</v>
      </c>
      <c r="AB617" t="str">
        <v>498-0031</v>
      </c>
      <c r="AC617" t="str">
        <v>愛知県弥富市平島町北広畑10-1</v>
      </c>
      <c r="AD617" t="str">
        <v>ﾚﾌﾞﾗﾝｶﾐｰﾘｱB202</v>
      </c>
      <c r="AE617" s="31">
        <v>44589</v>
      </c>
      <c r="AF617" s="31">
        <v>44578</v>
      </c>
      <c r="AG617" s="31">
        <v>0</v>
      </c>
      <c r="AH617" s="31">
        <v>0</v>
      </c>
      <c r="AI617">
        <v>22.04</v>
      </c>
      <c r="AJ617" t="str">
        <v>OK</v>
      </c>
      <c r="AK617" t="str">
        <v>2022/1/17～2022/1/20ｺｰﾘﾂ州の崎所属　2022/1/31～高雄工業海南第一へ異動</v>
      </c>
      <c r="AL617">
        <v>44578</v>
      </c>
      <c r="AM617">
        <v>0</v>
      </c>
      <c r="AN617">
        <v>0</v>
      </c>
      <c r="AO617">
        <v>0</v>
      </c>
      <c r="AP617">
        <v>0</v>
      </c>
      <c r="AQ617">
        <v>0</v>
      </c>
      <c r="AR617">
        <v>0</v>
      </c>
    </row>
    <row r="618" spans="1:44">
      <c r="A618" t="str">
        <f>H618&amp;COUNTIF($H$2:H618,H618)</f>
        <v>W研磨2</v>
      </c>
      <c r="B618" t="str">
        <f>F618&amp;COUNTIF($F$2:F618,F618)</f>
        <v>高雄工業 海南第二10</v>
      </c>
      <c r="C618" t="str">
        <v>退社</v>
      </c>
      <c r="D618">
        <v>230814</v>
      </c>
      <c r="E618">
        <v>222054</v>
      </c>
      <c r="F618" t="str">
        <v>高雄工業 海南第二</v>
      </c>
      <c r="G618" t="str">
        <v>高雄工業株式会社 愛知事業所海南第二工場製作課</v>
      </c>
      <c r="H618" t="str">
        <v>W研磨</v>
      </c>
      <c r="I618" t="str">
        <v>産業機械部品の旋削加工、NCプログラム修正</v>
      </c>
      <c r="J618" t="str">
        <v>VO HOANG CHUONG</v>
      </c>
      <c r="K618" t="str">
        <v>ヴォ　ホアン　チュオン</v>
      </c>
      <c r="L618" t="str">
        <v>男</v>
      </c>
      <c r="M618" t="str">
        <v>ﾍﾞﾄﾅﾑ</v>
      </c>
      <c r="N618" s="31">
        <v>32096</v>
      </c>
      <c r="O618">
        <v>38</v>
      </c>
      <c r="P618">
        <v>1300</v>
      </c>
      <c r="Q618">
        <v>0</v>
      </c>
      <c r="R618">
        <v>1680</v>
      </c>
      <c r="S618">
        <v>0</v>
      </c>
      <c r="T618">
        <v>380</v>
      </c>
      <c r="U618">
        <v>260000</v>
      </c>
      <c r="V618">
        <v>13039</v>
      </c>
      <c r="W618" t="str">
        <v>0</v>
      </c>
      <c r="X618">
        <v>23790</v>
      </c>
      <c r="Y618" s="31">
        <v>45897</v>
      </c>
      <c r="Z618" t="str">
        <v/>
      </c>
      <c r="AA618" t="str">
        <v>技術・人文知識・国際業務</v>
      </c>
      <c r="AB618" t="str">
        <v>498-0026</v>
      </c>
      <c r="AC618" t="str">
        <v>愛知県弥富市鯏浦町西前新田119-1</v>
      </c>
      <c r="AD618" t="str">
        <v>ﾗｲﾌｺｱ119　307号</v>
      </c>
      <c r="AE618" s="31">
        <v>45133</v>
      </c>
      <c r="AF618" s="31">
        <v>45140</v>
      </c>
      <c r="AG618" s="31">
        <v>45685</v>
      </c>
      <c r="AH618" s="31">
        <v>0</v>
      </c>
      <c r="AI618" t="str">
        <v>23.8.2</v>
      </c>
      <c r="AJ618" t="str">
        <v>8/10林</v>
      </c>
      <c r="AK618">
        <v>0</v>
      </c>
      <c r="AL618">
        <v>45140</v>
      </c>
      <c r="AM618">
        <v>0</v>
      </c>
      <c r="AN618">
        <v>0</v>
      </c>
      <c r="AO618">
        <v>0</v>
      </c>
      <c r="AP618">
        <v>0</v>
      </c>
      <c r="AQ618">
        <v>0</v>
      </c>
      <c r="AR618">
        <v>0</v>
      </c>
    </row>
    <row r="619" spans="1:44">
      <c r="A619" t="str">
        <f>H619&amp;COUNTIF($H$2:H619,H619)</f>
        <v>加工課7</v>
      </c>
      <c r="B619" t="str">
        <f>F619&amp;COUNTIF($F$2:F619,F619)</f>
        <v>加藤木材工業 春日井8</v>
      </c>
      <c r="C619" t="str">
        <v>在職中</v>
      </c>
      <c r="D619">
        <v>230815</v>
      </c>
      <c r="E619">
        <v>5579</v>
      </c>
      <c r="F619" t="str">
        <v>加藤木材工業 春日井</v>
      </c>
      <c r="G619" t="str">
        <v>生産部</v>
      </c>
      <c r="H619" t="str">
        <v>加工課</v>
      </c>
      <c r="I619" t="str">
        <v>機械オペレーター及び機械メンテナンス他付随する業務</v>
      </c>
      <c r="J619" t="str">
        <v>NGUYEN VAN NGOC</v>
      </c>
      <c r="K619" t="str">
        <v>グエン　ヴァン　ゴック</v>
      </c>
      <c r="L619" t="str">
        <v>男</v>
      </c>
      <c r="M619" t="str">
        <v>ﾍﾞﾄﾅﾑ</v>
      </c>
      <c r="N619" s="31">
        <v>32314</v>
      </c>
      <c r="O619">
        <v>37</v>
      </c>
      <c r="P619">
        <v>1300</v>
      </c>
      <c r="Q619">
        <v>0</v>
      </c>
      <c r="R619">
        <v>1700</v>
      </c>
      <c r="S619">
        <v>0</v>
      </c>
      <c r="T619">
        <v>400</v>
      </c>
      <c r="U619">
        <v>240000</v>
      </c>
      <c r="V619">
        <v>12036</v>
      </c>
      <c r="W619" t="str">
        <v>0</v>
      </c>
      <c r="X619">
        <v>21960</v>
      </c>
      <c r="Y619" s="31">
        <v>46548</v>
      </c>
      <c r="Z619" t="str">
        <v/>
      </c>
      <c r="AA619" t="str">
        <v>技術・人文知識・国際業務</v>
      </c>
      <c r="AB619" t="str">
        <v>486-0912</v>
      </c>
      <c r="AC619" t="str">
        <v>愛知県春日井市高山町4丁目13-13</v>
      </c>
      <c r="AD619" t="str">
        <v>ﾒｿﾞﾝ辻山105</v>
      </c>
      <c r="AE619" s="31">
        <v>0</v>
      </c>
      <c r="AF619" s="31">
        <v>45140</v>
      </c>
      <c r="AG619" s="31">
        <v>0</v>
      </c>
      <c r="AH619" s="31">
        <v>0</v>
      </c>
      <c r="AI619" t="str">
        <v>23.8.2</v>
      </c>
      <c r="AJ619" t="str">
        <v>8/23林</v>
      </c>
      <c r="AK619">
        <v>0</v>
      </c>
      <c r="AL619">
        <v>45140</v>
      </c>
      <c r="AM619">
        <v>0</v>
      </c>
      <c r="AN619">
        <v>0</v>
      </c>
      <c r="AO619">
        <v>0</v>
      </c>
      <c r="AP619">
        <v>0</v>
      </c>
      <c r="AQ619">
        <v>0</v>
      </c>
      <c r="AR619">
        <v>0</v>
      </c>
    </row>
    <row r="620" spans="1:44">
      <c r="A620" t="str">
        <f>H620&amp;COUNTIF($H$2:H620,H620)</f>
        <v>内研1</v>
      </c>
      <c r="B620" t="str">
        <f>F620&amp;COUNTIF($F$2:F620,F620)</f>
        <v>三幸技研7</v>
      </c>
      <c r="C620" t="str">
        <v>退社</v>
      </c>
      <c r="D620">
        <v>230816</v>
      </c>
      <c r="E620">
        <v>0</v>
      </c>
      <c r="F620" t="str">
        <v>三幸技研</v>
      </c>
      <c r="G620" t="str">
        <v>製造部</v>
      </c>
      <c r="H620" t="str">
        <v>内研</v>
      </c>
      <c r="I620" t="str">
        <v>自動車部品の研磨業務、オペレーターとして製造ラインで製品を加工</v>
      </c>
      <c r="J620" t="str">
        <v>LE SY HUNG</v>
      </c>
      <c r="K620" t="str">
        <v>レー　シー　フン</v>
      </c>
      <c r="L620" t="str">
        <v>男</v>
      </c>
      <c r="M620" t="str">
        <v>ﾍﾞﾄﾅﾑ</v>
      </c>
      <c r="N620" s="31">
        <v>33874</v>
      </c>
      <c r="O620">
        <v>33</v>
      </c>
      <c r="P620">
        <v>1300</v>
      </c>
      <c r="Q620">
        <v>0</v>
      </c>
      <c r="R620">
        <v>1750</v>
      </c>
      <c r="S620">
        <v>0</v>
      </c>
      <c r="T620">
        <v>450</v>
      </c>
      <c r="U620">
        <v>200000</v>
      </c>
      <c r="V620">
        <v>10030</v>
      </c>
      <c r="W620" t="str">
        <v>0</v>
      </c>
      <c r="X620">
        <v>18300</v>
      </c>
      <c r="Y620" s="31">
        <v>45681</v>
      </c>
      <c r="Z620" t="str">
        <v/>
      </c>
      <c r="AA620" t="str">
        <v>技術・人文知識・国際業務</v>
      </c>
      <c r="AB620" t="str">
        <v>474-0056</v>
      </c>
      <c r="AC620" t="str">
        <v>愛知県大府市明成町2丁目176番地</v>
      </c>
      <c r="AD620" t="str">
        <v>ｻﾝﾋﾟｱ清野205</v>
      </c>
      <c r="AE620" s="31">
        <v>45140</v>
      </c>
      <c r="AF620" s="31">
        <v>45141</v>
      </c>
      <c r="AG620" s="31">
        <v>45405</v>
      </c>
      <c r="AH620" s="31">
        <v>0</v>
      </c>
      <c r="AI620" t="str">
        <v>23.8.2</v>
      </c>
      <c r="AJ620" t="str">
        <v>8/23林</v>
      </c>
      <c r="AK620">
        <v>0</v>
      </c>
      <c r="AL620">
        <v>45141</v>
      </c>
      <c r="AM620">
        <v>0</v>
      </c>
      <c r="AN620">
        <v>0</v>
      </c>
      <c r="AO620">
        <v>0</v>
      </c>
      <c r="AP620">
        <v>0</v>
      </c>
      <c r="AQ620">
        <v>0</v>
      </c>
      <c r="AR620">
        <v>0</v>
      </c>
    </row>
    <row r="621" spans="1:44">
      <c r="A621" t="str">
        <f>H621&amp;COUNTIF($H$2:H621,H621)</f>
        <v>本社工場製造1課1工区1班8</v>
      </c>
      <c r="B621" t="str">
        <f>F621&amp;COUNTIF($F$2:F621,F621)</f>
        <v>コーリツ 本社21</v>
      </c>
      <c r="C621" t="str">
        <v>在職中</v>
      </c>
      <c r="D621">
        <v>230817</v>
      </c>
      <c r="E621">
        <v>8210070</v>
      </c>
      <c r="F621" t="str">
        <v>コーリツ 本社</v>
      </c>
      <c r="G621" t="str">
        <v>本社工場製造1課1工区1班</v>
      </c>
      <c r="H621" t="str">
        <v>本社工場製造1課1工区1班</v>
      </c>
      <c r="I621">
        <v>0</v>
      </c>
      <c r="J621" t="str">
        <v>NGUYEN VAN MINH</v>
      </c>
      <c r="K621" t="str">
        <v>グエン　ヴァン　ミン</v>
      </c>
      <c r="L621" t="str">
        <v>男</v>
      </c>
      <c r="M621" t="str">
        <v>ﾍﾞﾄﾅﾑ</v>
      </c>
      <c r="N621" s="31">
        <v>35362</v>
      </c>
      <c r="O621">
        <v>29</v>
      </c>
      <c r="P621">
        <v>1555</v>
      </c>
      <c r="Q621">
        <v>0</v>
      </c>
      <c r="R621">
        <v>2225</v>
      </c>
      <c r="S621">
        <v>0</v>
      </c>
      <c r="T621">
        <v>670</v>
      </c>
      <c r="U621">
        <v>360000</v>
      </c>
      <c r="V621">
        <v>18054</v>
      </c>
      <c r="W621" t="str">
        <v>0</v>
      </c>
      <c r="X621">
        <v>32940</v>
      </c>
      <c r="Y621" s="31">
        <v>46777</v>
      </c>
      <c r="Z621" t="str">
        <v/>
      </c>
      <c r="AA621" t="str">
        <v>技術・人文知識・国際業務</v>
      </c>
      <c r="AB621" t="str">
        <v>444-1305</v>
      </c>
      <c r="AC621" t="str">
        <v>愛知県高浜市神明町1丁目2-1</v>
      </c>
      <c r="AD621" t="str">
        <v>古橋ﾏﾝｼｮﾝ101</v>
      </c>
      <c r="AE621" s="31">
        <v>45140</v>
      </c>
      <c r="AF621" s="31">
        <v>45145</v>
      </c>
      <c r="AG621" s="31">
        <v>0</v>
      </c>
      <c r="AH621" s="31">
        <v>0</v>
      </c>
      <c r="AI621" t="str">
        <v>23.8.7</v>
      </c>
      <c r="AJ621" t="str">
        <v>8/23林</v>
      </c>
      <c r="AK621">
        <v>0</v>
      </c>
      <c r="AL621">
        <v>45145</v>
      </c>
      <c r="AM621">
        <v>0</v>
      </c>
      <c r="AN621">
        <v>0</v>
      </c>
      <c r="AO621" t="str">
        <v>自転車</v>
      </c>
      <c r="AP621">
        <v>45870</v>
      </c>
      <c r="AQ621">
        <v>0</v>
      </c>
      <c r="AR621">
        <v>0</v>
      </c>
    </row>
    <row r="622" spans="1:44">
      <c r="A622" t="str">
        <f>H622&amp;COUNTIF($H$2:H622,H622)</f>
        <v>乙川工場製造3課5工区7班5</v>
      </c>
      <c r="B622" t="str">
        <f>F622&amp;COUNTIF($F$2:F622,F622)</f>
        <v>コーリツ 乙川19</v>
      </c>
      <c r="C622" t="str">
        <v>退社</v>
      </c>
      <c r="D622">
        <v>230818</v>
      </c>
      <c r="E622">
        <v>8210072</v>
      </c>
      <c r="F622" t="str">
        <v>コーリツ 乙川</v>
      </c>
      <c r="G622" t="str">
        <v>乙川工場製造3課5工区7班</v>
      </c>
      <c r="H622" t="str">
        <v>乙川工場製造3課5工区7班</v>
      </c>
      <c r="I622">
        <v>0</v>
      </c>
      <c r="J622" t="str">
        <v>TRAN VAN THAI</v>
      </c>
      <c r="K622" t="str">
        <v>チャン　ヴァン　タイ</v>
      </c>
      <c r="L622" t="str">
        <v>男</v>
      </c>
      <c r="M622" t="str">
        <v>ﾍﾞﾄﾅﾑ</v>
      </c>
      <c r="N622" s="31">
        <v>33188</v>
      </c>
      <c r="O622">
        <v>35</v>
      </c>
      <c r="P622">
        <v>1400</v>
      </c>
      <c r="Q622">
        <v>0</v>
      </c>
      <c r="R622">
        <v>2050</v>
      </c>
      <c r="S622">
        <v>0</v>
      </c>
      <c r="T622">
        <v>650</v>
      </c>
      <c r="U622">
        <v>360000</v>
      </c>
      <c r="V622">
        <v>18054</v>
      </c>
      <c r="W622" t="str">
        <v>0</v>
      </c>
      <c r="X622">
        <v>32940</v>
      </c>
      <c r="Y622" s="31">
        <v>46597</v>
      </c>
      <c r="Z622" t="str">
        <v/>
      </c>
      <c r="AA622" t="str">
        <v>技術・人文知識・国際業務</v>
      </c>
      <c r="AB622" t="str">
        <v>475-0061</v>
      </c>
      <c r="AC622" t="str">
        <v>愛知県半田市一ノ草町201-11</v>
      </c>
      <c r="AD622" t="str">
        <v>ﾒｿﾞﾝﾊﾟｰｸｱﾍﾞﾆｭｰ101</v>
      </c>
      <c r="AE622" s="31">
        <v>45152</v>
      </c>
      <c r="AF622" s="31">
        <v>45159</v>
      </c>
      <c r="AG622" s="31">
        <v>45603</v>
      </c>
      <c r="AH622" s="31">
        <v>0</v>
      </c>
      <c r="AI622" t="str">
        <v>23.8.21</v>
      </c>
      <c r="AJ622" t="str">
        <v>8/31林</v>
      </c>
      <c r="AK622">
        <v>0</v>
      </c>
      <c r="AL622">
        <v>45159</v>
      </c>
      <c r="AM622" t="str">
        <v>原付</v>
      </c>
      <c r="AN622">
        <v>46367</v>
      </c>
      <c r="AO622" t="str">
        <v>原付</v>
      </c>
      <c r="AP622">
        <v>45739</v>
      </c>
      <c r="AQ622">
        <v>0</v>
      </c>
      <c r="AR622">
        <v>0</v>
      </c>
    </row>
    <row r="623" spans="1:44">
      <c r="A623" t="str">
        <f>H623&amp;COUNTIF($H$2:H623,H623)</f>
        <v>本社工場製造1課1工区1班9</v>
      </c>
      <c r="B623" t="str">
        <f>F623&amp;COUNTIF($F$2:F623,F623)</f>
        <v>コーリツ 本社22</v>
      </c>
      <c r="C623" t="str">
        <v>退社</v>
      </c>
      <c r="D623">
        <v>230819</v>
      </c>
      <c r="E623">
        <v>8210071</v>
      </c>
      <c r="F623" t="str">
        <v>コーリツ 本社</v>
      </c>
      <c r="G623" t="str">
        <v>本社工場製造1課1工区1班</v>
      </c>
      <c r="H623" t="str">
        <v>本社工場製造1課1工区1班</v>
      </c>
      <c r="I623">
        <v>0</v>
      </c>
      <c r="J623" t="str">
        <v>NGUYEN VAN HUNG</v>
      </c>
      <c r="K623" t="str">
        <v>グエン　ヴァン　フオン</v>
      </c>
      <c r="L623" t="str">
        <v>男</v>
      </c>
      <c r="M623" t="str">
        <v>ﾍﾞﾄﾅﾑ</v>
      </c>
      <c r="N623" s="31">
        <v>33046</v>
      </c>
      <c r="O623">
        <v>35</v>
      </c>
      <c r="P623">
        <v>1400</v>
      </c>
      <c r="Q623">
        <v>0</v>
      </c>
      <c r="R623">
        <v>1960</v>
      </c>
      <c r="S623">
        <v>0</v>
      </c>
      <c r="T623">
        <v>560</v>
      </c>
      <c r="U623">
        <v>200000</v>
      </c>
      <c r="V623">
        <v>10030</v>
      </c>
      <c r="W623" t="str">
        <v>0</v>
      </c>
      <c r="X623">
        <v>18300</v>
      </c>
      <c r="Y623" s="31">
        <v>45436</v>
      </c>
      <c r="Z623" t="str">
        <v/>
      </c>
      <c r="AA623" t="str">
        <v>技術・人文知識・国際業務</v>
      </c>
      <c r="AB623" t="str">
        <v>474-0071</v>
      </c>
      <c r="AC623" t="str">
        <v>愛知県大府市梶田町3-143-2</v>
      </c>
      <c r="AD623" t="str">
        <v>県営梶田町住宅6棟304</v>
      </c>
      <c r="AE623" s="31" t="str">
        <v>個人</v>
      </c>
      <c r="AF623" s="31">
        <v>45159</v>
      </c>
      <c r="AG623" s="31">
        <v>45258</v>
      </c>
      <c r="AH623" s="31">
        <v>0</v>
      </c>
      <c r="AI623" t="str">
        <v>23.8.21</v>
      </c>
      <c r="AJ623" t="str">
        <v>8/31林</v>
      </c>
      <c r="AK623">
        <v>0</v>
      </c>
      <c r="AL623">
        <v>45159</v>
      </c>
      <c r="AM623">
        <v>0</v>
      </c>
      <c r="AN623">
        <v>0</v>
      </c>
      <c r="AO623">
        <v>0</v>
      </c>
      <c r="AP623">
        <v>0</v>
      </c>
      <c r="AQ623">
        <v>0</v>
      </c>
      <c r="AR623">
        <v>0</v>
      </c>
    </row>
    <row r="624" spans="1:44">
      <c r="A624" t="str">
        <f>H624&amp;COUNTIF($H$2:H624,H624)</f>
        <v>亀崎工場製造5課7工区9班3</v>
      </c>
      <c r="B624" t="str">
        <f>F624&amp;COUNTIF($F$2:F624,F624)</f>
        <v>コーリツ 亀崎9</v>
      </c>
      <c r="C624" t="str">
        <v>退社</v>
      </c>
      <c r="D624">
        <v>230820</v>
      </c>
      <c r="E624">
        <v>8210073</v>
      </c>
      <c r="F624" t="str">
        <v>コーリツ 亀崎</v>
      </c>
      <c r="G624" t="str">
        <v>亀崎工場製造5課7工区9班</v>
      </c>
      <c r="H624" t="str">
        <v>亀崎工場製造5課7工区9班</v>
      </c>
      <c r="I624">
        <v>0</v>
      </c>
      <c r="J624" t="str">
        <v>LY VAN DUC</v>
      </c>
      <c r="K624" t="str">
        <v>リー　バン　ドク</v>
      </c>
      <c r="L624" t="str">
        <v>男</v>
      </c>
      <c r="M624" t="str">
        <v>ﾍﾞﾄﾅﾑ</v>
      </c>
      <c r="N624" s="31">
        <v>32587</v>
      </c>
      <c r="O624">
        <v>36</v>
      </c>
      <c r="P624">
        <v>1400</v>
      </c>
      <c r="Q624">
        <v>0</v>
      </c>
      <c r="R624">
        <v>1990</v>
      </c>
      <c r="S624">
        <v>0</v>
      </c>
      <c r="T624">
        <v>590</v>
      </c>
      <c r="U624">
        <v>200000</v>
      </c>
      <c r="V624">
        <v>10030</v>
      </c>
      <c r="W624" t="str">
        <v>0</v>
      </c>
      <c r="X624">
        <v>18300</v>
      </c>
      <c r="Y624" s="31">
        <v>45979</v>
      </c>
      <c r="Z624" t="str">
        <v/>
      </c>
      <c r="AA624" t="str">
        <v>技術・人文知識・国際業務</v>
      </c>
      <c r="AB624" t="str">
        <v>475-0061</v>
      </c>
      <c r="AC624" t="str">
        <v>愛知県半田市一ノ草町201-11</v>
      </c>
      <c r="AD624" t="str">
        <v>ﾒｿﾞﾝﾊﾟｰｸｱﾍﾞﾆｭｰ201</v>
      </c>
      <c r="AE624" s="31">
        <v>0</v>
      </c>
      <c r="AF624" s="31">
        <v>45159</v>
      </c>
      <c r="AG624" s="31">
        <v>45456</v>
      </c>
      <c r="AH624" s="31">
        <v>0</v>
      </c>
      <c r="AI624" t="str">
        <v>23.8.21</v>
      </c>
      <c r="AJ624" t="str">
        <v>8/31林</v>
      </c>
      <c r="AK624">
        <v>0</v>
      </c>
      <c r="AL624">
        <v>45159</v>
      </c>
      <c r="AM624">
        <v>0</v>
      </c>
      <c r="AN624">
        <v>0</v>
      </c>
      <c r="AO624">
        <v>0</v>
      </c>
      <c r="AP624">
        <v>0</v>
      </c>
      <c r="AQ624">
        <v>0</v>
      </c>
      <c r="AR624">
        <v>0</v>
      </c>
    </row>
    <row r="625" spans="1:44">
      <c r="A625" t="str">
        <f>H625&amp;COUNTIF($H$2:H625,H625)</f>
        <v>リフト作業3</v>
      </c>
      <c r="B625" t="str">
        <f>F625&amp;COUNTIF($F$2:F625,F625)</f>
        <v>高雄工業 海南第一46</v>
      </c>
      <c r="C625" t="str">
        <v>退社</v>
      </c>
      <c r="D625">
        <v>230821</v>
      </c>
      <c r="E625">
        <v>222055</v>
      </c>
      <c r="F625" t="str">
        <v>高雄工業 海南第一</v>
      </c>
      <c r="G625" t="str">
        <v>高雄工業株式会社 第二営業部海南HUB営業課</v>
      </c>
      <c r="H625" t="str">
        <v>リフト作業</v>
      </c>
      <c r="I625" t="str">
        <v>鋳造材料の工場内加工ラインへの供給</v>
      </c>
      <c r="J625" t="str">
        <v>GOTO TAMIO MARIO</v>
      </c>
      <c r="K625" t="str">
        <v>ゴトウ　タミオ　マリオ</v>
      </c>
      <c r="L625" t="str">
        <v>男</v>
      </c>
      <c r="M625" t="str">
        <v>ﾌﾞﾗｼﾞﾙ</v>
      </c>
      <c r="N625" s="31">
        <v>22150</v>
      </c>
      <c r="O625">
        <v>65</v>
      </c>
      <c r="P625">
        <v>1400</v>
      </c>
      <c r="Q625">
        <v>0</v>
      </c>
      <c r="R625">
        <v>1780</v>
      </c>
      <c r="S625">
        <v>0</v>
      </c>
      <c r="T625">
        <v>380</v>
      </c>
      <c r="U625">
        <v>340000</v>
      </c>
      <c r="V625">
        <v>17051</v>
      </c>
      <c r="W625" t="str">
        <v>0</v>
      </c>
      <c r="X625">
        <v>31110</v>
      </c>
      <c r="Y625" s="31">
        <v>46918</v>
      </c>
      <c r="Z625" t="str">
        <v/>
      </c>
      <c r="AA625" t="str">
        <v>永住者</v>
      </c>
      <c r="AB625" t="str">
        <v>497-0040</v>
      </c>
      <c r="AC625" t="str">
        <v>愛知県海部郡蟹江町城2丁目131</v>
      </c>
      <c r="AD625" t="str">
        <v>丸庄ﾋﾞﾙ401</v>
      </c>
      <c r="AE625" s="31" t="str">
        <v>個人</v>
      </c>
      <c r="AF625" s="31">
        <v>45159</v>
      </c>
      <c r="AG625" s="31">
        <v>45674</v>
      </c>
      <c r="AH625" s="31">
        <v>0</v>
      </c>
      <c r="AI625" t="str">
        <v>23.8.21</v>
      </c>
      <c r="AJ625" t="str">
        <v>8/31林</v>
      </c>
      <c r="AK625">
        <v>0</v>
      </c>
      <c r="AL625">
        <v>45159</v>
      </c>
      <c r="AM625">
        <v>0</v>
      </c>
      <c r="AN625">
        <v>0</v>
      </c>
      <c r="AO625">
        <v>0</v>
      </c>
      <c r="AP625">
        <v>0</v>
      </c>
      <c r="AQ625">
        <v>0</v>
      </c>
      <c r="AR625">
        <v>0</v>
      </c>
    </row>
    <row r="626" spans="1:44">
      <c r="A626" t="str">
        <f>H626&amp;COUNTIF($H$2:H626,H626)</f>
        <v>0233</v>
      </c>
      <c r="B626" t="str">
        <f>F626&amp;COUNTIF($F$2:F626,F626)</f>
        <v>三幸技研8</v>
      </c>
      <c r="C626" t="str">
        <v>退社</v>
      </c>
      <c r="D626">
        <v>230903</v>
      </c>
      <c r="E626">
        <v>0</v>
      </c>
      <c r="F626" t="str">
        <v>三幸技研</v>
      </c>
      <c r="G626">
        <v>0</v>
      </c>
      <c r="H626">
        <v>0</v>
      </c>
      <c r="I626">
        <v>0</v>
      </c>
      <c r="J626" t="str">
        <v>VU VAN DUNG</v>
      </c>
      <c r="K626" t="str">
        <v>ブ　バン　ズン</v>
      </c>
      <c r="L626" t="str">
        <v>男</v>
      </c>
      <c r="M626" t="str">
        <v>ﾍﾞﾄﾅﾑ</v>
      </c>
      <c r="N626" s="31">
        <v>31674</v>
      </c>
      <c r="O626">
        <v>39</v>
      </c>
      <c r="P626">
        <v>1300</v>
      </c>
      <c r="Q626">
        <v>0</v>
      </c>
      <c r="R626">
        <v>1750</v>
      </c>
      <c r="S626">
        <v>0</v>
      </c>
      <c r="T626">
        <v>450</v>
      </c>
      <c r="U626">
        <v>220000</v>
      </c>
      <c r="V626">
        <v>11033</v>
      </c>
      <c r="W626" t="str">
        <v>0</v>
      </c>
      <c r="X626">
        <v>20130</v>
      </c>
      <c r="Y626" s="31">
        <v>45427</v>
      </c>
      <c r="Z626" t="str">
        <v/>
      </c>
      <c r="AA626" t="str">
        <v>技術・人文知識・国際業務</v>
      </c>
      <c r="AB626" t="str">
        <v>476-0011</v>
      </c>
      <c r="AC626" t="str">
        <v>愛知県東海市冨木島町山中80-1</v>
      </c>
      <c r="AD626" t="str">
        <v>ﾋﾞﾚｯｼﾞﾊｳｽ山中2-304</v>
      </c>
      <c r="AE626" s="31" t="str">
        <v>個人</v>
      </c>
      <c r="AF626" s="31">
        <v>45170</v>
      </c>
      <c r="AG626" s="31">
        <v>45239</v>
      </c>
      <c r="AH626" s="31">
        <v>0</v>
      </c>
      <c r="AI626" t="str">
        <v>23.9.1</v>
      </c>
      <c r="AJ626" t="str">
        <v>9/8林</v>
      </c>
      <c r="AK626">
        <v>0</v>
      </c>
      <c r="AL626">
        <v>45170</v>
      </c>
      <c r="AM626">
        <v>0</v>
      </c>
      <c r="AN626">
        <v>0</v>
      </c>
      <c r="AO626">
        <v>0</v>
      </c>
      <c r="AP626">
        <v>0</v>
      </c>
      <c r="AQ626">
        <v>0</v>
      </c>
      <c r="AR626">
        <v>0</v>
      </c>
    </row>
    <row r="627" spans="1:44">
      <c r="A627" t="str">
        <f>H627&amp;COUNTIF($H$2:H627,H627)</f>
        <v>HUB9</v>
      </c>
      <c r="B627" t="str">
        <f>F627&amp;COUNTIF($F$2:F627,F627)</f>
        <v>高雄工業 海南第一47</v>
      </c>
      <c r="C627" t="str">
        <v>在職中</v>
      </c>
      <c r="D627">
        <v>220515</v>
      </c>
      <c r="E627">
        <v>222045</v>
      </c>
      <c r="F627" t="str">
        <v>高雄工業 海南第一</v>
      </c>
      <c r="G627" t="str">
        <v>高雄工業株式会社 愛知事業所海南第一工場製作1課</v>
      </c>
      <c r="H627" t="str">
        <v>HUB</v>
      </c>
      <c r="I627" t="str">
        <v>ハブ加工 機械オペレーター、NCプログラム修正</v>
      </c>
      <c r="J627" t="str">
        <v>NGUYEN VAN HIEN</v>
      </c>
      <c r="K627" t="str">
        <v>グエン　ヴァン　ヒエン</v>
      </c>
      <c r="L627" t="str">
        <v>男</v>
      </c>
      <c r="M627" t="str">
        <v>ﾍﾞﾄﾅﾑ</v>
      </c>
      <c r="N627" s="31">
        <v>36160</v>
      </c>
      <c r="O627">
        <v>26</v>
      </c>
      <c r="P627">
        <v>1310</v>
      </c>
      <c r="Q627">
        <v>0</v>
      </c>
      <c r="R627">
        <v>1710</v>
      </c>
      <c r="S627">
        <v>0</v>
      </c>
      <c r="T627">
        <v>400</v>
      </c>
      <c r="U627">
        <v>260000</v>
      </c>
      <c r="V627">
        <v>13039</v>
      </c>
      <c r="W627" t="str">
        <v>0</v>
      </c>
      <c r="X627">
        <v>23790</v>
      </c>
      <c r="Y627" s="31">
        <v>46907</v>
      </c>
      <c r="Z627" t="str">
        <v/>
      </c>
      <c r="AA627" t="str">
        <v>技術・人文知識・国際業務</v>
      </c>
      <c r="AB627" t="str">
        <v>498-0017</v>
      </c>
      <c r="AC627" t="str">
        <v>愛知県弥富市前ヶ須町南本田 355-1</v>
      </c>
      <c r="AD627" t="str">
        <v>ﾘﾗｲｱﾝ楓A-201</v>
      </c>
      <c r="AE627" s="31" t="str">
        <v>個人</v>
      </c>
      <c r="AF627" s="31">
        <v>44693</v>
      </c>
      <c r="AG627" s="31">
        <v>0</v>
      </c>
      <c r="AH627" s="31">
        <v>0</v>
      </c>
      <c r="AI627" t="str">
        <v>22.07.01</v>
      </c>
      <c r="AJ627" t="str">
        <v>5/19林</v>
      </c>
      <c r="AK627">
        <v>0</v>
      </c>
      <c r="AL627">
        <v>44693</v>
      </c>
      <c r="AM627">
        <v>0</v>
      </c>
      <c r="AN627">
        <v>0</v>
      </c>
      <c r="AO627">
        <v>0</v>
      </c>
      <c r="AP627">
        <v>0</v>
      </c>
      <c r="AQ627">
        <v>0</v>
      </c>
      <c r="AR627">
        <v>0</v>
      </c>
    </row>
    <row r="628" spans="1:44">
      <c r="A628" t="str">
        <f>H628&amp;COUNTIF($H$2:H628,H628)</f>
        <v>自動旋削7</v>
      </c>
      <c r="B628" t="str">
        <f>F628&amp;COUNTIF($F$2:F628,F628)</f>
        <v>高雄工業 静岡55</v>
      </c>
      <c r="C628" t="str">
        <v>退社</v>
      </c>
      <c r="D628">
        <v>230902</v>
      </c>
      <c r="E628">
        <v>242072</v>
      </c>
      <c r="F628" t="str">
        <v>高雄工業 静岡</v>
      </c>
      <c r="G628" t="str">
        <v>高雄工業株式会社 静岡事業所第一工場製作課</v>
      </c>
      <c r="H628" t="str">
        <v>自動旋削</v>
      </c>
      <c r="I628" t="str">
        <v>CVJ部品短軸品の施削加工、NCプログラム修正</v>
      </c>
      <c r="J628" t="str">
        <v>PHAN VAN THUC</v>
      </c>
      <c r="K628" t="str">
        <v>ファン　ヴァン　トゥック</v>
      </c>
      <c r="L628" t="str">
        <v>男</v>
      </c>
      <c r="M628" t="str">
        <v>ﾍﾞﾄﾅﾑ</v>
      </c>
      <c r="N628" s="31">
        <v>32987</v>
      </c>
      <c r="O628">
        <v>35</v>
      </c>
      <c r="P628">
        <v>1300</v>
      </c>
      <c r="Q628">
        <v>0</v>
      </c>
      <c r="R628">
        <v>1700</v>
      </c>
      <c r="S628">
        <v>0</v>
      </c>
      <c r="T628">
        <v>400</v>
      </c>
      <c r="U628">
        <v>320000</v>
      </c>
      <c r="V628">
        <v>16048</v>
      </c>
      <c r="W628" t="str">
        <v>0</v>
      </c>
      <c r="X628">
        <v>29280</v>
      </c>
      <c r="Y628" s="31">
        <v>45897</v>
      </c>
      <c r="Z628" t="str">
        <v/>
      </c>
      <c r="AA628" t="str">
        <v>技術・人文知識・国際業務</v>
      </c>
      <c r="AB628" t="str">
        <v>437-0061</v>
      </c>
      <c r="AC628" t="str">
        <v>静岡県袋井市久能2286-1</v>
      </c>
      <c r="AD628" t="str">
        <v>ｳﾞｪﾙﾃﾞ202</v>
      </c>
      <c r="AE628" s="31">
        <v>45166</v>
      </c>
      <c r="AF628" s="31">
        <v>45170</v>
      </c>
      <c r="AG628" s="31">
        <v>45915</v>
      </c>
      <c r="AH628" s="31">
        <v>0</v>
      </c>
      <c r="AI628" t="str">
        <v>23.9.1</v>
      </c>
      <c r="AJ628" t="str">
        <v>9/8林</v>
      </c>
      <c r="AK628">
        <v>0</v>
      </c>
      <c r="AL628">
        <v>45170</v>
      </c>
      <c r="AM628">
        <v>0</v>
      </c>
      <c r="AN628">
        <v>0</v>
      </c>
      <c r="AO628">
        <v>0</v>
      </c>
      <c r="AP628">
        <v>0</v>
      </c>
      <c r="AQ628">
        <v>0</v>
      </c>
      <c r="AR628">
        <v>0</v>
      </c>
    </row>
    <row r="629" spans="1:44">
      <c r="A629" t="str">
        <f>H629&amp;COUNTIF($H$2:H629,H629)</f>
        <v>0234</v>
      </c>
      <c r="B629" t="str">
        <f>F629&amp;COUNTIF($F$2:F629,F629)</f>
        <v>加藤木材工業 本社24</v>
      </c>
      <c r="C629" t="str">
        <v>退社</v>
      </c>
      <c r="D629">
        <v>230904</v>
      </c>
      <c r="E629">
        <v>0</v>
      </c>
      <c r="F629" t="str">
        <v>加藤木材工業 本社</v>
      </c>
      <c r="G629">
        <v>0</v>
      </c>
      <c r="H629">
        <v>0</v>
      </c>
      <c r="I629">
        <v>0</v>
      </c>
      <c r="J629" t="str">
        <v>TRAN QUOC QUAN</v>
      </c>
      <c r="K629" t="str">
        <v>チャン　クオック　クアン</v>
      </c>
      <c r="L629" t="str">
        <v>男</v>
      </c>
      <c r="M629" t="str">
        <v>ﾍﾞﾄﾅﾑ</v>
      </c>
      <c r="N629" s="31">
        <v>35730</v>
      </c>
      <c r="O629">
        <v>28</v>
      </c>
      <c r="P629">
        <v>1300</v>
      </c>
      <c r="Q629">
        <v>0</v>
      </c>
      <c r="R629">
        <v>1700</v>
      </c>
      <c r="S629">
        <v>0</v>
      </c>
      <c r="T629">
        <v>400</v>
      </c>
      <c r="U629">
        <v>0</v>
      </c>
      <c r="V629" t="str">
        <v/>
      </c>
      <c r="W629" t="str">
        <v>0</v>
      </c>
      <c r="X629">
        <v>0</v>
      </c>
      <c r="Y629" s="31">
        <v>45387</v>
      </c>
      <c r="Z629" t="str">
        <v/>
      </c>
      <c r="AA629" t="str">
        <v>技術・人文知識・国際業務</v>
      </c>
      <c r="AB629" t="str">
        <v>486-0918</v>
      </c>
      <c r="AC629" t="str">
        <v>愛知県春日井市如意申町3丁目3－4</v>
      </c>
      <c r="AD629" t="str">
        <v>Residence Enfinity M1 201</v>
      </c>
      <c r="AE629" s="31">
        <v>45173</v>
      </c>
      <c r="AF629" s="31">
        <v>45175</v>
      </c>
      <c r="AG629" s="31">
        <v>45181</v>
      </c>
      <c r="AH629" s="31">
        <v>0</v>
      </c>
      <c r="AI629" t="str">
        <v>23.9.6</v>
      </c>
      <c r="AJ629" t="str">
        <v>9/8林</v>
      </c>
      <c r="AK629">
        <v>0</v>
      </c>
      <c r="AL629">
        <v>45175</v>
      </c>
      <c r="AM629">
        <v>0</v>
      </c>
      <c r="AN629">
        <v>0</v>
      </c>
      <c r="AO629">
        <v>0</v>
      </c>
      <c r="AP629">
        <v>0</v>
      </c>
      <c r="AQ629">
        <v>0</v>
      </c>
      <c r="AR629">
        <v>0</v>
      </c>
    </row>
    <row r="630" spans="1:44">
      <c r="A630" t="str">
        <f>H630&amp;COUNTIF($H$2:H630,H630)</f>
        <v>本社工場製造1課2工区2班5</v>
      </c>
      <c r="B630" t="str">
        <f>F630&amp;COUNTIF($F$2:F630,F630)</f>
        <v>コーリツ 本社23</v>
      </c>
      <c r="C630" t="str">
        <v>退社</v>
      </c>
      <c r="D630">
        <v>230905</v>
      </c>
      <c r="E630">
        <v>8210075</v>
      </c>
      <c r="F630" t="str">
        <v>コーリツ 本社</v>
      </c>
      <c r="G630" t="str">
        <v>本社工場製造1課2工区2班</v>
      </c>
      <c r="H630" t="str">
        <v>本社工場製造1課2工区2班</v>
      </c>
      <c r="I630">
        <v>0</v>
      </c>
      <c r="J630" t="str">
        <v>PHAM DUC KHAC</v>
      </c>
      <c r="K630" t="str">
        <v>ファム　ドゥック　カック</v>
      </c>
      <c r="L630" t="str">
        <v>男</v>
      </c>
      <c r="M630" t="str">
        <v>ﾍﾞﾄﾅﾑ</v>
      </c>
      <c r="N630" s="31">
        <v>32065</v>
      </c>
      <c r="O630">
        <v>38</v>
      </c>
      <c r="P630">
        <v>1400</v>
      </c>
      <c r="Q630">
        <v>0</v>
      </c>
      <c r="R630">
        <v>1960</v>
      </c>
      <c r="S630">
        <v>0</v>
      </c>
      <c r="T630">
        <v>560</v>
      </c>
      <c r="U630">
        <v>240000</v>
      </c>
      <c r="V630">
        <v>12036</v>
      </c>
      <c r="W630" t="str">
        <v>0</v>
      </c>
      <c r="X630">
        <v>21960</v>
      </c>
      <c r="Y630" s="31">
        <v>45463</v>
      </c>
      <c r="Z630" t="str">
        <v/>
      </c>
      <c r="AA630" t="str">
        <v>技術・人文知識・国際業務</v>
      </c>
      <c r="AB630" t="str">
        <v>448-0813</v>
      </c>
      <c r="AC630" t="str">
        <v>愛知県刈谷市小垣江町石ノ戸86-3</v>
      </c>
      <c r="AD630" t="str">
        <v>ｳﾞｨﾗｺｰﾄ田園403</v>
      </c>
      <c r="AE630" s="31">
        <v>0</v>
      </c>
      <c r="AF630" s="31">
        <v>45180</v>
      </c>
      <c r="AG630" s="31">
        <v>45288</v>
      </c>
      <c r="AH630" s="31">
        <v>0</v>
      </c>
      <c r="AI630" t="str">
        <v>23.9.11</v>
      </c>
      <c r="AJ630" t="str">
        <v>9/20林</v>
      </c>
      <c r="AK630">
        <v>0</v>
      </c>
      <c r="AL630">
        <v>45180</v>
      </c>
      <c r="AM630">
        <v>0</v>
      </c>
      <c r="AN630">
        <v>0</v>
      </c>
      <c r="AO630">
        <v>0</v>
      </c>
      <c r="AP630">
        <v>0</v>
      </c>
      <c r="AQ630">
        <v>0</v>
      </c>
      <c r="AR630">
        <v>0</v>
      </c>
    </row>
    <row r="631" spans="1:44">
      <c r="A631" t="str">
        <f>H631&amp;COUNTIF($H$2:H631,H631)</f>
        <v>亀崎工場製造5課7工区9班4</v>
      </c>
      <c r="B631" t="str">
        <f>F631&amp;COUNTIF($F$2:F631,F631)</f>
        <v>コーリツ 亀崎10</v>
      </c>
      <c r="C631" t="str">
        <v>退社</v>
      </c>
      <c r="D631">
        <v>230906</v>
      </c>
      <c r="E631">
        <v>8210074</v>
      </c>
      <c r="F631" t="str">
        <v>コーリツ 亀崎</v>
      </c>
      <c r="G631" t="str">
        <v>亀崎工場製造5課7工区9班</v>
      </c>
      <c r="H631" t="str">
        <v>亀崎工場製造5課7工区9班</v>
      </c>
      <c r="I631">
        <v>0</v>
      </c>
      <c r="J631" t="str">
        <v>NGUYEN DUC CHUNG</v>
      </c>
      <c r="K631" t="str">
        <v>グエン　ドゥック　チュン</v>
      </c>
      <c r="L631" t="str">
        <v>男</v>
      </c>
      <c r="M631" t="str">
        <v>ﾍﾞﾄﾅﾑ</v>
      </c>
      <c r="N631" s="31">
        <v>34237</v>
      </c>
      <c r="O631">
        <v>32</v>
      </c>
      <c r="P631">
        <v>1400</v>
      </c>
      <c r="Q631">
        <v>0</v>
      </c>
      <c r="R631">
        <v>1960</v>
      </c>
      <c r="S631">
        <v>0</v>
      </c>
      <c r="T631">
        <v>560</v>
      </c>
      <c r="U631">
        <v>240000</v>
      </c>
      <c r="V631">
        <v>12036</v>
      </c>
      <c r="W631" t="str">
        <v>0</v>
      </c>
      <c r="X631">
        <v>21960</v>
      </c>
      <c r="Y631" s="31">
        <v>46915</v>
      </c>
      <c r="Z631" t="str">
        <v/>
      </c>
      <c r="AA631" t="str">
        <v>技術・人文知識・国際業務</v>
      </c>
      <c r="AB631" t="str">
        <v>448-0813</v>
      </c>
      <c r="AC631" t="str">
        <v>愛知県刈谷市小垣江町石ノ戸86-3</v>
      </c>
      <c r="AD631" t="str">
        <v>ｳﾞｨﾗｺｰﾄ田園403</v>
      </c>
      <c r="AE631" s="31">
        <v>0</v>
      </c>
      <c r="AF631" s="31">
        <v>45180</v>
      </c>
      <c r="AG631" s="31">
        <v>45373</v>
      </c>
      <c r="AH631" s="31">
        <v>0</v>
      </c>
      <c r="AI631" t="str">
        <v>23.9.11</v>
      </c>
      <c r="AJ631" t="str">
        <v>9/20林</v>
      </c>
      <c r="AK631">
        <v>0</v>
      </c>
      <c r="AL631">
        <v>45180</v>
      </c>
      <c r="AM631">
        <v>0</v>
      </c>
      <c r="AN631">
        <v>0</v>
      </c>
      <c r="AO631">
        <v>0</v>
      </c>
      <c r="AP631">
        <v>0</v>
      </c>
      <c r="AQ631">
        <v>0</v>
      </c>
      <c r="AR631">
        <v>0</v>
      </c>
    </row>
    <row r="632" spans="1:44">
      <c r="A632" t="str">
        <f>H632&amp;COUNTIF($H$2:H632,H632)</f>
        <v>本社工場製造1課1工区1班10</v>
      </c>
      <c r="B632" t="str">
        <f>F632&amp;COUNTIF($F$2:F632,F632)</f>
        <v>コーリツ 本社24</v>
      </c>
      <c r="C632" t="str">
        <v>在職中</v>
      </c>
      <c r="D632">
        <v>230907</v>
      </c>
      <c r="E632">
        <v>8210076</v>
      </c>
      <c r="F632" t="str">
        <v>コーリツ 本社</v>
      </c>
      <c r="G632" t="str">
        <v>本社工場製造1課1工区1班</v>
      </c>
      <c r="H632" t="str">
        <v>本社工場製造1課1工区1班</v>
      </c>
      <c r="I632">
        <v>0</v>
      </c>
      <c r="J632" t="str">
        <v>NGUYEN TIEN THUONG</v>
      </c>
      <c r="K632" t="str">
        <v>グエン　ティエン　トゥオン</v>
      </c>
      <c r="L632" t="str">
        <v>男</v>
      </c>
      <c r="M632" t="str">
        <v>ﾍﾞﾄﾅﾑ</v>
      </c>
      <c r="N632" s="31">
        <v>35182</v>
      </c>
      <c r="O632">
        <v>29</v>
      </c>
      <c r="P632">
        <v>1500</v>
      </c>
      <c r="Q632">
        <v>0</v>
      </c>
      <c r="R632">
        <v>2150</v>
      </c>
      <c r="S632">
        <v>0</v>
      </c>
      <c r="T632">
        <v>650</v>
      </c>
      <c r="U632">
        <v>380000</v>
      </c>
      <c r="V632">
        <v>19057</v>
      </c>
      <c r="W632" t="str">
        <v>0</v>
      </c>
      <c r="X632">
        <v>34770</v>
      </c>
      <c r="Y632" s="31">
        <v>46862</v>
      </c>
      <c r="Z632" t="str">
        <v/>
      </c>
      <c r="AA632" t="str">
        <v>技術・人文知識・国際業務</v>
      </c>
      <c r="AB632" t="str">
        <v>475-0006</v>
      </c>
      <c r="AC632" t="str">
        <v>愛知県半田市南大矢知町4丁目205番地2</v>
      </c>
      <c r="AD632" t="str">
        <v>ﾒｿﾞﾝﾄﾞﾗﾊﾟﾝⅡ203</v>
      </c>
      <c r="AE632" s="31">
        <v>45180</v>
      </c>
      <c r="AF632" s="31">
        <v>45180</v>
      </c>
      <c r="AG632" s="31">
        <v>45991</v>
      </c>
      <c r="AH632" s="31">
        <v>0</v>
      </c>
      <c r="AI632" t="str">
        <v>23.9.11</v>
      </c>
      <c r="AJ632" t="str">
        <v>9/20林</v>
      </c>
      <c r="AK632">
        <v>0</v>
      </c>
      <c r="AL632">
        <v>45180</v>
      </c>
      <c r="AM632" t="str">
        <v>原付</v>
      </c>
      <c r="AN632">
        <v>45804</v>
      </c>
      <c r="AO632" t="str">
        <v>原付</v>
      </c>
      <c r="AP632">
        <v>45909</v>
      </c>
      <c r="AQ632">
        <v>0</v>
      </c>
      <c r="AR632">
        <v>0</v>
      </c>
    </row>
    <row r="633" spans="1:44">
      <c r="A633" t="str">
        <f>H633&amp;COUNTIF($H$2:H633,H633)</f>
        <v>Tライン1</v>
      </c>
      <c r="B633" t="str">
        <f>F633&amp;COUNTIF($F$2:F633,F633)</f>
        <v>高雄工業 本社48</v>
      </c>
      <c r="C633" t="str">
        <v>退社</v>
      </c>
      <c r="D633">
        <v>230908</v>
      </c>
      <c r="E633">
        <v>212043</v>
      </c>
      <c r="F633" t="str">
        <v>高雄工業 本社</v>
      </c>
      <c r="G633" t="str">
        <v>高雄工業株式会社 愛知事業所本社工場製作課</v>
      </c>
      <c r="H633" t="str">
        <v>Tライン</v>
      </c>
      <c r="I633" t="str">
        <v>CVJ部品長軸品と短軸品の転造加工。</v>
      </c>
      <c r="J633" t="str">
        <v>LE VAN HAI</v>
      </c>
      <c r="K633" t="str">
        <v>レー　バン　ハイ</v>
      </c>
      <c r="L633" t="str">
        <v>男</v>
      </c>
      <c r="M633" t="str">
        <v>ﾍﾞﾄﾅﾑ</v>
      </c>
      <c r="N633" s="31">
        <v>36910</v>
      </c>
      <c r="O633">
        <v>24</v>
      </c>
      <c r="P633">
        <v>1300</v>
      </c>
      <c r="Q633">
        <v>0</v>
      </c>
      <c r="R633">
        <v>1660</v>
      </c>
      <c r="S633">
        <v>0</v>
      </c>
      <c r="T633">
        <v>360</v>
      </c>
      <c r="U633">
        <v>320000</v>
      </c>
      <c r="V633">
        <v>16048</v>
      </c>
      <c r="W633" t="str">
        <v>0</v>
      </c>
      <c r="X633">
        <v>29280</v>
      </c>
      <c r="Y633" s="31">
        <v>45927</v>
      </c>
      <c r="Z633" t="str">
        <v/>
      </c>
      <c r="AA633" t="str">
        <v>技術・人文知識・国際業務</v>
      </c>
      <c r="AB633" t="str">
        <v>498-0026</v>
      </c>
      <c r="AC633" t="str">
        <v>愛知県弥富市鯏浦町西前新田119-1</v>
      </c>
      <c r="AD633" t="str">
        <v>ﾗｲﾌｺｱ119　301号</v>
      </c>
      <c r="AE633" s="31">
        <v>45181</v>
      </c>
      <c r="AF633" s="31">
        <v>45187</v>
      </c>
      <c r="AG633" s="31">
        <v>45737</v>
      </c>
      <c r="AH633" s="31">
        <v>0</v>
      </c>
      <c r="AI633" t="str">
        <v>23.9.18</v>
      </c>
      <c r="AJ633" t="str">
        <v>9/29林</v>
      </c>
      <c r="AK633">
        <v>0</v>
      </c>
      <c r="AL633">
        <v>45187</v>
      </c>
      <c r="AM633">
        <v>0</v>
      </c>
      <c r="AN633">
        <v>0</v>
      </c>
      <c r="AO633">
        <v>0</v>
      </c>
      <c r="AP633">
        <v>0</v>
      </c>
      <c r="AQ633" t="str">
        <v>JLPT-N4</v>
      </c>
      <c r="AR633">
        <v>0</v>
      </c>
    </row>
    <row r="634" spans="1:44">
      <c r="A634" t="str">
        <f>H634&amp;COUNTIF($H$2:H634,H634)</f>
        <v>転造8</v>
      </c>
      <c r="B634" t="str">
        <f>F634&amp;COUNTIF($F$2:F634,F634)</f>
        <v>高雄工業 静岡56</v>
      </c>
      <c r="C634" t="str">
        <v>退社</v>
      </c>
      <c r="D634">
        <v>230910</v>
      </c>
      <c r="E634">
        <v>242076</v>
      </c>
      <c r="F634" t="str">
        <v>高雄工業 静岡</v>
      </c>
      <c r="G634" t="str">
        <v>高雄工業株式会社 静岡事業所第一工場製作課</v>
      </c>
      <c r="H634" t="str">
        <v>転造</v>
      </c>
      <c r="I634" t="str">
        <v>ＣＶＪ短軸等速ジョイント旋削加工・ＮＣプログラム修正</v>
      </c>
      <c r="J634" t="str">
        <v>TRAN THANH VAN</v>
      </c>
      <c r="K634" t="str">
        <v>チャン　タン　バン</v>
      </c>
      <c r="L634" t="str">
        <v>男</v>
      </c>
      <c r="M634" t="str">
        <v>ﾍﾞﾄﾅﾑ</v>
      </c>
      <c r="N634" s="31">
        <v>36274</v>
      </c>
      <c r="O634">
        <v>26</v>
      </c>
      <c r="P634">
        <v>1300</v>
      </c>
      <c r="Q634">
        <v>0</v>
      </c>
      <c r="R634">
        <v>1680</v>
      </c>
      <c r="S634">
        <v>0</v>
      </c>
      <c r="T634">
        <v>380</v>
      </c>
      <c r="U634">
        <v>260000</v>
      </c>
      <c r="V634">
        <v>13039</v>
      </c>
      <c r="W634" t="str">
        <v>0</v>
      </c>
      <c r="X634">
        <v>23790</v>
      </c>
      <c r="Y634" s="31">
        <v>45927</v>
      </c>
      <c r="Z634" t="str">
        <v/>
      </c>
      <c r="AA634" t="str">
        <v>技術・人文知識・国際業務</v>
      </c>
      <c r="AB634" t="str">
        <v>437-0015</v>
      </c>
      <c r="AC634" t="str">
        <v>静岡県袋井市旭町2-7-5</v>
      </c>
      <c r="AD634" t="str">
        <v>ﾌｨﾌﾃｨｰⅡ102</v>
      </c>
      <c r="AE634" s="31">
        <v>45181</v>
      </c>
      <c r="AF634" s="31">
        <v>45188</v>
      </c>
      <c r="AG634" s="31">
        <v>45707</v>
      </c>
      <c r="AH634" s="31">
        <v>0</v>
      </c>
      <c r="AI634" t="str">
        <v>23.9.19</v>
      </c>
      <c r="AJ634" t="str">
        <v>9/29林</v>
      </c>
      <c r="AK634">
        <v>0</v>
      </c>
      <c r="AL634">
        <v>45188</v>
      </c>
      <c r="AM634">
        <v>0</v>
      </c>
      <c r="AN634">
        <v>0</v>
      </c>
      <c r="AO634">
        <v>0</v>
      </c>
      <c r="AP634">
        <v>0</v>
      </c>
      <c r="AQ634">
        <v>0</v>
      </c>
      <c r="AR634">
        <v>0</v>
      </c>
    </row>
    <row r="635" spans="1:44">
      <c r="A635" t="str">
        <f>H635&amp;COUNTIF($H$2:H635,H635)</f>
        <v>転造9</v>
      </c>
      <c r="B635" t="str">
        <f>F635&amp;COUNTIF($F$2:F635,F635)</f>
        <v>高雄工業 静岡57</v>
      </c>
      <c r="C635" t="str">
        <v>退社</v>
      </c>
      <c r="D635">
        <v>230911</v>
      </c>
      <c r="E635">
        <v>242075</v>
      </c>
      <c r="F635" t="str">
        <v>高雄工業 静岡</v>
      </c>
      <c r="G635" t="str">
        <v>高雄工業株式会社 静岡事業所第一工場製作課</v>
      </c>
      <c r="H635" t="str">
        <v>転造</v>
      </c>
      <c r="I635" t="str">
        <v>ＣＶＪ短軸等速ジョイント旋削加工・ＮＣプログラム修正</v>
      </c>
      <c r="J635" t="str">
        <v>NGUYEN DUC MANH</v>
      </c>
      <c r="K635" t="str">
        <v>グエン　ドゥック　マン</v>
      </c>
      <c r="L635" t="str">
        <v>男</v>
      </c>
      <c r="M635" t="str">
        <v>ﾍﾞﾄﾅﾑ</v>
      </c>
      <c r="N635" s="31">
        <v>36248</v>
      </c>
      <c r="O635">
        <v>26</v>
      </c>
      <c r="P635">
        <v>1300</v>
      </c>
      <c r="Q635">
        <v>0</v>
      </c>
      <c r="R635">
        <v>1680</v>
      </c>
      <c r="S635">
        <v>0</v>
      </c>
      <c r="T635">
        <v>380</v>
      </c>
      <c r="U635">
        <v>260000</v>
      </c>
      <c r="V635">
        <v>13039</v>
      </c>
      <c r="W635" t="str">
        <v>0</v>
      </c>
      <c r="X635">
        <v>23790</v>
      </c>
      <c r="Y635" s="31">
        <v>45953</v>
      </c>
      <c r="Z635" t="str">
        <v/>
      </c>
      <c r="AA635" t="str">
        <v>技術・人文知識・国際業務</v>
      </c>
      <c r="AB635" t="str">
        <v>437-0065</v>
      </c>
      <c r="AC635" t="str">
        <v>静岡県袋井市堀越1丁目15-1</v>
      </c>
      <c r="AD635" t="str">
        <v>ﾃﾞｲﾌﾞﾚｲｸ406</v>
      </c>
      <c r="AE635" s="31">
        <v>45181</v>
      </c>
      <c r="AF635" s="31">
        <v>45188</v>
      </c>
      <c r="AG635" s="31">
        <v>45654</v>
      </c>
      <c r="AH635" s="31">
        <v>0</v>
      </c>
      <c r="AI635" t="str">
        <v>23.9.19</v>
      </c>
      <c r="AJ635" t="str">
        <v>9/29林</v>
      </c>
      <c r="AK635">
        <v>0</v>
      </c>
      <c r="AL635">
        <v>45188</v>
      </c>
      <c r="AM635">
        <v>0</v>
      </c>
      <c r="AN635">
        <v>0</v>
      </c>
      <c r="AO635">
        <v>0</v>
      </c>
      <c r="AP635">
        <v>0</v>
      </c>
      <c r="AQ635">
        <v>0</v>
      </c>
      <c r="AR635">
        <v>0</v>
      </c>
    </row>
    <row r="636" spans="1:44">
      <c r="A636" t="str">
        <f>H636&amp;COUNTIF($H$2:H636,H636)</f>
        <v>HUB10</v>
      </c>
      <c r="B636" t="str">
        <f>F636&amp;COUNTIF($F$2:F636,F636)</f>
        <v>高雄工業 海南第一48</v>
      </c>
      <c r="C636" t="str">
        <v>在職中</v>
      </c>
      <c r="D636">
        <v>220602</v>
      </c>
      <c r="E636">
        <v>222048</v>
      </c>
      <c r="F636" t="str">
        <v>高雄工業 海南第一</v>
      </c>
      <c r="G636" t="str">
        <v>高雄工業株式会社 愛知事業所海南第一工場製作1課</v>
      </c>
      <c r="H636" t="str">
        <v>HUB</v>
      </c>
      <c r="I636" t="str">
        <v>ハブ加工 機械オペレーター、NCプログラム修正</v>
      </c>
      <c r="J636" t="str">
        <v>PHAM THANH LONG</v>
      </c>
      <c r="K636" t="str">
        <v>ファム　タイン　ロン</v>
      </c>
      <c r="L636" t="str">
        <v>男</v>
      </c>
      <c r="M636" t="str">
        <v>ﾍﾞﾄﾅﾑ</v>
      </c>
      <c r="N636" s="31">
        <v>36623</v>
      </c>
      <c r="O636">
        <v>25</v>
      </c>
      <c r="P636">
        <v>1310</v>
      </c>
      <c r="Q636">
        <v>0</v>
      </c>
      <c r="R636">
        <v>1710</v>
      </c>
      <c r="S636">
        <v>0</v>
      </c>
      <c r="T636">
        <v>400</v>
      </c>
      <c r="U636">
        <v>260000</v>
      </c>
      <c r="V636">
        <v>13039</v>
      </c>
      <c r="W636" t="str">
        <v>0</v>
      </c>
      <c r="X636">
        <v>23790</v>
      </c>
      <c r="Y636" s="31">
        <v>46597</v>
      </c>
      <c r="Z636" t="str">
        <v/>
      </c>
      <c r="AA636" t="str">
        <v>技術・人文知識・国際業務</v>
      </c>
      <c r="AB636" t="str">
        <v>498-0017</v>
      </c>
      <c r="AC636" t="str">
        <v>愛知県弥冨市前ケ須町勘助走７番地1</v>
      </c>
      <c r="AD636" t="str">
        <v>ﾀｳﾆｰﾊﾝﾀﾞC201</v>
      </c>
      <c r="AE636" s="31">
        <v>44713</v>
      </c>
      <c r="AF636" s="31">
        <v>44713</v>
      </c>
      <c r="AG636" s="31">
        <v>0</v>
      </c>
      <c r="AH636" s="31">
        <v>0</v>
      </c>
      <c r="AI636">
        <v>44774</v>
      </c>
      <c r="AJ636" t="str">
        <v>6/6林</v>
      </c>
      <c r="AK636">
        <v>0</v>
      </c>
      <c r="AL636">
        <v>44713</v>
      </c>
      <c r="AM636">
        <v>0</v>
      </c>
      <c r="AN636">
        <v>0</v>
      </c>
      <c r="AO636">
        <v>0</v>
      </c>
      <c r="AP636">
        <v>0</v>
      </c>
      <c r="AQ636">
        <v>0</v>
      </c>
      <c r="AR636">
        <v>0</v>
      </c>
    </row>
    <row r="637" spans="1:44">
      <c r="A637" t="str">
        <f>H637&amp;COUNTIF($H$2:H637,H637)</f>
        <v>HUB11</v>
      </c>
      <c r="B637" t="str">
        <f>F637&amp;COUNTIF($F$2:F637,F637)</f>
        <v>高雄工業 海南第一49</v>
      </c>
      <c r="C637" t="str">
        <v>在職中</v>
      </c>
      <c r="D637">
        <v>231108</v>
      </c>
      <c r="E637">
        <v>222058</v>
      </c>
      <c r="F637" t="str">
        <v>高雄工業 海南第一</v>
      </c>
      <c r="G637" t="str">
        <v>高雄工業株式会社 愛知事業所海南第一工場製作1課</v>
      </c>
      <c r="H637" t="str">
        <v>HUB</v>
      </c>
      <c r="I637" t="str">
        <v>ハブ加工 機械オペレーター、NCプログラム修正</v>
      </c>
      <c r="J637" t="str">
        <v>HIRATA AIZAWA RODRIGO HIROSHI</v>
      </c>
      <c r="K637" t="str">
        <v>ヒラタ　ロドリゴ　ヒロシ</v>
      </c>
      <c r="L637" t="str">
        <v>男</v>
      </c>
      <c r="M637" t="str">
        <v>ﾌﾞﾗｼﾞﾙ</v>
      </c>
      <c r="N637" s="31">
        <v>36615</v>
      </c>
      <c r="O637">
        <v>25</v>
      </c>
      <c r="P637">
        <v>1300</v>
      </c>
      <c r="Q637">
        <v>0</v>
      </c>
      <c r="R637">
        <v>1700</v>
      </c>
      <c r="S637">
        <v>0</v>
      </c>
      <c r="T637">
        <v>400</v>
      </c>
      <c r="U637">
        <v>240000</v>
      </c>
      <c r="V637">
        <v>12036</v>
      </c>
      <c r="W637" t="str">
        <v>0</v>
      </c>
      <c r="X637">
        <v>21960</v>
      </c>
      <c r="Y637" s="31">
        <v>47084</v>
      </c>
      <c r="Z637" t="str">
        <v/>
      </c>
      <c r="AA637" t="str">
        <v>定住者</v>
      </c>
      <c r="AB637" t="str">
        <v>498-0031</v>
      </c>
      <c r="AC637" t="str">
        <v>愛知県弥富市平島町中新田194-1</v>
      </c>
      <c r="AD637" t="str">
        <v>ｺﾝﾂｪﾙﾊｳｽB棟106</v>
      </c>
      <c r="AE637" s="31">
        <v>0</v>
      </c>
      <c r="AF637" s="31">
        <v>45232</v>
      </c>
      <c r="AG637" s="31">
        <v>0</v>
      </c>
      <c r="AH637" s="31">
        <v>0</v>
      </c>
      <c r="AI637" t="str">
        <v>23.11.2</v>
      </c>
      <c r="AJ637" t="str">
        <v>11/20林</v>
      </c>
      <c r="AK637">
        <v>0</v>
      </c>
      <c r="AL637">
        <v>45232</v>
      </c>
      <c r="AM637">
        <v>0</v>
      </c>
      <c r="AN637">
        <v>0</v>
      </c>
      <c r="AO637">
        <v>0</v>
      </c>
      <c r="AP637">
        <v>0</v>
      </c>
      <c r="AQ637">
        <v>0</v>
      </c>
      <c r="AR637">
        <v>0</v>
      </c>
    </row>
    <row r="638" spans="1:44">
      <c r="A638" t="str">
        <f>H638&amp;COUNTIF($H$2:H638,H638)</f>
        <v>HUB12</v>
      </c>
      <c r="B638" t="str">
        <f>F638&amp;COUNTIF($F$2:F638,F638)</f>
        <v>高雄工業 海南第一50</v>
      </c>
      <c r="C638" t="str">
        <v>在職中</v>
      </c>
      <c r="D638">
        <v>240401</v>
      </c>
      <c r="E638">
        <v>222070</v>
      </c>
      <c r="F638" t="str">
        <v>高雄工業 海南第一</v>
      </c>
      <c r="G638" t="str">
        <v>高雄工業株式会社 愛知事業所海南第一工場製作1課</v>
      </c>
      <c r="H638" t="str">
        <v>HUB</v>
      </c>
      <c r="I638" t="str">
        <v>ハブ加工 機械オペレーター、NCプログラム修正</v>
      </c>
      <c r="J638" t="str">
        <v>PHAM HOANG MINH</v>
      </c>
      <c r="K638" t="str">
        <v>ファム　ホアン　ミン</v>
      </c>
      <c r="L638" t="str">
        <v>男</v>
      </c>
      <c r="M638" t="str">
        <v>ﾍﾞﾄﾅﾑ</v>
      </c>
      <c r="N638" s="31">
        <v>37096</v>
      </c>
      <c r="O638">
        <v>24</v>
      </c>
      <c r="P638">
        <v>1300</v>
      </c>
      <c r="Q638">
        <v>0</v>
      </c>
      <c r="R638">
        <v>1660</v>
      </c>
      <c r="S638">
        <v>0</v>
      </c>
      <c r="T638">
        <v>360</v>
      </c>
      <c r="U638">
        <v>260000</v>
      </c>
      <c r="V638">
        <v>13039</v>
      </c>
      <c r="W638" t="str">
        <v>0</v>
      </c>
      <c r="X638">
        <v>23790</v>
      </c>
      <c r="Y638" s="31">
        <v>46112</v>
      </c>
      <c r="Z638" t="str">
        <v/>
      </c>
      <c r="AA638" t="str">
        <v>技術・人文知識・国際業務</v>
      </c>
      <c r="AB638" t="str">
        <v>498-0032</v>
      </c>
      <c r="AC638" t="str">
        <v>愛知県弥富市平島中4-125</v>
      </c>
      <c r="AD638">
        <v>0</v>
      </c>
      <c r="AE638" s="31">
        <v>0</v>
      </c>
      <c r="AF638" s="31">
        <v>45384</v>
      </c>
      <c r="AG638" s="31">
        <v>0</v>
      </c>
      <c r="AH638" s="31">
        <v>0</v>
      </c>
      <c r="AI638" t="str">
        <v>2024.4.2</v>
      </c>
      <c r="AJ638" t="str">
        <v>4/15林</v>
      </c>
      <c r="AK638">
        <v>0</v>
      </c>
      <c r="AL638">
        <v>45384</v>
      </c>
      <c r="AM638">
        <v>0</v>
      </c>
      <c r="AN638">
        <v>0</v>
      </c>
      <c r="AO638">
        <v>0</v>
      </c>
      <c r="AP638">
        <v>0</v>
      </c>
      <c r="AQ638">
        <v>0</v>
      </c>
      <c r="AR638">
        <v>0</v>
      </c>
    </row>
    <row r="639" spans="1:44">
      <c r="A639" t="str">
        <f>H639&amp;COUNTIF($H$2:H639,H639)</f>
        <v>HUB13</v>
      </c>
      <c r="B639" t="str">
        <f>F639&amp;COUNTIF($F$2:F639,F639)</f>
        <v>高雄工業 海南第一51</v>
      </c>
      <c r="C639" t="str">
        <v>在職中</v>
      </c>
      <c r="D639">
        <v>240711</v>
      </c>
      <c r="E639">
        <v>222072</v>
      </c>
      <c r="F639" t="str">
        <v>高雄工業 海南第一</v>
      </c>
      <c r="G639" t="str">
        <v>高雄工業株式会社 愛知事業所海南第一工場製作1課</v>
      </c>
      <c r="H639" t="str">
        <v>HUB</v>
      </c>
      <c r="I639" t="str">
        <v>ハブ加工 機械オペレーター、NCプログラム修正</v>
      </c>
      <c r="J639" t="str">
        <v>NGUYEN VAN LINH</v>
      </c>
      <c r="K639" t="str">
        <v>グエン　ヴァン　リン</v>
      </c>
      <c r="L639" t="str">
        <v>男</v>
      </c>
      <c r="M639" t="str">
        <v>ﾍﾞﾄﾅﾑ</v>
      </c>
      <c r="N639" s="31">
        <v>36831</v>
      </c>
      <c r="O639">
        <v>25</v>
      </c>
      <c r="P639">
        <v>1300</v>
      </c>
      <c r="Q639">
        <v>0</v>
      </c>
      <c r="R639">
        <v>1650</v>
      </c>
      <c r="S639">
        <v>0</v>
      </c>
      <c r="T639">
        <v>350</v>
      </c>
      <c r="U639">
        <v>240000</v>
      </c>
      <c r="V639">
        <v>12036</v>
      </c>
      <c r="W639" t="str">
        <v>0</v>
      </c>
      <c r="X639">
        <v>21960</v>
      </c>
      <c r="Y639" s="31">
        <v>46220</v>
      </c>
      <c r="Z639" t="str">
        <v/>
      </c>
      <c r="AA639" t="str">
        <v>技術・人文知識・国際業務</v>
      </c>
      <c r="AB639" t="str">
        <v>498-0017</v>
      </c>
      <c r="AC639" t="str">
        <v>愛知県弥富市前ヶ須町勘助走29-1</v>
      </c>
      <c r="AD639" t="str">
        <v>ﾌﾟﾚｼﾞｵC202</v>
      </c>
      <c r="AE639" s="31">
        <v>45490</v>
      </c>
      <c r="AF639" s="31">
        <v>45495</v>
      </c>
      <c r="AG639" s="31">
        <v>0</v>
      </c>
      <c r="AH639" s="31">
        <v>0</v>
      </c>
      <c r="AI639" t="str">
        <v>2024.7.22</v>
      </c>
      <c r="AJ639" t="str">
        <v>8/21林</v>
      </c>
      <c r="AK639">
        <v>0</v>
      </c>
      <c r="AL639">
        <v>45495</v>
      </c>
      <c r="AM639">
        <v>0</v>
      </c>
      <c r="AN639">
        <v>0</v>
      </c>
      <c r="AO639">
        <v>0</v>
      </c>
      <c r="AP639">
        <v>0</v>
      </c>
      <c r="AQ639">
        <v>0</v>
      </c>
      <c r="AR639">
        <v>0</v>
      </c>
    </row>
    <row r="640" spans="1:44">
      <c r="A640" t="str">
        <f>H640&amp;COUNTIF($H$2:H640,H640)</f>
        <v>HUB14</v>
      </c>
      <c r="B640" t="str">
        <f>F640&amp;COUNTIF($F$2:F640,F640)</f>
        <v>高雄工業 海南第一52</v>
      </c>
      <c r="C640" t="str">
        <v>在職中</v>
      </c>
      <c r="D640">
        <v>240712</v>
      </c>
      <c r="E640">
        <v>222073</v>
      </c>
      <c r="F640" t="str">
        <v>高雄工業 海南第一</v>
      </c>
      <c r="G640" t="str">
        <v>高雄工業株式会社 愛知事業所海南第一工場製作1課</v>
      </c>
      <c r="H640" t="str">
        <v>HUB</v>
      </c>
      <c r="I640" t="str">
        <v>ハブ加工 機械オペレーター、NCプログラム修正</v>
      </c>
      <c r="J640" t="str">
        <v>VUONG CONG MINH</v>
      </c>
      <c r="K640" t="str">
        <v>ヴォン　コン　ミン</v>
      </c>
      <c r="L640" t="str">
        <v>男</v>
      </c>
      <c r="M640" t="str">
        <v>ﾍﾞﾄﾅﾑ</v>
      </c>
      <c r="N640" s="31">
        <v>36410</v>
      </c>
      <c r="O640">
        <v>26</v>
      </c>
      <c r="P640">
        <v>1300</v>
      </c>
      <c r="Q640">
        <v>0</v>
      </c>
      <c r="R640">
        <v>1650</v>
      </c>
      <c r="S640">
        <v>0</v>
      </c>
      <c r="T640">
        <v>350</v>
      </c>
      <c r="U640">
        <v>240000</v>
      </c>
      <c r="V640">
        <v>12036</v>
      </c>
      <c r="W640" t="str">
        <v>0</v>
      </c>
      <c r="X640">
        <v>21960</v>
      </c>
      <c r="Y640" s="31">
        <v>46220</v>
      </c>
      <c r="Z640" t="str">
        <v/>
      </c>
      <c r="AA640" t="str">
        <v>技術・人文知識・国際業務</v>
      </c>
      <c r="AB640" t="str">
        <v>498-0027</v>
      </c>
      <c r="AC640" t="str">
        <v>愛知県弥富市鯏浦町南前新田83-1</v>
      </c>
      <c r="AD640" t="str">
        <v>ﾋﾞｰﾌﾘｰ8 203号</v>
      </c>
      <c r="AE640" s="31">
        <v>45490</v>
      </c>
      <c r="AF640" s="31">
        <v>45495</v>
      </c>
      <c r="AG640" s="31">
        <v>0</v>
      </c>
      <c r="AH640" s="31">
        <v>0</v>
      </c>
      <c r="AI640" t="str">
        <v>2024.7.22</v>
      </c>
      <c r="AJ640" t="str">
        <v>8/21林</v>
      </c>
      <c r="AK640">
        <v>0</v>
      </c>
      <c r="AL640">
        <v>45495</v>
      </c>
      <c r="AM640">
        <v>0</v>
      </c>
      <c r="AN640">
        <v>0</v>
      </c>
      <c r="AO640">
        <v>0</v>
      </c>
      <c r="AP640">
        <v>0</v>
      </c>
      <c r="AQ640" t="str">
        <v>NASTEST-N4</v>
      </c>
      <c r="AR640">
        <v>0</v>
      </c>
    </row>
    <row r="641" spans="1:44">
      <c r="A641" t="str">
        <f>H641&amp;COUNTIF($H$2:H641,H641)</f>
        <v>州の崎工場製造2課2工区３班3</v>
      </c>
      <c r="B641" t="str">
        <f>F641&amp;COUNTIF($F$2:F641,F641)</f>
        <v>コーリツ 州の崎27</v>
      </c>
      <c r="C641" t="str">
        <v>在職中</v>
      </c>
      <c r="D641">
        <v>230916</v>
      </c>
      <c r="E641">
        <v>8210077</v>
      </c>
      <c r="F641" t="str">
        <v>コーリツ 州の崎</v>
      </c>
      <c r="G641" t="str">
        <v>州の崎工場製造2課2工区３班</v>
      </c>
      <c r="H641" t="str">
        <v>州の崎工場製造2課2工区３班</v>
      </c>
      <c r="I641">
        <v>0</v>
      </c>
      <c r="J641" t="str">
        <v>HOANG TRONG NGHIA</v>
      </c>
      <c r="K641" t="str">
        <v>ホアン　チョン　ギア</v>
      </c>
      <c r="L641" t="str">
        <v>男</v>
      </c>
      <c r="M641" t="str">
        <v>ﾍﾞﾄﾅﾑ</v>
      </c>
      <c r="N641" s="31">
        <v>36369</v>
      </c>
      <c r="O641">
        <v>26</v>
      </c>
      <c r="P641">
        <v>1500</v>
      </c>
      <c r="Q641">
        <v>0</v>
      </c>
      <c r="R641">
        <v>2150</v>
      </c>
      <c r="S641">
        <v>0</v>
      </c>
      <c r="T641">
        <v>650</v>
      </c>
      <c r="U641">
        <v>360000</v>
      </c>
      <c r="V641">
        <v>18054</v>
      </c>
      <c r="W641" t="str">
        <v>0</v>
      </c>
      <c r="X641">
        <v>32940</v>
      </c>
      <c r="Y641" s="31">
        <v>46137</v>
      </c>
      <c r="Z641" t="str">
        <v/>
      </c>
      <c r="AA641" t="str">
        <v>技術・人文知識・国際業務</v>
      </c>
      <c r="AB641" t="str">
        <v>475-0014</v>
      </c>
      <c r="AC641" t="str">
        <v>愛知県半田市一本木町2-1</v>
      </c>
      <c r="AD641" t="str">
        <v>県営西亀崎住宅4棟404号</v>
      </c>
      <c r="AE641" s="31">
        <v>45187</v>
      </c>
      <c r="AF641" s="31">
        <v>45194</v>
      </c>
      <c r="AG641" s="31">
        <v>0</v>
      </c>
      <c r="AH641" s="31">
        <v>0</v>
      </c>
      <c r="AI641" t="str">
        <v>23.9.25</v>
      </c>
      <c r="AJ641" t="str">
        <v>10/13林</v>
      </c>
      <c r="AK641">
        <v>0</v>
      </c>
      <c r="AL641">
        <v>45194</v>
      </c>
      <c r="AM641" t="str">
        <v>原付</v>
      </c>
      <c r="AN641">
        <v>45897</v>
      </c>
      <c r="AO641" t="str">
        <v>原付</v>
      </c>
      <c r="AP641">
        <v>46103</v>
      </c>
      <c r="AQ641">
        <v>0</v>
      </c>
      <c r="AR641">
        <v>0</v>
      </c>
    </row>
    <row r="642" spans="1:44">
      <c r="A642" t="str">
        <f>H642&amp;COUNTIF($H$2:H642,H642)</f>
        <v>1次旋係47</v>
      </c>
      <c r="B642" t="str">
        <f>F642&amp;COUNTIF($F$2:F642,F642)</f>
        <v>高雄工業 岡山120</v>
      </c>
      <c r="C642" t="str">
        <v>在職中</v>
      </c>
      <c r="D642">
        <v>230917</v>
      </c>
      <c r="E642">
        <v>232124</v>
      </c>
      <c r="F642" t="str">
        <v>高雄工業 岡山</v>
      </c>
      <c r="G642" t="str">
        <v>高雄工業株式会社 岡山事業所HUB工場製作1課</v>
      </c>
      <c r="H642" t="str">
        <v>1次旋係</v>
      </c>
      <c r="I642" t="str">
        <v>ハブ加工 自動機の操作、ＮＣプログラム修正</v>
      </c>
      <c r="J642" t="str">
        <v>BUI MINH DUC</v>
      </c>
      <c r="K642" t="str">
        <v>ブイ　ミン　ドゥック</v>
      </c>
      <c r="L642" t="str">
        <v>男</v>
      </c>
      <c r="M642" t="str">
        <v>ﾍﾞﾄﾅﾑ</v>
      </c>
      <c r="N642" s="31">
        <v>32860</v>
      </c>
      <c r="O642">
        <v>35</v>
      </c>
      <c r="P642">
        <v>1310</v>
      </c>
      <c r="Q642">
        <v>0</v>
      </c>
      <c r="R642">
        <v>1700</v>
      </c>
      <c r="S642">
        <v>0</v>
      </c>
      <c r="T642">
        <v>390</v>
      </c>
      <c r="U642">
        <v>240000</v>
      </c>
      <c r="V642">
        <v>12036</v>
      </c>
      <c r="W642" t="str">
        <v>0</v>
      </c>
      <c r="X642">
        <v>21960</v>
      </c>
      <c r="Y642" s="31">
        <v>46291</v>
      </c>
      <c r="Z642" t="str">
        <v/>
      </c>
      <c r="AA642" t="str">
        <v>技術・人文知識・国際業務</v>
      </c>
      <c r="AB642" t="str">
        <v>709-2107</v>
      </c>
      <c r="AC642" t="str">
        <v>岡山県岡山市北区御津矢原307番地</v>
      </c>
      <c r="AD642" t="str">
        <v>成広矢原ｺｰﾎﾟⅠ201</v>
      </c>
      <c r="AE642" s="31">
        <v>45191</v>
      </c>
      <c r="AF642" s="31">
        <v>45197</v>
      </c>
      <c r="AG642" s="31">
        <v>0</v>
      </c>
      <c r="AH642" s="31">
        <v>0</v>
      </c>
      <c r="AI642" t="str">
        <v>23.9.28</v>
      </c>
      <c r="AJ642" t="str">
        <v>10/13林</v>
      </c>
      <c r="AK642">
        <v>0</v>
      </c>
      <c r="AL642">
        <v>45197</v>
      </c>
      <c r="AM642">
        <v>0</v>
      </c>
      <c r="AN642">
        <v>0</v>
      </c>
      <c r="AO642">
        <v>0</v>
      </c>
      <c r="AP642">
        <v>0</v>
      </c>
      <c r="AQ642">
        <v>0</v>
      </c>
      <c r="AR642">
        <v>0</v>
      </c>
    </row>
    <row r="643" spans="1:44">
      <c r="A643" t="str">
        <f>H643&amp;COUNTIF($H$2:H643,H643)</f>
        <v>1次旋係48</v>
      </c>
      <c r="B643" t="str">
        <f>F643&amp;COUNTIF($F$2:F643,F643)</f>
        <v>高雄工業 岡山121</v>
      </c>
      <c r="C643" t="str">
        <v>在職中</v>
      </c>
      <c r="D643">
        <v>230919</v>
      </c>
      <c r="E643">
        <v>232121</v>
      </c>
      <c r="F643" t="str">
        <v>高雄工業 岡山</v>
      </c>
      <c r="G643" t="str">
        <v>高雄工業株式会社 岡山事業所HUB工場製作1課</v>
      </c>
      <c r="H643" t="str">
        <v>1次旋係</v>
      </c>
      <c r="I643" t="str">
        <v>ハブ加工 自動機の操作、ＮＣプログラム修正</v>
      </c>
      <c r="J643" t="str">
        <v>NGUYEN XUAN LAM</v>
      </c>
      <c r="K643" t="str">
        <v>グエン　スアン　ラム</v>
      </c>
      <c r="L643" t="str">
        <v>男</v>
      </c>
      <c r="M643" t="str">
        <v>ﾍﾞﾄﾅﾑ</v>
      </c>
      <c r="N643" s="31">
        <v>36595</v>
      </c>
      <c r="O643">
        <v>25</v>
      </c>
      <c r="P643">
        <v>1300</v>
      </c>
      <c r="Q643">
        <v>0</v>
      </c>
      <c r="R643">
        <v>1680</v>
      </c>
      <c r="S643">
        <v>0</v>
      </c>
      <c r="T643">
        <v>380</v>
      </c>
      <c r="U643">
        <v>260000</v>
      </c>
      <c r="V643">
        <v>13039</v>
      </c>
      <c r="W643" t="str">
        <v>0</v>
      </c>
      <c r="X643">
        <v>23790</v>
      </c>
      <c r="Y643" s="31">
        <v>46291</v>
      </c>
      <c r="Z643" t="str">
        <v/>
      </c>
      <c r="AA643" t="str">
        <v>技術・人文知識・国際業務</v>
      </c>
      <c r="AB643" t="str">
        <v>709-2107</v>
      </c>
      <c r="AC643" t="str">
        <v>岡山県岡山市北区御津矢原307番地</v>
      </c>
      <c r="AD643" t="str">
        <v>成広矢原ｺｰﾎﾟⅠ201</v>
      </c>
      <c r="AE643" s="31">
        <v>45191</v>
      </c>
      <c r="AF643" s="31">
        <v>45197</v>
      </c>
      <c r="AG643" s="31">
        <v>0</v>
      </c>
      <c r="AH643" s="31">
        <v>0</v>
      </c>
      <c r="AI643" t="str">
        <v>23.9.28</v>
      </c>
      <c r="AJ643" t="str">
        <v>10/13林</v>
      </c>
      <c r="AK643">
        <v>0</v>
      </c>
      <c r="AL643">
        <v>45197</v>
      </c>
      <c r="AM643">
        <v>0</v>
      </c>
      <c r="AN643">
        <v>0</v>
      </c>
      <c r="AO643">
        <v>0</v>
      </c>
      <c r="AP643">
        <v>0</v>
      </c>
      <c r="AQ643">
        <v>0</v>
      </c>
      <c r="AR643">
        <v>0</v>
      </c>
    </row>
    <row r="644" spans="1:44">
      <c r="A644" t="str">
        <f>H644&amp;COUNTIF($H$2:H644,H644)</f>
        <v>1次旋係49</v>
      </c>
      <c r="B644" t="str">
        <f>F644&amp;COUNTIF($F$2:F644,F644)</f>
        <v>高雄工業 岡山122</v>
      </c>
      <c r="C644" t="str">
        <v>退社</v>
      </c>
      <c r="D644">
        <v>230920</v>
      </c>
      <c r="E644">
        <v>232123</v>
      </c>
      <c r="F644" t="str">
        <v>高雄工業 岡山</v>
      </c>
      <c r="G644" t="str">
        <v>高雄工業株式会社 岡山事業所HUB工場製作1課</v>
      </c>
      <c r="H644" t="str">
        <v>1次旋係</v>
      </c>
      <c r="I644" t="str">
        <v>ハブ加工 自動機の操作、ＮＣプログラム修正</v>
      </c>
      <c r="J644" t="str">
        <v>HA NGOC QUAN</v>
      </c>
      <c r="K644" t="str">
        <v>ハー　ゴック　クアン</v>
      </c>
      <c r="L644" t="str">
        <v>男</v>
      </c>
      <c r="M644" t="str">
        <v>ﾍﾞﾄﾅﾑ</v>
      </c>
      <c r="N644" s="31">
        <v>36276</v>
      </c>
      <c r="O644">
        <v>26</v>
      </c>
      <c r="P644">
        <v>1300</v>
      </c>
      <c r="Q644">
        <v>0</v>
      </c>
      <c r="R644">
        <v>1700</v>
      </c>
      <c r="S644">
        <v>0</v>
      </c>
      <c r="T644">
        <v>400</v>
      </c>
      <c r="U644">
        <v>260000</v>
      </c>
      <c r="V644">
        <v>13039</v>
      </c>
      <c r="W644" t="str">
        <v>0</v>
      </c>
      <c r="X644">
        <v>23790</v>
      </c>
      <c r="Y644" s="31">
        <v>46291</v>
      </c>
      <c r="Z644" t="str">
        <v/>
      </c>
      <c r="AA644" t="str">
        <v>技術・人文知識・国際業務</v>
      </c>
      <c r="AB644" t="str">
        <v>709-2107</v>
      </c>
      <c r="AC644" t="str">
        <v>岡山県岡山市北区御津矢原307－1</v>
      </c>
      <c r="AD644" t="str">
        <v>成広矢原ｺｰﾎﾟⅡ102</v>
      </c>
      <c r="AE644" s="31">
        <v>45191</v>
      </c>
      <c r="AF644" s="31">
        <v>45197</v>
      </c>
      <c r="AG644" s="31">
        <v>45989</v>
      </c>
      <c r="AH644" s="31">
        <v>0</v>
      </c>
      <c r="AI644" t="str">
        <v>23.10.1</v>
      </c>
      <c r="AJ644" t="str">
        <v>10/13林</v>
      </c>
      <c r="AK644">
        <v>0</v>
      </c>
      <c r="AL644">
        <v>45197</v>
      </c>
      <c r="AM644">
        <v>0</v>
      </c>
      <c r="AN644">
        <v>0</v>
      </c>
      <c r="AO644">
        <v>0</v>
      </c>
      <c r="AP644">
        <v>0</v>
      </c>
      <c r="AQ644">
        <v>0</v>
      </c>
      <c r="AR644">
        <v>0</v>
      </c>
    </row>
    <row r="645" spans="1:44">
      <c r="A645" t="str">
        <f>H645&amp;COUNTIF($H$2:H645,H645)</f>
        <v>1次旋係50</v>
      </c>
      <c r="B645" t="str">
        <f>F645&amp;COUNTIF($F$2:F645,F645)</f>
        <v>高雄工業 岡山123</v>
      </c>
      <c r="C645" t="str">
        <v>退社</v>
      </c>
      <c r="D645">
        <v>230918</v>
      </c>
      <c r="E645">
        <v>232122</v>
      </c>
      <c r="F645" t="str">
        <v>高雄工業 岡山</v>
      </c>
      <c r="G645" t="str">
        <v>高雄工業株式会社 岡山事業所HUB工場製作1課</v>
      </c>
      <c r="H645" t="str">
        <v>1次旋係</v>
      </c>
      <c r="I645" t="str">
        <v>ハブ加工 自動機の操作、ＮＣプログラム修正</v>
      </c>
      <c r="J645" t="str">
        <v>NGO MANH TUAN</v>
      </c>
      <c r="K645" t="str">
        <v>ゴー　マイン　トゥアン</v>
      </c>
      <c r="L645" t="str">
        <v>男</v>
      </c>
      <c r="M645" t="str">
        <v>ﾍﾞﾄﾅﾑ</v>
      </c>
      <c r="N645" s="31">
        <v>35911</v>
      </c>
      <c r="O645">
        <v>27</v>
      </c>
      <c r="P645">
        <v>1300</v>
      </c>
      <c r="Q645">
        <v>0</v>
      </c>
      <c r="R645">
        <v>1680</v>
      </c>
      <c r="S645">
        <v>0</v>
      </c>
      <c r="T645">
        <v>380</v>
      </c>
      <c r="U645">
        <v>240000</v>
      </c>
      <c r="V645">
        <v>12036</v>
      </c>
      <c r="W645" t="str">
        <v>0</v>
      </c>
      <c r="X645">
        <v>21960</v>
      </c>
      <c r="Y645" s="31">
        <v>45926</v>
      </c>
      <c r="Z645" t="str">
        <v/>
      </c>
      <c r="AA645" t="str">
        <v>技術・人文知識・国際業務</v>
      </c>
      <c r="AB645" t="str">
        <v>709-2107</v>
      </c>
      <c r="AC645" t="str">
        <v>岡山県岡山市北区御津矢原297－1</v>
      </c>
      <c r="AD645" t="str">
        <v>成広矢原ｺｰﾎﾟⅤ102</v>
      </c>
      <c r="AE645" s="31">
        <v>45191</v>
      </c>
      <c r="AF645" s="31">
        <v>45197</v>
      </c>
      <c r="AG645" s="31">
        <v>45644</v>
      </c>
      <c r="AH645" s="31">
        <v>0</v>
      </c>
      <c r="AI645" t="str">
        <v>23.9.28</v>
      </c>
      <c r="AJ645" t="str">
        <v>10/13林</v>
      </c>
      <c r="AK645">
        <v>0</v>
      </c>
      <c r="AL645">
        <v>45197</v>
      </c>
      <c r="AM645">
        <v>0</v>
      </c>
      <c r="AN645">
        <v>0</v>
      </c>
      <c r="AO645">
        <v>0</v>
      </c>
      <c r="AP645">
        <v>0</v>
      </c>
      <c r="AQ645">
        <v>0</v>
      </c>
      <c r="AR645">
        <v>0</v>
      </c>
    </row>
    <row r="646" spans="1:44">
      <c r="A646" t="str">
        <f>H646&amp;COUNTIF($H$2:H646,H646)</f>
        <v>0235</v>
      </c>
      <c r="B646" t="str">
        <f>F646&amp;COUNTIF($F$2:F646,F646)</f>
        <v>ピーエムアイ23</v>
      </c>
      <c r="C646" t="str">
        <v>在職中</v>
      </c>
      <c r="D646">
        <v>231001</v>
      </c>
      <c r="E646">
        <v>0</v>
      </c>
      <c r="F646" t="str">
        <v>ピーエムアイ</v>
      </c>
      <c r="G646">
        <v>0</v>
      </c>
      <c r="H646">
        <v>0</v>
      </c>
      <c r="I646">
        <v>0</v>
      </c>
      <c r="J646" t="str">
        <v>VO MINH KHANG</v>
      </c>
      <c r="K646" t="str">
        <v>ヴォ　ミン　カン</v>
      </c>
      <c r="L646" t="str">
        <v>男</v>
      </c>
      <c r="M646" t="str">
        <v>ﾍﾞﾄﾅﾑ</v>
      </c>
      <c r="N646" s="31">
        <v>36675</v>
      </c>
      <c r="O646">
        <v>25</v>
      </c>
      <c r="P646">
        <v>1300</v>
      </c>
      <c r="Q646">
        <v>0</v>
      </c>
      <c r="R646">
        <v>1800</v>
      </c>
      <c r="S646">
        <v>0</v>
      </c>
      <c r="T646">
        <v>500</v>
      </c>
      <c r="U646">
        <v>240000</v>
      </c>
      <c r="V646">
        <v>12036</v>
      </c>
      <c r="W646" t="str">
        <v>0</v>
      </c>
      <c r="X646">
        <v>21960</v>
      </c>
      <c r="Y646" s="31">
        <v>46854</v>
      </c>
      <c r="Z646" t="str">
        <v/>
      </c>
      <c r="AA646" t="str">
        <v>技術・人文知識・国際業務</v>
      </c>
      <c r="AB646" t="str">
        <v>471-0805</v>
      </c>
      <c r="AC646" t="str">
        <v>愛知県豊田市美里1-14-18</v>
      </c>
      <c r="AD646" t="str">
        <v>ﾊｲﾂ長嶋201</v>
      </c>
      <c r="AE646" s="31">
        <v>45199</v>
      </c>
      <c r="AF646" s="31">
        <v>45201</v>
      </c>
      <c r="AG646" s="31">
        <v>0</v>
      </c>
      <c r="AH646" s="31">
        <v>0</v>
      </c>
      <c r="AI646" t="str">
        <v>23.10.2</v>
      </c>
      <c r="AJ646" t="str">
        <v>10/30林</v>
      </c>
      <c r="AK646">
        <v>0</v>
      </c>
      <c r="AL646">
        <v>45201</v>
      </c>
      <c r="AM646">
        <v>0</v>
      </c>
      <c r="AN646">
        <v>0</v>
      </c>
      <c r="AO646">
        <v>0</v>
      </c>
      <c r="AP646">
        <v>0</v>
      </c>
      <c r="AQ646">
        <v>0</v>
      </c>
      <c r="AR646">
        <v>0</v>
      </c>
    </row>
    <row r="647" spans="1:44">
      <c r="A647" t="str">
        <f>H647&amp;COUNTIF($H$2:H647,H647)</f>
        <v>0236</v>
      </c>
      <c r="B647" t="str">
        <f>F647&amp;COUNTIF($F$2:F647,F647)</f>
        <v>川原鉄工所23</v>
      </c>
      <c r="C647" t="str">
        <v>退社</v>
      </c>
      <c r="D647">
        <v>231009</v>
      </c>
      <c r="E647">
        <v>0</v>
      </c>
      <c r="F647" t="str">
        <v>川原鉄工所</v>
      </c>
      <c r="G647">
        <v>0</v>
      </c>
      <c r="H647">
        <v>0</v>
      </c>
      <c r="I647">
        <v>0</v>
      </c>
      <c r="J647" t="str">
        <v>NGUYEN DUC QUANG 　</v>
      </c>
      <c r="K647" t="str">
        <v>グエン　ドック　クアン</v>
      </c>
      <c r="L647" t="str">
        <v>男</v>
      </c>
      <c r="M647" t="str">
        <v>ﾍﾞﾄﾅﾑ</v>
      </c>
      <c r="N647" s="31">
        <v>33095</v>
      </c>
      <c r="O647">
        <v>35</v>
      </c>
      <c r="P647">
        <v>1300</v>
      </c>
      <c r="Q647">
        <v>0</v>
      </c>
      <c r="R647">
        <v>1650</v>
      </c>
      <c r="S647">
        <v>0</v>
      </c>
      <c r="T647">
        <v>350</v>
      </c>
      <c r="U647">
        <v>0</v>
      </c>
      <c r="V647" t="str">
        <v/>
      </c>
      <c r="W647" t="str">
        <v>0</v>
      </c>
      <c r="X647">
        <v>0</v>
      </c>
      <c r="Y647" s="31">
        <v>45542</v>
      </c>
      <c r="Z647" t="str">
        <v/>
      </c>
      <c r="AA647" t="str">
        <v>技術・人文知識・国際業務</v>
      </c>
      <c r="AB647" t="str">
        <v>455-0831</v>
      </c>
      <c r="AC647" t="str">
        <v>愛知県名古屋市港区十一屋3丁目24-1</v>
      </c>
      <c r="AD647" t="str">
        <v>ｸﾞﾛｰﾘｨ十一屋304号</v>
      </c>
      <c r="AE647" s="31">
        <v>0</v>
      </c>
      <c r="AF647" s="31">
        <v>45201</v>
      </c>
      <c r="AG647" s="31">
        <v>45202</v>
      </c>
      <c r="AH647" s="31">
        <v>0</v>
      </c>
      <c r="AI647">
        <v>0</v>
      </c>
      <c r="AJ647" t="str">
        <v>10/18林</v>
      </c>
      <c r="AK647">
        <v>0</v>
      </c>
      <c r="AL647">
        <v>45201</v>
      </c>
      <c r="AM647">
        <v>0</v>
      </c>
      <c r="AN647">
        <v>0</v>
      </c>
      <c r="AO647">
        <v>0</v>
      </c>
      <c r="AP647">
        <v>0</v>
      </c>
      <c r="AQ647">
        <v>0</v>
      </c>
      <c r="AR647">
        <v>0</v>
      </c>
    </row>
    <row r="648" spans="1:44">
      <c r="A648" t="str">
        <f>H648&amp;COUNTIF($H$2:H648,H648)</f>
        <v>州の崎工場製造1課1工区2班3</v>
      </c>
      <c r="B648" t="str">
        <f>F648&amp;COUNTIF($F$2:F648,F648)</f>
        <v>コーリツ 州の崎28</v>
      </c>
      <c r="C648" t="str">
        <v>在職中</v>
      </c>
      <c r="D648">
        <v>231002</v>
      </c>
      <c r="E648">
        <v>8210078</v>
      </c>
      <c r="F648" t="str">
        <v>コーリツ 州の崎</v>
      </c>
      <c r="G648" t="str">
        <v>州の崎工場製造1課1工区2班</v>
      </c>
      <c r="H648" t="str">
        <v>州の崎工場製造1課1工区2班</v>
      </c>
      <c r="I648">
        <v>0</v>
      </c>
      <c r="J648" t="str">
        <v>DINH TRONG DUONG</v>
      </c>
      <c r="K648" t="str">
        <v>デイン　チオン　ヅオン</v>
      </c>
      <c r="L648" t="str">
        <v>男</v>
      </c>
      <c r="M648" t="str">
        <v>ﾍﾞﾄﾅﾑ</v>
      </c>
      <c r="N648" s="31">
        <v>35078</v>
      </c>
      <c r="O648">
        <v>29</v>
      </c>
      <c r="P648">
        <v>1500</v>
      </c>
      <c r="Q648">
        <v>0</v>
      </c>
      <c r="R648">
        <v>2150</v>
      </c>
      <c r="S648">
        <v>0</v>
      </c>
      <c r="T648">
        <v>650</v>
      </c>
      <c r="U648">
        <v>360000</v>
      </c>
      <c r="V648">
        <v>18054</v>
      </c>
      <c r="W648" t="str">
        <v>0</v>
      </c>
      <c r="X648">
        <v>32940</v>
      </c>
      <c r="Y648" s="31">
        <v>47036</v>
      </c>
      <c r="Z648" t="str">
        <v/>
      </c>
      <c r="AA648" t="str">
        <v>技術・人文知識・国際業務</v>
      </c>
      <c r="AB648" t="str">
        <v>475-0061</v>
      </c>
      <c r="AC648" t="str">
        <v>愛知県半田市一ノ草町201-11</v>
      </c>
      <c r="AD648" t="str">
        <v>ﾒｿﾞﾝﾊﾟｰｸｱﾍﾞﾆｭｰ103</v>
      </c>
      <c r="AE648" s="31">
        <v>0</v>
      </c>
      <c r="AF648" s="31">
        <v>45215</v>
      </c>
      <c r="AG648" s="31">
        <v>0</v>
      </c>
      <c r="AH648" s="31">
        <v>0</v>
      </c>
      <c r="AI648" t="str">
        <v>23.10.16</v>
      </c>
      <c r="AJ648" t="str">
        <v>10/30林</v>
      </c>
      <c r="AK648">
        <v>0</v>
      </c>
      <c r="AL648">
        <v>45215</v>
      </c>
      <c r="AM648" t="str">
        <v>原付</v>
      </c>
      <c r="AN648">
        <v>46067</v>
      </c>
      <c r="AO648" t="str">
        <v>原付</v>
      </c>
      <c r="AP648">
        <v>46309</v>
      </c>
      <c r="AQ648">
        <v>0</v>
      </c>
      <c r="AR648">
        <v>0</v>
      </c>
    </row>
    <row r="649" spans="1:44">
      <c r="A649" t="str">
        <f>H649&amp;COUNTIF($H$2:H649,H649)</f>
        <v>0237</v>
      </c>
      <c r="B649" t="str">
        <f>F649&amp;COUNTIF($F$2:F649,F649)</f>
        <v>コーリツ 州の崎29</v>
      </c>
      <c r="C649" t="str">
        <v>退社</v>
      </c>
      <c r="D649">
        <v>231003</v>
      </c>
      <c r="E649">
        <v>8210079</v>
      </c>
      <c r="F649" t="str">
        <v>コーリツ 州の崎</v>
      </c>
      <c r="G649">
        <v>0</v>
      </c>
      <c r="H649">
        <v>0</v>
      </c>
      <c r="I649">
        <v>0</v>
      </c>
      <c r="J649" t="str">
        <v>NGUYEN QUOC CUONG</v>
      </c>
      <c r="K649" t="str">
        <v>グエン　クオック　クオン</v>
      </c>
      <c r="L649" t="str">
        <v>男</v>
      </c>
      <c r="M649" t="str">
        <v>ﾍﾞﾄﾅﾑ</v>
      </c>
      <c r="N649" s="31">
        <v>36039</v>
      </c>
      <c r="O649">
        <v>27</v>
      </c>
      <c r="P649">
        <v>1400</v>
      </c>
      <c r="Q649">
        <v>0</v>
      </c>
      <c r="R649">
        <v>1990</v>
      </c>
      <c r="S649">
        <v>0</v>
      </c>
      <c r="T649">
        <v>590</v>
      </c>
      <c r="U649">
        <v>0</v>
      </c>
      <c r="V649" t="str">
        <v/>
      </c>
      <c r="W649" t="str">
        <v>0</v>
      </c>
      <c r="X649">
        <v>0</v>
      </c>
      <c r="Y649" s="31">
        <v>45575</v>
      </c>
      <c r="Z649" t="str">
        <v/>
      </c>
      <c r="AA649" t="str">
        <v>技術・人文知識・国際業務</v>
      </c>
      <c r="AB649" t="str">
        <v>475-0061</v>
      </c>
      <c r="AC649" t="str">
        <v>愛知県半田市一ノ草町201-11</v>
      </c>
      <c r="AD649" t="str">
        <v>ﾒｿﾞﾝﾊﾟｰｸｱﾍﾞﾆｭｰ103</v>
      </c>
      <c r="AE649" s="31">
        <v>0</v>
      </c>
      <c r="AF649" s="31">
        <v>45215</v>
      </c>
      <c r="AG649" s="31">
        <v>45219</v>
      </c>
      <c r="AH649" s="31">
        <v>0</v>
      </c>
      <c r="AI649">
        <v>0</v>
      </c>
      <c r="AJ649">
        <v>0</v>
      </c>
      <c r="AK649">
        <v>0</v>
      </c>
      <c r="AL649">
        <v>45215</v>
      </c>
      <c r="AM649">
        <v>0</v>
      </c>
      <c r="AN649">
        <v>0</v>
      </c>
      <c r="AO649">
        <v>0</v>
      </c>
      <c r="AP649">
        <v>0</v>
      </c>
      <c r="AQ649">
        <v>0</v>
      </c>
      <c r="AR649">
        <v>0</v>
      </c>
    </row>
    <row r="650" spans="1:44">
      <c r="A650" t="str">
        <f>H650&amp;COUNTIF($H$2:H650,H650)</f>
        <v>3課3</v>
      </c>
      <c r="B650" t="str">
        <f>F650&amp;COUNTIF($F$2:F650,F650)</f>
        <v>加藤木材工業 本社25</v>
      </c>
      <c r="C650" t="str">
        <v>退社</v>
      </c>
      <c r="D650">
        <v>231004</v>
      </c>
      <c r="E650">
        <v>5600</v>
      </c>
      <c r="F650" t="str">
        <v>加藤木材工業 本社</v>
      </c>
      <c r="G650" t="str">
        <v>生産1部</v>
      </c>
      <c r="H650" t="str">
        <v>3課</v>
      </c>
      <c r="I650" t="str">
        <v>機械オペレーター及び機械メンテナンス他付随する業務</v>
      </c>
      <c r="J650" t="str">
        <v>LE NGOC THONG</v>
      </c>
      <c r="K650" t="str">
        <v>レ　ゴック　トン</v>
      </c>
      <c r="L650" t="str">
        <v>男</v>
      </c>
      <c r="M650" t="str">
        <v>ﾍﾞﾄﾅﾑ</v>
      </c>
      <c r="N650" s="31">
        <v>34038</v>
      </c>
      <c r="O650">
        <v>32</v>
      </c>
      <c r="P650">
        <v>1300</v>
      </c>
      <c r="Q650">
        <v>0</v>
      </c>
      <c r="R650">
        <v>1700</v>
      </c>
      <c r="S650">
        <v>0</v>
      </c>
      <c r="T650">
        <v>400</v>
      </c>
      <c r="U650">
        <v>220000</v>
      </c>
      <c r="V650">
        <v>11033</v>
      </c>
      <c r="W650" t="str">
        <v>0</v>
      </c>
      <c r="X650">
        <v>20130</v>
      </c>
      <c r="Y650" s="31">
        <v>45535</v>
      </c>
      <c r="Z650" t="str">
        <v/>
      </c>
      <c r="AA650" t="str">
        <v>技術・人文知識・国際業務</v>
      </c>
      <c r="AB650" t="str">
        <v>486-0806</v>
      </c>
      <c r="AC650" t="str">
        <v>愛知県春日井市大手田酉町1-5-15</v>
      </c>
      <c r="AD650" t="str">
        <v>ｻﾝｳﾞｨﾚｯｼﾞ91-205</v>
      </c>
      <c r="AE650" s="31">
        <v>0</v>
      </c>
      <c r="AF650" s="31">
        <v>45215</v>
      </c>
      <c r="AG650" s="31">
        <v>45309</v>
      </c>
      <c r="AH650" s="31">
        <v>0</v>
      </c>
      <c r="AI650" t="str">
        <v>23.10.16</v>
      </c>
      <c r="AJ650" t="str">
        <v>10/30林</v>
      </c>
      <c r="AK650">
        <v>0</v>
      </c>
      <c r="AL650">
        <v>45215</v>
      </c>
      <c r="AM650">
        <v>0</v>
      </c>
      <c r="AN650">
        <v>0</v>
      </c>
      <c r="AO650">
        <v>0</v>
      </c>
      <c r="AP650">
        <v>0</v>
      </c>
      <c r="AQ650">
        <v>0</v>
      </c>
      <c r="AR650">
        <v>0</v>
      </c>
    </row>
    <row r="651" spans="1:44">
      <c r="A651" t="str">
        <f>H651&amp;COUNTIF($H$2:H651,H651)</f>
        <v>3課4</v>
      </c>
      <c r="B651" t="str">
        <f>F651&amp;COUNTIF($F$2:F651,F651)</f>
        <v>加藤木材工業 本社26</v>
      </c>
      <c r="C651" t="str">
        <v>退社</v>
      </c>
      <c r="D651">
        <v>231005</v>
      </c>
      <c r="E651">
        <v>4805</v>
      </c>
      <c r="F651" t="str">
        <v>加藤木材工業 本社</v>
      </c>
      <c r="G651" t="str">
        <v>生産1部</v>
      </c>
      <c r="H651" t="str">
        <v>3課</v>
      </c>
      <c r="I651" t="str">
        <v>機械オペレーター及び機械メンテナンス他付随する業務</v>
      </c>
      <c r="J651" t="str">
        <v>HOANG XUAN TUAN</v>
      </c>
      <c r="K651" t="str">
        <v>ホアン　スアン　トゥアン</v>
      </c>
      <c r="L651" t="str">
        <v>男</v>
      </c>
      <c r="M651" t="str">
        <v>ﾍﾞﾄﾅﾑ</v>
      </c>
      <c r="N651" s="31">
        <v>33726</v>
      </c>
      <c r="O651">
        <v>33</v>
      </c>
      <c r="P651">
        <v>1300</v>
      </c>
      <c r="Q651">
        <v>0</v>
      </c>
      <c r="R651">
        <v>1700</v>
      </c>
      <c r="S651">
        <v>0</v>
      </c>
      <c r="T651">
        <v>400</v>
      </c>
      <c r="U651">
        <v>220000</v>
      </c>
      <c r="V651">
        <v>11033</v>
      </c>
      <c r="W651" t="str">
        <v>0</v>
      </c>
      <c r="X651">
        <v>20130</v>
      </c>
      <c r="Y651" s="31">
        <v>45462</v>
      </c>
      <c r="Z651" t="str">
        <v/>
      </c>
      <c r="AA651" t="str">
        <v>技術・人文知識・国際業務</v>
      </c>
      <c r="AB651" t="str">
        <v>486-0918</v>
      </c>
      <c r="AC651" t="str">
        <v>愛知県春日井市如意申町3丁目3－4</v>
      </c>
      <c r="AD651" t="str">
        <v>Residence Enfinity M1 201</v>
      </c>
      <c r="AE651" s="31">
        <v>0</v>
      </c>
      <c r="AF651" s="31">
        <v>45215</v>
      </c>
      <c r="AG651" s="31">
        <v>45316</v>
      </c>
      <c r="AH651" s="31">
        <v>0</v>
      </c>
      <c r="AI651" t="str">
        <v>23.10.16</v>
      </c>
      <c r="AJ651" t="str">
        <v>10/30林</v>
      </c>
      <c r="AK651">
        <v>0</v>
      </c>
      <c r="AL651">
        <v>45215</v>
      </c>
      <c r="AM651">
        <v>0</v>
      </c>
      <c r="AN651">
        <v>0</v>
      </c>
      <c r="AO651">
        <v>0</v>
      </c>
      <c r="AP651">
        <v>0</v>
      </c>
      <c r="AQ651">
        <v>0</v>
      </c>
      <c r="AR651">
        <v>0</v>
      </c>
    </row>
    <row r="652" spans="1:44">
      <c r="A652" t="str">
        <f>H652&amp;COUNTIF($H$2:H652,H652)</f>
        <v>旋盤ライン22</v>
      </c>
      <c r="B652" t="str">
        <f>F652&amp;COUNTIF($F$2:F652,F652)</f>
        <v>川原鉄工所24</v>
      </c>
      <c r="C652" t="str">
        <v>在職中</v>
      </c>
      <c r="D652">
        <v>231006</v>
      </c>
      <c r="E652">
        <v>0</v>
      </c>
      <c r="F652" t="str">
        <v>川原鉄工所</v>
      </c>
      <c r="G652" t="str">
        <v>製造部</v>
      </c>
      <c r="H652" t="str">
        <v>旋盤ライン</v>
      </c>
      <c r="I652" t="str">
        <v>ATミッション部品をはじめとする、各種自動車部品の製造</v>
      </c>
      <c r="J652" t="str">
        <v>NGUYEN THANH SANG</v>
      </c>
      <c r="K652" t="str">
        <v>グエン　タイン　サン</v>
      </c>
      <c r="L652" t="str">
        <v>男</v>
      </c>
      <c r="M652" t="str">
        <v>ﾍﾞﾄﾅﾑ</v>
      </c>
      <c r="N652" s="31">
        <v>35593</v>
      </c>
      <c r="O652">
        <v>28</v>
      </c>
      <c r="P652">
        <v>1300</v>
      </c>
      <c r="Q652">
        <v>0</v>
      </c>
      <c r="R652">
        <v>1650</v>
      </c>
      <c r="S652">
        <v>0</v>
      </c>
      <c r="T652">
        <v>350</v>
      </c>
      <c r="U652">
        <v>300000</v>
      </c>
      <c r="V652">
        <v>15045</v>
      </c>
      <c r="W652" t="str">
        <v>0</v>
      </c>
      <c r="X652">
        <v>27450</v>
      </c>
      <c r="Y652" s="31">
        <v>46837</v>
      </c>
      <c r="Z652" t="str">
        <v/>
      </c>
      <c r="AA652" t="str">
        <v>技術・人文知識・国際業務</v>
      </c>
      <c r="AB652" t="str">
        <v>455-0831</v>
      </c>
      <c r="AC652" t="str">
        <v>愛知県名古屋市港区惟信町1丁目26-1</v>
      </c>
      <c r="AD652" t="str">
        <v>ﾍﾞﾙﾒｿﾞﾝ大山211</v>
      </c>
      <c r="AE652" s="31">
        <v>45215</v>
      </c>
      <c r="AF652" s="31">
        <v>45216</v>
      </c>
      <c r="AG652" s="31">
        <v>0</v>
      </c>
      <c r="AH652" s="31">
        <v>0</v>
      </c>
      <c r="AI652" t="str">
        <v>23.10.17</v>
      </c>
      <c r="AJ652" t="str">
        <v>10/30林</v>
      </c>
      <c r="AK652">
        <v>0</v>
      </c>
      <c r="AL652">
        <v>45216</v>
      </c>
      <c r="AM652">
        <v>0</v>
      </c>
      <c r="AN652">
        <v>0</v>
      </c>
      <c r="AO652">
        <v>0</v>
      </c>
      <c r="AP652">
        <v>0</v>
      </c>
      <c r="AQ652">
        <v>0</v>
      </c>
      <c r="AR652">
        <v>0</v>
      </c>
    </row>
    <row r="653" spans="1:44">
      <c r="A653" t="str">
        <f>H653&amp;COUNTIF($H$2:H653,H653)</f>
        <v>0238</v>
      </c>
      <c r="B653" t="str">
        <f>F653&amp;COUNTIF($F$2:F653,F653)</f>
        <v>ピーエムアイ24</v>
      </c>
      <c r="C653" t="str">
        <v>在職中</v>
      </c>
      <c r="D653">
        <v>231007</v>
      </c>
      <c r="E653">
        <v>0</v>
      </c>
      <c r="F653" t="str">
        <v>ピーエムアイ</v>
      </c>
      <c r="G653">
        <v>0</v>
      </c>
      <c r="H653">
        <v>0</v>
      </c>
      <c r="I653">
        <v>0</v>
      </c>
      <c r="J653" t="str">
        <v>DUONG THI THANH NGUYET</v>
      </c>
      <c r="K653" t="str">
        <v>ズオン　ティ　タイン　グエット</v>
      </c>
      <c r="L653" t="str">
        <v>女</v>
      </c>
      <c r="M653" t="str">
        <v>ﾍﾞﾄﾅﾑ</v>
      </c>
      <c r="N653" s="31">
        <v>33632</v>
      </c>
      <c r="O653">
        <v>33</v>
      </c>
      <c r="P653">
        <v>1300</v>
      </c>
      <c r="Q653">
        <v>0</v>
      </c>
      <c r="R653">
        <v>1800</v>
      </c>
      <c r="S653">
        <v>0</v>
      </c>
      <c r="T653">
        <v>500</v>
      </c>
      <c r="U653">
        <v>240000</v>
      </c>
      <c r="V653">
        <v>12036</v>
      </c>
      <c r="W653" t="str">
        <v>0</v>
      </c>
      <c r="X653">
        <v>21960</v>
      </c>
      <c r="Y653" s="31">
        <v>47016</v>
      </c>
      <c r="Z653" t="str">
        <v/>
      </c>
      <c r="AA653" t="str">
        <v>技術・人文知識・国際業務</v>
      </c>
      <c r="AB653" t="str">
        <v>471-0805</v>
      </c>
      <c r="AC653" t="str">
        <v>愛知県豊田市美里2-6-9</v>
      </c>
      <c r="AD653" t="str">
        <v>ﾚｼﾞｪﾝﾄﾞK304</v>
      </c>
      <c r="AE653" s="31">
        <v>0</v>
      </c>
      <c r="AF653" s="31">
        <v>45217</v>
      </c>
      <c r="AG653" s="31">
        <v>0</v>
      </c>
      <c r="AH653" s="31">
        <v>0</v>
      </c>
      <c r="AI653" t="str">
        <v>23.10.18</v>
      </c>
      <c r="AJ653" t="str">
        <v>10/30林</v>
      </c>
      <c r="AK653">
        <v>0</v>
      </c>
      <c r="AL653">
        <v>45217</v>
      </c>
      <c r="AM653">
        <v>0</v>
      </c>
      <c r="AN653">
        <v>0</v>
      </c>
      <c r="AO653">
        <v>0</v>
      </c>
      <c r="AP653">
        <v>0</v>
      </c>
      <c r="AQ653">
        <v>0</v>
      </c>
      <c r="AR653">
        <v>0</v>
      </c>
    </row>
    <row r="654" spans="1:44">
      <c r="A654" t="str">
        <f>H654&amp;COUNTIF($H$2:H654,H654)</f>
        <v>乙川工場製造3課7工区9班1</v>
      </c>
      <c r="B654" t="str">
        <f>F654&amp;COUNTIF($F$2:F654,F654)</f>
        <v>コーリツ 乙川20</v>
      </c>
      <c r="C654" t="str">
        <v>退社</v>
      </c>
      <c r="D654">
        <v>231008</v>
      </c>
      <c r="E654">
        <v>8210080</v>
      </c>
      <c r="F654" t="str">
        <v>コーリツ 乙川</v>
      </c>
      <c r="G654" t="str">
        <v>乙川工場製造3課7工区9班</v>
      </c>
      <c r="H654" t="str">
        <v>乙川工場製造3課7工区9班</v>
      </c>
      <c r="I654">
        <v>0</v>
      </c>
      <c r="J654" t="str">
        <v>TRAN VAN QUANG</v>
      </c>
      <c r="K654" t="str">
        <v>チャン　ヴァン　クアン</v>
      </c>
      <c r="L654" t="str">
        <v>男</v>
      </c>
      <c r="M654" t="str">
        <v>ﾍﾞﾄﾅﾑ</v>
      </c>
      <c r="N654" s="31">
        <v>33460</v>
      </c>
      <c r="O654">
        <v>34</v>
      </c>
      <c r="P654">
        <v>1500</v>
      </c>
      <c r="Q654">
        <v>0</v>
      </c>
      <c r="R654">
        <v>2150</v>
      </c>
      <c r="S654">
        <v>0</v>
      </c>
      <c r="T654">
        <v>650</v>
      </c>
      <c r="U654">
        <v>380000</v>
      </c>
      <c r="V654">
        <v>19057</v>
      </c>
      <c r="W654" t="str">
        <v>0</v>
      </c>
      <c r="X654">
        <v>34770</v>
      </c>
      <c r="Y654" s="31">
        <v>46823</v>
      </c>
      <c r="Z654" t="str">
        <v/>
      </c>
      <c r="AA654" t="str">
        <v>技術・人文知識・国際業務</v>
      </c>
      <c r="AB654" t="str">
        <v>475-0086</v>
      </c>
      <c r="AC654" t="str">
        <v>愛知県半田市庚申町2-6-7</v>
      </c>
      <c r="AD654" t="str">
        <v>ﾊｲﾂこうしんA棟103</v>
      </c>
      <c r="AE654" s="31" t="str">
        <v>個人</v>
      </c>
      <c r="AF654" s="31">
        <v>45223</v>
      </c>
      <c r="AG654" s="31">
        <v>45797</v>
      </c>
      <c r="AH654" s="31">
        <v>0</v>
      </c>
      <c r="AI654" t="str">
        <v>23.10.24</v>
      </c>
      <c r="AJ654" t="str">
        <v>11/7林</v>
      </c>
      <c r="AK654">
        <v>0</v>
      </c>
      <c r="AL654">
        <v>45223</v>
      </c>
      <c r="AM654" t="str">
        <v>普通免許</v>
      </c>
      <c r="AN654">
        <v>45910</v>
      </c>
      <c r="AO654" t="str">
        <v>車</v>
      </c>
      <c r="AP654">
        <v>46167</v>
      </c>
      <c r="AQ654">
        <v>0</v>
      </c>
      <c r="AR654">
        <v>0</v>
      </c>
    </row>
    <row r="655" spans="1:44">
      <c r="A655" t="str">
        <f>H655&amp;COUNTIF($H$2:H655,H655)</f>
        <v>乙川工場製造3課6工区9班9</v>
      </c>
      <c r="B655" t="str">
        <f>F655&amp;COUNTIF($F$2:F655,F655)</f>
        <v>コーリツ 乙川21</v>
      </c>
      <c r="C655" t="str">
        <v>退社</v>
      </c>
      <c r="D655">
        <v>231010</v>
      </c>
      <c r="E655">
        <v>8210081</v>
      </c>
      <c r="F655" t="str">
        <v>コーリツ 乙川</v>
      </c>
      <c r="G655" t="str">
        <v>乙川工場製造3課6工区9班</v>
      </c>
      <c r="H655" t="str">
        <v>乙川工場製造3課6工区9班</v>
      </c>
      <c r="I655">
        <v>0</v>
      </c>
      <c r="J655" t="str">
        <v>NGO VAN LINH</v>
      </c>
      <c r="K655" t="str">
        <v>ゴー　バン　リン</v>
      </c>
      <c r="L655" t="str">
        <v>男</v>
      </c>
      <c r="M655" t="str">
        <v>ﾍﾞﾄﾅﾑ</v>
      </c>
      <c r="N655" s="31">
        <v>35727</v>
      </c>
      <c r="O655">
        <v>28</v>
      </c>
      <c r="P655">
        <v>1400</v>
      </c>
      <c r="Q655">
        <v>0</v>
      </c>
      <c r="R655">
        <v>1960</v>
      </c>
      <c r="S655">
        <v>0</v>
      </c>
      <c r="T655">
        <v>560</v>
      </c>
      <c r="U655">
        <v>240000</v>
      </c>
      <c r="V655">
        <v>12036</v>
      </c>
      <c r="W655" t="str">
        <v>0</v>
      </c>
      <c r="X655">
        <v>21960</v>
      </c>
      <c r="Y655" s="31">
        <v>45536</v>
      </c>
      <c r="Z655" t="str">
        <v/>
      </c>
      <c r="AA655" t="str">
        <v>技術・人文知識・国際業務</v>
      </c>
      <c r="AB655" t="str">
        <v>475-0048</v>
      </c>
      <c r="AC655" t="str">
        <v>愛知県半田市乙川稗田町116</v>
      </c>
      <c r="AD655" t="str">
        <v>NOVA PLUS 301</v>
      </c>
      <c r="AE655" s="31">
        <v>0</v>
      </c>
      <c r="AF655" s="31">
        <v>45225</v>
      </c>
      <c r="AG655" s="31">
        <v>45485</v>
      </c>
      <c r="AH655" s="31">
        <v>0</v>
      </c>
      <c r="AI655" t="str">
        <v>23.10.26</v>
      </c>
      <c r="AJ655" t="str">
        <v>11/9林</v>
      </c>
      <c r="AK655">
        <v>0</v>
      </c>
      <c r="AL655">
        <v>45225</v>
      </c>
      <c r="AM655">
        <v>0</v>
      </c>
      <c r="AN655">
        <v>0</v>
      </c>
      <c r="AO655">
        <v>0</v>
      </c>
      <c r="AP655">
        <v>0</v>
      </c>
      <c r="AQ655">
        <v>0</v>
      </c>
      <c r="AR655">
        <v>0</v>
      </c>
    </row>
    <row r="656" spans="1:44">
      <c r="A656" t="str">
        <f>H656&amp;COUNTIF($H$2:H656,H656)</f>
        <v>州の崎工場製造2課2工区3班2</v>
      </c>
      <c r="B656" t="str">
        <f>F656&amp;COUNTIF($F$2:F656,F656)</f>
        <v>コーリツ 州の崎30</v>
      </c>
      <c r="C656" t="str">
        <v>退社</v>
      </c>
      <c r="D656">
        <v>231011</v>
      </c>
      <c r="E656">
        <v>8210082</v>
      </c>
      <c r="F656" t="str">
        <v>コーリツ 州の崎</v>
      </c>
      <c r="G656" t="str">
        <v>州の埼工場製造2課2工区3班</v>
      </c>
      <c r="H656" t="str">
        <v>州の崎工場製造2課2工区3班</v>
      </c>
      <c r="I656">
        <v>0</v>
      </c>
      <c r="J656" t="str">
        <v>PHAM VAN DONG</v>
      </c>
      <c r="K656" t="str">
        <v>ファム　バン　ドン</v>
      </c>
      <c r="L656" t="str">
        <v>男</v>
      </c>
      <c r="M656" t="str">
        <v>ﾍﾞﾄﾅﾑ</v>
      </c>
      <c r="N656" s="31">
        <v>31659</v>
      </c>
      <c r="O656">
        <v>39</v>
      </c>
      <c r="P656">
        <v>1400</v>
      </c>
      <c r="Q656">
        <v>0</v>
      </c>
      <c r="R656">
        <v>1960</v>
      </c>
      <c r="S656">
        <v>0</v>
      </c>
      <c r="T656">
        <v>560</v>
      </c>
      <c r="U656">
        <v>240000</v>
      </c>
      <c r="V656">
        <v>12036</v>
      </c>
      <c r="W656" t="str">
        <v>0</v>
      </c>
      <c r="X656">
        <v>21960</v>
      </c>
      <c r="Y656" s="31">
        <v>45548</v>
      </c>
      <c r="Z656" t="str">
        <v/>
      </c>
      <c r="AA656" t="str">
        <v>技術・人文知識・国際業務</v>
      </c>
      <c r="AB656" t="str">
        <v>475-0048</v>
      </c>
      <c r="AC656" t="str">
        <v>愛知県半田市乙川稗田町116</v>
      </c>
      <c r="AD656" t="str">
        <v>NOVA PLUS 301</v>
      </c>
      <c r="AE656" s="31">
        <v>0</v>
      </c>
      <c r="AF656" s="31">
        <v>45229</v>
      </c>
      <c r="AG656" s="31">
        <v>45307</v>
      </c>
      <c r="AH656" s="31">
        <v>0</v>
      </c>
      <c r="AI656" t="str">
        <v>23.10.30</v>
      </c>
      <c r="AJ656" t="str">
        <v>11/7林</v>
      </c>
      <c r="AK656">
        <v>0</v>
      </c>
      <c r="AL656">
        <v>45229</v>
      </c>
      <c r="AM656">
        <v>0</v>
      </c>
      <c r="AN656">
        <v>0</v>
      </c>
      <c r="AO656">
        <v>0</v>
      </c>
      <c r="AP656">
        <v>0</v>
      </c>
      <c r="AQ656">
        <v>0</v>
      </c>
      <c r="AR656">
        <v>0</v>
      </c>
    </row>
    <row r="657" spans="1:44">
      <c r="A657" t="str">
        <f>H657&amp;COUNTIF($H$2:H657,H657)</f>
        <v>製造1課3</v>
      </c>
      <c r="B657" t="str">
        <f>F657&amp;COUNTIF($F$2:F657,F657)</f>
        <v>ユアサ工機 本社2</v>
      </c>
      <c r="C657" t="str">
        <v>退社</v>
      </c>
      <c r="D657">
        <v>231012</v>
      </c>
      <c r="E657">
        <v>0</v>
      </c>
      <c r="F657" t="str">
        <v>ユアサ工機 本社</v>
      </c>
      <c r="G657" t="str">
        <v>本社製造部製造1課</v>
      </c>
      <c r="H657" t="str">
        <v>製造1課</v>
      </c>
      <c r="I657" t="str">
        <v>クランクシャフトの旋盤、マシニング、研磨、仕上げ加工など</v>
      </c>
      <c r="J657" t="str">
        <v>TRAN VAN TUAN</v>
      </c>
      <c r="K657" t="str">
        <v>トラン　バン　トゥアン</v>
      </c>
      <c r="L657" t="str">
        <v>男</v>
      </c>
      <c r="M657" t="str">
        <v>ﾍﾞﾄﾅﾑ</v>
      </c>
      <c r="N657" s="31">
        <v>34320</v>
      </c>
      <c r="O657">
        <v>31</v>
      </c>
      <c r="P657">
        <v>1300</v>
      </c>
      <c r="Q657">
        <v>0</v>
      </c>
      <c r="R657">
        <v>1900</v>
      </c>
      <c r="S657">
        <v>0</v>
      </c>
      <c r="T657">
        <v>600</v>
      </c>
      <c r="U657">
        <v>240000</v>
      </c>
      <c r="V657">
        <v>12036</v>
      </c>
      <c r="W657" t="str">
        <v>0</v>
      </c>
      <c r="X657">
        <v>21960</v>
      </c>
      <c r="Y657" s="31">
        <v>45597</v>
      </c>
      <c r="Z657" t="str">
        <v/>
      </c>
      <c r="AA657" t="str">
        <v>技術・人文知識・国際業務</v>
      </c>
      <c r="AB657" t="str">
        <v>706-0014</v>
      </c>
      <c r="AC657" t="str">
        <v>岡山県玉野市玉原2-11-3</v>
      </c>
      <c r="AD657" t="str">
        <v>ﾋﾞﾚｯｼﾞﾊｳｽ玉原208</v>
      </c>
      <c r="AE657" s="31" t="str">
        <v>個人</v>
      </c>
      <c r="AF657" s="31">
        <v>45230</v>
      </c>
      <c r="AG657" s="31">
        <v>45499</v>
      </c>
      <c r="AH657" s="31">
        <v>0</v>
      </c>
      <c r="AI657" t="str">
        <v>23.10.31</v>
      </c>
      <c r="AJ657" t="str">
        <v>11/9林</v>
      </c>
      <c r="AK657">
        <v>0</v>
      </c>
      <c r="AL657">
        <v>45230</v>
      </c>
      <c r="AM657">
        <v>0</v>
      </c>
      <c r="AN657">
        <v>0</v>
      </c>
      <c r="AO657">
        <v>0</v>
      </c>
      <c r="AP657">
        <v>0</v>
      </c>
      <c r="AQ657">
        <v>0</v>
      </c>
      <c r="AR657">
        <v>0</v>
      </c>
    </row>
    <row r="658" spans="1:44">
      <c r="A658" t="str">
        <f>H658&amp;COUNTIF($H$2:H658,H658)</f>
        <v>外研2</v>
      </c>
      <c r="B658" t="str">
        <f>F658&amp;COUNTIF($F$2:F658,F658)</f>
        <v>三幸技研9</v>
      </c>
      <c r="C658" t="str">
        <v>退社</v>
      </c>
      <c r="D658">
        <v>231101</v>
      </c>
      <c r="E658">
        <v>0</v>
      </c>
      <c r="F658" t="str">
        <v>三幸技研</v>
      </c>
      <c r="G658" t="str">
        <v>製造部</v>
      </c>
      <c r="H658" t="str">
        <v>外研</v>
      </c>
      <c r="I658" t="str">
        <v>自動車部品の研磨業務、オペレーターとして製造ラインで製品を加工</v>
      </c>
      <c r="J658" t="str">
        <v>PHAM DINH TUNG</v>
      </c>
      <c r="K658" t="str">
        <v>ファム　ディン　トゥン</v>
      </c>
      <c r="L658" t="str">
        <v>男</v>
      </c>
      <c r="M658" t="str">
        <v>ﾍﾞﾄﾅﾑ</v>
      </c>
      <c r="N658" s="31">
        <v>33417</v>
      </c>
      <c r="O658">
        <v>34</v>
      </c>
      <c r="P658">
        <v>1350</v>
      </c>
      <c r="Q658">
        <v>0</v>
      </c>
      <c r="R658">
        <v>1750</v>
      </c>
      <c r="S658">
        <v>0</v>
      </c>
      <c r="T658">
        <v>400</v>
      </c>
      <c r="U658">
        <v>280000</v>
      </c>
      <c r="V658">
        <v>14042</v>
      </c>
      <c r="W658" t="str">
        <v>0</v>
      </c>
      <c r="X658">
        <v>25620</v>
      </c>
      <c r="Y658" s="31">
        <v>45805</v>
      </c>
      <c r="Z658" t="str">
        <v/>
      </c>
      <c r="AA658" t="str">
        <v>技術・人文知識・国際業務</v>
      </c>
      <c r="AB658" t="str">
        <v>474-0057</v>
      </c>
      <c r="AC658" t="str">
        <v>愛知県大府市共和町2-18-8</v>
      </c>
      <c r="AD658" t="str">
        <v>共和ﾌﾟﾗｻﾞﾋﾞﾙ1号館203</v>
      </c>
      <c r="AE658" s="31">
        <v>0</v>
      </c>
      <c r="AF658" s="31">
        <v>45231</v>
      </c>
      <c r="AG658" s="31">
        <v>45548</v>
      </c>
      <c r="AH658" s="31">
        <v>0</v>
      </c>
      <c r="AI658" t="str">
        <v>23.11.1</v>
      </c>
      <c r="AJ658" t="str">
        <v>11/20林</v>
      </c>
      <c r="AK658">
        <v>0</v>
      </c>
      <c r="AL658">
        <v>45231</v>
      </c>
      <c r="AM658">
        <v>0</v>
      </c>
      <c r="AN658">
        <v>0</v>
      </c>
      <c r="AO658">
        <v>0</v>
      </c>
      <c r="AP658">
        <v>0</v>
      </c>
      <c r="AQ658">
        <v>0</v>
      </c>
      <c r="AR658">
        <v>0</v>
      </c>
    </row>
    <row r="659" spans="1:44">
      <c r="A659" t="str">
        <f>H659&amp;COUNTIF($H$2:H659,H659)</f>
        <v>1次旋係51</v>
      </c>
      <c r="B659" t="str">
        <f>F659&amp;COUNTIF($F$2:F659,F659)</f>
        <v>高雄工業 岡山124</v>
      </c>
      <c r="C659" t="str">
        <v>退社</v>
      </c>
      <c r="D659">
        <v>231104</v>
      </c>
      <c r="E659">
        <v>232125</v>
      </c>
      <c r="F659" t="str">
        <v>高雄工業 岡山</v>
      </c>
      <c r="G659" t="str">
        <v>高雄工業株式会社 岡山事業所HUB工場製作1課</v>
      </c>
      <c r="H659" t="str">
        <v>1次旋係</v>
      </c>
      <c r="I659" t="str">
        <v>ハブ加工 自動機の操作、ＮＣプログラム修正</v>
      </c>
      <c r="J659" t="str">
        <v>BUI XUAN DAT</v>
      </c>
      <c r="K659" t="str">
        <v>ブイ　スアン　ダット</v>
      </c>
      <c r="L659" t="str">
        <v>男</v>
      </c>
      <c r="M659" t="str">
        <v>ﾍﾞﾄﾅﾑ</v>
      </c>
      <c r="N659" s="31">
        <v>36479</v>
      </c>
      <c r="O659">
        <v>26</v>
      </c>
      <c r="P659">
        <v>1300</v>
      </c>
      <c r="Q659">
        <v>0</v>
      </c>
      <c r="R659">
        <v>1680</v>
      </c>
      <c r="S659">
        <v>0</v>
      </c>
      <c r="T659">
        <v>380</v>
      </c>
      <c r="U659">
        <v>240000</v>
      </c>
      <c r="V659">
        <v>12036</v>
      </c>
      <c r="W659" t="str">
        <v>0</v>
      </c>
      <c r="X659">
        <v>21960</v>
      </c>
      <c r="Y659" s="31">
        <v>45957</v>
      </c>
      <c r="Z659" t="str">
        <v/>
      </c>
      <c r="AA659" t="str">
        <v>技術・人文知識・国際業務</v>
      </c>
      <c r="AB659" t="str">
        <v>709-2107</v>
      </c>
      <c r="AC659" t="str">
        <v>岡山県岡山市北区御津矢原299-2</v>
      </c>
      <c r="AD659" t="str">
        <v>成広矢原ｺｰﾎﾟⅦ205</v>
      </c>
      <c r="AE659" s="31">
        <v>45226</v>
      </c>
      <c r="AF659" s="31">
        <v>45231</v>
      </c>
      <c r="AG659" s="31">
        <v>45695</v>
      </c>
      <c r="AH659" s="31">
        <v>0</v>
      </c>
      <c r="AI659" t="str">
        <v>23.11.1</v>
      </c>
      <c r="AJ659" t="str">
        <v>11/20林</v>
      </c>
      <c r="AK659">
        <v>0</v>
      </c>
      <c r="AL659">
        <v>45231</v>
      </c>
      <c r="AM659">
        <v>0</v>
      </c>
      <c r="AN659">
        <v>0</v>
      </c>
      <c r="AO659">
        <v>0</v>
      </c>
      <c r="AP659">
        <v>0</v>
      </c>
      <c r="AQ659">
        <v>0</v>
      </c>
      <c r="AR659">
        <v>0</v>
      </c>
    </row>
    <row r="660" spans="1:44">
      <c r="A660" t="str">
        <f>H660&amp;COUNTIF($H$2:H660,H660)</f>
        <v>一次旋係25</v>
      </c>
      <c r="B660" t="str">
        <f>F660&amp;COUNTIF($F$2:F660,F660)</f>
        <v>高雄工業 岡山125</v>
      </c>
      <c r="C660" t="str">
        <v>退社</v>
      </c>
      <c r="D660">
        <v>231105</v>
      </c>
      <c r="E660">
        <v>232126</v>
      </c>
      <c r="F660" t="str">
        <v>高雄工業 岡山</v>
      </c>
      <c r="G660" t="str">
        <v>高雄工業株式会社 岡山事業所HUB工場製作1課</v>
      </c>
      <c r="H660" t="str">
        <v>一次旋係</v>
      </c>
      <c r="I660" t="str">
        <v>ハブ加工・自動機の操作・ＮＣプログラム修正</v>
      </c>
      <c r="J660" t="str">
        <v>LE TRAN NHAT LINH</v>
      </c>
      <c r="K660" t="str">
        <v>レ　チャン　ニャット　リン</v>
      </c>
      <c r="L660" t="str">
        <v>男</v>
      </c>
      <c r="M660" t="str">
        <v>ﾍﾞﾄﾅﾑ</v>
      </c>
      <c r="N660" s="31">
        <v>36198</v>
      </c>
      <c r="O660">
        <v>26</v>
      </c>
      <c r="P660">
        <v>1200</v>
      </c>
      <c r="Q660">
        <v>0</v>
      </c>
      <c r="R660">
        <v>1650</v>
      </c>
      <c r="S660">
        <v>0</v>
      </c>
      <c r="T660">
        <v>450</v>
      </c>
      <c r="U660">
        <v>200000</v>
      </c>
      <c r="V660">
        <v>10030</v>
      </c>
      <c r="W660" t="str">
        <v>0</v>
      </c>
      <c r="X660">
        <v>18300</v>
      </c>
      <c r="Y660" s="31">
        <v>45592</v>
      </c>
      <c r="Z660" t="str">
        <v/>
      </c>
      <c r="AA660" t="str">
        <v>技術・人文知識・国際業務</v>
      </c>
      <c r="AB660" t="str">
        <v>709-2107</v>
      </c>
      <c r="AC660" t="str">
        <v>岡山県岡山市北区御津矢原299-2</v>
      </c>
      <c r="AD660" t="str">
        <v>成広矢原ｺｰﾎﾟⅦ205</v>
      </c>
      <c r="AE660" s="31">
        <v>45226</v>
      </c>
      <c r="AF660" s="31">
        <v>45231</v>
      </c>
      <c r="AG660" s="31">
        <v>45277</v>
      </c>
      <c r="AH660" s="31">
        <v>0</v>
      </c>
      <c r="AI660" t="str">
        <v>23.11.1</v>
      </c>
      <c r="AJ660" t="str">
        <v>11/20林</v>
      </c>
      <c r="AK660" t="str">
        <v>2023/12/18より請負へ異動その後23/12/25退社</v>
      </c>
      <c r="AL660">
        <v>45231</v>
      </c>
      <c r="AM660">
        <v>0</v>
      </c>
      <c r="AN660">
        <v>0</v>
      </c>
      <c r="AO660">
        <v>0</v>
      </c>
      <c r="AP660">
        <v>0</v>
      </c>
      <c r="AQ660">
        <v>0</v>
      </c>
      <c r="AR660">
        <v>0</v>
      </c>
    </row>
    <row r="661" spans="1:44">
      <c r="A661" t="str">
        <f>H661&amp;COUNTIF($H$2:H661,H661)</f>
        <v>HUB15</v>
      </c>
      <c r="B661" t="str">
        <f>F661&amp;COUNTIF($F$2:F661,F661)</f>
        <v>高雄工業 海南第一53</v>
      </c>
      <c r="C661" t="str">
        <v>在職中</v>
      </c>
      <c r="D661">
        <v>211011</v>
      </c>
      <c r="E661">
        <v>222031</v>
      </c>
      <c r="F661" t="str">
        <v>高雄工業 海南第一</v>
      </c>
      <c r="G661" t="str">
        <v>高雄工業株式会社 愛知事業所海南第一工場製作1課</v>
      </c>
      <c r="H661" t="str">
        <v>HUB</v>
      </c>
      <c r="I661" t="str">
        <v>ハブ加工 機械オペレーター、NCプログラム修正</v>
      </c>
      <c r="J661" t="str">
        <v>LUU THANH SON</v>
      </c>
      <c r="K661" t="str">
        <v>リュー　タイン　ソン</v>
      </c>
      <c r="L661" t="str">
        <v>男</v>
      </c>
      <c r="M661" t="str">
        <v>ﾍﾞﾄﾅﾑ</v>
      </c>
      <c r="N661" s="31">
        <v>35351</v>
      </c>
      <c r="O661">
        <v>29</v>
      </c>
      <c r="P661">
        <v>1420</v>
      </c>
      <c r="Q661">
        <v>0</v>
      </c>
      <c r="R661">
        <v>1820</v>
      </c>
      <c r="S661" t="str">
        <v>9/16~ 1610円→1760円</v>
      </c>
      <c r="T661">
        <v>400</v>
      </c>
      <c r="U661">
        <v>280000</v>
      </c>
      <c r="V661">
        <v>14042</v>
      </c>
      <c r="W661" t="str">
        <v>0</v>
      </c>
      <c r="X661">
        <v>25620</v>
      </c>
      <c r="Y661" s="31">
        <v>46528</v>
      </c>
      <c r="Z661" t="str">
        <v/>
      </c>
      <c r="AA661" t="str">
        <v>技術・人文知識・国際業務</v>
      </c>
      <c r="AB661" t="str">
        <v>498-0021</v>
      </c>
      <c r="AC661" t="str">
        <v>愛知県弥富市鯏浦町浦六1-1</v>
      </c>
      <c r="AD661" t="str">
        <v>ｸﾞﾘｰﾝﾊｲﾂA棟201</v>
      </c>
      <c r="AE661" s="31">
        <v>44475</v>
      </c>
      <c r="AF661" s="31">
        <v>45705</v>
      </c>
      <c r="AG661" s="31">
        <v>46052</v>
      </c>
      <c r="AH661" s="31">
        <v>0</v>
      </c>
      <c r="AI661">
        <v>45705</v>
      </c>
      <c r="AJ661" t="str">
        <v>3/18林</v>
      </c>
      <c r="AK661">
        <v>0</v>
      </c>
      <c r="AL661">
        <v>45705</v>
      </c>
      <c r="AM661">
        <v>0</v>
      </c>
      <c r="AN661">
        <v>0</v>
      </c>
      <c r="AO661">
        <v>0</v>
      </c>
      <c r="AP661">
        <v>0</v>
      </c>
      <c r="AQ661" t="str">
        <v>JLPT-N3</v>
      </c>
      <c r="AR661">
        <v>0</v>
      </c>
    </row>
    <row r="662" spans="1:44">
      <c r="A662" t="str">
        <f>H662&amp;COUNTIF($H$2:H662,H662)</f>
        <v>HUB16</v>
      </c>
      <c r="B662" t="str">
        <f>F662&amp;COUNTIF($F$2:F662,F662)</f>
        <v>高雄工業 海南第一54</v>
      </c>
      <c r="C662" t="str">
        <v>在職中</v>
      </c>
      <c r="D662">
        <v>210911</v>
      </c>
      <c r="E662">
        <v>222028</v>
      </c>
      <c r="F662" t="str">
        <v>高雄工業 海南第一</v>
      </c>
      <c r="G662" t="str">
        <v>高雄工業株式会社 愛知事業所海南第一工場製作1課</v>
      </c>
      <c r="H662" t="str">
        <v>HUB</v>
      </c>
      <c r="I662" t="str">
        <v>ハブ加工 機械オペレーター、NCプログラム修正</v>
      </c>
      <c r="J662" t="str">
        <v>LE VIET HUNG</v>
      </c>
      <c r="K662" t="str">
        <v>レー　ヴィエット　フン</v>
      </c>
      <c r="L662" t="str">
        <v>男</v>
      </c>
      <c r="M662" t="str">
        <v>ﾍﾞﾄﾅﾑ</v>
      </c>
      <c r="N662" s="31">
        <v>33282</v>
      </c>
      <c r="O662">
        <v>34</v>
      </c>
      <c r="P662">
        <v>1410</v>
      </c>
      <c r="Q662">
        <v>0</v>
      </c>
      <c r="R662">
        <v>1830</v>
      </c>
      <c r="S662" t="str">
        <v>9/16~ 1600円→1750円</v>
      </c>
      <c r="T662">
        <v>420</v>
      </c>
      <c r="U662">
        <v>220000</v>
      </c>
      <c r="V662">
        <v>11033</v>
      </c>
      <c r="W662" t="str">
        <v>0</v>
      </c>
      <c r="X662">
        <v>20130</v>
      </c>
      <c r="Y662" s="31">
        <v>46573</v>
      </c>
      <c r="Z662" t="str">
        <v/>
      </c>
      <c r="AA662" t="str">
        <v>技術・人文知識・国際業務</v>
      </c>
      <c r="AB662" t="str">
        <v>498-0017</v>
      </c>
      <c r="AC662" t="str">
        <v>愛知県弥富市前ヶ須町堪助走34-1</v>
      </c>
      <c r="AD662" t="str">
        <v>ｱﾄﾚA棟101</v>
      </c>
      <c r="AE662" s="31">
        <v>0</v>
      </c>
      <c r="AF662" s="31">
        <v>45768</v>
      </c>
      <c r="AG662" s="31">
        <v>0</v>
      </c>
      <c r="AH662" s="31">
        <v>0</v>
      </c>
      <c r="AI662">
        <v>45768</v>
      </c>
      <c r="AJ662" t="str">
        <v>5/26林</v>
      </c>
      <c r="AK662">
        <v>0</v>
      </c>
      <c r="AL662">
        <v>45768</v>
      </c>
      <c r="AM662">
        <v>0</v>
      </c>
      <c r="AN662">
        <v>0</v>
      </c>
      <c r="AO662">
        <v>0</v>
      </c>
      <c r="AP662">
        <v>0</v>
      </c>
      <c r="AQ662">
        <v>0</v>
      </c>
      <c r="AR662">
        <v>0</v>
      </c>
    </row>
    <row r="663" spans="1:44">
      <c r="A663" t="str">
        <f>H663&amp;COUNTIF($H$2:H663,H663)</f>
        <v>H_2次旋16</v>
      </c>
      <c r="B663" t="str">
        <f>F663&amp;COUNTIF($F$2:F663,F663)</f>
        <v>高雄工業 海南第一55</v>
      </c>
      <c r="C663" t="str">
        <v>退社</v>
      </c>
      <c r="D663">
        <v>231106</v>
      </c>
      <c r="E663">
        <v>222056</v>
      </c>
      <c r="F663" t="str">
        <v>高雄工業 海南第一</v>
      </c>
      <c r="G663" t="str">
        <v>高雄工業株式会社 愛知事業所海南第一工場製作1課</v>
      </c>
      <c r="H663" t="str">
        <v>H_2次旋</v>
      </c>
      <c r="I663" t="str">
        <v>ハブ加工品の2次施削、手動機械オペレーターNCプログラム修正</v>
      </c>
      <c r="J663" t="str">
        <v>LUU THANH HAI</v>
      </c>
      <c r="K663" t="str">
        <v>リュ　タイン　ハイ</v>
      </c>
      <c r="L663" t="str">
        <v>男</v>
      </c>
      <c r="M663" t="str">
        <v>ﾍﾞﾄﾅﾑ</v>
      </c>
      <c r="N663" s="31">
        <v>33137</v>
      </c>
      <c r="O663">
        <v>35</v>
      </c>
      <c r="P663">
        <v>1250</v>
      </c>
      <c r="Q663">
        <v>0</v>
      </c>
      <c r="R663">
        <v>1680</v>
      </c>
      <c r="S663">
        <v>0</v>
      </c>
      <c r="T663">
        <v>430</v>
      </c>
      <c r="U663">
        <v>340000</v>
      </c>
      <c r="V663">
        <v>17051</v>
      </c>
      <c r="W663" t="str">
        <v>0</v>
      </c>
      <c r="X663">
        <v>31110</v>
      </c>
      <c r="Y663" s="31">
        <v>45979</v>
      </c>
      <c r="Z663" t="str">
        <v/>
      </c>
      <c r="AA663" t="str">
        <v>技術・人文知識・国際業務</v>
      </c>
      <c r="AB663" t="str">
        <v>498-0031</v>
      </c>
      <c r="AC663" t="str">
        <v>愛知県弥富市平島町甲新田82番地１</v>
      </c>
      <c r="AD663" t="str">
        <v>ﾊﾟｰｸﾀｳﾝ平島D201</v>
      </c>
      <c r="AE663" s="31">
        <v>0</v>
      </c>
      <c r="AF663" s="31">
        <v>45232</v>
      </c>
      <c r="AG663" s="31">
        <v>45758</v>
      </c>
      <c r="AH663" s="31">
        <v>0</v>
      </c>
      <c r="AI663" t="str">
        <v>23.11.2</v>
      </c>
      <c r="AJ663" t="str">
        <v>11/20林</v>
      </c>
      <c r="AK663">
        <v>0</v>
      </c>
      <c r="AL663">
        <v>45232</v>
      </c>
      <c r="AM663">
        <v>0</v>
      </c>
      <c r="AN663">
        <v>0</v>
      </c>
      <c r="AO663">
        <v>0</v>
      </c>
      <c r="AP663">
        <v>0</v>
      </c>
      <c r="AQ663" t="str">
        <v>JLPT-N4</v>
      </c>
      <c r="AR663">
        <v>0</v>
      </c>
    </row>
    <row r="664" spans="1:44">
      <c r="A664" t="str">
        <f>H664&amp;COUNTIF($H$2:H664,H664)</f>
        <v>手動旋削13</v>
      </c>
      <c r="B664" t="str">
        <f>F664&amp;COUNTIF($F$2:F664,F664)</f>
        <v>高雄工業 静岡58</v>
      </c>
      <c r="C664" t="str">
        <v>退社</v>
      </c>
      <c r="D664">
        <v>231110</v>
      </c>
      <c r="E664">
        <v>242082</v>
      </c>
      <c r="F664" t="str">
        <v>高雄工業 静岡</v>
      </c>
      <c r="G664" t="str">
        <v>高雄工業株式会社 静岡事業所第一工場製作課</v>
      </c>
      <c r="H664" t="str">
        <v>手動旋削</v>
      </c>
      <c r="I664" t="str">
        <v>CVJ部品短軸品の施削加工、NCプログラム修正</v>
      </c>
      <c r="J664" t="str">
        <v>NGUYEN VAN HOAI NAM</v>
      </c>
      <c r="K664" t="str">
        <v>グエン　ヴァン　ホアイ　ナム</v>
      </c>
      <c r="L664" t="str">
        <v>男</v>
      </c>
      <c r="M664" t="str">
        <v>ﾍﾞﾄﾅﾑ</v>
      </c>
      <c r="N664" s="31">
        <v>37096</v>
      </c>
      <c r="O664">
        <v>24</v>
      </c>
      <c r="P664">
        <v>1250</v>
      </c>
      <c r="Q664">
        <v>0</v>
      </c>
      <c r="R664">
        <v>1660</v>
      </c>
      <c r="S664">
        <v>0</v>
      </c>
      <c r="T664">
        <v>410</v>
      </c>
      <c r="U664">
        <v>280000</v>
      </c>
      <c r="V664">
        <v>14042</v>
      </c>
      <c r="W664" t="str">
        <v>0</v>
      </c>
      <c r="X664">
        <v>25620</v>
      </c>
      <c r="Y664" s="31">
        <v>45962</v>
      </c>
      <c r="Z664" t="str">
        <v/>
      </c>
      <c r="AA664" t="str">
        <v>技術・人文知識・国際業務</v>
      </c>
      <c r="AB664" t="str">
        <v>437-0015</v>
      </c>
      <c r="AC664" t="str">
        <v>静岡県袋井市旭町2-7-5</v>
      </c>
      <c r="AD664" t="str">
        <v>ﾌｨﾌﾃｨⅠ101</v>
      </c>
      <c r="AE664" s="31">
        <v>0</v>
      </c>
      <c r="AF664" s="31">
        <v>45232</v>
      </c>
      <c r="AG664" s="31">
        <v>45685</v>
      </c>
      <c r="AH664" s="31">
        <v>0</v>
      </c>
      <c r="AI664" t="str">
        <v>23.11.2</v>
      </c>
      <c r="AJ664" t="str">
        <v>11/20林</v>
      </c>
      <c r="AK664">
        <v>0</v>
      </c>
      <c r="AL664">
        <v>45232</v>
      </c>
      <c r="AM664">
        <v>0</v>
      </c>
      <c r="AN664">
        <v>0</v>
      </c>
      <c r="AO664">
        <v>0</v>
      </c>
      <c r="AP664">
        <v>0</v>
      </c>
      <c r="AQ664">
        <v>0</v>
      </c>
      <c r="AR664">
        <v>0</v>
      </c>
    </row>
    <row r="665" spans="1:44">
      <c r="A665" t="str">
        <f>H665&amp;COUNTIF($H$2:H665,H665)</f>
        <v>0239</v>
      </c>
      <c r="B665" t="str">
        <f>F665&amp;COUNTIF($F$2:F665,F665)</f>
        <v>ピーエムアイ25</v>
      </c>
      <c r="C665" t="str">
        <v>在職中</v>
      </c>
      <c r="D665">
        <v>231111</v>
      </c>
      <c r="E665">
        <v>0</v>
      </c>
      <c r="F665" t="str">
        <v>ピーエムアイ</v>
      </c>
      <c r="G665">
        <v>0</v>
      </c>
      <c r="H665">
        <v>0</v>
      </c>
      <c r="I665">
        <v>0</v>
      </c>
      <c r="J665" t="str">
        <v>NGUYEN THI NGOC ANH</v>
      </c>
      <c r="K665" t="str">
        <v>グエン　ティ　ゴック　アイン</v>
      </c>
      <c r="L665" t="str">
        <v>女</v>
      </c>
      <c r="M665" t="str">
        <v>ﾍﾞﾄﾅﾑ</v>
      </c>
      <c r="N665" s="31">
        <v>36383</v>
      </c>
      <c r="O665">
        <v>26</v>
      </c>
      <c r="P665">
        <v>1300</v>
      </c>
      <c r="Q665">
        <v>0</v>
      </c>
      <c r="R665">
        <v>1800</v>
      </c>
      <c r="S665">
        <v>0</v>
      </c>
      <c r="T665">
        <v>500</v>
      </c>
      <c r="U665">
        <v>220000</v>
      </c>
      <c r="V665">
        <v>11033</v>
      </c>
      <c r="W665" t="str">
        <v>0</v>
      </c>
      <c r="X665">
        <v>20130</v>
      </c>
      <c r="Y665" s="31">
        <v>47058</v>
      </c>
      <c r="Z665" t="str">
        <v/>
      </c>
      <c r="AA665" t="str">
        <v>技術・人文知識・国際業務</v>
      </c>
      <c r="AB665" t="str">
        <v>471-0804</v>
      </c>
      <c r="AC665" t="str">
        <v>愛知県豊田市神池町２丁目1236-98</v>
      </c>
      <c r="AD665" t="str">
        <v>ﾌｫｰﾌﾞﾙ神池102</v>
      </c>
      <c r="AE665" s="31">
        <v>0</v>
      </c>
      <c r="AF665" s="31">
        <v>45232</v>
      </c>
      <c r="AG665" s="31">
        <v>0</v>
      </c>
      <c r="AH665" s="31">
        <v>0</v>
      </c>
      <c r="AI665" t="str">
        <v>23.11.2</v>
      </c>
      <c r="AJ665" t="str">
        <v>11/20林</v>
      </c>
      <c r="AK665">
        <v>0</v>
      </c>
      <c r="AL665">
        <v>45232</v>
      </c>
      <c r="AM665">
        <v>0</v>
      </c>
      <c r="AN665">
        <v>0</v>
      </c>
      <c r="AO665">
        <v>0</v>
      </c>
      <c r="AP665">
        <v>0</v>
      </c>
      <c r="AQ665">
        <v>0</v>
      </c>
      <c r="AR665">
        <v>0</v>
      </c>
    </row>
    <row r="666" spans="1:44">
      <c r="A666" t="str">
        <f>H666&amp;COUNTIF($H$2:H666,H666)</f>
        <v>HUB17</v>
      </c>
      <c r="B666" t="str">
        <f>F666&amp;COUNTIF($F$2:F666,F666)</f>
        <v>高雄工業 海南第一56</v>
      </c>
      <c r="C666" t="str">
        <v>在職中</v>
      </c>
      <c r="D666">
        <v>210610</v>
      </c>
      <c r="E666">
        <v>222020</v>
      </c>
      <c r="F666" t="str">
        <v>高雄工業 海南第一</v>
      </c>
      <c r="G666" t="str">
        <v>高雄工業株式会社 愛知事業所海南第一工場製作1課</v>
      </c>
      <c r="H666" t="str">
        <v>HUB</v>
      </c>
      <c r="I666" t="str">
        <v>ハブ加工 機械オペレーター、NCプログラム修正</v>
      </c>
      <c r="J666" t="str">
        <v>CAO QUOC DUNG</v>
      </c>
      <c r="K666" t="str">
        <v>カオ　コック　ズン</v>
      </c>
      <c r="L666" t="str">
        <v>男</v>
      </c>
      <c r="M666" t="str">
        <v>ﾍﾞﾄﾅﾑ</v>
      </c>
      <c r="N666" s="31">
        <v>32979</v>
      </c>
      <c r="O666">
        <v>35</v>
      </c>
      <c r="P666">
        <v>1410</v>
      </c>
      <c r="Q666" t="str">
        <v>6/16~ \1200⇒\1250</v>
      </c>
      <c r="R666">
        <v>1830</v>
      </c>
      <c r="S666" t="str">
        <v>9/16~ 1600円→1750円</v>
      </c>
      <c r="T666">
        <v>420</v>
      </c>
      <c r="U666">
        <v>260000</v>
      </c>
      <c r="V666">
        <v>13039</v>
      </c>
      <c r="W666" t="str">
        <v>0</v>
      </c>
      <c r="X666">
        <v>23790</v>
      </c>
      <c r="Y666" s="31">
        <v>46721</v>
      </c>
      <c r="Z666" t="str">
        <v/>
      </c>
      <c r="AA666" t="str">
        <v>技術・人文知識・国際業務</v>
      </c>
      <c r="AB666" t="str">
        <v>498-0031</v>
      </c>
      <c r="AC666" t="str">
        <v>愛知県弥富市平島町甲新田82番地１</v>
      </c>
      <c r="AD666" t="str">
        <v>ﾊﾟｰｸﾀｳﾝ平島D201</v>
      </c>
      <c r="AE666" s="31">
        <v>0</v>
      </c>
      <c r="AF666" s="31">
        <v>45845</v>
      </c>
      <c r="AG666" s="31">
        <v>0</v>
      </c>
      <c r="AH666" s="31">
        <v>0</v>
      </c>
      <c r="AI666">
        <v>45845</v>
      </c>
      <c r="AJ666" t="str">
        <v>7/16林</v>
      </c>
      <c r="AK666">
        <v>0</v>
      </c>
      <c r="AL666">
        <v>45845</v>
      </c>
      <c r="AM666">
        <v>0</v>
      </c>
      <c r="AN666">
        <v>0</v>
      </c>
      <c r="AO666">
        <v>0</v>
      </c>
      <c r="AP666">
        <v>0</v>
      </c>
      <c r="AQ666">
        <v>0</v>
      </c>
      <c r="AR666">
        <v>0</v>
      </c>
    </row>
    <row r="667" spans="1:44">
      <c r="A667" t="str">
        <f>H667&amp;COUNTIF($H$2:H667,H667)</f>
        <v>HUB18</v>
      </c>
      <c r="B667" t="str">
        <f>F667&amp;COUNTIF($F$2:F667,F667)</f>
        <v>高雄工業 海南第一57</v>
      </c>
      <c r="C667" t="str">
        <v>在職中</v>
      </c>
      <c r="D667">
        <v>210110</v>
      </c>
      <c r="E667">
        <v>222008</v>
      </c>
      <c r="F667" t="str">
        <v>高雄工業 海南第一</v>
      </c>
      <c r="G667" t="str">
        <v>高雄工業株式会社 愛知事業所海南第一工場製作1課</v>
      </c>
      <c r="H667" t="str">
        <v>HUB</v>
      </c>
      <c r="I667" t="str">
        <v>ハブ加工 機械オペレーター、NCプログラム修正</v>
      </c>
      <c r="J667" t="str">
        <v>PHAM NGOC LAM</v>
      </c>
      <c r="K667" t="str">
        <v>ファム　ゴック　ラム</v>
      </c>
      <c r="L667" t="str">
        <v>男</v>
      </c>
      <c r="M667" t="str">
        <v>ﾍﾞﾄﾅﾑ</v>
      </c>
      <c r="N667" s="31">
        <v>34363</v>
      </c>
      <c r="O667">
        <v>31</v>
      </c>
      <c r="P667">
        <v>1410</v>
      </c>
      <c r="Q667" t="str">
        <v>6/16~ \1200⇒\1250</v>
      </c>
      <c r="R667">
        <v>1820</v>
      </c>
      <c r="S667" t="str">
        <v>9/16~ 1600円→1750円</v>
      </c>
      <c r="T667">
        <v>410</v>
      </c>
      <c r="U667">
        <v>190000</v>
      </c>
      <c r="V667">
        <v>9528</v>
      </c>
      <c r="W667" t="str">
        <v>0</v>
      </c>
      <c r="X667">
        <v>17385</v>
      </c>
      <c r="Y667" s="31">
        <v>46696</v>
      </c>
      <c r="Z667" t="str">
        <v/>
      </c>
      <c r="AA667" t="str">
        <v>技術・人文知識・国際業務</v>
      </c>
      <c r="AB667" t="str">
        <v>498-0017</v>
      </c>
      <c r="AC667" t="str">
        <v>愛知県弥富市前ヶ須町勘助走34-1</v>
      </c>
      <c r="AD667" t="str">
        <v>ｱﾄﾚB棟101</v>
      </c>
      <c r="AE667" s="31">
        <v>0</v>
      </c>
      <c r="AF667" s="31">
        <v>45887</v>
      </c>
      <c r="AG667" s="31">
        <v>0</v>
      </c>
      <c r="AH667" s="31">
        <v>0</v>
      </c>
      <c r="AI667">
        <v>45887</v>
      </c>
      <c r="AJ667" t="str">
        <v>8/25林</v>
      </c>
      <c r="AK667">
        <v>0</v>
      </c>
      <c r="AL667">
        <v>45887</v>
      </c>
      <c r="AM667">
        <v>0</v>
      </c>
      <c r="AN667">
        <v>0</v>
      </c>
      <c r="AO667">
        <v>0</v>
      </c>
      <c r="AP667">
        <v>0</v>
      </c>
      <c r="AQ667" t="str">
        <v>JLPT-N4</v>
      </c>
      <c r="AR667">
        <v>0</v>
      </c>
    </row>
    <row r="668" spans="1:44">
      <c r="A668" t="str">
        <f>H668&amp;COUNTIF($H$2:H668,H668)</f>
        <v>PTJ2</v>
      </c>
      <c r="B668" t="str">
        <f>F668&amp;COUNTIF($F$2:F668,F668)</f>
        <v>高雄工業 静岡59</v>
      </c>
      <c r="C668" t="str">
        <v>在職中</v>
      </c>
      <c r="D668">
        <v>230318</v>
      </c>
      <c r="E668">
        <v>242062</v>
      </c>
      <c r="F668" t="str">
        <v>高雄工業 静岡</v>
      </c>
      <c r="G668" t="str">
        <v>高雄工業株式会社 静岡事業所第二工場製作課</v>
      </c>
      <c r="H668" t="str">
        <v>PTJ</v>
      </c>
      <c r="I668" t="str">
        <v>産業機械部品の研磨加工、NCプログラム修正</v>
      </c>
      <c r="J668" t="str">
        <v>NGUYEN CANH HOANG</v>
      </c>
      <c r="K668" t="str">
        <v>グエン　カン　ホアン</v>
      </c>
      <c r="L668" t="str">
        <v>男</v>
      </c>
      <c r="M668" t="str">
        <v>ﾍﾞﾄﾅﾑ</v>
      </c>
      <c r="N668" s="31">
        <v>36466</v>
      </c>
      <c r="O668">
        <v>26</v>
      </c>
      <c r="P668">
        <v>1310</v>
      </c>
      <c r="Q668">
        <v>0</v>
      </c>
      <c r="R668">
        <v>1720</v>
      </c>
      <c r="S668">
        <v>0</v>
      </c>
      <c r="T668">
        <v>410</v>
      </c>
      <c r="U668">
        <v>260000</v>
      </c>
      <c r="V668">
        <v>13039</v>
      </c>
      <c r="W668" t="str">
        <v>0</v>
      </c>
      <c r="X668">
        <v>23790</v>
      </c>
      <c r="Y668" s="31">
        <v>46900</v>
      </c>
      <c r="Z668" t="str">
        <v/>
      </c>
      <c r="AA668" t="str">
        <v>技術・人文知識・国際業務</v>
      </c>
      <c r="AB668" t="str">
        <v>437-0016</v>
      </c>
      <c r="AC668" t="str">
        <v>静岡県袋井市葵町3丁目3番地3</v>
      </c>
      <c r="AD668" t="str">
        <v>BeehiveresidenceⅣ101</v>
      </c>
      <c r="AE668" s="31">
        <v>45007</v>
      </c>
      <c r="AF668" s="31">
        <v>45012</v>
      </c>
      <c r="AG668" s="31">
        <v>0</v>
      </c>
      <c r="AH668" s="31">
        <v>0</v>
      </c>
      <c r="AI668" t="str">
        <v>23.4.1</v>
      </c>
      <c r="AJ668" t="str">
        <v>4/12林</v>
      </c>
      <c r="AK668">
        <v>0</v>
      </c>
      <c r="AL668">
        <v>45012</v>
      </c>
      <c r="AM668">
        <v>0</v>
      </c>
      <c r="AN668">
        <v>0</v>
      </c>
      <c r="AO668">
        <v>0</v>
      </c>
      <c r="AP668">
        <v>0</v>
      </c>
      <c r="AQ668" t="str">
        <v>JLPT-N4</v>
      </c>
      <c r="AR668">
        <v>0</v>
      </c>
    </row>
    <row r="669" spans="1:44">
      <c r="A669" t="str">
        <f>H669&amp;COUNTIF($H$2:H669,H669)</f>
        <v>外研3</v>
      </c>
      <c r="B669" t="str">
        <f>F669&amp;COUNTIF($F$2:F669,F669)</f>
        <v>三幸技研10</v>
      </c>
      <c r="C669" t="str">
        <v>退社</v>
      </c>
      <c r="D669">
        <v>220804</v>
      </c>
      <c r="E669">
        <v>0</v>
      </c>
      <c r="F669" t="str">
        <v>三幸技研</v>
      </c>
      <c r="G669" t="str">
        <v>製造部</v>
      </c>
      <c r="H669" t="str">
        <v>外研</v>
      </c>
      <c r="I669" t="str">
        <v>自動車部品の研磨業務、オペレーターとして製造ラインで製品を加工</v>
      </c>
      <c r="J669" t="str">
        <v>HOANG VAN HUNG</v>
      </c>
      <c r="K669" t="str">
        <v>ホアン　ヴァン　フン</v>
      </c>
      <c r="L669" t="str">
        <v>男</v>
      </c>
      <c r="M669" t="str">
        <v>ﾍﾞﾄﾅﾑ</v>
      </c>
      <c r="N669" s="31">
        <v>34471</v>
      </c>
      <c r="O669">
        <v>31</v>
      </c>
      <c r="P669">
        <v>1400</v>
      </c>
      <c r="Q669">
        <v>0</v>
      </c>
      <c r="R669">
        <v>1800</v>
      </c>
      <c r="S669">
        <v>0</v>
      </c>
      <c r="T669">
        <v>400</v>
      </c>
      <c r="U669">
        <v>240000</v>
      </c>
      <c r="V669">
        <v>12036</v>
      </c>
      <c r="W669" t="str">
        <v>0</v>
      </c>
      <c r="X669">
        <v>21960</v>
      </c>
      <c r="Y669" s="31">
        <v>45361</v>
      </c>
      <c r="Z669" t="str">
        <v/>
      </c>
      <c r="AA669" t="str">
        <v>技術・人文知識・国際業務</v>
      </c>
      <c r="AB669" t="str">
        <v>474-0056</v>
      </c>
      <c r="AC669" t="str">
        <v>愛知県大府市明成町2丁目176番地</v>
      </c>
      <c r="AD669" t="str">
        <v>ｻﾝﾋﾟｱ清野205</v>
      </c>
      <c r="AE669" s="31">
        <v>0</v>
      </c>
      <c r="AF669" s="31">
        <v>45236</v>
      </c>
      <c r="AG669" s="31">
        <v>45335</v>
      </c>
      <c r="AH669" s="31">
        <v>0</v>
      </c>
      <c r="AI669" t="str">
        <v>23.11.6</v>
      </c>
      <c r="AJ669" t="str">
        <v>11/20林</v>
      </c>
      <c r="AK669">
        <v>0</v>
      </c>
      <c r="AL669">
        <v>45236</v>
      </c>
      <c r="AM669">
        <v>0</v>
      </c>
      <c r="AN669">
        <v>0</v>
      </c>
      <c r="AO669">
        <v>0</v>
      </c>
      <c r="AP669">
        <v>0</v>
      </c>
      <c r="AQ669">
        <v>0</v>
      </c>
      <c r="AR669">
        <v>0</v>
      </c>
    </row>
    <row r="670" spans="1:44">
      <c r="A670" t="str">
        <f>H670&amp;COUNTIF($H$2:H670,H670)</f>
        <v>0240</v>
      </c>
      <c r="B670" t="str">
        <f>F670&amp;COUNTIF($F$2:F670,F670)</f>
        <v>セイビテック13</v>
      </c>
      <c r="C670" t="str">
        <v>在職中</v>
      </c>
      <c r="D670">
        <v>210420</v>
      </c>
      <c r="E670">
        <v>0</v>
      </c>
      <c r="F670" t="str">
        <v>セイビテック</v>
      </c>
      <c r="G670" t="str">
        <v>製造部DCG課検査CHIP</v>
      </c>
      <c r="H670">
        <v>0</v>
      </c>
      <c r="I670">
        <v>0</v>
      </c>
      <c r="J670" t="str">
        <v>TRAN VAN HUY</v>
      </c>
      <c r="K670" t="str">
        <v>チャン　バン　フィ</v>
      </c>
      <c r="L670" t="str">
        <v>男</v>
      </c>
      <c r="M670" t="str">
        <v>ﾍﾞﾄﾅﾑ</v>
      </c>
      <c r="N670" s="31">
        <v>33714</v>
      </c>
      <c r="O670">
        <v>33</v>
      </c>
      <c r="P670">
        <v>1400</v>
      </c>
      <c r="Q670">
        <v>0</v>
      </c>
      <c r="R670">
        <v>2000</v>
      </c>
      <c r="S670">
        <v>0</v>
      </c>
      <c r="T670">
        <v>600</v>
      </c>
      <c r="U670">
        <v>280000</v>
      </c>
      <c r="V670">
        <v>14042</v>
      </c>
      <c r="W670" t="str">
        <v>0</v>
      </c>
      <c r="X670">
        <v>25620</v>
      </c>
      <c r="Y670" s="31">
        <v>46073</v>
      </c>
      <c r="Z670">
        <v>78</v>
      </c>
      <c r="AA670" t="str">
        <v>技術・人文知識・国際業務</v>
      </c>
      <c r="AB670" t="str">
        <v>715-0023</v>
      </c>
      <c r="AC670" t="str">
        <v>岡山県井原市大江町3715番地</v>
      </c>
      <c r="AD670" t="str">
        <v>折口住宅3－7号</v>
      </c>
      <c r="AE670" s="31">
        <v>45231</v>
      </c>
      <c r="AF670" s="31">
        <v>45243</v>
      </c>
      <c r="AG670" s="31">
        <v>0</v>
      </c>
      <c r="AH670" s="31">
        <v>0</v>
      </c>
      <c r="AI670" t="str">
        <v>23.11.13</v>
      </c>
      <c r="AJ670" t="str">
        <v>12/5林</v>
      </c>
      <c r="AK670">
        <v>0</v>
      </c>
      <c r="AL670">
        <v>45243</v>
      </c>
      <c r="AM670">
        <v>0</v>
      </c>
      <c r="AN670">
        <v>0</v>
      </c>
      <c r="AO670">
        <v>0</v>
      </c>
      <c r="AP670">
        <v>0</v>
      </c>
      <c r="AQ670">
        <v>0</v>
      </c>
      <c r="AR670">
        <v>0</v>
      </c>
    </row>
    <row r="671" spans="1:44">
      <c r="A671" t="str">
        <f>H671&amp;COUNTIF($H$2:H671,H671)</f>
        <v>本社工場製造2課3工区6班2</v>
      </c>
      <c r="B671" t="str">
        <f>F671&amp;COUNTIF($F$2:F671,F671)</f>
        <v>コーリツ 本社25</v>
      </c>
      <c r="C671" t="str">
        <v>退社</v>
      </c>
      <c r="D671">
        <v>231112</v>
      </c>
      <c r="E671">
        <v>8210084</v>
      </c>
      <c r="F671" t="str">
        <v>コーリツ 本社</v>
      </c>
      <c r="G671" t="str">
        <v>本社工場製造2課3工区6班</v>
      </c>
      <c r="H671" t="str">
        <v>本社工場製造2課3工区6班</v>
      </c>
      <c r="I671">
        <v>0</v>
      </c>
      <c r="J671" t="str">
        <v>NGUYEN VAN TRINH</v>
      </c>
      <c r="K671" t="str">
        <v>グエン　ヴァン　チン</v>
      </c>
      <c r="L671" t="str">
        <v>男</v>
      </c>
      <c r="M671" t="str">
        <v>ﾍﾞﾄﾅﾑ</v>
      </c>
      <c r="N671" s="31">
        <v>33293</v>
      </c>
      <c r="O671">
        <v>34</v>
      </c>
      <c r="P671">
        <v>1400</v>
      </c>
      <c r="Q671">
        <v>0</v>
      </c>
      <c r="R671">
        <v>1990</v>
      </c>
      <c r="S671">
        <v>0</v>
      </c>
      <c r="T671">
        <v>590</v>
      </c>
      <c r="U671">
        <v>340000</v>
      </c>
      <c r="V671">
        <v>17051</v>
      </c>
      <c r="W671" t="str">
        <v>0</v>
      </c>
      <c r="X671">
        <v>31110</v>
      </c>
      <c r="Y671" s="31">
        <v>45828</v>
      </c>
      <c r="Z671" t="str">
        <v/>
      </c>
      <c r="AA671" t="str">
        <v>技術・人文知識・国際業務</v>
      </c>
      <c r="AB671" t="str">
        <v>448-0813</v>
      </c>
      <c r="AC671" t="str">
        <v>愛知県刈谷市小垣江町石ノ戸86-3</v>
      </c>
      <c r="AD671" t="str">
        <v>ｳﾞｨﾗｺｰﾄ田園403</v>
      </c>
      <c r="AE671" s="31">
        <v>45224</v>
      </c>
      <c r="AF671" s="31">
        <v>45243</v>
      </c>
      <c r="AG671" s="31">
        <v>45698</v>
      </c>
      <c r="AH671" s="31">
        <v>0</v>
      </c>
      <c r="AI671" t="str">
        <v>23.11.13</v>
      </c>
      <c r="AJ671" t="str">
        <v>11/30林</v>
      </c>
      <c r="AK671">
        <v>0</v>
      </c>
      <c r="AL671">
        <v>45243</v>
      </c>
      <c r="AM671">
        <v>0</v>
      </c>
      <c r="AN671">
        <v>0</v>
      </c>
      <c r="AO671" t="str">
        <v>自転車</v>
      </c>
      <c r="AP671">
        <v>45972</v>
      </c>
      <c r="AQ671">
        <v>0</v>
      </c>
      <c r="AR671">
        <v>0</v>
      </c>
    </row>
    <row r="672" spans="1:44">
      <c r="A672" t="str">
        <f>H672&amp;COUNTIF($H$2:H672,H672)</f>
        <v>州の崎工場製造1課1工区2班4</v>
      </c>
      <c r="B672" t="str">
        <f>F672&amp;COUNTIF($F$2:F672,F672)</f>
        <v>コーリツ 州の崎31</v>
      </c>
      <c r="C672" t="str">
        <v>在職中</v>
      </c>
      <c r="D672">
        <v>231113</v>
      </c>
      <c r="E672">
        <v>8210085</v>
      </c>
      <c r="F672" t="str">
        <v>コーリツ 州の崎</v>
      </c>
      <c r="G672" t="str">
        <v>州の崎工場製造1課1工区2班</v>
      </c>
      <c r="H672" t="str">
        <v>州の崎工場製造1課1工区2班</v>
      </c>
      <c r="I672">
        <v>0</v>
      </c>
      <c r="J672" t="str">
        <v>BUI NGOC SY</v>
      </c>
      <c r="K672" t="str">
        <v>ブイ　ゴック　シー</v>
      </c>
      <c r="L672" t="str">
        <v>男</v>
      </c>
      <c r="M672" t="str">
        <v>ﾍﾞﾄﾅﾑ</v>
      </c>
      <c r="N672" s="31">
        <v>35781</v>
      </c>
      <c r="O672">
        <v>27</v>
      </c>
      <c r="P672">
        <v>1500</v>
      </c>
      <c r="Q672">
        <v>0</v>
      </c>
      <c r="R672">
        <v>2150</v>
      </c>
      <c r="S672">
        <v>0</v>
      </c>
      <c r="T672">
        <v>650</v>
      </c>
      <c r="U672">
        <v>360000</v>
      </c>
      <c r="V672">
        <v>18054</v>
      </c>
      <c r="W672" t="str">
        <v>0</v>
      </c>
      <c r="X672">
        <v>32940</v>
      </c>
      <c r="Y672" s="31">
        <v>46597</v>
      </c>
      <c r="Z672" t="str">
        <v/>
      </c>
      <c r="AA672" t="str">
        <v>技術・人文知識・国際業務</v>
      </c>
      <c r="AB672" t="str">
        <v>475-0024</v>
      </c>
      <c r="AC672" t="str">
        <v>愛知県半田市亀崎高根町2丁目20-7</v>
      </c>
      <c r="AD672" t="str">
        <v>ﾋﾞﾚｯｼﾞﾊｳｽ亀崎2号棟301</v>
      </c>
      <c r="AE672" s="31">
        <v>45243</v>
      </c>
      <c r="AF672" s="31">
        <v>45250</v>
      </c>
      <c r="AG672" s="31">
        <v>0</v>
      </c>
      <c r="AH672" s="31">
        <v>0</v>
      </c>
      <c r="AI672" t="str">
        <v>23.11.20</v>
      </c>
      <c r="AJ672" t="str">
        <v>11/30林</v>
      </c>
      <c r="AK672">
        <v>0</v>
      </c>
      <c r="AL672">
        <v>45250</v>
      </c>
      <c r="AM672" t="str">
        <v>原付</v>
      </c>
      <c r="AN672">
        <v>46404</v>
      </c>
      <c r="AO672" t="str">
        <v>原付</v>
      </c>
      <c r="AP672">
        <v>46270</v>
      </c>
      <c r="AQ672">
        <v>0</v>
      </c>
      <c r="AR672">
        <v>0</v>
      </c>
    </row>
    <row r="673" spans="1:44">
      <c r="A673" t="str">
        <f>H673&amp;COUNTIF($H$2:H673,H673)</f>
        <v>転造10</v>
      </c>
      <c r="B673" t="str">
        <f>F673&amp;COUNTIF($F$2:F673,F673)</f>
        <v>高雄工業 静岡60</v>
      </c>
      <c r="C673" t="str">
        <v>退社</v>
      </c>
      <c r="D673">
        <v>231114</v>
      </c>
      <c r="E673">
        <v>242083</v>
      </c>
      <c r="F673" t="str">
        <v>高雄工業 静岡</v>
      </c>
      <c r="G673" t="str">
        <v>高雄工業株式会社 静岡事業所第一工場製作課</v>
      </c>
      <c r="H673" t="str">
        <v>転造</v>
      </c>
      <c r="I673" t="str">
        <v>ＣＶＪ短軸等速ジョイント旋削加工・ＮＣプログラム修正</v>
      </c>
      <c r="J673" t="str">
        <v>VU VIET HUNG</v>
      </c>
      <c r="K673" t="str">
        <v>ブー　ベト　フン</v>
      </c>
      <c r="L673" t="str">
        <v>男</v>
      </c>
      <c r="M673" t="str">
        <v>ﾍﾞﾄﾅﾑ</v>
      </c>
      <c r="N673" s="31">
        <v>34746</v>
      </c>
      <c r="O673">
        <v>30</v>
      </c>
      <c r="P673">
        <v>1200</v>
      </c>
      <c r="Q673">
        <v>0</v>
      </c>
      <c r="R673">
        <v>1650</v>
      </c>
      <c r="S673">
        <v>0</v>
      </c>
      <c r="T673">
        <v>450</v>
      </c>
      <c r="U673">
        <v>190000</v>
      </c>
      <c r="V673">
        <v>9528</v>
      </c>
      <c r="W673" t="str">
        <v>0</v>
      </c>
      <c r="X673">
        <v>17385</v>
      </c>
      <c r="Y673" s="31">
        <v>45611</v>
      </c>
      <c r="Z673" t="str">
        <v/>
      </c>
      <c r="AA673" t="str">
        <v>技術・人文知識・国際業務</v>
      </c>
      <c r="AB673" t="str">
        <v>437-0066</v>
      </c>
      <c r="AC673" t="str">
        <v>静岡県袋井市山科3539-6</v>
      </c>
      <c r="AD673" t="str">
        <v>ﾌﾟﾛﾑﾅｰﾄﾞⅡA102号</v>
      </c>
      <c r="AE673" s="31">
        <v>45245</v>
      </c>
      <c r="AF673" s="31">
        <v>45251</v>
      </c>
      <c r="AG673" s="31">
        <v>45366</v>
      </c>
      <c r="AH673" s="31">
        <v>0</v>
      </c>
      <c r="AI673" t="str">
        <v>23.11.21</v>
      </c>
      <c r="AJ673" t="str">
        <v>12/15林</v>
      </c>
      <c r="AK673">
        <v>0</v>
      </c>
      <c r="AL673">
        <v>45251</v>
      </c>
      <c r="AM673">
        <v>0</v>
      </c>
      <c r="AN673">
        <v>0</v>
      </c>
      <c r="AO673">
        <v>0</v>
      </c>
      <c r="AP673">
        <v>0</v>
      </c>
      <c r="AQ673">
        <v>0</v>
      </c>
      <c r="AR673">
        <v>0</v>
      </c>
    </row>
    <row r="674" spans="1:44">
      <c r="A674" t="str">
        <f>H674&amp;COUNTIF($H$2:H674,H674)</f>
        <v>内輪6</v>
      </c>
      <c r="B674" t="str">
        <f>F674&amp;COUNTIF($F$2:F674,F674)</f>
        <v>高雄工業 静岡61</v>
      </c>
      <c r="C674" t="str">
        <v>退社</v>
      </c>
      <c r="D674">
        <v>231117</v>
      </c>
      <c r="E674">
        <v>242086</v>
      </c>
      <c r="F674" t="str">
        <v>高雄工業 静岡</v>
      </c>
      <c r="G674" t="str">
        <v>高雄工業株式会社 静岡事業所第二工場製作課</v>
      </c>
      <c r="H674" t="str">
        <v>内輪</v>
      </c>
      <c r="I674" t="str">
        <v>産業機械部品の研磨加工、NCプログラム修正</v>
      </c>
      <c r="J674" t="str">
        <v>NGUYEN QUANG DIEU</v>
      </c>
      <c r="K674" t="str">
        <v>グエン　クアン　ジエウ</v>
      </c>
      <c r="L674" t="str">
        <v>男</v>
      </c>
      <c r="M674" t="str">
        <v>ﾍﾞﾄﾅﾑ</v>
      </c>
      <c r="N674" s="31">
        <v>36877</v>
      </c>
      <c r="O674">
        <v>24</v>
      </c>
      <c r="P674">
        <v>1300</v>
      </c>
      <c r="Q674">
        <v>0</v>
      </c>
      <c r="R674">
        <v>1690</v>
      </c>
      <c r="S674">
        <v>0</v>
      </c>
      <c r="T674">
        <v>390</v>
      </c>
      <c r="U674">
        <v>240000</v>
      </c>
      <c r="V674">
        <v>12036</v>
      </c>
      <c r="W674" t="str">
        <v>0</v>
      </c>
      <c r="X674">
        <v>21960</v>
      </c>
      <c r="Y674" s="31">
        <v>45976</v>
      </c>
      <c r="Z674" t="str">
        <v/>
      </c>
      <c r="AA674" t="str">
        <v>技術・人文知識・国際業務</v>
      </c>
      <c r="AB674" t="str">
        <v>437-0066</v>
      </c>
      <c r="AC674" t="str">
        <v>静岡県袋井市山科3539-6</v>
      </c>
      <c r="AD674" t="str">
        <v>ﾌﾟﾛﾑﾅｰﾄﾞⅡA103号</v>
      </c>
      <c r="AE674" s="31">
        <v>45245</v>
      </c>
      <c r="AF674" s="31">
        <v>45251</v>
      </c>
      <c r="AG674" s="31">
        <v>45679</v>
      </c>
      <c r="AH674" s="31">
        <v>0</v>
      </c>
      <c r="AI674" t="str">
        <v>23.11.21</v>
      </c>
      <c r="AJ674" t="str">
        <v>12/15林</v>
      </c>
      <c r="AK674">
        <v>0</v>
      </c>
      <c r="AL674">
        <v>45251</v>
      </c>
      <c r="AM674">
        <v>0</v>
      </c>
      <c r="AN674">
        <v>0</v>
      </c>
      <c r="AO674">
        <v>0</v>
      </c>
      <c r="AP674">
        <v>0</v>
      </c>
      <c r="AQ674">
        <v>0</v>
      </c>
      <c r="AR674">
        <v>0</v>
      </c>
    </row>
    <row r="675" spans="1:44">
      <c r="A675" t="str">
        <f>H675&amp;COUNTIF($H$2:H675,H675)</f>
        <v>PTJ3</v>
      </c>
      <c r="B675" t="str">
        <f>F675&amp;COUNTIF($F$2:F675,F675)</f>
        <v>高雄工業 静岡62</v>
      </c>
      <c r="C675" t="str">
        <v>在職中</v>
      </c>
      <c r="D675">
        <v>230915</v>
      </c>
      <c r="E675">
        <v>242080</v>
      </c>
      <c r="F675" t="str">
        <v>高雄工業 静岡</v>
      </c>
      <c r="G675" t="str">
        <v>高雄工業株式会社 静岡事業所第二工場製作課</v>
      </c>
      <c r="H675" t="str">
        <v>PTJ</v>
      </c>
      <c r="I675" t="str">
        <v>産業機械部品の研磨加工、NCプログラム修正</v>
      </c>
      <c r="J675" t="str">
        <v>NGUYEN TRUONG AN</v>
      </c>
      <c r="K675" t="str">
        <v>グエン　チュオン　アン</v>
      </c>
      <c r="L675" t="str">
        <v>男</v>
      </c>
      <c r="M675" t="str">
        <v>ﾍﾞﾄﾅﾑ</v>
      </c>
      <c r="N675" s="31">
        <v>36642</v>
      </c>
      <c r="O675">
        <v>25</v>
      </c>
      <c r="P675">
        <v>1300</v>
      </c>
      <c r="Q675">
        <v>0</v>
      </c>
      <c r="R675">
        <v>1680</v>
      </c>
      <c r="S675">
        <v>0</v>
      </c>
      <c r="T675">
        <v>380</v>
      </c>
      <c r="U675">
        <v>260000</v>
      </c>
      <c r="V675">
        <v>13039</v>
      </c>
      <c r="W675" t="str">
        <v>0</v>
      </c>
      <c r="X675">
        <v>23790</v>
      </c>
      <c r="Y675" s="31">
        <v>47014</v>
      </c>
      <c r="Z675" t="str">
        <v/>
      </c>
      <c r="AA675" t="str">
        <v>技術・人文知識・国際業務</v>
      </c>
      <c r="AB675" t="str">
        <v>437-0066</v>
      </c>
      <c r="AC675" t="str">
        <v>静岡県袋井市山科2844-1</v>
      </c>
      <c r="AD675" t="str">
        <v>ｳﾞｨﾚﾁﾞﾌｫｰB101</v>
      </c>
      <c r="AE675" s="31">
        <v>45187</v>
      </c>
      <c r="AF675" s="31">
        <v>45190</v>
      </c>
      <c r="AG675" s="31">
        <v>0</v>
      </c>
      <c r="AH675" s="31">
        <v>0</v>
      </c>
      <c r="AI675" t="str">
        <v>23.9.21</v>
      </c>
      <c r="AJ675" t="str">
        <v>10/13林</v>
      </c>
      <c r="AK675">
        <v>0</v>
      </c>
      <c r="AL675">
        <v>45190</v>
      </c>
      <c r="AM675">
        <v>0</v>
      </c>
      <c r="AN675">
        <v>0</v>
      </c>
      <c r="AO675">
        <v>0</v>
      </c>
      <c r="AP675">
        <v>0</v>
      </c>
      <c r="AQ675" t="str">
        <v>JLPT-N4</v>
      </c>
      <c r="AR675">
        <v>0</v>
      </c>
    </row>
    <row r="676" spans="1:44">
      <c r="A676" t="str">
        <f>H676&amp;COUNTIF($H$2:H676,H676)</f>
        <v>PTJ4</v>
      </c>
      <c r="B676" t="str">
        <f>F676&amp;COUNTIF($F$2:F676,F676)</f>
        <v>高雄工業 静岡63</v>
      </c>
      <c r="C676" t="str">
        <v>在職中</v>
      </c>
      <c r="D676">
        <v>250309</v>
      </c>
      <c r="E676">
        <v>242127</v>
      </c>
      <c r="F676" t="str">
        <v>高雄工業 静岡</v>
      </c>
      <c r="G676" t="str">
        <v>高雄工業株式会社 静岡事業所第二工場製作課</v>
      </c>
      <c r="H676" t="str">
        <v>PTJ</v>
      </c>
      <c r="I676" t="str">
        <v>産業機械部品の研磨加工、NCプログラム修正</v>
      </c>
      <c r="J676" t="str">
        <v>LY VAN NHAN</v>
      </c>
      <c r="K676" t="str">
        <v>リ　ヴァン　ニャン</v>
      </c>
      <c r="L676" t="str">
        <v>男</v>
      </c>
      <c r="M676" t="str">
        <v>ﾍﾞﾄﾅﾑ</v>
      </c>
      <c r="N676" s="31">
        <v>37136</v>
      </c>
      <c r="O676">
        <v>24</v>
      </c>
      <c r="P676">
        <v>1200</v>
      </c>
      <c r="Q676">
        <v>0</v>
      </c>
      <c r="R676">
        <v>1650</v>
      </c>
      <c r="S676">
        <v>0</v>
      </c>
      <c r="T676">
        <v>450</v>
      </c>
      <c r="U676">
        <v>180000</v>
      </c>
      <c r="V676">
        <v>9027</v>
      </c>
      <c r="W676" t="str">
        <v>0</v>
      </c>
      <c r="X676">
        <v>16470</v>
      </c>
      <c r="Y676" s="31">
        <v>46825</v>
      </c>
      <c r="Z676" t="str">
        <v/>
      </c>
      <c r="AA676" t="str">
        <v>技術・人文知識・国際業務</v>
      </c>
      <c r="AB676" t="str">
        <v>437-0123</v>
      </c>
      <c r="AC676" t="str">
        <v>静岡県袋井市下山梨1603-2</v>
      </c>
      <c r="AD676" t="str">
        <v>ﾎｰﾌﾟｼﾃｨHIRO202</v>
      </c>
      <c r="AE676" s="31">
        <v>0</v>
      </c>
      <c r="AF676" s="31">
        <v>45736</v>
      </c>
      <c r="AG676" s="31">
        <v>0</v>
      </c>
      <c r="AH676" s="31">
        <v>0</v>
      </c>
      <c r="AI676">
        <v>45736</v>
      </c>
      <c r="AJ676" t="str">
        <v>4/18林</v>
      </c>
      <c r="AK676">
        <v>0</v>
      </c>
      <c r="AL676">
        <v>45736</v>
      </c>
      <c r="AM676">
        <v>0</v>
      </c>
      <c r="AN676">
        <v>0</v>
      </c>
      <c r="AO676">
        <v>0</v>
      </c>
      <c r="AP676">
        <v>0</v>
      </c>
      <c r="AQ676">
        <v>0</v>
      </c>
      <c r="AR676">
        <v>0</v>
      </c>
    </row>
    <row r="677" spans="1:44">
      <c r="A677" t="str">
        <f>H677&amp;COUNTIF($H$2:H677,H677)</f>
        <v>旋盤ライン23</v>
      </c>
      <c r="B677" t="str">
        <f>F677&amp;COUNTIF($F$2:F677,F677)</f>
        <v>川原鉄工所25</v>
      </c>
      <c r="C677" t="str">
        <v>退社</v>
      </c>
      <c r="D677">
        <v>231118</v>
      </c>
      <c r="E677">
        <v>0</v>
      </c>
      <c r="F677" t="str">
        <v>川原鉄工所</v>
      </c>
      <c r="G677" t="str">
        <v>製造部</v>
      </c>
      <c r="H677" t="str">
        <v>旋盤ライン</v>
      </c>
      <c r="I677" t="str">
        <v>ATミッション部品をはじめとする、各種自動車部品の製造</v>
      </c>
      <c r="J677" t="str">
        <v>TRAN HUY CONG</v>
      </c>
      <c r="K677" t="str">
        <v>チャン　フイ　コン</v>
      </c>
      <c r="L677" t="str">
        <v>男</v>
      </c>
      <c r="M677" t="str">
        <v>ﾍﾞﾄﾅﾑ</v>
      </c>
      <c r="N677" s="31">
        <v>33449</v>
      </c>
      <c r="O677">
        <v>34</v>
      </c>
      <c r="P677">
        <v>1300</v>
      </c>
      <c r="Q677">
        <v>0</v>
      </c>
      <c r="R677">
        <v>1650</v>
      </c>
      <c r="S677">
        <v>0</v>
      </c>
      <c r="T677">
        <v>350</v>
      </c>
      <c r="U677">
        <v>200000</v>
      </c>
      <c r="V677">
        <v>10030</v>
      </c>
      <c r="W677" t="str">
        <v>0</v>
      </c>
      <c r="X677">
        <v>18300</v>
      </c>
      <c r="Y677" s="31">
        <v>45735</v>
      </c>
      <c r="Z677" t="str">
        <v/>
      </c>
      <c r="AA677" t="str">
        <v>技術・人文知識・国際業務</v>
      </c>
      <c r="AB677" t="str">
        <v>455-0046</v>
      </c>
      <c r="AC677" t="str">
        <v>愛知県名古屋市港区大手町2丁目31</v>
      </c>
      <c r="AD677" t="str">
        <v>ﾀﾞｲｺｰﾏﾝｼｮﾝ103</v>
      </c>
      <c r="AE677" s="31">
        <v>45242</v>
      </c>
      <c r="AF677" s="31">
        <v>45254</v>
      </c>
      <c r="AG677" s="31">
        <v>45471</v>
      </c>
      <c r="AH677" s="31">
        <v>0</v>
      </c>
      <c r="AI677" t="str">
        <v>23.11.24</v>
      </c>
      <c r="AJ677" t="str">
        <v>12/20林</v>
      </c>
      <c r="AK677">
        <v>0</v>
      </c>
      <c r="AL677">
        <v>45254</v>
      </c>
      <c r="AM677">
        <v>0</v>
      </c>
      <c r="AN677">
        <v>0</v>
      </c>
      <c r="AO677">
        <v>0</v>
      </c>
      <c r="AP677">
        <v>0</v>
      </c>
      <c r="AQ677">
        <v>0</v>
      </c>
      <c r="AR677">
        <v>0</v>
      </c>
    </row>
    <row r="678" spans="1:44">
      <c r="A678" t="str">
        <f>H678&amp;COUNTIF($H$2:H678,H678)</f>
        <v>旋盤ライン24</v>
      </c>
      <c r="B678" t="str">
        <f>F678&amp;COUNTIF($F$2:F678,F678)</f>
        <v>川原鉄工所26</v>
      </c>
      <c r="C678" t="str">
        <v>退社</v>
      </c>
      <c r="D678">
        <v>231119</v>
      </c>
      <c r="E678">
        <v>0</v>
      </c>
      <c r="F678" t="str">
        <v>川原鉄工所</v>
      </c>
      <c r="G678" t="str">
        <v>製造部</v>
      </c>
      <c r="H678" t="str">
        <v>旋盤ライン</v>
      </c>
      <c r="I678" t="str">
        <v>ATミッション部品をはじめとする、各種自動車部品の製造</v>
      </c>
      <c r="J678" t="str">
        <v>BUI ANH TUAN</v>
      </c>
      <c r="K678" t="str">
        <v>ブイ　アイン　トゥアン</v>
      </c>
      <c r="L678" t="str">
        <v>男</v>
      </c>
      <c r="M678" t="str">
        <v>ﾍﾞﾄﾅﾑ</v>
      </c>
      <c r="N678" s="31">
        <v>36246</v>
      </c>
      <c r="O678">
        <v>26</v>
      </c>
      <c r="P678">
        <v>1300</v>
      </c>
      <c r="Q678">
        <v>0</v>
      </c>
      <c r="R678">
        <v>1650</v>
      </c>
      <c r="S678">
        <v>0</v>
      </c>
      <c r="T678">
        <v>350</v>
      </c>
      <c r="U678">
        <v>320000</v>
      </c>
      <c r="V678">
        <v>16048</v>
      </c>
      <c r="W678" t="str">
        <v>0</v>
      </c>
      <c r="X678">
        <v>29280</v>
      </c>
      <c r="Y678" s="31">
        <v>46915</v>
      </c>
      <c r="Z678" t="str">
        <v/>
      </c>
      <c r="AA678" t="str">
        <v>技術・人文知識・国際業務</v>
      </c>
      <c r="AB678" t="str">
        <v>455-0046</v>
      </c>
      <c r="AC678" t="str">
        <v>愛知県名古屋市港区大手町2丁目31</v>
      </c>
      <c r="AD678" t="str">
        <v>ﾀﾞｲｺｰﾏﾝｼｮﾝ103</v>
      </c>
      <c r="AE678" s="31">
        <v>45252</v>
      </c>
      <c r="AF678" s="31">
        <v>45254</v>
      </c>
      <c r="AG678" s="31">
        <v>45930</v>
      </c>
      <c r="AH678" s="31">
        <v>0</v>
      </c>
      <c r="AI678" t="str">
        <v>23.11.24</v>
      </c>
      <c r="AJ678" t="str">
        <v>12/15林</v>
      </c>
      <c r="AK678">
        <v>0</v>
      </c>
      <c r="AL678">
        <v>45254</v>
      </c>
      <c r="AM678">
        <v>0</v>
      </c>
      <c r="AN678">
        <v>0</v>
      </c>
      <c r="AO678">
        <v>0</v>
      </c>
      <c r="AP678">
        <v>0</v>
      </c>
      <c r="AQ678">
        <v>0</v>
      </c>
      <c r="AR678">
        <v>0</v>
      </c>
    </row>
    <row r="679" spans="1:44">
      <c r="A679" t="str">
        <f>H679&amp;COUNTIF($H$2:H679,H679)</f>
        <v>0241</v>
      </c>
      <c r="B679" t="str">
        <f>F679&amp;COUNTIF($F$2:F679,F679)</f>
        <v>ユアサ工機 御津2</v>
      </c>
      <c r="C679" t="str">
        <v>退社</v>
      </c>
      <c r="D679">
        <v>231120</v>
      </c>
      <c r="E679">
        <v>0</v>
      </c>
      <c r="F679" t="str">
        <v>ユアサ工機 御津</v>
      </c>
      <c r="G679">
        <v>0</v>
      </c>
      <c r="H679">
        <v>0</v>
      </c>
      <c r="I679">
        <v>0</v>
      </c>
      <c r="J679" t="str">
        <v>PHAN VAN QUY</v>
      </c>
      <c r="K679" t="str">
        <v>ファン　ヴァン　クイ</v>
      </c>
      <c r="L679" t="str">
        <v>男</v>
      </c>
      <c r="M679" t="str">
        <v>ﾍﾞﾄﾅﾑ</v>
      </c>
      <c r="N679" s="31">
        <v>34858</v>
      </c>
      <c r="O679">
        <v>30</v>
      </c>
      <c r="P679">
        <v>1300</v>
      </c>
      <c r="Q679">
        <v>0</v>
      </c>
      <c r="R679">
        <v>1900</v>
      </c>
      <c r="S679">
        <v>0</v>
      </c>
      <c r="T679">
        <v>600</v>
      </c>
      <c r="U679">
        <v>200000</v>
      </c>
      <c r="V679">
        <v>10030</v>
      </c>
      <c r="W679" t="str">
        <v>0</v>
      </c>
      <c r="X679">
        <v>18300</v>
      </c>
      <c r="Y679" s="31">
        <v>46420</v>
      </c>
      <c r="Z679" t="str">
        <v/>
      </c>
      <c r="AA679" t="str">
        <v>技術・人文知識・国際業務</v>
      </c>
      <c r="AB679" t="str">
        <v>709-2107</v>
      </c>
      <c r="AC679" t="str">
        <v>岡山県岡山市北区御津矢原298-1</v>
      </c>
      <c r="AD679" t="str">
        <v>成広矢原ｺｰﾎﾟⅥ205</v>
      </c>
      <c r="AE679" s="31">
        <v>0</v>
      </c>
      <c r="AF679" s="31">
        <v>45258</v>
      </c>
      <c r="AG679" s="31">
        <v>45401</v>
      </c>
      <c r="AH679" s="31">
        <v>0</v>
      </c>
      <c r="AI679" t="str">
        <v>23.11.28</v>
      </c>
      <c r="AJ679" t="str">
        <v>12/15林</v>
      </c>
      <c r="AK679">
        <v>0</v>
      </c>
      <c r="AL679">
        <v>45258</v>
      </c>
      <c r="AM679">
        <v>0</v>
      </c>
      <c r="AN679">
        <v>0</v>
      </c>
      <c r="AO679">
        <v>0</v>
      </c>
      <c r="AP679">
        <v>0</v>
      </c>
      <c r="AQ679">
        <v>0</v>
      </c>
      <c r="AR679">
        <v>0</v>
      </c>
    </row>
    <row r="680" spans="1:44">
      <c r="A680" t="str">
        <f>H680&amp;COUNTIF($H$2:H680,H680)</f>
        <v>1次旋係52</v>
      </c>
      <c r="B680" t="str">
        <f>F680&amp;COUNTIF($F$2:F680,F680)</f>
        <v>高雄工業 岡山126</v>
      </c>
      <c r="C680" t="str">
        <v>在職中</v>
      </c>
      <c r="D680">
        <v>231201</v>
      </c>
      <c r="E680">
        <v>232046</v>
      </c>
      <c r="F680" t="str">
        <v>高雄工業 岡山</v>
      </c>
      <c r="G680" t="str">
        <v>高雄工業株式会社 岡山事業所HUB工場製作1課</v>
      </c>
      <c r="H680" t="str">
        <v>1次旋係</v>
      </c>
      <c r="I680" t="str">
        <v>ハブ加工 自動機の操作、ＮＣプログラム修正</v>
      </c>
      <c r="J680" t="str">
        <v>HUYNH TRUONG HUONG</v>
      </c>
      <c r="K680" t="str">
        <v>フィン　チュオン　フオン</v>
      </c>
      <c r="L680" t="str">
        <v>女</v>
      </c>
      <c r="M680" t="str">
        <v>ﾍﾞﾄﾅﾑ</v>
      </c>
      <c r="N680" s="31">
        <v>34068</v>
      </c>
      <c r="O680">
        <v>32</v>
      </c>
      <c r="P680">
        <v>1110</v>
      </c>
      <c r="Q680">
        <v>0</v>
      </c>
      <c r="R680">
        <v>1670</v>
      </c>
      <c r="S680">
        <v>0</v>
      </c>
      <c r="T680">
        <v>560</v>
      </c>
      <c r="U680">
        <v>126000</v>
      </c>
      <c r="V680">
        <v>6319</v>
      </c>
      <c r="W680" t="str">
        <v>0</v>
      </c>
      <c r="X680">
        <v>11529</v>
      </c>
      <c r="Y680" s="31">
        <v>47505</v>
      </c>
      <c r="Z680" t="str">
        <v/>
      </c>
      <c r="AA680" t="str">
        <v>家族滞在</v>
      </c>
      <c r="AB680" t="str">
        <v>709-2134</v>
      </c>
      <c r="AC680" t="str">
        <v>岡山県岡山市北区御津下田77-3</v>
      </c>
      <c r="AD680" t="str">
        <v>ﾋﾞﾚｯｼﾞﾊｳｽ宇甘川2　308号</v>
      </c>
      <c r="AE680" s="31" t="str">
        <v>個人</v>
      </c>
      <c r="AF680" s="31">
        <v>45261</v>
      </c>
      <c r="AG680" s="31">
        <v>0</v>
      </c>
      <c r="AH680" s="31">
        <v>0</v>
      </c>
      <c r="AI680" t="str">
        <v>23.12.1</v>
      </c>
      <c r="AJ680" t="str">
        <v>12/15林</v>
      </c>
      <c r="AK680">
        <v>0</v>
      </c>
      <c r="AL680">
        <v>45261</v>
      </c>
      <c r="AM680">
        <v>0</v>
      </c>
      <c r="AN680">
        <v>0</v>
      </c>
      <c r="AO680">
        <v>0</v>
      </c>
      <c r="AP680">
        <v>0</v>
      </c>
      <c r="AQ680">
        <v>0</v>
      </c>
      <c r="AR680">
        <v>0</v>
      </c>
    </row>
    <row r="681" spans="1:44">
      <c r="A681" t="str">
        <f>H681&amp;COUNTIF($H$2:H681,H681)</f>
        <v>旋盤ライン25</v>
      </c>
      <c r="B681" t="str">
        <f>F681&amp;COUNTIF($F$2:F681,F681)</f>
        <v>川原鉄工所27</v>
      </c>
      <c r="C681" t="str">
        <v>退社</v>
      </c>
      <c r="D681">
        <v>231202</v>
      </c>
      <c r="E681">
        <v>0</v>
      </c>
      <c r="F681" t="str">
        <v>川原鉄工所</v>
      </c>
      <c r="G681" t="str">
        <v>製造部</v>
      </c>
      <c r="H681" t="str">
        <v>旋盤ライン</v>
      </c>
      <c r="I681" t="str">
        <v>ATミッション部品をはじめとする、各種自動車部品の製造</v>
      </c>
      <c r="J681" t="str">
        <v>NGUYEN VAN CONG</v>
      </c>
      <c r="K681" t="str">
        <v>グエン　ヴァン　コン</v>
      </c>
      <c r="L681" t="str">
        <v>男</v>
      </c>
      <c r="M681" t="str">
        <v>ﾍﾞﾄﾅﾑ</v>
      </c>
      <c r="N681" s="31">
        <v>34804</v>
      </c>
      <c r="O681">
        <v>30</v>
      </c>
      <c r="P681">
        <v>1300</v>
      </c>
      <c r="Q681">
        <v>0</v>
      </c>
      <c r="R681">
        <v>1650</v>
      </c>
      <c r="S681">
        <v>0</v>
      </c>
      <c r="T681">
        <v>350</v>
      </c>
      <c r="U681">
        <v>300000</v>
      </c>
      <c r="V681">
        <v>15045</v>
      </c>
      <c r="W681" t="str">
        <v>0</v>
      </c>
      <c r="X681">
        <v>27450</v>
      </c>
      <c r="Y681" s="31">
        <v>45903</v>
      </c>
      <c r="Z681" t="str">
        <v/>
      </c>
      <c r="AA681" t="str">
        <v>技術・人文知識・国際業務</v>
      </c>
      <c r="AB681" t="str">
        <v>455-0053</v>
      </c>
      <c r="AC681" t="str">
        <v>愛知県名古屋市港区名四町75番地４</v>
      </c>
      <c r="AD681" t="str">
        <v>ｼﾙﾊﾞｰﾊｲﾑ名四201号</v>
      </c>
      <c r="AE681" s="31">
        <v>45258</v>
      </c>
      <c r="AF681" s="31">
        <v>45261</v>
      </c>
      <c r="AG681" s="31">
        <v>45896</v>
      </c>
      <c r="AH681" s="31">
        <v>0</v>
      </c>
      <c r="AI681" t="str">
        <v>23.12.1</v>
      </c>
      <c r="AJ681" t="str">
        <v>12/15林</v>
      </c>
      <c r="AK681">
        <v>0</v>
      </c>
      <c r="AL681">
        <v>45261</v>
      </c>
      <c r="AM681">
        <v>0</v>
      </c>
      <c r="AN681">
        <v>0</v>
      </c>
      <c r="AO681">
        <v>0</v>
      </c>
      <c r="AP681">
        <v>0</v>
      </c>
      <c r="AQ681">
        <v>0</v>
      </c>
      <c r="AR681">
        <v>0</v>
      </c>
    </row>
    <row r="682" spans="1:44">
      <c r="A682" t="str">
        <f>H682&amp;COUNTIF($H$2:H682,H682)</f>
        <v>H_2次旋17</v>
      </c>
      <c r="B682" t="str">
        <f>F682&amp;COUNTIF($F$2:F682,F682)</f>
        <v>高雄工業 海南第一58</v>
      </c>
      <c r="C682" t="str">
        <v>退社</v>
      </c>
      <c r="D682">
        <v>231203</v>
      </c>
      <c r="E682">
        <v>222060</v>
      </c>
      <c r="F682" t="str">
        <v>高雄工業 海南第一</v>
      </c>
      <c r="G682" t="str">
        <v>高雄工業株式会社 愛知事業所海南第一工場製作1課</v>
      </c>
      <c r="H682" t="str">
        <v>H_2次旋</v>
      </c>
      <c r="I682" t="str">
        <v>ハブ加工品の2次施削、手動機械オペレーターNCプログラム修正</v>
      </c>
      <c r="J682" t="str">
        <v>NGUYEN VAN ANH</v>
      </c>
      <c r="K682" t="str">
        <v>グエン　ヴァン　アイン</v>
      </c>
      <c r="L682" t="str">
        <v>男</v>
      </c>
      <c r="M682" t="str">
        <v>ﾍﾞﾄﾅﾑ</v>
      </c>
      <c r="N682" s="31">
        <v>36803</v>
      </c>
      <c r="O682">
        <v>25</v>
      </c>
      <c r="P682">
        <v>1200</v>
      </c>
      <c r="Q682">
        <v>0</v>
      </c>
      <c r="R682">
        <v>1680</v>
      </c>
      <c r="S682">
        <v>0</v>
      </c>
      <c r="T682">
        <v>480</v>
      </c>
      <c r="U682">
        <v>190000</v>
      </c>
      <c r="V682">
        <v>9528</v>
      </c>
      <c r="W682" t="str">
        <v>0</v>
      </c>
      <c r="X682">
        <v>17385</v>
      </c>
      <c r="Y682" s="31">
        <v>45623</v>
      </c>
      <c r="Z682" t="str">
        <v/>
      </c>
      <c r="AA682" t="str">
        <v>技術・人文知識・国際業務</v>
      </c>
      <c r="AB682" t="str">
        <v>498-0025</v>
      </c>
      <c r="AC682" t="str">
        <v>愛知県弥富市平島町喜右味名78-1</v>
      </c>
      <c r="AD682" t="str">
        <v>ﾌﾚｸﾞﾗﾝｽ桂A棟201号</v>
      </c>
      <c r="AE682" s="31">
        <v>45257</v>
      </c>
      <c r="AF682" s="31">
        <v>45261</v>
      </c>
      <c r="AG682" s="31">
        <v>45480</v>
      </c>
      <c r="AH682" s="31">
        <v>0</v>
      </c>
      <c r="AI682" t="str">
        <v>23.12.1</v>
      </c>
      <c r="AJ682" t="str">
        <v>12/15林</v>
      </c>
      <c r="AK682">
        <v>0</v>
      </c>
      <c r="AL682">
        <v>45261</v>
      </c>
      <c r="AM682">
        <v>0</v>
      </c>
      <c r="AN682">
        <v>0</v>
      </c>
      <c r="AO682">
        <v>0</v>
      </c>
      <c r="AP682">
        <v>0</v>
      </c>
      <c r="AQ682">
        <v>0</v>
      </c>
      <c r="AR682">
        <v>0</v>
      </c>
    </row>
    <row r="683" spans="1:44">
      <c r="A683" t="str">
        <f>H683&amp;COUNTIF($H$2:H683,H683)</f>
        <v>H_2次旋18</v>
      </c>
      <c r="B683" t="str">
        <f>F683&amp;COUNTIF($F$2:F683,F683)</f>
        <v>高雄工業 海南第一59</v>
      </c>
      <c r="C683" t="str">
        <v>退社</v>
      </c>
      <c r="D683">
        <v>231204</v>
      </c>
      <c r="E683">
        <v>222059</v>
      </c>
      <c r="F683" t="str">
        <v>高雄工業 海南第一</v>
      </c>
      <c r="G683" t="str">
        <v>高雄工業株式会社 愛知事業所海南第一工場製作1課</v>
      </c>
      <c r="H683" t="str">
        <v>H_2次旋</v>
      </c>
      <c r="I683" t="str">
        <v>ハブ加工品の2次施削、手動機械オペレーターNCプログラム修正</v>
      </c>
      <c r="J683" t="str">
        <v>HUYNH THANH LIEM</v>
      </c>
      <c r="K683" t="str">
        <v>フィン　タン　リエム</v>
      </c>
      <c r="L683" t="str">
        <v>男</v>
      </c>
      <c r="M683" t="str">
        <v>ﾍﾞﾄﾅﾑ</v>
      </c>
      <c r="N683" s="31">
        <v>36471</v>
      </c>
      <c r="O683">
        <v>26</v>
      </c>
      <c r="P683">
        <v>1300</v>
      </c>
      <c r="Q683">
        <v>0</v>
      </c>
      <c r="R683">
        <v>1680</v>
      </c>
      <c r="S683">
        <v>0</v>
      </c>
      <c r="T683">
        <v>380</v>
      </c>
      <c r="U683">
        <v>260000</v>
      </c>
      <c r="V683">
        <v>13039</v>
      </c>
      <c r="W683" t="str">
        <v>0</v>
      </c>
      <c r="X683">
        <v>23790</v>
      </c>
      <c r="Y683" s="31">
        <v>45988</v>
      </c>
      <c r="Z683" t="str">
        <v/>
      </c>
      <c r="AA683" t="str">
        <v>技術・人文知識・国際業務</v>
      </c>
      <c r="AB683" t="str">
        <v>498-0026</v>
      </c>
      <c r="AC683" t="str">
        <v>愛知県弥富市鯏浦町西前新田119-1</v>
      </c>
      <c r="AD683" t="str">
        <v>ﾗｲﾌｺｱ119　307号</v>
      </c>
      <c r="AE683" s="31">
        <v>45257</v>
      </c>
      <c r="AF683" s="31">
        <v>45261</v>
      </c>
      <c r="AG683" s="31">
        <v>45693</v>
      </c>
      <c r="AH683" s="31">
        <v>0</v>
      </c>
      <c r="AI683" t="str">
        <v>23.12.1</v>
      </c>
      <c r="AJ683" t="str">
        <v>12/15林</v>
      </c>
      <c r="AK683">
        <v>0</v>
      </c>
      <c r="AL683">
        <v>45261</v>
      </c>
      <c r="AM683">
        <v>0</v>
      </c>
      <c r="AN683">
        <v>0</v>
      </c>
      <c r="AO683">
        <v>0</v>
      </c>
      <c r="AP683">
        <v>0</v>
      </c>
      <c r="AQ683" t="str">
        <v>JLPT-N4</v>
      </c>
      <c r="AR683">
        <v>0</v>
      </c>
    </row>
    <row r="684" spans="1:44">
      <c r="A684" t="str">
        <f>H684&amp;COUNTIF($H$2:H684,H684)</f>
        <v>Fライン14</v>
      </c>
      <c r="B684" t="str">
        <f>F684&amp;COUNTIF($F$2:F684,F684)</f>
        <v>高雄工業 本社49</v>
      </c>
      <c r="C684" t="str">
        <v>退社</v>
      </c>
      <c r="D684">
        <v>231205</v>
      </c>
      <c r="E684">
        <v>222061</v>
      </c>
      <c r="F684" t="str">
        <v>高雄工業 本社</v>
      </c>
      <c r="G684" t="str">
        <v>高雄工業株式会社 愛知事業所本社工場製作課</v>
      </c>
      <c r="H684" t="str">
        <v>Fライン</v>
      </c>
      <c r="I684" t="str">
        <v>CVJ部品短軸品の施削加工、NCプログラム修正</v>
      </c>
      <c r="J684" t="str">
        <v>TRAN VAN TRUONG DUY</v>
      </c>
      <c r="K684" t="str">
        <v>チャン　ヴァン　チュオン　ズイ</v>
      </c>
      <c r="L684" t="str">
        <v>男</v>
      </c>
      <c r="M684" t="str">
        <v>ﾍﾞﾄﾅﾑ</v>
      </c>
      <c r="N684" s="31">
        <v>35805</v>
      </c>
      <c r="O684">
        <v>27</v>
      </c>
      <c r="P684">
        <v>1300</v>
      </c>
      <c r="Q684">
        <v>0</v>
      </c>
      <c r="R684">
        <v>1660</v>
      </c>
      <c r="S684">
        <v>0</v>
      </c>
      <c r="T684">
        <v>360</v>
      </c>
      <c r="U684">
        <v>280000</v>
      </c>
      <c r="V684">
        <v>14042</v>
      </c>
      <c r="W684" t="str">
        <v>0</v>
      </c>
      <c r="X684">
        <v>25620</v>
      </c>
      <c r="Y684" s="31">
        <v>45988</v>
      </c>
      <c r="Z684" t="str">
        <v/>
      </c>
      <c r="AA684" t="str">
        <v>技術・人文知識・国際業務</v>
      </c>
      <c r="AB684" t="str">
        <v>498-0031</v>
      </c>
      <c r="AC684" t="str">
        <v>愛知県弥富市平島町北広畑10-1</v>
      </c>
      <c r="AD684" t="str">
        <v>ﾚﾌﾞﾗﾝｶﾐｰﾘｱB205</v>
      </c>
      <c r="AE684" s="31">
        <v>45257</v>
      </c>
      <c r="AF684" s="31">
        <v>45261</v>
      </c>
      <c r="AG684" s="31">
        <v>45721</v>
      </c>
      <c r="AH684" s="31">
        <v>0</v>
      </c>
      <c r="AI684" t="str">
        <v>23.12.1</v>
      </c>
      <c r="AJ684" t="str">
        <v>12/15林</v>
      </c>
      <c r="AK684" t="str">
        <v>2024/1/22海南2から本社に異動</v>
      </c>
      <c r="AL684">
        <v>45261</v>
      </c>
      <c r="AM684">
        <v>0</v>
      </c>
      <c r="AN684">
        <v>0</v>
      </c>
      <c r="AO684">
        <v>0</v>
      </c>
      <c r="AP684">
        <v>0</v>
      </c>
      <c r="AQ684">
        <v>0</v>
      </c>
      <c r="AR684">
        <v>0</v>
      </c>
    </row>
    <row r="685" spans="1:44">
      <c r="A685" t="str">
        <f>H685&amp;COUNTIF($H$2:H685,H685)</f>
        <v>等速ジョイント28</v>
      </c>
      <c r="B685" t="str">
        <f>F685&amp;COUNTIF($F$2:F685,F685)</f>
        <v>瑞陵精機41</v>
      </c>
      <c r="C685" t="str">
        <v>在職中</v>
      </c>
      <c r="D685">
        <v>231207</v>
      </c>
      <c r="E685">
        <v>0</v>
      </c>
      <c r="F685" t="str">
        <v>瑞陵精機</v>
      </c>
      <c r="G685" t="str">
        <v>製造課</v>
      </c>
      <c r="H685" t="str">
        <v>等速ジョイント</v>
      </c>
      <c r="I685" t="str">
        <v>ＮＣ旋盤、マシニングセンター等の工作機械を使いオペレーターとして製造ラインで製品を加工</v>
      </c>
      <c r="J685" t="str">
        <v>HO VAN PHUONG</v>
      </c>
      <c r="K685" t="str">
        <v>ホ　ヴァン　フォン</v>
      </c>
      <c r="L685" t="str">
        <v>男</v>
      </c>
      <c r="M685" t="str">
        <v>ﾍﾞﾄﾅﾑ</v>
      </c>
      <c r="N685" s="31">
        <v>36161</v>
      </c>
      <c r="O685">
        <v>26</v>
      </c>
      <c r="P685">
        <v>1300</v>
      </c>
      <c r="Q685">
        <v>0</v>
      </c>
      <c r="R685">
        <v>1700</v>
      </c>
      <c r="S685">
        <v>0</v>
      </c>
      <c r="T685">
        <v>400</v>
      </c>
      <c r="U685">
        <v>240000</v>
      </c>
      <c r="V685">
        <v>12036</v>
      </c>
      <c r="W685" t="str">
        <v>0</v>
      </c>
      <c r="X685">
        <v>21960</v>
      </c>
      <c r="Y685" s="31">
        <v>47084</v>
      </c>
      <c r="Z685" t="str">
        <v/>
      </c>
      <c r="AA685" t="str">
        <v>技術・人文知識・国際業務</v>
      </c>
      <c r="AB685" t="str">
        <v>509-7201</v>
      </c>
      <c r="AC685" t="str">
        <v>岐阜県恵那市大井町2087-170</v>
      </c>
      <c r="AD685" t="str">
        <v>ﾋﾞﾚｯｼﾞﾊｳｽ恵那3-409</v>
      </c>
      <c r="AE685" s="31" t="str">
        <v>個人</v>
      </c>
      <c r="AF685" s="31">
        <v>45261</v>
      </c>
      <c r="AG685" s="31">
        <v>0</v>
      </c>
      <c r="AH685" s="31">
        <v>0</v>
      </c>
      <c r="AI685" t="str">
        <v>23.12.1</v>
      </c>
      <c r="AJ685" t="str">
        <v>12/15林</v>
      </c>
      <c r="AK685">
        <v>0</v>
      </c>
      <c r="AL685">
        <v>45261</v>
      </c>
      <c r="AM685">
        <v>0</v>
      </c>
      <c r="AN685">
        <v>0</v>
      </c>
      <c r="AO685">
        <v>0</v>
      </c>
      <c r="AP685">
        <v>0</v>
      </c>
      <c r="AQ685">
        <v>0</v>
      </c>
      <c r="AR685">
        <v>0</v>
      </c>
    </row>
    <row r="686" spans="1:44">
      <c r="A686" t="str">
        <f>H686&amp;COUNTIF($H$2:H686,H686)</f>
        <v>等速ジョイント29</v>
      </c>
      <c r="B686" t="str">
        <f>F686&amp;COUNTIF($F$2:F686,F686)</f>
        <v>瑞陵精機42</v>
      </c>
      <c r="C686" t="str">
        <v>在職中</v>
      </c>
      <c r="D686">
        <v>231208</v>
      </c>
      <c r="E686">
        <v>0</v>
      </c>
      <c r="F686" t="str">
        <v>瑞陵精機</v>
      </c>
      <c r="G686" t="str">
        <v>製造課</v>
      </c>
      <c r="H686" t="str">
        <v>等速ジョイント</v>
      </c>
      <c r="I686" t="str">
        <v>ＮＣ旋盤、マシニングセンター等の工作機械を使いオペレーターとして製造ラインで製品を加工</v>
      </c>
      <c r="J686" t="str">
        <v>DANG MAU THIEN</v>
      </c>
      <c r="K686" t="str">
        <v>ダン　マウ　ティエン</v>
      </c>
      <c r="L686" t="str">
        <v>男</v>
      </c>
      <c r="M686" t="str">
        <v>ﾍﾞﾄﾅﾑ</v>
      </c>
      <c r="N686" s="31">
        <v>36021</v>
      </c>
      <c r="O686">
        <v>27</v>
      </c>
      <c r="P686">
        <v>1300</v>
      </c>
      <c r="Q686">
        <v>0</v>
      </c>
      <c r="R686">
        <v>1700</v>
      </c>
      <c r="S686">
        <v>0</v>
      </c>
      <c r="T686">
        <v>400</v>
      </c>
      <c r="U686">
        <v>240000</v>
      </c>
      <c r="V686">
        <v>12036</v>
      </c>
      <c r="W686" t="str">
        <v>0</v>
      </c>
      <c r="X686">
        <v>21960</v>
      </c>
      <c r="Y686" s="31">
        <v>47087</v>
      </c>
      <c r="Z686" t="str">
        <v/>
      </c>
      <c r="AA686" t="str">
        <v>技術・人文知識・国際業務</v>
      </c>
      <c r="AB686" t="str">
        <v>509-7201</v>
      </c>
      <c r="AC686" t="str">
        <v>岐阜県恵那市大井町1120-303</v>
      </c>
      <c r="AD686" t="str">
        <v>各務ﾊｲﾂ4E</v>
      </c>
      <c r="AE686" s="31">
        <v>45260</v>
      </c>
      <c r="AF686" s="31">
        <v>45261</v>
      </c>
      <c r="AG686" s="31">
        <v>0</v>
      </c>
      <c r="AH686" s="31">
        <v>0</v>
      </c>
      <c r="AI686" t="str">
        <v>23.12.1</v>
      </c>
      <c r="AJ686" t="str">
        <v>12/15林</v>
      </c>
      <c r="AK686">
        <v>0</v>
      </c>
      <c r="AL686">
        <v>45261</v>
      </c>
      <c r="AM686">
        <v>0</v>
      </c>
      <c r="AN686">
        <v>0</v>
      </c>
      <c r="AO686">
        <v>0</v>
      </c>
      <c r="AP686">
        <v>0</v>
      </c>
      <c r="AQ686">
        <v>0</v>
      </c>
      <c r="AR686">
        <v>0</v>
      </c>
    </row>
    <row r="687" spans="1:44">
      <c r="A687" t="str">
        <f>H687&amp;COUNTIF($H$2:H687,H687)</f>
        <v>P研磨1</v>
      </c>
      <c r="B687" t="str">
        <f>F687&amp;COUNTIF($F$2:F687,F687)</f>
        <v>高雄工業 海南第二11</v>
      </c>
      <c r="C687" t="str">
        <v>在職中</v>
      </c>
      <c r="D687">
        <v>220609</v>
      </c>
      <c r="E687">
        <v>222051</v>
      </c>
      <c r="F687" t="str">
        <v>高雄工業 海南第二</v>
      </c>
      <c r="G687" t="str">
        <v>高雄工業株式会社 愛知事業所海南第二工場製作課</v>
      </c>
      <c r="H687" t="str">
        <v>P研磨</v>
      </c>
      <c r="I687" t="str">
        <v>産業機械部品の旋削加工、NCプログラム修正</v>
      </c>
      <c r="J687" t="str">
        <v>TRAN HUU HUNG</v>
      </c>
      <c r="K687" t="str">
        <v>チャン　フウ　フン</v>
      </c>
      <c r="L687" t="str">
        <v>男</v>
      </c>
      <c r="M687" t="str">
        <v>ﾍﾞﾄﾅﾑ</v>
      </c>
      <c r="N687" s="31">
        <v>36016</v>
      </c>
      <c r="O687">
        <v>27</v>
      </c>
      <c r="P687">
        <v>1310</v>
      </c>
      <c r="Q687">
        <v>0</v>
      </c>
      <c r="R687">
        <v>1720</v>
      </c>
      <c r="S687">
        <v>0</v>
      </c>
      <c r="T687">
        <v>410</v>
      </c>
      <c r="U687">
        <v>260000</v>
      </c>
      <c r="V687">
        <v>13039</v>
      </c>
      <c r="W687" t="str">
        <v>0</v>
      </c>
      <c r="X687">
        <v>23790</v>
      </c>
      <c r="Y687" s="31">
        <v>46601</v>
      </c>
      <c r="Z687" t="str">
        <v/>
      </c>
      <c r="AA687" t="str">
        <v>技術・人文知識・国際業務</v>
      </c>
      <c r="AB687" t="str">
        <v>498-0031</v>
      </c>
      <c r="AC687" t="str">
        <v>愛知県弥富市平島町北広畑10-1</v>
      </c>
      <c r="AD687" t="str">
        <v>ﾚﾌﾞﾗﾝｶﾐｰﾘｱB205</v>
      </c>
      <c r="AE687" s="31">
        <v>44716</v>
      </c>
      <c r="AF687" s="31">
        <v>44725</v>
      </c>
      <c r="AG687" s="31">
        <v>0</v>
      </c>
      <c r="AH687" s="31">
        <v>0</v>
      </c>
      <c r="AI687" t="str">
        <v>22.08.01</v>
      </c>
      <c r="AJ687" t="str">
        <v>6/22林</v>
      </c>
      <c r="AK687">
        <v>0</v>
      </c>
      <c r="AL687">
        <v>44725</v>
      </c>
      <c r="AM687">
        <v>0</v>
      </c>
      <c r="AN687">
        <v>0</v>
      </c>
      <c r="AO687">
        <v>0</v>
      </c>
      <c r="AP687">
        <v>0</v>
      </c>
      <c r="AQ687" t="str">
        <v>JLPT-N4</v>
      </c>
      <c r="AR687">
        <v>0</v>
      </c>
    </row>
    <row r="688" spans="1:44">
      <c r="A688" t="str">
        <f>H688&amp;COUNTIF($H$2:H688,H688)</f>
        <v>1次旋係53</v>
      </c>
      <c r="B688" t="str">
        <f>F688&amp;COUNTIF($F$2:F688,F688)</f>
        <v>高雄工業 岡山127</v>
      </c>
      <c r="C688" t="str">
        <v>在職中</v>
      </c>
      <c r="D688">
        <v>231214</v>
      </c>
      <c r="E688">
        <v>232128</v>
      </c>
      <c r="F688" t="str">
        <v>高雄工業 岡山</v>
      </c>
      <c r="G688" t="str">
        <v>高雄工業株式会社 岡山事業所HUB工場製作1課</v>
      </c>
      <c r="H688" t="str">
        <v>1次旋係</v>
      </c>
      <c r="I688" t="str">
        <v>ハブ加工 自動機の操作、ＮＣプログラム修正</v>
      </c>
      <c r="J688" t="str">
        <v>PHAM MINH LUC</v>
      </c>
      <c r="K688" t="str">
        <v>ファム　ミン　ルック</v>
      </c>
      <c r="L688" t="str">
        <v>男</v>
      </c>
      <c r="M688" t="str">
        <v>ﾍﾞﾄﾅﾑ</v>
      </c>
      <c r="N688" s="31">
        <v>37519</v>
      </c>
      <c r="O688">
        <v>23</v>
      </c>
      <c r="P688">
        <v>1300</v>
      </c>
      <c r="Q688">
        <v>0</v>
      </c>
      <c r="R688">
        <v>1710</v>
      </c>
      <c r="S688">
        <v>0</v>
      </c>
      <c r="T688">
        <v>410</v>
      </c>
      <c r="U688">
        <v>260000</v>
      </c>
      <c r="V688">
        <v>13039</v>
      </c>
      <c r="W688" t="str">
        <v>0</v>
      </c>
      <c r="X688">
        <v>23790</v>
      </c>
      <c r="Y688" s="31">
        <v>47084</v>
      </c>
      <c r="Z688" t="str">
        <v/>
      </c>
      <c r="AA688" t="str">
        <v>技術・人文知識・国際業務</v>
      </c>
      <c r="AB688" t="str">
        <v>709-2107</v>
      </c>
      <c r="AC688" t="str">
        <v>岡山県岡山市北区御津矢原370</v>
      </c>
      <c r="AD688" t="str">
        <v>成広ｺｰﾎﾟⅠ105号室</v>
      </c>
      <c r="AE688" s="31">
        <v>45257</v>
      </c>
      <c r="AF688" s="31">
        <v>45264</v>
      </c>
      <c r="AG688" s="31">
        <v>0</v>
      </c>
      <c r="AH688" s="31">
        <v>0</v>
      </c>
      <c r="AI688" t="str">
        <v>23.12.4</v>
      </c>
      <c r="AJ688" t="str">
        <v>12/18林</v>
      </c>
      <c r="AK688">
        <v>0</v>
      </c>
      <c r="AL688">
        <v>45264</v>
      </c>
      <c r="AM688">
        <v>0</v>
      </c>
      <c r="AN688">
        <v>0</v>
      </c>
      <c r="AO688">
        <v>0</v>
      </c>
      <c r="AP688">
        <v>0</v>
      </c>
      <c r="AQ688">
        <v>0</v>
      </c>
      <c r="AR688">
        <v>0</v>
      </c>
    </row>
    <row r="689" spans="1:44">
      <c r="A689" t="str">
        <f>H689&amp;COUNTIF($H$2:H689,H689)</f>
        <v>自動旋削8</v>
      </c>
      <c r="B689" t="str">
        <f>F689&amp;COUNTIF($F$2:F689,F689)</f>
        <v>高雄工業 静岡64</v>
      </c>
      <c r="C689" t="str">
        <v>退社</v>
      </c>
      <c r="D689">
        <v>231210</v>
      </c>
      <c r="E689">
        <v>242091</v>
      </c>
      <c r="F689" t="str">
        <v>高雄工業 静岡</v>
      </c>
      <c r="G689" t="str">
        <v>高雄工業株式会社 静岡事業所第一工場製作課</v>
      </c>
      <c r="H689" t="str">
        <v>自動旋削</v>
      </c>
      <c r="I689" t="str">
        <v>CVJ部品短軸品の施削加工、NCプログラム修正</v>
      </c>
      <c r="J689" t="str">
        <v>NGUYEN VIET TIEP</v>
      </c>
      <c r="K689" t="str">
        <v>グエン　ベト　テイエップ</v>
      </c>
      <c r="L689" t="str">
        <v>男</v>
      </c>
      <c r="M689" t="str">
        <v>ﾍﾞﾄﾅﾑ</v>
      </c>
      <c r="N689" s="31">
        <v>37378</v>
      </c>
      <c r="O689">
        <v>23</v>
      </c>
      <c r="P689">
        <v>1300</v>
      </c>
      <c r="Q689">
        <v>0</v>
      </c>
      <c r="R689">
        <v>1660</v>
      </c>
      <c r="S689">
        <v>0</v>
      </c>
      <c r="T689">
        <v>360</v>
      </c>
      <c r="U689">
        <v>280000</v>
      </c>
      <c r="V689">
        <v>14042</v>
      </c>
      <c r="W689" t="str">
        <v>0</v>
      </c>
      <c r="X689">
        <v>25620</v>
      </c>
      <c r="Y689" s="31">
        <v>45988</v>
      </c>
      <c r="Z689" t="str">
        <v/>
      </c>
      <c r="AA689" t="str">
        <v>技術・人文知識・国際業務</v>
      </c>
      <c r="AB689" t="str">
        <v>437-0065</v>
      </c>
      <c r="AC689" t="str">
        <v>静岡県袋井市堀越3-7-1</v>
      </c>
      <c r="AD689" t="str">
        <v>ｸﾚｰﾙ103</v>
      </c>
      <c r="AE689" s="31">
        <v>45257</v>
      </c>
      <c r="AF689" s="31">
        <v>45264</v>
      </c>
      <c r="AG689" s="31">
        <v>45703</v>
      </c>
      <c r="AH689" s="31">
        <v>0</v>
      </c>
      <c r="AI689" t="str">
        <v>23.12.4</v>
      </c>
      <c r="AJ689" t="str">
        <v>12/18林</v>
      </c>
      <c r="AK689">
        <v>0</v>
      </c>
      <c r="AL689">
        <v>45264</v>
      </c>
      <c r="AM689">
        <v>0</v>
      </c>
      <c r="AN689">
        <v>0</v>
      </c>
      <c r="AO689">
        <v>0</v>
      </c>
      <c r="AP689">
        <v>0</v>
      </c>
      <c r="AQ689">
        <v>0</v>
      </c>
      <c r="AR689">
        <v>0</v>
      </c>
    </row>
    <row r="690" spans="1:44">
      <c r="A690" t="str">
        <f>H690&amp;COUNTIF($H$2:H690,H690)</f>
        <v>転造11</v>
      </c>
      <c r="B690" t="str">
        <f>F690&amp;COUNTIF($F$2:F690,F690)</f>
        <v>高雄工業 静岡65</v>
      </c>
      <c r="C690" t="str">
        <v>退社</v>
      </c>
      <c r="D690">
        <v>231211</v>
      </c>
      <c r="E690">
        <v>242089</v>
      </c>
      <c r="F690" t="str">
        <v>高雄工業 静岡</v>
      </c>
      <c r="G690" t="str">
        <v>高雄工業株式会社 静岡事業所第一工場製作課</v>
      </c>
      <c r="H690" t="str">
        <v>転造</v>
      </c>
      <c r="I690" t="str">
        <v>ＣＶＪ短軸等速ジョイント旋削加工・ＮＣプログラム修正</v>
      </c>
      <c r="J690" t="str">
        <v>HOANG TRUNG VIET</v>
      </c>
      <c r="K690" t="str">
        <v>ホアン　チュン　ベト</v>
      </c>
      <c r="L690" t="str">
        <v>男</v>
      </c>
      <c r="M690" t="str">
        <v>ﾍﾞﾄﾅﾑ</v>
      </c>
      <c r="N690" s="31">
        <v>36779</v>
      </c>
      <c r="O690">
        <v>25</v>
      </c>
      <c r="P690">
        <v>1300</v>
      </c>
      <c r="Q690">
        <v>0</v>
      </c>
      <c r="R690">
        <v>1660</v>
      </c>
      <c r="S690">
        <v>0</v>
      </c>
      <c r="T690">
        <v>360</v>
      </c>
      <c r="U690">
        <v>320000</v>
      </c>
      <c r="V690">
        <v>16048</v>
      </c>
      <c r="W690" t="str">
        <v>0</v>
      </c>
      <c r="X690">
        <v>29280</v>
      </c>
      <c r="Y690" s="31">
        <v>45988</v>
      </c>
      <c r="Z690" t="str">
        <v/>
      </c>
      <c r="AA690" t="str">
        <v>技術・人文知識・国際業務</v>
      </c>
      <c r="AB690" t="str">
        <v>437-0123</v>
      </c>
      <c r="AC690" t="str">
        <v>静岡県袋井市下山梨1603-2</v>
      </c>
      <c r="AD690" t="str">
        <v>ﾎｰﾌﾟｼﾃｨHIRO202</v>
      </c>
      <c r="AE690" s="31">
        <v>45257</v>
      </c>
      <c r="AF690" s="31">
        <v>45264</v>
      </c>
      <c r="AG690" s="31">
        <v>45730</v>
      </c>
      <c r="AH690" s="31">
        <v>0</v>
      </c>
      <c r="AI690" t="str">
        <v>23.12.4</v>
      </c>
      <c r="AJ690" t="str">
        <v>12/18林</v>
      </c>
      <c r="AK690">
        <v>0</v>
      </c>
      <c r="AL690">
        <v>45264</v>
      </c>
      <c r="AM690">
        <v>0</v>
      </c>
      <c r="AN690">
        <v>0</v>
      </c>
      <c r="AO690">
        <v>0</v>
      </c>
      <c r="AP690">
        <v>0</v>
      </c>
      <c r="AQ690">
        <v>0</v>
      </c>
      <c r="AR690">
        <v>0</v>
      </c>
    </row>
    <row r="691" spans="1:44">
      <c r="A691" t="str">
        <f>H691&amp;COUNTIF($H$2:H691,H691)</f>
        <v>手動旋削14</v>
      </c>
      <c r="B691" t="str">
        <f>F691&amp;COUNTIF($F$2:F691,F691)</f>
        <v>高雄工業 静岡66</v>
      </c>
      <c r="C691" t="str">
        <v>退社</v>
      </c>
      <c r="D691">
        <v>231213</v>
      </c>
      <c r="E691">
        <v>242088</v>
      </c>
      <c r="F691" t="str">
        <v>高雄工業 静岡</v>
      </c>
      <c r="G691" t="str">
        <v>高雄工業株式会社 静岡事業所第一工場製作課</v>
      </c>
      <c r="H691" t="str">
        <v>手動旋削</v>
      </c>
      <c r="I691" t="str">
        <v>CVJ部品短軸品の施削加工、NCプログラム修正</v>
      </c>
      <c r="J691" t="str">
        <v>LE VAN TAI</v>
      </c>
      <c r="K691" t="str">
        <v>レ　バン　タイ</v>
      </c>
      <c r="L691" t="str">
        <v>男</v>
      </c>
      <c r="M691" t="str">
        <v>ﾍﾞﾄﾅﾑ</v>
      </c>
      <c r="N691" s="31">
        <v>36438</v>
      </c>
      <c r="O691">
        <v>26</v>
      </c>
      <c r="P691">
        <v>1300</v>
      </c>
      <c r="Q691">
        <v>0</v>
      </c>
      <c r="R691">
        <v>1660</v>
      </c>
      <c r="S691">
        <v>0</v>
      </c>
      <c r="T691">
        <v>360</v>
      </c>
      <c r="U691">
        <v>280000</v>
      </c>
      <c r="V691">
        <v>14042</v>
      </c>
      <c r="W691" t="str">
        <v>0</v>
      </c>
      <c r="X691">
        <v>25620</v>
      </c>
      <c r="Y691" s="31">
        <v>45988</v>
      </c>
      <c r="Z691" t="str">
        <v/>
      </c>
      <c r="AA691" t="str">
        <v>技術・人文知識・国際業務</v>
      </c>
      <c r="AB691" t="str">
        <v>437-0065</v>
      </c>
      <c r="AC691" t="str">
        <v>静岡県袋井市堀越3-7-1</v>
      </c>
      <c r="AD691" t="str">
        <v>ｸﾚｰﾙ103</v>
      </c>
      <c r="AE691" s="31">
        <v>45257</v>
      </c>
      <c r="AF691" s="31">
        <v>45264</v>
      </c>
      <c r="AG691" s="31">
        <v>45730</v>
      </c>
      <c r="AH691" s="31">
        <v>0</v>
      </c>
      <c r="AI691" t="str">
        <v>23.12.4</v>
      </c>
      <c r="AJ691" t="str">
        <v>12/18林</v>
      </c>
      <c r="AK691">
        <v>0</v>
      </c>
      <c r="AL691">
        <v>45264</v>
      </c>
      <c r="AM691">
        <v>0</v>
      </c>
      <c r="AN691">
        <v>0</v>
      </c>
      <c r="AO691">
        <v>0</v>
      </c>
      <c r="AP691">
        <v>0</v>
      </c>
      <c r="AQ691">
        <v>0</v>
      </c>
      <c r="AR691">
        <v>0</v>
      </c>
    </row>
    <row r="692" spans="1:44">
      <c r="A692" t="str">
        <f>H692&amp;COUNTIF($H$2:H692,H692)</f>
        <v>P研磨2</v>
      </c>
      <c r="B692" t="str">
        <f>F692&amp;COUNTIF($F$2:F692,F692)</f>
        <v>高雄工業 海南第二12</v>
      </c>
      <c r="C692" t="str">
        <v>在職中</v>
      </c>
      <c r="D692">
        <v>241007</v>
      </c>
      <c r="E692">
        <v>222075</v>
      </c>
      <c r="F692" t="str">
        <v>高雄工業 海南第二</v>
      </c>
      <c r="G692" t="str">
        <v>高雄工業株式会社 愛知事業所海南第二工場製作課</v>
      </c>
      <c r="H692" t="str">
        <v>P研磨</v>
      </c>
      <c r="I692" t="str">
        <v>産業機械部品の旋削加工、NCプログラム修正</v>
      </c>
      <c r="J692" t="str">
        <v>NGUYEN VAN TUNG</v>
      </c>
      <c r="K692" t="str">
        <v>グエン　ヴァン　トゥン</v>
      </c>
      <c r="L692" t="str">
        <v>男</v>
      </c>
      <c r="M692" t="str">
        <v>ﾍﾞﾄﾅﾑ</v>
      </c>
      <c r="N692" s="31">
        <v>37147</v>
      </c>
      <c r="O692">
        <v>24</v>
      </c>
      <c r="P692">
        <v>1250</v>
      </c>
      <c r="Q692">
        <v>0</v>
      </c>
      <c r="R692">
        <v>1650</v>
      </c>
      <c r="S692">
        <v>0</v>
      </c>
      <c r="T692">
        <v>400</v>
      </c>
      <c r="U692">
        <v>240000</v>
      </c>
      <c r="V692">
        <v>12036</v>
      </c>
      <c r="W692" t="str">
        <v>0</v>
      </c>
      <c r="X692">
        <v>21960</v>
      </c>
      <c r="Y692" s="31">
        <v>46317</v>
      </c>
      <c r="Z692" t="str">
        <v/>
      </c>
      <c r="AA692" t="str">
        <v>技術・人文知識・国際業務</v>
      </c>
      <c r="AB692" t="str">
        <v>498-0025</v>
      </c>
      <c r="AC692" t="str">
        <v>愛知県弥富市平島町喜右味名78-1</v>
      </c>
      <c r="AD692" t="str">
        <v>ﾌﾚｸﾞﾗﾝｽ桂A棟201号</v>
      </c>
      <c r="AE692" s="31">
        <v>0</v>
      </c>
      <c r="AF692" s="31">
        <v>45583</v>
      </c>
      <c r="AG692" s="31">
        <v>0</v>
      </c>
      <c r="AH692" s="31">
        <v>0</v>
      </c>
      <c r="AI692">
        <v>45583</v>
      </c>
      <c r="AJ692" t="str">
        <v>10/18林</v>
      </c>
      <c r="AK692">
        <v>0</v>
      </c>
      <c r="AL692">
        <v>45583</v>
      </c>
      <c r="AM692">
        <v>0</v>
      </c>
      <c r="AN692">
        <v>0</v>
      </c>
      <c r="AO692">
        <v>0</v>
      </c>
      <c r="AP692">
        <v>0</v>
      </c>
      <c r="AQ692">
        <v>0</v>
      </c>
      <c r="AR692">
        <v>0</v>
      </c>
    </row>
    <row r="693" spans="1:44">
      <c r="A693" t="str">
        <f>H693&amp;COUNTIF($H$2:H693,H693)</f>
        <v>P研磨3</v>
      </c>
      <c r="B693" t="str">
        <f>F693&amp;COUNTIF($F$2:F693,F693)</f>
        <v>高雄工業 海南第二13</v>
      </c>
      <c r="C693" t="str">
        <v>在職中</v>
      </c>
      <c r="D693">
        <v>241215</v>
      </c>
      <c r="E693">
        <v>222078</v>
      </c>
      <c r="F693" t="str">
        <v>高雄工業 海南第二</v>
      </c>
      <c r="G693" t="str">
        <v>高雄工業株式会社 愛知事業所海南第二工場製作課</v>
      </c>
      <c r="H693" t="str">
        <v>P研磨</v>
      </c>
      <c r="I693" t="str">
        <v>産業機械部品の旋削加工、NCプログラム修正</v>
      </c>
      <c r="J693" t="str">
        <v>NGUYEN PHUONG CUONG</v>
      </c>
      <c r="K693" t="str">
        <v>グエン　フォン　クオン</v>
      </c>
      <c r="L693" t="str">
        <v>男</v>
      </c>
      <c r="M693" t="str">
        <v>ﾍﾞﾄﾅﾑ</v>
      </c>
      <c r="N693" s="31">
        <v>36218</v>
      </c>
      <c r="O693">
        <v>26</v>
      </c>
      <c r="P693">
        <v>1250</v>
      </c>
      <c r="Q693">
        <v>0</v>
      </c>
      <c r="R693">
        <v>1650</v>
      </c>
      <c r="S693">
        <v>0</v>
      </c>
      <c r="T693">
        <v>400</v>
      </c>
      <c r="U693">
        <v>260000</v>
      </c>
      <c r="V693">
        <v>13039</v>
      </c>
      <c r="W693" t="str">
        <v>0</v>
      </c>
      <c r="X693">
        <v>23790</v>
      </c>
      <c r="Y693" s="31">
        <v>46325</v>
      </c>
      <c r="Z693" t="str">
        <v/>
      </c>
      <c r="AA693" t="str">
        <v>技術・人文知識・国際業務</v>
      </c>
      <c r="AB693" t="str">
        <v>498-0017</v>
      </c>
      <c r="AC693" t="str">
        <v>愛知県弥富市鯏浦町西前新田119-1</v>
      </c>
      <c r="AD693" t="str">
        <v>ﾗｲﾌｺｱ119　307号</v>
      </c>
      <c r="AE693" s="31">
        <v>0</v>
      </c>
      <c r="AF693" s="31">
        <v>45643</v>
      </c>
      <c r="AG693" s="31">
        <v>0</v>
      </c>
      <c r="AH693" s="31">
        <v>0</v>
      </c>
      <c r="AI693">
        <v>45643</v>
      </c>
      <c r="AJ693" t="str">
        <v>12/19原</v>
      </c>
      <c r="AK693" t="str">
        <v>2024/11/4～2024/12/10まで請負　2024/12/17～高雄工業海南第二に派遣開始</v>
      </c>
      <c r="AL693">
        <v>45643</v>
      </c>
      <c r="AM693">
        <v>0</v>
      </c>
      <c r="AN693">
        <v>0</v>
      </c>
      <c r="AO693">
        <v>0</v>
      </c>
      <c r="AP693">
        <v>0</v>
      </c>
      <c r="AQ693">
        <v>0</v>
      </c>
      <c r="AR693">
        <v>0</v>
      </c>
    </row>
    <row r="694" spans="1:44">
      <c r="A694" t="str">
        <f>H694&amp;COUNTIF($H$2:H694,H694)</f>
        <v>P研磨4</v>
      </c>
      <c r="B694" t="str">
        <f>F694&amp;COUNTIF($F$2:F694,F694)</f>
        <v>高雄工業 海南第二14</v>
      </c>
      <c r="C694" t="str">
        <v>在職中</v>
      </c>
      <c r="D694">
        <v>250205</v>
      </c>
      <c r="E694">
        <v>222083</v>
      </c>
      <c r="F694" t="str">
        <v>高雄工業 海南第二</v>
      </c>
      <c r="G694" t="str">
        <v>高雄工業株式会社 愛知事業所海南第二工場製作課</v>
      </c>
      <c r="H694" t="str">
        <v>P研磨</v>
      </c>
      <c r="I694" t="str">
        <v>産業機械部品の旋削加工、NCプログラム修正</v>
      </c>
      <c r="J694" t="str">
        <v>NGUYEN TIEN KHOA</v>
      </c>
      <c r="K694" t="str">
        <v>グエン　ティエン　コア</v>
      </c>
      <c r="L694" t="str">
        <v>男</v>
      </c>
      <c r="M694" t="str">
        <v>ﾍﾞﾄﾅﾑ</v>
      </c>
      <c r="N694" s="31">
        <v>36433</v>
      </c>
      <c r="O694">
        <v>26</v>
      </c>
      <c r="P694">
        <v>1250</v>
      </c>
      <c r="Q694">
        <v>0</v>
      </c>
      <c r="R694">
        <v>1650</v>
      </c>
      <c r="S694">
        <v>0</v>
      </c>
      <c r="T694">
        <v>400</v>
      </c>
      <c r="U694">
        <v>220000</v>
      </c>
      <c r="V694">
        <v>11033</v>
      </c>
      <c r="W694" t="str">
        <v>0</v>
      </c>
      <c r="X694">
        <v>20130</v>
      </c>
      <c r="Y694" s="31">
        <v>46786</v>
      </c>
      <c r="Z694" t="str">
        <v/>
      </c>
      <c r="AA694" t="str">
        <v>技術・人文知識・国際業務</v>
      </c>
      <c r="AB694" t="str">
        <v>498-0031</v>
      </c>
      <c r="AC694" t="str">
        <v>愛知県弥富市平島町五反割101-1</v>
      </c>
      <c r="AD694" t="str">
        <v>ｱﾐﾃｨKⅠ-B</v>
      </c>
      <c r="AE694" s="31">
        <v>0</v>
      </c>
      <c r="AF694" s="31">
        <v>45698</v>
      </c>
      <c r="AG694" s="31">
        <v>0</v>
      </c>
      <c r="AH694" s="31">
        <v>0</v>
      </c>
      <c r="AI694">
        <v>45698</v>
      </c>
      <c r="AJ694" t="str">
        <v>2/21林</v>
      </c>
      <c r="AK694">
        <v>0</v>
      </c>
      <c r="AL694">
        <v>45698</v>
      </c>
      <c r="AM694">
        <v>0</v>
      </c>
      <c r="AN694">
        <v>0</v>
      </c>
      <c r="AO694">
        <v>0</v>
      </c>
      <c r="AP694">
        <v>0</v>
      </c>
      <c r="AQ694">
        <v>0</v>
      </c>
      <c r="AR694">
        <v>0</v>
      </c>
    </row>
    <row r="695" spans="1:44">
      <c r="A695" t="str">
        <f>H695&amp;COUNTIF($H$2:H695,H695)</f>
        <v>P研磨5</v>
      </c>
      <c r="B695" t="str">
        <f>F695&amp;COUNTIF($F$2:F695,F695)</f>
        <v>高雄工業 海南第一60</v>
      </c>
      <c r="C695" t="str">
        <v>在職中</v>
      </c>
      <c r="D695">
        <v>250206</v>
      </c>
      <c r="E695">
        <v>222084</v>
      </c>
      <c r="F695" t="str">
        <v>高雄工業 海南第一</v>
      </c>
      <c r="G695" t="str">
        <v>高雄工業株式会社 愛知事業所海南第二工場製作課</v>
      </c>
      <c r="H695" t="str">
        <v>P研磨</v>
      </c>
      <c r="I695" t="str">
        <v>産業機械部品の旋削加工、NCプログラム修正</v>
      </c>
      <c r="J695" t="str">
        <v>TRAN VU</v>
      </c>
      <c r="K695" t="str">
        <v>チャン　ヴ</v>
      </c>
      <c r="L695" t="str">
        <v>男</v>
      </c>
      <c r="M695" t="str">
        <v>ﾍﾞﾄﾅﾑ</v>
      </c>
      <c r="N695" s="31">
        <v>35420</v>
      </c>
      <c r="O695">
        <v>28</v>
      </c>
      <c r="P695">
        <v>1250</v>
      </c>
      <c r="Q695">
        <v>0</v>
      </c>
      <c r="R695">
        <v>1650</v>
      </c>
      <c r="S695">
        <v>0</v>
      </c>
      <c r="T695">
        <v>400</v>
      </c>
      <c r="U695">
        <v>240000</v>
      </c>
      <c r="V695">
        <v>12036</v>
      </c>
      <c r="W695" t="str">
        <v>0</v>
      </c>
      <c r="X695">
        <v>21960</v>
      </c>
      <c r="Y695" s="31">
        <v>46786</v>
      </c>
      <c r="Z695" t="str">
        <v/>
      </c>
      <c r="AA695" t="str">
        <v>技術・人文知識・国際業務</v>
      </c>
      <c r="AB695" t="str">
        <v>498-0031</v>
      </c>
      <c r="AC695" t="str">
        <v>愛知県弥富市平島町五反割101-1</v>
      </c>
      <c r="AD695" t="str">
        <v>ｱﾐﾃｨKⅠ-B</v>
      </c>
      <c r="AE695" s="31">
        <v>0</v>
      </c>
      <c r="AF695" s="31">
        <v>45698</v>
      </c>
      <c r="AG695" s="31">
        <v>0</v>
      </c>
      <c r="AH695" s="31">
        <v>0</v>
      </c>
      <c r="AI695">
        <v>45698</v>
      </c>
      <c r="AJ695" t="str">
        <v>2/21林</v>
      </c>
      <c r="AK695" t="str">
        <v>異動_海南第一2025/10/16まで</v>
      </c>
      <c r="AL695">
        <v>45698</v>
      </c>
      <c r="AM695">
        <v>0</v>
      </c>
      <c r="AN695">
        <v>0</v>
      </c>
      <c r="AO695">
        <v>0</v>
      </c>
      <c r="AP695">
        <v>0</v>
      </c>
      <c r="AQ695">
        <v>0</v>
      </c>
      <c r="AR695">
        <v>0</v>
      </c>
    </row>
    <row r="696" spans="1:44">
      <c r="A696" t="str">
        <f>H696&amp;COUNTIF($H$2:H696,H696)</f>
        <v>本社工場製造1課2工区2班6</v>
      </c>
      <c r="B696" t="str">
        <f>F696&amp;COUNTIF($F$2:F696,F696)</f>
        <v>コーリツ 本社26</v>
      </c>
      <c r="C696" t="str">
        <v>在職中</v>
      </c>
      <c r="D696">
        <v>231217</v>
      </c>
      <c r="E696">
        <v>8210086</v>
      </c>
      <c r="F696" t="str">
        <v>コーリツ 本社</v>
      </c>
      <c r="G696" t="str">
        <v>本社工場製造1課2工区2班</v>
      </c>
      <c r="H696" t="str">
        <v>本社工場製造1課2工区2班</v>
      </c>
      <c r="I696">
        <v>0</v>
      </c>
      <c r="J696" t="str">
        <v>NGUYEN VAN CHIEU</v>
      </c>
      <c r="K696" t="str">
        <v>グエン　ヴァン　チエウ</v>
      </c>
      <c r="L696" t="str">
        <v>男</v>
      </c>
      <c r="M696" t="str">
        <v>ﾍﾞﾄﾅﾑ</v>
      </c>
      <c r="N696" s="31">
        <v>32010</v>
      </c>
      <c r="O696">
        <v>38</v>
      </c>
      <c r="P696">
        <v>1610</v>
      </c>
      <c r="Q696">
        <v>0</v>
      </c>
      <c r="R696">
        <v>2300</v>
      </c>
      <c r="S696">
        <v>0</v>
      </c>
      <c r="T696">
        <v>690</v>
      </c>
      <c r="U696">
        <v>320000</v>
      </c>
      <c r="V696">
        <v>16048</v>
      </c>
      <c r="W696" t="str">
        <v>0</v>
      </c>
      <c r="X696">
        <v>29280</v>
      </c>
      <c r="Y696" s="31">
        <v>46902</v>
      </c>
      <c r="Z696" t="str">
        <v/>
      </c>
      <c r="AA696" t="str">
        <v>技術・人文知識・国際業務</v>
      </c>
      <c r="AB696" t="str">
        <v>448-0813</v>
      </c>
      <c r="AC696" t="str">
        <v>愛知県刈谷市小垣江町石ノ戸86-3</v>
      </c>
      <c r="AD696" t="str">
        <v>ｳﾞｨﾗｺｰﾄ田園403</v>
      </c>
      <c r="AE696" s="31">
        <v>0</v>
      </c>
      <c r="AF696" s="31">
        <v>45275</v>
      </c>
      <c r="AG696" s="31">
        <v>0</v>
      </c>
      <c r="AH696" s="31">
        <v>0</v>
      </c>
      <c r="AI696" t="str">
        <v>23.12.15</v>
      </c>
      <c r="AJ696" t="str">
        <v>12/27林</v>
      </c>
      <c r="AK696">
        <v>0</v>
      </c>
      <c r="AL696">
        <v>45275</v>
      </c>
      <c r="AM696" t="str">
        <v>原付</v>
      </c>
      <c r="AN696">
        <v>45921</v>
      </c>
      <c r="AO696" t="str">
        <v>原付</v>
      </c>
      <c r="AP696">
        <v>46584</v>
      </c>
      <c r="AQ696">
        <v>0</v>
      </c>
      <c r="AR696">
        <v>0</v>
      </c>
    </row>
    <row r="697" spans="1:44">
      <c r="A697" t="str">
        <f>H697&amp;COUNTIF($H$2:H697,H697)</f>
        <v>1次旋係54</v>
      </c>
      <c r="B697" t="str">
        <f>F697&amp;COUNTIF($F$2:F697,F697)</f>
        <v>高雄工業 岡山128</v>
      </c>
      <c r="C697" t="str">
        <v>退社</v>
      </c>
      <c r="D697">
        <v>231218</v>
      </c>
      <c r="E697">
        <v>232129</v>
      </c>
      <c r="F697" t="str">
        <v>高雄工業 岡山</v>
      </c>
      <c r="G697" t="str">
        <v>高雄工業株式会社 岡山事業所HUB工場製作1課</v>
      </c>
      <c r="H697" t="str">
        <v>1次旋係</v>
      </c>
      <c r="I697" t="str">
        <v>ハブ加工 自動機の操作、ＮＣプログラム修正</v>
      </c>
      <c r="J697" t="str">
        <v>LE DINH TUU</v>
      </c>
      <c r="K697" t="str">
        <v>レ　ディン トゥー</v>
      </c>
      <c r="L697" t="str">
        <v>男</v>
      </c>
      <c r="M697" t="str">
        <v>ﾍﾞﾄﾅﾑ</v>
      </c>
      <c r="N697" s="31">
        <v>35883</v>
      </c>
      <c r="O697">
        <v>27</v>
      </c>
      <c r="P697">
        <v>1300</v>
      </c>
      <c r="Q697">
        <v>0</v>
      </c>
      <c r="R697">
        <v>1660</v>
      </c>
      <c r="S697">
        <v>0</v>
      </c>
      <c r="T697">
        <v>360</v>
      </c>
      <c r="U697">
        <v>220000</v>
      </c>
      <c r="V697">
        <v>11033</v>
      </c>
      <c r="W697" t="str">
        <v>0</v>
      </c>
      <c r="X697">
        <v>20130</v>
      </c>
      <c r="Y697" s="31">
        <v>46001</v>
      </c>
      <c r="Z697" t="str">
        <v/>
      </c>
      <c r="AA697" t="str">
        <v>技術・人文知識・国際業務</v>
      </c>
      <c r="AB697" t="str">
        <v>709-2107</v>
      </c>
      <c r="AC697" t="str">
        <v>岡山県岡山市北区御津矢原370</v>
      </c>
      <c r="AD697" t="str">
        <v>成広ｺｰﾎﾟⅠ103号室</v>
      </c>
      <c r="AE697" s="31">
        <v>45268</v>
      </c>
      <c r="AF697" s="31">
        <v>45275</v>
      </c>
      <c r="AG697" s="31">
        <v>45715</v>
      </c>
      <c r="AH697" s="31">
        <v>0</v>
      </c>
      <c r="AI697" t="str">
        <v>23.12.15</v>
      </c>
      <c r="AJ697" t="str">
        <v>12/27林</v>
      </c>
      <c r="AK697">
        <v>0</v>
      </c>
      <c r="AL697">
        <v>45275</v>
      </c>
      <c r="AM697">
        <v>0</v>
      </c>
      <c r="AN697">
        <v>0</v>
      </c>
      <c r="AO697">
        <v>0</v>
      </c>
      <c r="AP697">
        <v>0</v>
      </c>
      <c r="AQ697">
        <v>0</v>
      </c>
      <c r="AR697">
        <v>0</v>
      </c>
    </row>
    <row r="698" spans="1:44">
      <c r="A698" t="str">
        <f>H698&amp;COUNTIF($H$2:H698,H698)</f>
        <v>HUB 検査課係.4</v>
      </c>
      <c r="B698" t="str">
        <f>F698&amp;COUNTIF($F$2:F698,F698)</f>
        <v>高雄工業 岡山129</v>
      </c>
      <c r="C698" t="str">
        <v>退社</v>
      </c>
      <c r="D698">
        <v>231219</v>
      </c>
      <c r="E698">
        <v>232131</v>
      </c>
      <c r="F698" t="str">
        <v>高雄工業 岡山</v>
      </c>
      <c r="G698" t="str">
        <v>高雄工業株式会社 岡山品質保証部岡山HUB品証課</v>
      </c>
      <c r="H698" t="str">
        <v>HUB 検査課係.</v>
      </c>
      <c r="I698" t="str">
        <v>HUB旋削加工品の抜き取り検査</v>
      </c>
      <c r="J698" t="str">
        <v>DUONG THI PHUONG</v>
      </c>
      <c r="K698" t="str">
        <v>ズオン　ティ　フォン</v>
      </c>
      <c r="L698" t="str">
        <v>女</v>
      </c>
      <c r="M698" t="str">
        <v>ﾍﾞﾄﾅﾑ</v>
      </c>
      <c r="N698" s="31">
        <v>35212</v>
      </c>
      <c r="O698">
        <v>29</v>
      </c>
      <c r="P698">
        <v>1110</v>
      </c>
      <c r="Q698">
        <v>0</v>
      </c>
      <c r="R698">
        <v>1640</v>
      </c>
      <c r="S698">
        <v>0</v>
      </c>
      <c r="T698">
        <v>530</v>
      </c>
      <c r="U698">
        <v>118000</v>
      </c>
      <c r="V698">
        <v>5918</v>
      </c>
      <c r="W698" t="str">
        <v>0</v>
      </c>
      <c r="X698">
        <v>10797</v>
      </c>
      <c r="Y698" s="31">
        <v>46185</v>
      </c>
      <c r="Z698" t="str">
        <v/>
      </c>
      <c r="AA698" t="str">
        <v>家族滞在</v>
      </c>
      <c r="AB698" t="str">
        <v>709-2107</v>
      </c>
      <c r="AC698" t="str">
        <v>岡山県岡山市北区御津矢原297-1</v>
      </c>
      <c r="AD698" t="str">
        <v>成広矢原ｺｰﾎﾟⅤ101</v>
      </c>
      <c r="AE698" s="31" t="str">
        <v>個人</v>
      </c>
      <c r="AF698" s="31">
        <v>45278</v>
      </c>
      <c r="AG698" s="31">
        <v>45967</v>
      </c>
      <c r="AH698" s="31">
        <v>0</v>
      </c>
      <c r="AI698" t="str">
        <v>23.12.18</v>
      </c>
      <c r="AJ698" t="str">
        <v>12/27林</v>
      </c>
      <c r="AK698" t="str">
        <v>育休復帰後2025/11/7～請負へ異動</v>
      </c>
      <c r="AL698">
        <v>45278</v>
      </c>
      <c r="AM698">
        <v>0</v>
      </c>
      <c r="AN698">
        <v>0</v>
      </c>
      <c r="AO698">
        <v>0</v>
      </c>
      <c r="AP698">
        <v>0</v>
      </c>
      <c r="AQ698">
        <v>0</v>
      </c>
      <c r="AR698">
        <v>0</v>
      </c>
    </row>
    <row r="699" spans="1:44">
      <c r="A699" t="str">
        <f>H699&amp;COUNTIF($H$2:H699,H699)</f>
        <v>1次旋係55</v>
      </c>
      <c r="B699" t="str">
        <f>F699&amp;COUNTIF($F$2:F699,F699)</f>
        <v>高雄工業 岡山130</v>
      </c>
      <c r="C699" t="str">
        <v>在職中</v>
      </c>
      <c r="D699">
        <v>231221</v>
      </c>
      <c r="E699">
        <v>232130</v>
      </c>
      <c r="F699" t="str">
        <v>高雄工業 岡山</v>
      </c>
      <c r="G699" t="str">
        <v>高雄工業株式会社 岡山事業所HUB工場製作1課</v>
      </c>
      <c r="H699" t="str">
        <v>1次旋係</v>
      </c>
      <c r="I699" t="str">
        <v>ハブ加工 自動機の操作、ＮＣプログラム修正</v>
      </c>
      <c r="J699" t="str">
        <v>ADHITYA LUNDIKA</v>
      </c>
      <c r="K699" t="str">
        <v>アディティア　ルンディカ</v>
      </c>
      <c r="L699" t="str">
        <v>男</v>
      </c>
      <c r="M699" t="str">
        <v>ｲﾝﾄﾞﾈｼｱ</v>
      </c>
      <c r="N699" s="31">
        <v>35121</v>
      </c>
      <c r="O699">
        <v>29</v>
      </c>
      <c r="P699">
        <v>1400</v>
      </c>
      <c r="Q699" t="str">
        <v>2024/12/18～請負から高雄岡山派遣に異動　時給1350円　2024/8/15支給から1400円にUP</v>
      </c>
      <c r="R699">
        <v>1790</v>
      </c>
      <c r="S699">
        <v>0</v>
      </c>
      <c r="T699">
        <v>390</v>
      </c>
      <c r="U699">
        <v>280000</v>
      </c>
      <c r="V699">
        <v>14042</v>
      </c>
      <c r="W699" t="str">
        <v>0</v>
      </c>
      <c r="X699">
        <v>25620</v>
      </c>
      <c r="Y699" s="31">
        <v>46374</v>
      </c>
      <c r="Z699" t="str">
        <v/>
      </c>
      <c r="AA699" t="str">
        <v>技術・人文知識・国際業務</v>
      </c>
      <c r="AB699" t="str">
        <v>709-2107</v>
      </c>
      <c r="AC699" t="str">
        <v>岡山県岡山市北区御津矢原298-1</v>
      </c>
      <c r="AD699" t="str">
        <v>成広矢原ｺｰﾎﾟⅥ206</v>
      </c>
      <c r="AE699" s="31">
        <v>45480</v>
      </c>
      <c r="AF699" s="31">
        <v>45278</v>
      </c>
      <c r="AG699" s="31">
        <v>0</v>
      </c>
      <c r="AH699" s="31">
        <v>0</v>
      </c>
      <c r="AI699" t="str">
        <v>22.08.01</v>
      </c>
      <c r="AJ699" t="str">
        <v>1/29原</v>
      </c>
      <c r="AK699" t="str">
        <v>請負より異動あり。</v>
      </c>
      <c r="AL699">
        <v>45278</v>
      </c>
      <c r="AM699">
        <v>0</v>
      </c>
      <c r="AN699">
        <v>0</v>
      </c>
      <c r="AO699">
        <v>0</v>
      </c>
      <c r="AP699">
        <v>0</v>
      </c>
      <c r="AQ699">
        <v>0</v>
      </c>
      <c r="AR699">
        <v>0</v>
      </c>
    </row>
    <row r="700" spans="1:44">
      <c r="A700" t="str">
        <f>H700&amp;COUNTIF($H$2:H700,H700)</f>
        <v>0242</v>
      </c>
      <c r="B700" t="str">
        <f>F700&amp;COUNTIF($F$2:F700,F700)</f>
        <v>川原鉄工所28</v>
      </c>
      <c r="C700" t="str">
        <v>退社</v>
      </c>
      <c r="D700">
        <v>231220</v>
      </c>
      <c r="E700">
        <v>0</v>
      </c>
      <c r="F700" t="str">
        <v>川原鉄工所</v>
      </c>
      <c r="G700">
        <v>0</v>
      </c>
      <c r="H700">
        <v>0</v>
      </c>
      <c r="I700">
        <v>0</v>
      </c>
      <c r="J700" t="str">
        <v>EKO BUDIANTO</v>
      </c>
      <c r="K700" t="str">
        <v>エコ　ブディアント</v>
      </c>
      <c r="L700" t="str">
        <v>男</v>
      </c>
      <c r="M700" t="str">
        <v>ｲﾝﾄﾞﾈｼｱ</v>
      </c>
      <c r="N700" s="31">
        <v>32146</v>
      </c>
      <c r="O700">
        <v>37</v>
      </c>
      <c r="P700">
        <v>1300</v>
      </c>
      <c r="Q700">
        <v>0</v>
      </c>
      <c r="R700">
        <v>1650</v>
      </c>
      <c r="S700">
        <v>0</v>
      </c>
      <c r="T700">
        <v>350</v>
      </c>
      <c r="U700">
        <v>200000</v>
      </c>
      <c r="V700">
        <v>10030</v>
      </c>
      <c r="W700" t="str">
        <v>0</v>
      </c>
      <c r="X700">
        <v>18300</v>
      </c>
      <c r="Y700" s="31">
        <v>45506</v>
      </c>
      <c r="Z700" t="str">
        <v/>
      </c>
      <c r="AA700" t="str">
        <v>技術・人文知識・国際業務</v>
      </c>
      <c r="AB700" t="str">
        <v>455-0823</v>
      </c>
      <c r="AC700" t="str">
        <v>愛知県名古屋市港区惟信町1丁目26-1</v>
      </c>
      <c r="AD700" t="str">
        <v>ﾍﾞﾙﾒｿﾞﾝ大山211</v>
      </c>
      <c r="AE700" s="31">
        <v>45279</v>
      </c>
      <c r="AF700" s="31">
        <v>45281</v>
      </c>
      <c r="AG700" s="31">
        <v>45379</v>
      </c>
      <c r="AH700" s="31">
        <v>0</v>
      </c>
      <c r="AI700" t="str">
        <v>23.12.21</v>
      </c>
      <c r="AJ700" t="str">
        <v>1/15林</v>
      </c>
      <c r="AK700">
        <v>0</v>
      </c>
      <c r="AL700">
        <v>45281</v>
      </c>
      <c r="AM700">
        <v>0</v>
      </c>
      <c r="AN700">
        <v>0</v>
      </c>
      <c r="AO700">
        <v>0</v>
      </c>
      <c r="AP700">
        <v>0</v>
      </c>
      <c r="AQ700">
        <v>0</v>
      </c>
      <c r="AR700">
        <v>0</v>
      </c>
    </row>
    <row r="701" spans="1:44">
      <c r="A701" t="str">
        <f>H701&amp;COUNTIF($H$2:H701,H701)</f>
        <v>0243</v>
      </c>
      <c r="B701" t="str">
        <f>F701&amp;COUNTIF($F$2:F701,F701)</f>
        <v>ワーク 岡山3</v>
      </c>
      <c r="C701" t="str">
        <v>退社</v>
      </c>
      <c r="D701">
        <v>240101</v>
      </c>
      <c r="E701">
        <v>0</v>
      </c>
      <c r="F701" t="str">
        <v>ワーク 岡山</v>
      </c>
      <c r="G701">
        <v>0</v>
      </c>
      <c r="H701">
        <v>0</v>
      </c>
      <c r="I701">
        <v>0</v>
      </c>
      <c r="J701" t="str">
        <v>PHAN VAN HOAT</v>
      </c>
      <c r="K701" t="str">
        <v>ファン　ヴァン　ホアット</v>
      </c>
      <c r="L701" t="str">
        <v>男</v>
      </c>
      <c r="M701" t="str">
        <v>ﾍﾞﾄﾅﾑ</v>
      </c>
      <c r="N701" s="31">
        <v>31142</v>
      </c>
      <c r="O701">
        <v>40</v>
      </c>
      <c r="P701">
        <v>1400</v>
      </c>
      <c r="Q701">
        <v>0</v>
      </c>
      <c r="R701">
        <v>1900</v>
      </c>
      <c r="S701">
        <v>0</v>
      </c>
      <c r="T701">
        <v>500</v>
      </c>
      <c r="U701">
        <v>260000</v>
      </c>
      <c r="V701">
        <v>13039</v>
      </c>
      <c r="W701">
        <v>2067</v>
      </c>
      <c r="X701">
        <v>23790</v>
      </c>
      <c r="Y701" s="31">
        <v>46341</v>
      </c>
      <c r="Z701" t="str">
        <v/>
      </c>
      <c r="AA701" t="str">
        <v>技術・人文知識・国際業務</v>
      </c>
      <c r="AB701" t="str">
        <v>707-0434</v>
      </c>
      <c r="AC701" t="str">
        <v>岡山県美作市壬生148-3</v>
      </c>
      <c r="AD701" t="str">
        <v>ﾊｲﾂ165壬生B202</v>
      </c>
      <c r="AE701" s="31">
        <v>45288</v>
      </c>
      <c r="AF701" s="31">
        <v>45301</v>
      </c>
      <c r="AG701" s="31">
        <v>45603</v>
      </c>
      <c r="AH701" s="31">
        <v>0</v>
      </c>
      <c r="AI701" t="str">
        <v>24.1.10</v>
      </c>
      <c r="AJ701" t="str">
        <v>1/29林</v>
      </c>
      <c r="AK701">
        <v>0</v>
      </c>
      <c r="AL701">
        <v>45301</v>
      </c>
      <c r="AM701">
        <v>0</v>
      </c>
      <c r="AN701">
        <v>0</v>
      </c>
      <c r="AO701">
        <v>0</v>
      </c>
      <c r="AP701">
        <v>0</v>
      </c>
      <c r="AQ701">
        <v>0</v>
      </c>
      <c r="AR701">
        <v>0</v>
      </c>
    </row>
    <row r="702" spans="1:44">
      <c r="A702" t="str">
        <f>H702&amp;COUNTIF($H$2:H702,H702)</f>
        <v>0244</v>
      </c>
      <c r="B702" t="str">
        <f>F702&amp;COUNTIF($F$2:F702,F702)</f>
        <v>ワーク 岡山4</v>
      </c>
      <c r="C702" t="str">
        <v>退社</v>
      </c>
      <c r="D702">
        <v>240102</v>
      </c>
      <c r="E702">
        <v>0</v>
      </c>
      <c r="F702" t="str">
        <v>ワーク 岡山</v>
      </c>
      <c r="G702">
        <v>0</v>
      </c>
      <c r="H702">
        <v>0</v>
      </c>
      <c r="I702">
        <v>0</v>
      </c>
      <c r="J702" t="str">
        <v>NGUYEN HOANG DUC</v>
      </c>
      <c r="K702" t="str">
        <v>グエン　ホアン　ドック</v>
      </c>
      <c r="L702" t="str">
        <v>男</v>
      </c>
      <c r="M702" t="str">
        <v>ﾍﾞﾄﾅﾑ</v>
      </c>
      <c r="N702" s="31">
        <v>35789</v>
      </c>
      <c r="O702">
        <v>27</v>
      </c>
      <c r="P702">
        <v>1430</v>
      </c>
      <c r="Q702">
        <v>0</v>
      </c>
      <c r="R702">
        <v>1900</v>
      </c>
      <c r="S702">
        <v>0</v>
      </c>
      <c r="T702">
        <v>470</v>
      </c>
      <c r="U702">
        <v>240000</v>
      </c>
      <c r="V702">
        <v>12036</v>
      </c>
      <c r="W702" t="str">
        <v>0</v>
      </c>
      <c r="X702">
        <v>21960</v>
      </c>
      <c r="Y702" s="31">
        <v>46527</v>
      </c>
      <c r="Z702" t="str">
        <v/>
      </c>
      <c r="AA702" t="str">
        <v>技術・人文知識・国際業務</v>
      </c>
      <c r="AB702" t="str">
        <v>707-0434</v>
      </c>
      <c r="AC702" t="str">
        <v>岡山県美作市壬生148-3</v>
      </c>
      <c r="AD702" t="str">
        <v>ﾊｲﾂ165壬生B202</v>
      </c>
      <c r="AE702" s="31">
        <v>45288</v>
      </c>
      <c r="AF702" s="31">
        <v>45301</v>
      </c>
      <c r="AG702" s="31">
        <v>45834</v>
      </c>
      <c r="AH702" s="31">
        <v>0</v>
      </c>
      <c r="AI702" t="str">
        <v>24.1.10</v>
      </c>
      <c r="AJ702" t="str">
        <v>1/29林</v>
      </c>
      <c r="AK702">
        <v>0</v>
      </c>
      <c r="AL702">
        <v>45301</v>
      </c>
      <c r="AM702">
        <v>0</v>
      </c>
      <c r="AN702">
        <v>0</v>
      </c>
      <c r="AO702">
        <v>0</v>
      </c>
      <c r="AP702">
        <v>0</v>
      </c>
      <c r="AQ702">
        <v>0</v>
      </c>
      <c r="AR702">
        <v>0</v>
      </c>
    </row>
    <row r="703" spans="1:44">
      <c r="A703" t="str">
        <f>H703&amp;COUNTIF($H$2:H703,H703)</f>
        <v>1次旋係56</v>
      </c>
      <c r="B703" t="str">
        <f>F703&amp;COUNTIF($F$2:F703,F703)</f>
        <v>高雄工業 岡山131</v>
      </c>
      <c r="C703" t="str">
        <v>在職中</v>
      </c>
      <c r="D703">
        <v>220806</v>
      </c>
      <c r="E703">
        <v>232076</v>
      </c>
      <c r="F703" t="str">
        <v>高雄工業 岡山</v>
      </c>
      <c r="G703" t="str">
        <v>高雄工業株式会社 岡山事業所HUB工場製作1課</v>
      </c>
      <c r="H703" t="str">
        <v>1次旋係</v>
      </c>
      <c r="I703" t="str">
        <v>ハブ加工 自動機の操作、ＮＣプログラム修正</v>
      </c>
      <c r="J703" t="str">
        <v>NGUYEN THE DANG</v>
      </c>
      <c r="K703" t="str">
        <v>グエン　テー　ダン</v>
      </c>
      <c r="L703" t="str">
        <v>男</v>
      </c>
      <c r="M703" t="str">
        <v>ﾍﾞﾄﾅﾑ</v>
      </c>
      <c r="N703" s="31">
        <v>31723</v>
      </c>
      <c r="O703">
        <v>39</v>
      </c>
      <c r="P703">
        <v>1420</v>
      </c>
      <c r="Q703" t="str">
        <v>2022/8/25　請負から派遣に切替　請負で1年以上経験有る為、1400円ｽﾀｰﾄ</v>
      </c>
      <c r="R703">
        <v>1850</v>
      </c>
      <c r="S703">
        <v>0</v>
      </c>
      <c r="T703">
        <v>430</v>
      </c>
      <c r="U703">
        <v>280000</v>
      </c>
      <c r="V703">
        <v>14042</v>
      </c>
      <c r="W703" t="str">
        <v>0</v>
      </c>
      <c r="X703">
        <v>25620</v>
      </c>
      <c r="Y703" s="31">
        <v>46291</v>
      </c>
      <c r="Z703" t="str">
        <v/>
      </c>
      <c r="AA703" t="str">
        <v>技術・人文知識・国際業務</v>
      </c>
      <c r="AB703" t="str">
        <v>709-2134</v>
      </c>
      <c r="AC703" t="str">
        <v>岡山県岡山市北区御津下田77-3</v>
      </c>
      <c r="AD703" t="str">
        <v>ﾋﾞﾚｯｼﾞﾊｳｽ宇甘川2　308号</v>
      </c>
      <c r="AE703" s="31" t="str">
        <v>個人</v>
      </c>
      <c r="AF703" s="31">
        <v>45306</v>
      </c>
      <c r="AG703" s="31">
        <v>0</v>
      </c>
      <c r="AH703" s="31">
        <v>0</v>
      </c>
      <c r="AI703" t="str">
        <v>24.1.15</v>
      </c>
      <c r="AJ703" t="str">
        <v>1/31林</v>
      </c>
      <c r="AK703">
        <v>0</v>
      </c>
      <c r="AL703">
        <v>45306</v>
      </c>
      <c r="AM703">
        <v>0</v>
      </c>
      <c r="AN703">
        <v>0</v>
      </c>
      <c r="AO703">
        <v>0</v>
      </c>
      <c r="AP703">
        <v>0</v>
      </c>
      <c r="AQ703">
        <v>0</v>
      </c>
      <c r="AR703">
        <v>0</v>
      </c>
    </row>
    <row r="704" spans="1:44">
      <c r="A704" t="str">
        <f>H704&amp;COUNTIF($H$2:H704,H704)</f>
        <v>乙川工場製造3課7工区9班2</v>
      </c>
      <c r="B704" t="str">
        <f>F704&amp;COUNTIF($F$2:F704,F704)</f>
        <v>コーリツ 乙川22</v>
      </c>
      <c r="C704" t="str">
        <v>在職中</v>
      </c>
      <c r="D704">
        <v>240103</v>
      </c>
      <c r="E704">
        <v>8210087</v>
      </c>
      <c r="F704" t="str">
        <v>コーリツ 乙川</v>
      </c>
      <c r="G704" t="str">
        <v>乙川工場製造3課7工区9班</v>
      </c>
      <c r="H704" t="str">
        <v>乙川工場製造3課7工区9班</v>
      </c>
      <c r="I704">
        <v>0</v>
      </c>
      <c r="J704" t="str">
        <v>LE VIET HUNG</v>
      </c>
      <c r="K704" t="str">
        <v>レ　ヴィエト　フン</v>
      </c>
      <c r="L704" t="str">
        <v>男</v>
      </c>
      <c r="M704" t="str">
        <v>ﾍﾞﾄﾅﾑ</v>
      </c>
      <c r="N704" s="31">
        <v>29726</v>
      </c>
      <c r="O704">
        <v>44</v>
      </c>
      <c r="P704">
        <v>1555</v>
      </c>
      <c r="Q704">
        <v>0</v>
      </c>
      <c r="R704">
        <v>2225</v>
      </c>
      <c r="S704">
        <v>0</v>
      </c>
      <c r="T704">
        <v>670</v>
      </c>
      <c r="U704">
        <v>380000</v>
      </c>
      <c r="V704">
        <v>19057</v>
      </c>
      <c r="W704">
        <v>3021</v>
      </c>
      <c r="X704">
        <v>34770</v>
      </c>
      <c r="Y704" s="31">
        <v>46641</v>
      </c>
      <c r="Z704" t="str">
        <v/>
      </c>
      <c r="AA704" t="str">
        <v>技術・人文知識・国際業務</v>
      </c>
      <c r="AB704" t="str">
        <v>475-0817</v>
      </c>
      <c r="AC704" t="str">
        <v>愛知県半田市東洋町2-46</v>
      </c>
      <c r="AD704" t="str">
        <v>県営住宅8-307</v>
      </c>
      <c r="AE704" s="31" t="str">
        <v>個人</v>
      </c>
      <c r="AF704" s="31">
        <v>45306</v>
      </c>
      <c r="AG704" s="31">
        <v>0</v>
      </c>
      <c r="AH704" s="31">
        <v>0</v>
      </c>
      <c r="AI704" t="str">
        <v>24.1.15</v>
      </c>
      <c r="AJ704" t="str">
        <v>1/31林</v>
      </c>
      <c r="AK704">
        <v>0</v>
      </c>
      <c r="AL704">
        <v>45306</v>
      </c>
      <c r="AM704" t="str">
        <v>普通免許</v>
      </c>
      <c r="AN704">
        <v>46193</v>
      </c>
      <c r="AO704" t="str">
        <v>車</v>
      </c>
      <c r="AP704">
        <v>46415</v>
      </c>
      <c r="AQ704">
        <v>0</v>
      </c>
      <c r="AR704">
        <v>0</v>
      </c>
    </row>
    <row r="705" spans="1:44">
      <c r="A705" t="str">
        <f>H705&amp;COUNTIF($H$2:H705,H705)</f>
        <v>Tライン2</v>
      </c>
      <c r="B705" t="str">
        <f>F705&amp;COUNTIF($F$2:F705,F705)</f>
        <v>高雄工業 本社50</v>
      </c>
      <c r="C705" t="str">
        <v>在職中</v>
      </c>
      <c r="D705">
        <v>250223</v>
      </c>
      <c r="E705">
        <v>212055</v>
      </c>
      <c r="F705" t="str">
        <v>高雄工業 本社</v>
      </c>
      <c r="G705" t="str">
        <v>高雄工業株式会社 愛知事業所本社工場製作課</v>
      </c>
      <c r="H705" t="str">
        <v>Tライン</v>
      </c>
      <c r="I705" t="str">
        <v>CVJ部品長軸品と短軸品の転造加工。</v>
      </c>
      <c r="J705" t="str">
        <v>TRAN MINH TRUONG</v>
      </c>
      <c r="K705" t="str">
        <v>チャン　ミン　チュオン</v>
      </c>
      <c r="L705" t="str">
        <v>男</v>
      </c>
      <c r="M705" t="str">
        <v>ﾍﾞﾄﾅﾑ</v>
      </c>
      <c r="N705" s="31">
        <v>37162</v>
      </c>
      <c r="O705">
        <v>24</v>
      </c>
      <c r="P705">
        <v>1250</v>
      </c>
      <c r="Q705">
        <v>0</v>
      </c>
      <c r="R705">
        <v>1650</v>
      </c>
      <c r="S705">
        <v>0</v>
      </c>
      <c r="T705">
        <v>400</v>
      </c>
      <c r="U705">
        <v>200000</v>
      </c>
      <c r="V705">
        <v>10030</v>
      </c>
      <c r="W705" t="str">
        <v>0</v>
      </c>
      <c r="X705">
        <v>18300</v>
      </c>
      <c r="Y705" s="31">
        <v>46797</v>
      </c>
      <c r="Z705" t="str">
        <v/>
      </c>
      <c r="AA705" t="str">
        <v>技術・人文知識・国際業務</v>
      </c>
      <c r="AB705" t="str">
        <v>498-0031</v>
      </c>
      <c r="AC705" t="str">
        <v>愛知県弥富市平島町五反割101-1</v>
      </c>
      <c r="AD705" t="str">
        <v>ｱﾐﾃｨKⅠ-B</v>
      </c>
      <c r="AE705" s="31">
        <v>45702</v>
      </c>
      <c r="AF705" s="31">
        <v>45707</v>
      </c>
      <c r="AG705" s="31">
        <v>0</v>
      </c>
      <c r="AH705" s="31">
        <v>0</v>
      </c>
      <c r="AI705">
        <v>45707</v>
      </c>
      <c r="AJ705" t="str">
        <v>3/18林</v>
      </c>
      <c r="AK705">
        <v>0</v>
      </c>
      <c r="AL705">
        <v>45707</v>
      </c>
      <c r="AM705">
        <v>0</v>
      </c>
      <c r="AN705">
        <v>0</v>
      </c>
      <c r="AO705">
        <v>0</v>
      </c>
      <c r="AP705">
        <v>0</v>
      </c>
      <c r="AQ705">
        <v>0</v>
      </c>
      <c r="AR705">
        <v>0</v>
      </c>
    </row>
    <row r="706" spans="1:44">
      <c r="A706" t="str">
        <f>H706&amp;COUNTIF($H$2:H706,H706)</f>
        <v>Tライン3</v>
      </c>
      <c r="B706" t="str">
        <f>F706&amp;COUNTIF($F$2:F706,F706)</f>
        <v>高雄工業 本社51</v>
      </c>
      <c r="C706" t="str">
        <v>在職中</v>
      </c>
      <c r="D706">
        <v>250603</v>
      </c>
      <c r="E706">
        <v>212057</v>
      </c>
      <c r="F706" t="str">
        <v>高雄工業 本社</v>
      </c>
      <c r="G706" t="str">
        <v>高雄工業株式会社 愛知事業所本社工場製作課</v>
      </c>
      <c r="H706" t="str">
        <v>Tライン</v>
      </c>
      <c r="I706" t="str">
        <v>CVJ部品長軸品と短軸品の転造加工。</v>
      </c>
      <c r="J706" t="str">
        <v>LE DINH DONG</v>
      </c>
      <c r="K706" t="str">
        <v>レ　ディン　ドン</v>
      </c>
      <c r="L706" t="str">
        <v>男</v>
      </c>
      <c r="M706" t="str">
        <v>ﾍﾞﾄﾅﾑ</v>
      </c>
      <c r="N706" s="31">
        <v>37181</v>
      </c>
      <c r="O706">
        <v>24</v>
      </c>
      <c r="P706">
        <v>1200</v>
      </c>
      <c r="Q706">
        <v>0</v>
      </c>
      <c r="R706">
        <v>1650</v>
      </c>
      <c r="S706">
        <v>0</v>
      </c>
      <c r="T706">
        <v>450</v>
      </c>
      <c r="U706">
        <v>200000</v>
      </c>
      <c r="V706">
        <v>10030</v>
      </c>
      <c r="W706" t="str">
        <v>0</v>
      </c>
      <c r="X706">
        <v>18300</v>
      </c>
      <c r="Y706" s="31">
        <v>46170</v>
      </c>
      <c r="Z706" t="str">
        <v/>
      </c>
      <c r="AA706" t="str">
        <v>技術・人文知識・国際業務</v>
      </c>
      <c r="AB706" t="str">
        <v>498-0017</v>
      </c>
      <c r="AC706" t="str">
        <v>愛知県弥富市前ケ須町西勘助207番地</v>
      </c>
      <c r="AD706" t="str">
        <v>CASA弥富A203</v>
      </c>
      <c r="AE706" s="31">
        <v>0</v>
      </c>
      <c r="AF706" s="31">
        <v>45812</v>
      </c>
      <c r="AG706" s="31">
        <v>0</v>
      </c>
      <c r="AH706" s="31">
        <v>0</v>
      </c>
      <c r="AI706">
        <v>45812</v>
      </c>
      <c r="AJ706" t="str">
        <v>6/19林</v>
      </c>
      <c r="AK706">
        <v>0</v>
      </c>
      <c r="AL706">
        <v>45812</v>
      </c>
      <c r="AM706">
        <v>0</v>
      </c>
      <c r="AN706">
        <v>0</v>
      </c>
      <c r="AO706">
        <v>0</v>
      </c>
      <c r="AP706">
        <v>0</v>
      </c>
      <c r="AQ706">
        <v>0</v>
      </c>
      <c r="AR706">
        <v>0</v>
      </c>
    </row>
    <row r="707" spans="1:44">
      <c r="A707" t="str">
        <f>H707&amp;COUNTIF($H$2:H707,H707)</f>
        <v>W研磨3</v>
      </c>
      <c r="B707" t="str">
        <f>F707&amp;COUNTIF($F$2:F707,F707)</f>
        <v>高雄工業 海南第二15</v>
      </c>
      <c r="C707" t="str">
        <v>在職中</v>
      </c>
      <c r="D707">
        <v>250108</v>
      </c>
      <c r="E707">
        <v>222081</v>
      </c>
      <c r="F707" t="str">
        <v>高雄工業 海南第二</v>
      </c>
      <c r="G707" t="str">
        <v>高雄工業株式会社 愛知事業所海南第二工場製作課</v>
      </c>
      <c r="H707" t="str">
        <v>W研磨</v>
      </c>
      <c r="I707" t="str">
        <v>産業機械部品の研磨加工、NCプログラム修正</v>
      </c>
      <c r="J707" t="str">
        <v>NGUYEN HUU NGHIA</v>
      </c>
      <c r="K707" t="str">
        <v>グエン　ヒュウ　ギア</v>
      </c>
      <c r="L707" t="str">
        <v>男</v>
      </c>
      <c r="M707" t="str">
        <v>ﾍﾞﾄﾅﾑ</v>
      </c>
      <c r="N707" s="31">
        <v>36775</v>
      </c>
      <c r="O707">
        <v>25</v>
      </c>
      <c r="P707">
        <v>1250</v>
      </c>
      <c r="Q707">
        <v>0</v>
      </c>
      <c r="R707">
        <v>1650</v>
      </c>
      <c r="S707">
        <v>0</v>
      </c>
      <c r="T707">
        <v>400</v>
      </c>
      <c r="U707">
        <v>220000</v>
      </c>
      <c r="V707">
        <v>11033</v>
      </c>
      <c r="W707" t="str">
        <v>0</v>
      </c>
      <c r="X707">
        <v>20130</v>
      </c>
      <c r="Y707" s="31">
        <v>46762</v>
      </c>
      <c r="Z707" t="str">
        <v/>
      </c>
      <c r="AA707" t="str">
        <v>技術・人文知識・国際業務</v>
      </c>
      <c r="AB707" t="str">
        <v>498-0026</v>
      </c>
      <c r="AC707" t="str">
        <v>愛知県弥富市鯏浦町西前新田119-1</v>
      </c>
      <c r="AD707" t="str">
        <v>ﾗｲﾌｺｱ119　306号</v>
      </c>
      <c r="AE707" s="31">
        <v>0</v>
      </c>
      <c r="AF707" s="31">
        <v>45673</v>
      </c>
      <c r="AG707" s="31">
        <v>0</v>
      </c>
      <c r="AH707" s="31">
        <v>0</v>
      </c>
      <c r="AI707">
        <v>45673</v>
      </c>
      <c r="AJ707" t="str">
        <v>2/20林</v>
      </c>
      <c r="AK707">
        <v>0</v>
      </c>
      <c r="AL707">
        <v>45673</v>
      </c>
      <c r="AM707">
        <v>0</v>
      </c>
      <c r="AN707">
        <v>0</v>
      </c>
      <c r="AO707">
        <v>0</v>
      </c>
      <c r="AP707">
        <v>0</v>
      </c>
      <c r="AQ707">
        <v>0</v>
      </c>
      <c r="AR707">
        <v>0</v>
      </c>
    </row>
    <row r="708" spans="1:44">
      <c r="A708" t="str">
        <f>H708&amp;COUNTIF($H$2:H708,H708)</f>
        <v>W研磨4</v>
      </c>
      <c r="B708" t="str">
        <f>F708&amp;COUNTIF($F$2:F708,F708)</f>
        <v>高雄工業 海南第二16</v>
      </c>
      <c r="C708" t="str">
        <v>在職中</v>
      </c>
      <c r="D708">
        <v>250109</v>
      </c>
      <c r="E708">
        <v>222080</v>
      </c>
      <c r="F708" t="str">
        <v>高雄工業 海南第二</v>
      </c>
      <c r="G708" t="str">
        <v>高雄工業株式会社 愛知事業所海南第二工場製作課</v>
      </c>
      <c r="H708" t="str">
        <v>W研磨</v>
      </c>
      <c r="I708" t="str">
        <v>産業機械部品の研磨加工、NCプログラム修正</v>
      </c>
      <c r="J708" t="str">
        <v>TRINH VAN NGOC ANH</v>
      </c>
      <c r="K708" t="str">
        <v>チン　ヴァン　ゴック　アイン</v>
      </c>
      <c r="L708" t="str">
        <v>男</v>
      </c>
      <c r="M708" t="str">
        <v>ﾍﾞﾄﾅﾑ</v>
      </c>
      <c r="N708" s="31">
        <v>36848</v>
      </c>
      <c r="O708">
        <v>25</v>
      </c>
      <c r="P708">
        <v>1250</v>
      </c>
      <c r="Q708">
        <v>0</v>
      </c>
      <c r="R708">
        <v>1650</v>
      </c>
      <c r="S708">
        <v>0</v>
      </c>
      <c r="T708">
        <v>400</v>
      </c>
      <c r="U708">
        <v>220000</v>
      </c>
      <c r="V708">
        <v>11033</v>
      </c>
      <c r="W708" t="str">
        <v>0</v>
      </c>
      <c r="X708">
        <v>20130</v>
      </c>
      <c r="Y708" s="31">
        <v>46762</v>
      </c>
      <c r="Z708" t="str">
        <v/>
      </c>
      <c r="AA708" t="str">
        <v>技術・人文知識・国際業務</v>
      </c>
      <c r="AB708" t="str">
        <v>498-0026</v>
      </c>
      <c r="AC708" t="str">
        <v>愛知県弥富市鯏浦町西前新田119-1</v>
      </c>
      <c r="AD708" t="str">
        <v>ﾗｲﾌｺｱ119　306号</v>
      </c>
      <c r="AE708" s="31">
        <v>0</v>
      </c>
      <c r="AF708" s="31">
        <v>45673</v>
      </c>
      <c r="AG708" s="31">
        <v>0</v>
      </c>
      <c r="AH708" s="31">
        <v>0</v>
      </c>
      <c r="AI708">
        <v>45673</v>
      </c>
      <c r="AJ708" t="str">
        <v>2/20林</v>
      </c>
      <c r="AK708">
        <v>0</v>
      </c>
      <c r="AL708">
        <v>45673</v>
      </c>
      <c r="AM708">
        <v>0</v>
      </c>
      <c r="AN708">
        <v>0</v>
      </c>
      <c r="AO708">
        <v>0</v>
      </c>
      <c r="AP708">
        <v>0</v>
      </c>
      <c r="AQ708">
        <v>0</v>
      </c>
      <c r="AR708">
        <v>0</v>
      </c>
    </row>
    <row r="709" spans="1:44">
      <c r="A709" t="str">
        <f>H709&amp;COUNTIF($H$2:H709,H709)</f>
        <v>W研磨5</v>
      </c>
      <c r="B709" t="str">
        <f>F709&amp;COUNTIF($F$2:F709,F709)</f>
        <v>高雄工業 海南第二17</v>
      </c>
      <c r="C709" t="str">
        <v>在職中</v>
      </c>
      <c r="D709">
        <v>250310</v>
      </c>
      <c r="E709">
        <v>222085</v>
      </c>
      <c r="F709" t="str">
        <v>高雄工業 海南第二</v>
      </c>
      <c r="G709" t="str">
        <v>高雄工業株式会社 愛知事業所海南第二工場製作課</v>
      </c>
      <c r="H709" t="str">
        <v>W研磨</v>
      </c>
      <c r="I709" t="str">
        <v>産業機械部品の研磨加工、NCプログラム修正</v>
      </c>
      <c r="J709" t="str">
        <v>LO VIET DUC</v>
      </c>
      <c r="K709" t="str">
        <v>ロ　ヴィエット　ドゥック</v>
      </c>
      <c r="L709" t="str">
        <v>男</v>
      </c>
      <c r="M709" t="str">
        <v>ﾍﾞﾄﾅﾑ</v>
      </c>
      <c r="N709" s="31">
        <v>36867</v>
      </c>
      <c r="O709">
        <v>24</v>
      </c>
      <c r="P709">
        <v>1200</v>
      </c>
      <c r="Q709">
        <v>0</v>
      </c>
      <c r="R709">
        <v>1650</v>
      </c>
      <c r="S709">
        <v>0</v>
      </c>
      <c r="T709">
        <v>450</v>
      </c>
      <c r="U709">
        <v>200000</v>
      </c>
      <c r="V709">
        <v>10030</v>
      </c>
      <c r="W709" t="str">
        <v>0</v>
      </c>
      <c r="X709">
        <v>18300</v>
      </c>
      <c r="Y709" s="31">
        <v>46825</v>
      </c>
      <c r="Z709" t="str">
        <v/>
      </c>
      <c r="AA709" t="str">
        <v>技術・人文知識・国際業務</v>
      </c>
      <c r="AB709" t="str">
        <v>498-0026</v>
      </c>
      <c r="AC709" t="str">
        <v>愛知県弥富市鯏浦町西前新田119-1</v>
      </c>
      <c r="AD709" t="str">
        <v>ﾗｲﾌｺｱ119　301号</v>
      </c>
      <c r="AE709" s="31">
        <v>0</v>
      </c>
      <c r="AF709" s="31">
        <v>45736</v>
      </c>
      <c r="AG709" s="31">
        <v>0</v>
      </c>
      <c r="AH709" s="31">
        <v>0</v>
      </c>
      <c r="AI709">
        <v>45736</v>
      </c>
      <c r="AJ709" t="str">
        <v>4/18林</v>
      </c>
      <c r="AK709">
        <v>0</v>
      </c>
      <c r="AL709">
        <v>45736</v>
      </c>
      <c r="AM709">
        <v>0</v>
      </c>
      <c r="AN709">
        <v>0</v>
      </c>
      <c r="AO709">
        <v>0</v>
      </c>
      <c r="AP709">
        <v>0</v>
      </c>
      <c r="AQ709">
        <v>0</v>
      </c>
      <c r="AR709">
        <v>0</v>
      </c>
    </row>
    <row r="710" spans="1:44">
      <c r="A710" t="str">
        <f>H710&amp;COUNTIF($H$2:H710,H710)</f>
        <v>W研磨6</v>
      </c>
      <c r="B710" t="str">
        <f>F710&amp;COUNTIF($F$2:F710,F710)</f>
        <v>高雄工業 海南第二18</v>
      </c>
      <c r="C710" t="str">
        <v>退社</v>
      </c>
      <c r="D710">
        <v>240109</v>
      </c>
      <c r="E710">
        <v>222062</v>
      </c>
      <c r="F710" t="str">
        <v>高雄工業 海南第二</v>
      </c>
      <c r="G710" t="str">
        <v>高雄工業株式会社 愛知事業所海南第二工場製作課</v>
      </c>
      <c r="H710" t="str">
        <v>W研磨</v>
      </c>
      <c r="I710" t="str">
        <v>産業機械部品の旋削加工、NCプログラム修正</v>
      </c>
      <c r="J710" t="str">
        <v>THAI CONG BANG</v>
      </c>
      <c r="K710" t="str">
        <v>タイ　コン　バン</v>
      </c>
      <c r="L710" t="str">
        <v>男</v>
      </c>
      <c r="M710" t="str">
        <v>ﾍﾞﾄﾅﾑ</v>
      </c>
      <c r="N710" s="31">
        <v>36618</v>
      </c>
      <c r="O710">
        <v>25</v>
      </c>
      <c r="P710">
        <v>1300</v>
      </c>
      <c r="Q710">
        <v>0</v>
      </c>
      <c r="R710">
        <v>1650</v>
      </c>
      <c r="S710">
        <v>0</v>
      </c>
      <c r="T710">
        <v>350</v>
      </c>
      <c r="U710">
        <v>220000</v>
      </c>
      <c r="V710">
        <v>11033</v>
      </c>
      <c r="W710" t="str">
        <v>0</v>
      </c>
      <c r="X710">
        <v>20130</v>
      </c>
      <c r="Y710" s="31">
        <v>46058</v>
      </c>
      <c r="Z710" t="str">
        <v/>
      </c>
      <c r="AA710" t="str">
        <v>技術・人文知識・国際業務</v>
      </c>
      <c r="AB710" t="str">
        <v>498-0017</v>
      </c>
      <c r="AC710" t="str">
        <v>愛知県弥富市前ヶ須町西勘助207</v>
      </c>
      <c r="AD710" t="str">
        <v>CASA弥冨A203</v>
      </c>
      <c r="AE710" s="31">
        <v>45308</v>
      </c>
      <c r="AF710" s="31">
        <v>45313</v>
      </c>
      <c r="AG710" s="31">
        <v>45743</v>
      </c>
      <c r="AH710" s="31">
        <v>0</v>
      </c>
      <c r="AI710" t="str">
        <v>24.1.22</v>
      </c>
      <c r="AJ710" t="str">
        <v>2/14林</v>
      </c>
      <c r="AK710">
        <v>0</v>
      </c>
      <c r="AL710">
        <v>45313</v>
      </c>
      <c r="AM710">
        <v>0</v>
      </c>
      <c r="AN710">
        <v>0</v>
      </c>
      <c r="AO710">
        <v>0</v>
      </c>
      <c r="AP710">
        <v>0</v>
      </c>
      <c r="AQ710">
        <v>0</v>
      </c>
      <c r="AR710">
        <v>0</v>
      </c>
    </row>
    <row r="711" spans="1:44">
      <c r="A711" t="str">
        <f>H711&amp;COUNTIF($H$2:H711,H711)</f>
        <v>ナット3</v>
      </c>
      <c r="B711" t="str">
        <f>F711&amp;COUNTIF($F$2:F711,F711)</f>
        <v>高雄工業 静岡67</v>
      </c>
      <c r="C711" t="str">
        <v>退社</v>
      </c>
      <c r="D711">
        <v>240110</v>
      </c>
      <c r="E711">
        <v>242102</v>
      </c>
      <c r="F711" t="str">
        <v>高雄工業 静岡</v>
      </c>
      <c r="G711" t="str">
        <v>高雄工業株式会社 静岡事業所第二工場製作課</v>
      </c>
      <c r="H711" t="str">
        <v>ナット</v>
      </c>
      <c r="I711" t="str">
        <v>産業機械部品の研磨加工、NCプログラム修正</v>
      </c>
      <c r="J711" t="str">
        <v>LAI MINH TU</v>
      </c>
      <c r="K711" t="str">
        <v>ライ　ミン　トウ</v>
      </c>
      <c r="L711" t="str">
        <v>男</v>
      </c>
      <c r="M711" t="str">
        <v>ﾍﾞﾄﾅﾑ</v>
      </c>
      <c r="N711" s="31">
        <v>36577</v>
      </c>
      <c r="O711">
        <v>25</v>
      </c>
      <c r="P711">
        <v>1300</v>
      </c>
      <c r="Q711">
        <v>0</v>
      </c>
      <c r="R711">
        <v>1700</v>
      </c>
      <c r="S711">
        <v>0</v>
      </c>
      <c r="T711">
        <v>400</v>
      </c>
      <c r="U711">
        <v>280000</v>
      </c>
      <c r="V711">
        <v>14042</v>
      </c>
      <c r="W711" t="str">
        <v>0</v>
      </c>
      <c r="X711">
        <v>25620</v>
      </c>
      <c r="Y711" s="31">
        <v>46039</v>
      </c>
      <c r="Z711" t="str">
        <v/>
      </c>
      <c r="AA711" t="str">
        <v>技術・人文知識・国際業務</v>
      </c>
      <c r="AB711" t="str">
        <v>437-0062</v>
      </c>
      <c r="AC711" t="str">
        <v>静岡県袋井市泉町1-5-3</v>
      </c>
      <c r="AD711" t="str">
        <v>BeehiveresidenceⅨ202</v>
      </c>
      <c r="AE711" s="31">
        <v>45308</v>
      </c>
      <c r="AF711" s="31">
        <v>45314</v>
      </c>
      <c r="AG711" s="31">
        <v>45775</v>
      </c>
      <c r="AH711" s="31">
        <v>0</v>
      </c>
      <c r="AI711" t="str">
        <v>24.1.23</v>
      </c>
      <c r="AJ711" t="str">
        <v>2/14林</v>
      </c>
      <c r="AK711">
        <v>0</v>
      </c>
      <c r="AL711">
        <v>45314</v>
      </c>
      <c r="AM711">
        <v>0</v>
      </c>
      <c r="AN711">
        <v>0</v>
      </c>
      <c r="AO711">
        <v>0</v>
      </c>
      <c r="AP711">
        <v>0</v>
      </c>
      <c r="AQ711">
        <v>0</v>
      </c>
      <c r="AR711">
        <v>0</v>
      </c>
    </row>
    <row r="712" spans="1:44">
      <c r="A712" t="str">
        <f>H712&amp;COUNTIF($H$2:H712,H712)</f>
        <v>等速ジョイント30</v>
      </c>
      <c r="B712" t="str">
        <f>F712&amp;COUNTIF($F$2:F712,F712)</f>
        <v>瑞陵精機43</v>
      </c>
      <c r="C712" t="str">
        <v>在職中</v>
      </c>
      <c r="D712">
        <v>240114</v>
      </c>
      <c r="E712">
        <v>0</v>
      </c>
      <c r="F712" t="str">
        <v>瑞陵精機</v>
      </c>
      <c r="G712" t="str">
        <v>製造課</v>
      </c>
      <c r="H712" t="str">
        <v>等速ジョイント</v>
      </c>
      <c r="I712" t="str">
        <v>ＮＣ旋盤、マシニングセンター等の工作機械を使いオペレーターとして製造ラインで製品を加工</v>
      </c>
      <c r="J712" t="str">
        <v>BUI VAN TRANG</v>
      </c>
      <c r="K712" t="str">
        <v>ブイ　ヴァン　チャン</v>
      </c>
      <c r="L712" t="str">
        <v>男</v>
      </c>
      <c r="M712" t="str">
        <v>ﾍﾞﾄﾅﾑ</v>
      </c>
      <c r="N712" s="31">
        <v>34160</v>
      </c>
      <c r="O712">
        <v>32</v>
      </c>
      <c r="P712">
        <v>1200</v>
      </c>
      <c r="Q712">
        <v>0</v>
      </c>
      <c r="R712">
        <v>1700</v>
      </c>
      <c r="S712">
        <v>0</v>
      </c>
      <c r="T712">
        <v>500</v>
      </c>
      <c r="U712">
        <v>240000</v>
      </c>
      <c r="V712">
        <v>12036</v>
      </c>
      <c r="W712" t="str">
        <v>0</v>
      </c>
      <c r="X712">
        <v>21960</v>
      </c>
      <c r="Y712" s="31">
        <v>46813</v>
      </c>
      <c r="Z712" t="str">
        <v/>
      </c>
      <c r="AA712" t="str">
        <v>技術・人文知識・国際業務</v>
      </c>
      <c r="AB712" t="str">
        <v>509-7201</v>
      </c>
      <c r="AC712" t="str">
        <v>岐阜県恵那市大井町2087-170</v>
      </c>
      <c r="AD712" t="str">
        <v>ﾋﾞﾚｯｼﾞﾊｳｽ恵那1号棟406</v>
      </c>
      <c r="AE712" s="31" t="str">
        <v>個人</v>
      </c>
      <c r="AF712" s="31">
        <v>45314</v>
      </c>
      <c r="AG712" s="31">
        <v>0</v>
      </c>
      <c r="AH712" s="31">
        <v>0</v>
      </c>
      <c r="AI712" t="str">
        <v>24.1.23</v>
      </c>
      <c r="AJ712" t="str">
        <v>2/14林</v>
      </c>
      <c r="AK712">
        <v>0</v>
      </c>
      <c r="AL712">
        <v>45314</v>
      </c>
      <c r="AM712">
        <v>0</v>
      </c>
      <c r="AN712">
        <v>0</v>
      </c>
      <c r="AO712">
        <v>0</v>
      </c>
      <c r="AP712">
        <v>0</v>
      </c>
      <c r="AQ712">
        <v>0</v>
      </c>
      <c r="AR712">
        <v>0</v>
      </c>
    </row>
    <row r="713" spans="1:44">
      <c r="A713" t="str">
        <f>H713&amp;COUNTIF($H$2:H713,H713)</f>
        <v>0245</v>
      </c>
      <c r="B713" t="str">
        <f>F713&amp;COUNTIF($F$2:F713,F713)</f>
        <v>瑞陵精機44</v>
      </c>
      <c r="C713" t="str">
        <v>退社</v>
      </c>
      <c r="D713">
        <v>240115</v>
      </c>
      <c r="E713">
        <v>0</v>
      </c>
      <c r="F713" t="str">
        <v>瑞陵精機</v>
      </c>
      <c r="G713">
        <v>0</v>
      </c>
      <c r="H713">
        <v>0</v>
      </c>
      <c r="I713">
        <v>0</v>
      </c>
      <c r="J713" t="str">
        <v>DUONG THANH BINH</v>
      </c>
      <c r="K713" t="str">
        <v>ズオン　タン　ビン</v>
      </c>
      <c r="L713" t="str">
        <v>男</v>
      </c>
      <c r="M713" t="str">
        <v>ﾍﾞﾄﾅﾑ</v>
      </c>
      <c r="N713" s="31">
        <v>35457</v>
      </c>
      <c r="O713">
        <v>28</v>
      </c>
      <c r="P713">
        <v>1200</v>
      </c>
      <c r="Q713">
        <v>0</v>
      </c>
      <c r="R713">
        <v>1700</v>
      </c>
      <c r="S713">
        <v>0</v>
      </c>
      <c r="T713">
        <v>500</v>
      </c>
      <c r="U713">
        <v>190000</v>
      </c>
      <c r="V713">
        <v>9528</v>
      </c>
      <c r="W713" t="str">
        <v>0</v>
      </c>
      <c r="X713">
        <v>17385</v>
      </c>
      <c r="Y713" s="31">
        <v>46548</v>
      </c>
      <c r="Z713" t="str">
        <v/>
      </c>
      <c r="AA713" t="str">
        <v>技術・人文知識・国際業務</v>
      </c>
      <c r="AB713" t="str">
        <v>509-7201</v>
      </c>
      <c r="AC713" t="str">
        <v>岐阜県恵那市大井町1120-303</v>
      </c>
      <c r="AD713" t="str">
        <v>各務ﾊｲﾂ2D</v>
      </c>
      <c r="AE713" s="31">
        <v>45310</v>
      </c>
      <c r="AF713" s="31">
        <v>45314</v>
      </c>
      <c r="AG713" s="31">
        <v>45379</v>
      </c>
      <c r="AH713" s="31">
        <v>0</v>
      </c>
      <c r="AI713" t="str">
        <v>24.1.23</v>
      </c>
      <c r="AJ713">
        <v>0</v>
      </c>
      <c r="AK713">
        <v>0</v>
      </c>
      <c r="AL713">
        <v>45314</v>
      </c>
      <c r="AM713">
        <v>0</v>
      </c>
      <c r="AN713">
        <v>0</v>
      </c>
      <c r="AO713">
        <v>0</v>
      </c>
      <c r="AP713">
        <v>0</v>
      </c>
      <c r="AQ713">
        <v>0</v>
      </c>
      <c r="AR713">
        <v>0</v>
      </c>
    </row>
    <row r="714" spans="1:44">
      <c r="A714" t="str">
        <f>H714&amp;COUNTIF($H$2:H714,H714)</f>
        <v>チャンファー2</v>
      </c>
      <c r="B714" t="str">
        <f>F714&amp;COUNTIF($F$2:F714,F714)</f>
        <v>高雄工業 静岡68</v>
      </c>
      <c r="C714" t="str">
        <v>在職中</v>
      </c>
      <c r="D714">
        <v>231212</v>
      </c>
      <c r="E714">
        <v>242087</v>
      </c>
      <c r="F714" t="str">
        <v>高雄工業 静岡</v>
      </c>
      <c r="G714" t="str">
        <v>高雄工業株式会社 静岡事業所第一工場製作課</v>
      </c>
      <c r="H714" t="str">
        <v>チャンファー</v>
      </c>
      <c r="I714" t="str">
        <v>産業機械部品の研磨加工、NCプログラム修正</v>
      </c>
      <c r="J714" t="str">
        <v>PHAM KHANH LINH</v>
      </c>
      <c r="K714" t="str">
        <v>ファム　カイン　リン</v>
      </c>
      <c r="L714" t="str">
        <v>男</v>
      </c>
      <c r="M714" t="str">
        <v>ﾍﾞﾄﾅﾑ</v>
      </c>
      <c r="N714" s="31">
        <v>36648</v>
      </c>
      <c r="O714">
        <v>25</v>
      </c>
      <c r="P714">
        <v>1300</v>
      </c>
      <c r="Q714">
        <v>0</v>
      </c>
      <c r="R714">
        <v>1680</v>
      </c>
      <c r="S714">
        <v>0</v>
      </c>
      <c r="T714">
        <v>380</v>
      </c>
      <c r="U714">
        <v>260000</v>
      </c>
      <c r="V714">
        <v>13039</v>
      </c>
      <c r="W714" t="str">
        <v>0</v>
      </c>
      <c r="X714">
        <v>23790</v>
      </c>
      <c r="Y714" s="31">
        <v>47084</v>
      </c>
      <c r="Z714" t="str">
        <v/>
      </c>
      <c r="AA714" t="str">
        <v>技術・人文知識・国際業務</v>
      </c>
      <c r="AB714" t="str">
        <v>437-0065</v>
      </c>
      <c r="AC714" t="str">
        <v>静岡県袋井市堀越3-7-1</v>
      </c>
      <c r="AD714" t="str">
        <v>ｸﾚｰﾙ103</v>
      </c>
      <c r="AE714" s="31">
        <v>45257</v>
      </c>
      <c r="AF714" s="31">
        <v>45264</v>
      </c>
      <c r="AG714" s="31">
        <v>0</v>
      </c>
      <c r="AH714" s="31">
        <v>0</v>
      </c>
      <c r="AI714" t="str">
        <v>23.12.4</v>
      </c>
      <c r="AJ714" t="str">
        <v>12/18林</v>
      </c>
      <c r="AK714">
        <v>0</v>
      </c>
      <c r="AL714">
        <v>45264</v>
      </c>
      <c r="AM714">
        <v>0</v>
      </c>
      <c r="AN714">
        <v>0</v>
      </c>
      <c r="AO714">
        <v>0</v>
      </c>
      <c r="AP714">
        <v>0</v>
      </c>
      <c r="AQ714" t="str">
        <v>JLPT-N4</v>
      </c>
      <c r="AR714">
        <v>0</v>
      </c>
    </row>
    <row r="715" spans="1:44">
      <c r="A715" t="str">
        <f>H715&amp;COUNTIF($H$2:H715,H715)</f>
        <v>チャンファー3</v>
      </c>
      <c r="B715" t="str">
        <f>F715&amp;COUNTIF($F$2:F715,F715)</f>
        <v>高雄工業 静岡69</v>
      </c>
      <c r="C715" t="str">
        <v>在職中</v>
      </c>
      <c r="D715">
        <v>241213</v>
      </c>
      <c r="E715">
        <v>242115</v>
      </c>
      <c r="F715" t="str">
        <v>高雄工業 静岡</v>
      </c>
      <c r="G715" t="str">
        <v>高雄工業株式会社 静岡事業所第一工場製作課</v>
      </c>
      <c r="H715" t="str">
        <v>チャンファー</v>
      </c>
      <c r="I715" t="str">
        <v>産業機械部品の研磨加工、NCプログラム修正</v>
      </c>
      <c r="J715" t="str">
        <v>NGUYEN HAI LONG</v>
      </c>
      <c r="K715" t="str">
        <v>グエン　ハイ　ロン</v>
      </c>
      <c r="L715" t="str">
        <v>男</v>
      </c>
      <c r="M715" t="str">
        <v>ﾍﾞﾄﾅﾑ</v>
      </c>
      <c r="N715" s="31">
        <v>37570</v>
      </c>
      <c r="O715">
        <v>23</v>
      </c>
      <c r="P715">
        <v>1250</v>
      </c>
      <c r="Q715">
        <v>0</v>
      </c>
      <c r="R715">
        <v>1660</v>
      </c>
      <c r="S715">
        <v>0</v>
      </c>
      <c r="T715">
        <v>410</v>
      </c>
      <c r="U715">
        <v>240000</v>
      </c>
      <c r="V715">
        <v>12036</v>
      </c>
      <c r="W715" t="str">
        <v>0</v>
      </c>
      <c r="X715">
        <v>21960</v>
      </c>
      <c r="Y715" s="31">
        <v>46002</v>
      </c>
      <c r="Z715">
        <v>7</v>
      </c>
      <c r="AA715" t="str">
        <v>技術・人文知識・国際業務</v>
      </c>
      <c r="AB715" t="str">
        <v>437-0016</v>
      </c>
      <c r="AC715" t="str">
        <v>静岡県袋井市葵町3丁目3-3</v>
      </c>
      <c r="AD715" t="str">
        <v>BeehiveresidenceⅢ201</v>
      </c>
      <c r="AE715" s="31">
        <v>0</v>
      </c>
      <c r="AF715" s="31">
        <v>45643</v>
      </c>
      <c r="AG715" s="31">
        <v>0</v>
      </c>
      <c r="AH715" s="31">
        <v>0</v>
      </c>
      <c r="AI715">
        <v>45643</v>
      </c>
      <c r="AJ715" t="str">
        <v>12/26林</v>
      </c>
      <c r="AK715">
        <v>0</v>
      </c>
      <c r="AL715">
        <v>45643</v>
      </c>
      <c r="AM715">
        <v>0</v>
      </c>
      <c r="AN715">
        <v>0</v>
      </c>
      <c r="AO715">
        <v>0</v>
      </c>
      <c r="AP715">
        <v>0</v>
      </c>
      <c r="AQ715">
        <v>0</v>
      </c>
      <c r="AR715">
        <v>0</v>
      </c>
    </row>
    <row r="716" spans="1:44">
      <c r="A716" t="str">
        <f>H716&amp;COUNTIF($H$2:H716,H716)</f>
        <v>チャンファー4</v>
      </c>
      <c r="B716" t="str">
        <f>F716&amp;COUNTIF($F$2:F716,F716)</f>
        <v>高雄工業 静岡70</v>
      </c>
      <c r="C716" t="str">
        <v>在職中</v>
      </c>
      <c r="D716">
        <v>250607</v>
      </c>
      <c r="E716">
        <v>242132</v>
      </c>
      <c r="F716" t="str">
        <v>高雄工業 静岡</v>
      </c>
      <c r="G716" t="str">
        <v>高雄工業株式会社 静岡事業所第一工場製作課</v>
      </c>
      <c r="H716" t="str">
        <v>チャンファー</v>
      </c>
      <c r="I716" t="str">
        <v>産業機械部品の研磨加工、NCプログラム修正</v>
      </c>
      <c r="J716" t="str">
        <v>BUI NGOC TIN</v>
      </c>
      <c r="K716" t="str">
        <v>ブイ　ゴック　ティン</v>
      </c>
      <c r="L716" t="str">
        <v>男</v>
      </c>
      <c r="M716" t="str">
        <v>ﾍﾞﾄﾅﾑ</v>
      </c>
      <c r="N716" s="31">
        <v>37360</v>
      </c>
      <c r="O716">
        <v>23</v>
      </c>
      <c r="P716">
        <v>1200</v>
      </c>
      <c r="Q716">
        <v>0</v>
      </c>
      <c r="R716">
        <v>1650</v>
      </c>
      <c r="S716">
        <v>0</v>
      </c>
      <c r="T716">
        <v>450</v>
      </c>
      <c r="U716">
        <v>200000</v>
      </c>
      <c r="V716">
        <v>10030</v>
      </c>
      <c r="W716" t="str">
        <v>0</v>
      </c>
      <c r="X716">
        <v>18300</v>
      </c>
      <c r="Y716" s="31">
        <v>46186</v>
      </c>
      <c r="Z716" t="str">
        <v/>
      </c>
      <c r="AA716" t="str">
        <v>技術・人文知識・国際業務</v>
      </c>
      <c r="AB716" t="str">
        <v>437-0065</v>
      </c>
      <c r="AC716" t="str">
        <v>静岡県袋井市堀越1丁目14-6</v>
      </c>
      <c r="AD716" t="str">
        <v>ﾊｰﾓﾆｰ201</v>
      </c>
      <c r="AE716" s="31">
        <v>45821</v>
      </c>
      <c r="AF716" s="31">
        <v>45828</v>
      </c>
      <c r="AG716" s="31">
        <v>0</v>
      </c>
      <c r="AH716" s="31">
        <v>0</v>
      </c>
      <c r="AI716">
        <v>45828</v>
      </c>
      <c r="AJ716" t="str">
        <v>7/14林</v>
      </c>
      <c r="AK716">
        <v>0</v>
      </c>
      <c r="AL716">
        <v>45828</v>
      </c>
      <c r="AM716">
        <v>0</v>
      </c>
      <c r="AN716">
        <v>0</v>
      </c>
      <c r="AO716">
        <v>0</v>
      </c>
      <c r="AP716">
        <v>0</v>
      </c>
      <c r="AQ716">
        <v>0</v>
      </c>
      <c r="AR716">
        <v>0</v>
      </c>
    </row>
    <row r="717" spans="1:44">
      <c r="A717" t="str">
        <f>H717&amp;COUNTIF($H$2:H717,H717)</f>
        <v>0246</v>
      </c>
      <c r="B717" t="str">
        <f>F717&amp;COUNTIF($F$2:F717,F717)</f>
        <v>高雄工業 静岡71</v>
      </c>
      <c r="C717" t="str">
        <v>退社</v>
      </c>
      <c r="D717">
        <v>240116</v>
      </c>
      <c r="E717">
        <v>0</v>
      </c>
      <c r="F717" t="str">
        <v>高雄工業 静岡</v>
      </c>
      <c r="G717" t="str">
        <v>高雄工業株式会社 静岡事業所第一工場製作課</v>
      </c>
      <c r="H717">
        <v>0</v>
      </c>
      <c r="I717">
        <v>0</v>
      </c>
      <c r="J717" t="str">
        <v>BUI VAN CHINH</v>
      </c>
      <c r="K717" t="str">
        <v>ブイ　バン　チン</v>
      </c>
      <c r="L717" t="str">
        <v>男</v>
      </c>
      <c r="M717" t="str">
        <v>ﾍﾞﾄﾅﾑ</v>
      </c>
      <c r="N717" s="31">
        <v>32245</v>
      </c>
      <c r="O717">
        <v>37</v>
      </c>
      <c r="P717">
        <v>1200</v>
      </c>
      <c r="Q717">
        <v>0</v>
      </c>
      <c r="R717">
        <v>1650</v>
      </c>
      <c r="S717">
        <v>0</v>
      </c>
      <c r="T717">
        <v>450</v>
      </c>
      <c r="U717">
        <v>180000</v>
      </c>
      <c r="V717">
        <v>9027</v>
      </c>
      <c r="W717" t="str">
        <v>0</v>
      </c>
      <c r="X717">
        <v>16470</v>
      </c>
      <c r="Y717" s="31">
        <v>45679</v>
      </c>
      <c r="Z717" t="str">
        <v/>
      </c>
      <c r="AA717" t="str">
        <v>技術・人文知識・国際業務</v>
      </c>
      <c r="AB717" t="str">
        <v>437-0066</v>
      </c>
      <c r="AC717" t="str">
        <v>静岡県袋井市山科2844-1</v>
      </c>
      <c r="AD717" t="str">
        <v>ｳﾞｨﾚﾁﾞﾌｫｰB101</v>
      </c>
      <c r="AE717" s="31">
        <v>45314</v>
      </c>
      <c r="AF717" s="31">
        <v>45316</v>
      </c>
      <c r="AG717" s="31">
        <v>45324</v>
      </c>
      <c r="AH717" s="31">
        <v>0</v>
      </c>
      <c r="AI717">
        <v>0</v>
      </c>
      <c r="AJ717">
        <v>0</v>
      </c>
      <c r="AK717">
        <v>0</v>
      </c>
      <c r="AL717">
        <v>45316</v>
      </c>
      <c r="AM717">
        <v>0</v>
      </c>
      <c r="AN717">
        <v>0</v>
      </c>
      <c r="AO717">
        <v>0</v>
      </c>
      <c r="AP717">
        <v>0</v>
      </c>
      <c r="AQ717">
        <v>0</v>
      </c>
      <c r="AR717">
        <v>0</v>
      </c>
    </row>
    <row r="718" spans="1:44">
      <c r="A718" t="str">
        <f>H718&amp;COUNTIF($H$2:H718,H718)</f>
        <v>チャンファー5</v>
      </c>
      <c r="B718" t="str">
        <f>F718&amp;COUNTIF($F$2:F718,F718)</f>
        <v>高雄工業 静岡72</v>
      </c>
      <c r="C718" t="str">
        <v>在職中</v>
      </c>
      <c r="D718">
        <v>250803</v>
      </c>
      <c r="E718">
        <v>242134</v>
      </c>
      <c r="F718" t="str">
        <v>高雄工業 静岡</v>
      </c>
      <c r="G718" t="str">
        <v>高雄工業株式会社 静岡事業所第一工場製作課</v>
      </c>
      <c r="H718" t="str">
        <v>チャンファー</v>
      </c>
      <c r="I718" t="str">
        <v>産業機械部品の研磨加工、NCプログラム修正</v>
      </c>
      <c r="J718" t="str">
        <v>HUA TRUONG TIEN</v>
      </c>
      <c r="K718" t="str">
        <v>フア　チュオン　ティエン</v>
      </c>
      <c r="L718" t="str">
        <v>男</v>
      </c>
      <c r="M718" t="str">
        <v>ﾍﾞﾄﾅﾑ</v>
      </c>
      <c r="N718" s="31">
        <v>37470</v>
      </c>
      <c r="O718">
        <v>23</v>
      </c>
      <c r="P718">
        <v>1200</v>
      </c>
      <c r="Q718">
        <v>0</v>
      </c>
      <c r="R718">
        <v>1650</v>
      </c>
      <c r="S718">
        <v>0</v>
      </c>
      <c r="T718">
        <v>450</v>
      </c>
      <c r="U718">
        <v>160000</v>
      </c>
      <c r="V718">
        <v>8024</v>
      </c>
      <c r="W718" t="str">
        <v>0</v>
      </c>
      <c r="X718">
        <v>14640</v>
      </c>
      <c r="Y718" s="31">
        <v>47694</v>
      </c>
      <c r="Z718" t="str">
        <v/>
      </c>
      <c r="AA718" t="str">
        <v>技術・人文知識・国際業務</v>
      </c>
      <c r="AB718" t="str">
        <v>437-0065</v>
      </c>
      <c r="AC718" t="str">
        <v>静岡県袋井市堀越1丁目15-1</v>
      </c>
      <c r="AD718" t="str">
        <v>ﾃﾞｲﾌﾞﾚｲｸ406</v>
      </c>
      <c r="AE718" s="31">
        <v>0</v>
      </c>
      <c r="AF718" s="31">
        <v>45873</v>
      </c>
      <c r="AG718" s="31">
        <v>0</v>
      </c>
      <c r="AH718" s="31">
        <v>0</v>
      </c>
      <c r="AI718">
        <v>45873</v>
      </c>
      <c r="AJ718" t="str">
        <v>8/25林</v>
      </c>
      <c r="AK718">
        <v>0</v>
      </c>
      <c r="AL718">
        <v>45873</v>
      </c>
      <c r="AM718">
        <v>0</v>
      </c>
      <c r="AN718">
        <v>0</v>
      </c>
      <c r="AO718">
        <v>0</v>
      </c>
      <c r="AP718">
        <v>0</v>
      </c>
      <c r="AQ718">
        <v>0</v>
      </c>
      <c r="AR718">
        <v>0</v>
      </c>
    </row>
    <row r="719" spans="1:44">
      <c r="A719" t="str">
        <f>H719&amp;COUNTIF($H$2:H719,H719)</f>
        <v>0247</v>
      </c>
      <c r="B719" t="str">
        <f>F719&amp;COUNTIF($F$2:F719,F719)</f>
        <v>ﾌｪﾆﾃｯｸｾﾐｺﾝﾀﾞｸﾀｰ 鹿児島21</v>
      </c>
      <c r="C719" t="str">
        <v>退社</v>
      </c>
      <c r="D719">
        <v>220214</v>
      </c>
      <c r="E719">
        <v>0</v>
      </c>
      <c r="F719" t="str">
        <v>ﾌｪﾆﾃｯｸｾﾐｺﾝﾀﾞｸﾀｰ 鹿児島</v>
      </c>
      <c r="G719">
        <v>0</v>
      </c>
      <c r="H719">
        <v>0</v>
      </c>
      <c r="I719">
        <v>0</v>
      </c>
      <c r="J719" t="str">
        <v>NGUYEN DUY HONG</v>
      </c>
      <c r="K719" t="str">
        <v>グエン　ドゥイ　ホン</v>
      </c>
      <c r="L719" t="str">
        <v>男</v>
      </c>
      <c r="M719" t="str">
        <v>ﾍﾞﾄﾅﾑ</v>
      </c>
      <c r="N719" s="31">
        <v>36030</v>
      </c>
      <c r="O719">
        <v>27</v>
      </c>
      <c r="P719">
        <v>1450</v>
      </c>
      <c r="Q719">
        <v>0</v>
      </c>
      <c r="R719">
        <v>2100</v>
      </c>
      <c r="S719">
        <v>0</v>
      </c>
      <c r="T719">
        <v>650</v>
      </c>
      <c r="U719">
        <v>300000</v>
      </c>
      <c r="V719">
        <v>15045</v>
      </c>
      <c r="W719" t="str">
        <v>0</v>
      </c>
      <c r="X719">
        <v>27450</v>
      </c>
      <c r="Y719" s="31">
        <v>46079</v>
      </c>
      <c r="Z719" t="str">
        <v/>
      </c>
      <c r="AA719" t="str">
        <v>技術・人文知識・国際業務</v>
      </c>
      <c r="AB719" t="str">
        <v>899-6201</v>
      </c>
      <c r="AC719" t="str">
        <v>鹿児島県姶良郡湧水町木場280-3</v>
      </c>
      <c r="AD719" t="str">
        <v>宮前ﾂｲﾝﾊｲﾂA101</v>
      </c>
      <c r="AE719" s="31">
        <v>0</v>
      </c>
      <c r="AF719" s="31">
        <v>45321</v>
      </c>
      <c r="AG719" s="31">
        <v>45819</v>
      </c>
      <c r="AH719" s="31">
        <v>0</v>
      </c>
      <c r="AI719" t="str">
        <v>24.1.30</v>
      </c>
      <c r="AJ719" t="str">
        <v>2/28林</v>
      </c>
      <c r="AK719">
        <v>0</v>
      </c>
      <c r="AL719">
        <v>45321</v>
      </c>
      <c r="AM719">
        <v>0</v>
      </c>
      <c r="AN719">
        <v>0</v>
      </c>
      <c r="AO719">
        <v>0</v>
      </c>
      <c r="AP719">
        <v>0</v>
      </c>
      <c r="AQ719">
        <v>0</v>
      </c>
      <c r="AR719">
        <v>0</v>
      </c>
    </row>
    <row r="720" spans="1:44">
      <c r="A720" t="str">
        <f>H720&amp;COUNTIF($H$2:H720,H720)</f>
        <v>0248</v>
      </c>
      <c r="B720" t="str">
        <f>F720&amp;COUNTIF($F$2:F720,F720)</f>
        <v>ワーク 堺9</v>
      </c>
      <c r="C720" t="str">
        <v>退社</v>
      </c>
      <c r="D720">
        <v>240201</v>
      </c>
      <c r="E720">
        <v>0</v>
      </c>
      <c r="F720" t="str">
        <v>ワーク 堺</v>
      </c>
      <c r="G720">
        <v>0</v>
      </c>
      <c r="H720">
        <v>0</v>
      </c>
      <c r="I720">
        <v>0</v>
      </c>
      <c r="J720" t="str">
        <v>LUONG VAN HAI</v>
      </c>
      <c r="K720" t="str">
        <v>ルオン　ヴァン　ハイ</v>
      </c>
      <c r="L720" t="str">
        <v>男</v>
      </c>
      <c r="M720" t="str">
        <v>ﾍﾞﾄﾅﾑ</v>
      </c>
      <c r="N720" s="31">
        <v>32830</v>
      </c>
      <c r="O720">
        <v>36</v>
      </c>
      <c r="P720">
        <v>1400</v>
      </c>
      <c r="Q720">
        <v>0</v>
      </c>
      <c r="R720">
        <v>1900</v>
      </c>
      <c r="S720">
        <v>0</v>
      </c>
      <c r="T720">
        <v>500</v>
      </c>
      <c r="U720">
        <v>220000</v>
      </c>
      <c r="V720">
        <v>11033</v>
      </c>
      <c r="W720" t="str">
        <v>0</v>
      </c>
      <c r="X720">
        <v>20130</v>
      </c>
      <c r="Y720" s="31">
        <v>45499</v>
      </c>
      <c r="Z720" t="str">
        <v/>
      </c>
      <c r="AA720" t="str">
        <v>技術・人文知識・国際業務</v>
      </c>
      <c r="AB720" t="str">
        <v>594-0082</v>
      </c>
      <c r="AC720" t="str">
        <v>大阪府和泉市富秋町3丁目11番25</v>
      </c>
      <c r="AD720" t="str">
        <v>104号</v>
      </c>
      <c r="AE720" s="31" t="str">
        <v>個人</v>
      </c>
      <c r="AF720" s="31">
        <v>45323</v>
      </c>
      <c r="AG720" s="31">
        <v>45408</v>
      </c>
      <c r="AH720" s="31">
        <v>0</v>
      </c>
      <c r="AI720">
        <v>0</v>
      </c>
      <c r="AJ720" t="str">
        <v>2/14林</v>
      </c>
      <c r="AK720">
        <v>0</v>
      </c>
      <c r="AL720">
        <v>45323</v>
      </c>
      <c r="AM720">
        <v>0</v>
      </c>
      <c r="AN720">
        <v>0</v>
      </c>
      <c r="AO720">
        <v>0</v>
      </c>
      <c r="AP720">
        <v>0</v>
      </c>
      <c r="AQ720">
        <v>0</v>
      </c>
      <c r="AR720">
        <v>0</v>
      </c>
    </row>
    <row r="721" spans="1:44">
      <c r="A721" t="str">
        <f>H721&amp;COUNTIF($H$2:H721,H721)</f>
        <v>旋盤ライン26</v>
      </c>
      <c r="B721" t="str">
        <f>F721&amp;COUNTIF($F$2:F721,F721)</f>
        <v>川原鉄工所29</v>
      </c>
      <c r="C721" t="str">
        <v>退社</v>
      </c>
      <c r="D721">
        <v>240202</v>
      </c>
      <c r="E721">
        <v>0</v>
      </c>
      <c r="F721" t="str">
        <v>川原鉄工所</v>
      </c>
      <c r="G721" t="str">
        <v>製造部</v>
      </c>
      <c r="H721" t="str">
        <v>旋盤ライン</v>
      </c>
      <c r="I721" t="str">
        <v>ATミッション部品をはじめとする、各種自動車部品の製造</v>
      </c>
      <c r="J721" t="str">
        <v>VU TRUNG HIEU</v>
      </c>
      <c r="K721" t="str">
        <v>ヴー　チュン　ヒュー</v>
      </c>
      <c r="L721" t="str">
        <v>男</v>
      </c>
      <c r="M721" t="str">
        <v>ﾍﾞﾄﾅﾑ</v>
      </c>
      <c r="N721" s="31">
        <v>33244</v>
      </c>
      <c r="O721">
        <v>34</v>
      </c>
      <c r="P721">
        <v>1300</v>
      </c>
      <c r="Q721">
        <v>0</v>
      </c>
      <c r="R721">
        <v>1650</v>
      </c>
      <c r="S721">
        <v>0</v>
      </c>
      <c r="T721">
        <v>350</v>
      </c>
      <c r="U721">
        <v>200000</v>
      </c>
      <c r="V721">
        <v>10030</v>
      </c>
      <c r="W721" t="str">
        <v>0</v>
      </c>
      <c r="X721">
        <v>18300</v>
      </c>
      <c r="Y721" s="31">
        <v>45772</v>
      </c>
      <c r="Z721" t="str">
        <v/>
      </c>
      <c r="AA721" t="str">
        <v>技術・人文知識・国際業務</v>
      </c>
      <c r="AB721" t="str">
        <v>454-0835</v>
      </c>
      <c r="AC721" t="str">
        <v>愛知県名古屋市中川区八家町2-164-1</v>
      </c>
      <c r="AD721" t="str">
        <v>Court八家3D号</v>
      </c>
      <c r="AE721" s="31" t="str">
        <v>個人</v>
      </c>
      <c r="AF721" s="31">
        <v>45323</v>
      </c>
      <c r="AG721" s="31">
        <v>45457</v>
      </c>
      <c r="AH721" s="31">
        <v>0</v>
      </c>
      <c r="AI721" t="str">
        <v>24.2.1</v>
      </c>
      <c r="AJ721" t="str">
        <v>2/28林</v>
      </c>
      <c r="AK721">
        <v>0</v>
      </c>
      <c r="AL721">
        <v>45323</v>
      </c>
      <c r="AM721">
        <v>0</v>
      </c>
      <c r="AN721">
        <v>0</v>
      </c>
      <c r="AO721">
        <v>0</v>
      </c>
      <c r="AP721">
        <v>0</v>
      </c>
      <c r="AQ721">
        <v>0</v>
      </c>
      <c r="AR721">
        <v>0</v>
      </c>
    </row>
    <row r="722" spans="1:44">
      <c r="A722" t="str">
        <f>H722&amp;COUNTIF($H$2:H722,H722)</f>
        <v>CAD2</v>
      </c>
      <c r="B722" t="str">
        <f>F722&amp;COUNTIF($F$2:F722,F722)</f>
        <v>ﾃｨｰｹｰｴﾝｼﾞﾆｱﾘﾝｸﾞ2</v>
      </c>
      <c r="C722" t="str">
        <v>在職中</v>
      </c>
      <c r="D722">
        <v>201001</v>
      </c>
      <c r="E722">
        <v>225003</v>
      </c>
      <c r="F722" t="str">
        <v>ﾃｨｰｹｰｴﾝｼﾞﾆｱﾘﾝｸﾞ</v>
      </c>
      <c r="G722" t="str">
        <v>TKE高周波開発部</v>
      </c>
      <c r="H722" t="str">
        <v>CAD</v>
      </c>
      <c r="I722" t="str">
        <v>コイル製作・加工業務</v>
      </c>
      <c r="J722" t="str">
        <v>PHAM BA BACH</v>
      </c>
      <c r="K722" t="str">
        <v>ファン　バ　バック</v>
      </c>
      <c r="L722" t="str">
        <v>男</v>
      </c>
      <c r="M722" t="str">
        <v>ﾍﾞﾄﾅﾑ</v>
      </c>
      <c r="N722" s="31">
        <v>33380</v>
      </c>
      <c r="O722">
        <v>34</v>
      </c>
      <c r="P722">
        <v>1400</v>
      </c>
      <c r="Q722">
        <v>0</v>
      </c>
      <c r="R722">
        <v>1800</v>
      </c>
      <c r="S722">
        <v>0</v>
      </c>
      <c r="T722">
        <v>400</v>
      </c>
      <c r="U722">
        <v>300000</v>
      </c>
      <c r="V722">
        <v>15045</v>
      </c>
      <c r="W722" t="str">
        <v>0</v>
      </c>
      <c r="X722">
        <v>27450</v>
      </c>
      <c r="Y722" s="31">
        <v>46663</v>
      </c>
      <c r="Z722" t="str">
        <v/>
      </c>
      <c r="AA722" t="str">
        <v>技術・人文知識・国際業務</v>
      </c>
      <c r="AB722" t="str">
        <v>498-0017</v>
      </c>
      <c r="AC722" t="str">
        <v>愛知県弥富市前ヶ須町勘助走34-1</v>
      </c>
      <c r="AD722" t="str">
        <v>ｱﾄﾚB棟205</v>
      </c>
      <c r="AE722" s="31">
        <v>0</v>
      </c>
      <c r="AF722" s="31">
        <v>45327</v>
      </c>
      <c r="AG722" s="31">
        <v>0</v>
      </c>
      <c r="AH722" s="31">
        <v>0</v>
      </c>
      <c r="AI722" t="str">
        <v>24.2.5</v>
      </c>
      <c r="AJ722" t="str">
        <v>2/28林</v>
      </c>
      <c r="AK722">
        <v>0</v>
      </c>
      <c r="AL722">
        <v>45327</v>
      </c>
      <c r="AM722">
        <v>0</v>
      </c>
      <c r="AN722">
        <v>0</v>
      </c>
      <c r="AO722">
        <v>0</v>
      </c>
      <c r="AP722">
        <v>0</v>
      </c>
      <c r="AQ722">
        <v>0</v>
      </c>
      <c r="AR722">
        <v>0</v>
      </c>
    </row>
    <row r="723" spans="1:44">
      <c r="A723" t="str">
        <f>H723&amp;COUNTIF($H$2:H723,H723)</f>
        <v>0249</v>
      </c>
      <c r="B723" t="str">
        <f>F723&amp;COUNTIF($F$2:F723,F723)</f>
        <v>アサヒフォージ1</v>
      </c>
      <c r="C723" t="str">
        <v>退社</v>
      </c>
      <c r="D723">
        <v>240203</v>
      </c>
      <c r="E723">
        <v>0</v>
      </c>
      <c r="F723" t="str">
        <v>アサヒフォージ</v>
      </c>
      <c r="G723">
        <v>0</v>
      </c>
      <c r="H723">
        <v>0</v>
      </c>
      <c r="I723">
        <v>0</v>
      </c>
      <c r="J723" t="str">
        <v>NGUYEN THANH LONG</v>
      </c>
      <c r="K723" t="str">
        <v>グエン　タイン　ロン</v>
      </c>
      <c r="L723" t="str">
        <v>男</v>
      </c>
      <c r="M723" t="str">
        <v>ﾍﾞﾄﾅﾑ</v>
      </c>
      <c r="N723" s="31">
        <v>35886</v>
      </c>
      <c r="O723">
        <v>27</v>
      </c>
      <c r="P723">
        <v>1600</v>
      </c>
      <c r="Q723">
        <v>0</v>
      </c>
      <c r="R723">
        <v>2200</v>
      </c>
      <c r="S723">
        <v>0</v>
      </c>
      <c r="T723">
        <v>600</v>
      </c>
      <c r="U723">
        <v>240000</v>
      </c>
      <c r="V723">
        <v>12036</v>
      </c>
      <c r="W723" t="str">
        <v>0</v>
      </c>
      <c r="X723">
        <v>21960</v>
      </c>
      <c r="Y723" s="31">
        <v>45755</v>
      </c>
      <c r="Z723" t="str">
        <v/>
      </c>
      <c r="AA723" t="str">
        <v>技術・人文知識・国際業務</v>
      </c>
      <c r="AB723" t="str">
        <v>709-2107</v>
      </c>
      <c r="AC723" t="str">
        <v>岡山県岡山市北区御津矢原370</v>
      </c>
      <c r="AD723" t="str">
        <v>成広ｺｰﾎﾟⅡ201</v>
      </c>
      <c r="AE723" s="31">
        <v>0</v>
      </c>
      <c r="AF723" s="31">
        <v>45341</v>
      </c>
      <c r="AG723" s="31">
        <v>45471</v>
      </c>
      <c r="AH723" s="31">
        <v>0</v>
      </c>
      <c r="AI723" t="str">
        <v>24.2.19</v>
      </c>
      <c r="AJ723" t="str">
        <v>3/1林</v>
      </c>
      <c r="AK723">
        <v>0</v>
      </c>
      <c r="AL723">
        <v>45341</v>
      </c>
      <c r="AM723">
        <v>0</v>
      </c>
      <c r="AN723">
        <v>0</v>
      </c>
      <c r="AO723">
        <v>0</v>
      </c>
      <c r="AP723">
        <v>0</v>
      </c>
      <c r="AQ723">
        <v>0</v>
      </c>
      <c r="AR723">
        <v>0</v>
      </c>
    </row>
    <row r="724" spans="1:44">
      <c r="A724" t="str">
        <f>H724&amp;COUNTIF($H$2:H724,H724)</f>
        <v>旋盤ライン27</v>
      </c>
      <c r="B724" t="str">
        <f>F724&amp;COUNTIF($F$2:F724,F724)</f>
        <v>川原鉄工所30</v>
      </c>
      <c r="C724" t="str">
        <v>退社</v>
      </c>
      <c r="D724">
        <v>240204</v>
      </c>
      <c r="E724">
        <v>0</v>
      </c>
      <c r="F724" t="str">
        <v>川原鉄工所</v>
      </c>
      <c r="G724" t="str">
        <v>製造部</v>
      </c>
      <c r="H724" t="str">
        <v>旋盤ライン</v>
      </c>
      <c r="I724" t="str">
        <v>ATミッション部品をはじめとする、各種自動車部品の製造</v>
      </c>
      <c r="J724" t="str">
        <v>NGUYEN VU QUY</v>
      </c>
      <c r="K724" t="str">
        <v>グエン　ヴー　クイ</v>
      </c>
      <c r="L724" t="str">
        <v>男</v>
      </c>
      <c r="M724" t="str">
        <v>ﾍﾞﾄﾅﾑ</v>
      </c>
      <c r="N724" s="31">
        <v>34702</v>
      </c>
      <c r="O724">
        <v>30</v>
      </c>
      <c r="P724">
        <v>1300</v>
      </c>
      <c r="Q724">
        <v>0</v>
      </c>
      <c r="R724">
        <v>1650</v>
      </c>
      <c r="S724">
        <v>0</v>
      </c>
      <c r="T724">
        <v>350</v>
      </c>
      <c r="U724">
        <v>260000</v>
      </c>
      <c r="V724">
        <v>13039</v>
      </c>
      <c r="W724" t="str">
        <v>0</v>
      </c>
      <c r="X724">
        <v>23790</v>
      </c>
      <c r="Y724" s="31">
        <v>46179</v>
      </c>
      <c r="Z724" t="str">
        <v/>
      </c>
      <c r="AA724" t="str">
        <v>技術・人文知識・国際業務</v>
      </c>
      <c r="AB724" t="str">
        <v>455-0053</v>
      </c>
      <c r="AC724" t="str">
        <v>愛知県名古屋市港区名四町75番地４</v>
      </c>
      <c r="AD724" t="str">
        <v>ｼﾙﾊﾞｰﾊｲﾑ名四201号</v>
      </c>
      <c r="AE724" s="31">
        <v>0</v>
      </c>
      <c r="AF724" s="31">
        <v>45341</v>
      </c>
      <c r="AG724" s="31">
        <v>45964</v>
      </c>
      <c r="AH724" s="31">
        <v>0</v>
      </c>
      <c r="AI724" t="str">
        <v>24.2.19</v>
      </c>
      <c r="AJ724" t="str">
        <v>2/28林</v>
      </c>
      <c r="AK724">
        <v>0</v>
      </c>
      <c r="AL724">
        <v>45341</v>
      </c>
      <c r="AM724">
        <v>0</v>
      </c>
      <c r="AN724">
        <v>0</v>
      </c>
      <c r="AO724">
        <v>0</v>
      </c>
      <c r="AP724">
        <v>0</v>
      </c>
      <c r="AQ724">
        <v>0</v>
      </c>
      <c r="AR724">
        <v>0</v>
      </c>
    </row>
    <row r="725" spans="1:44">
      <c r="A725" t="str">
        <f>H725&amp;COUNTIF($H$2:H725,H725)</f>
        <v>0250</v>
      </c>
      <c r="B725" t="str">
        <f>F725&amp;COUNTIF($F$2:F725,F725)</f>
        <v>ピーエムアイ26</v>
      </c>
      <c r="C725" t="str">
        <v>退社</v>
      </c>
      <c r="D725">
        <v>240205</v>
      </c>
      <c r="E725">
        <v>0</v>
      </c>
      <c r="F725" t="str">
        <v>ピーエムアイ</v>
      </c>
      <c r="G725">
        <v>0</v>
      </c>
      <c r="H725">
        <v>0</v>
      </c>
      <c r="I725">
        <v>0</v>
      </c>
      <c r="J725" t="str">
        <v>VU THI DUYEN</v>
      </c>
      <c r="K725" t="str">
        <v>ヴ　ティ　ズエン</v>
      </c>
      <c r="L725" t="str">
        <v>女</v>
      </c>
      <c r="M725" t="str">
        <v>ﾍﾞﾄﾅﾑ</v>
      </c>
      <c r="N725" s="31">
        <v>33873</v>
      </c>
      <c r="O725">
        <v>33</v>
      </c>
      <c r="P725">
        <v>1300</v>
      </c>
      <c r="Q725">
        <v>0</v>
      </c>
      <c r="R725">
        <v>1800</v>
      </c>
      <c r="S725">
        <v>0</v>
      </c>
      <c r="T725">
        <v>500</v>
      </c>
      <c r="U725">
        <v>240000</v>
      </c>
      <c r="V725">
        <v>12036</v>
      </c>
      <c r="W725" t="str">
        <v>0</v>
      </c>
      <c r="X725">
        <v>21960</v>
      </c>
      <c r="Y725" s="31">
        <v>45987</v>
      </c>
      <c r="Z725" t="str">
        <v/>
      </c>
      <c r="AA725" t="str">
        <v>技術・人文知識・国際業務</v>
      </c>
      <c r="AB725" t="str">
        <v>471-0005</v>
      </c>
      <c r="AC725" t="str">
        <v>愛知県豊田市京ヶ峰1-24-2</v>
      </c>
      <c r="AD725" t="str">
        <v>ﾋﾞﾚｯｼﾞﾊｳｽ京ヶ峰ﾀﾜｰ1</v>
      </c>
      <c r="AE725" s="31" t="str">
        <v>個人</v>
      </c>
      <c r="AF725" s="31">
        <v>45341</v>
      </c>
      <c r="AG725" s="31">
        <v>45624</v>
      </c>
      <c r="AH725" s="31">
        <v>0</v>
      </c>
      <c r="AI725" t="str">
        <v>24.2.19</v>
      </c>
      <c r="AJ725" t="str">
        <v>2/28林</v>
      </c>
      <c r="AK725">
        <v>0</v>
      </c>
      <c r="AL725">
        <v>45341</v>
      </c>
      <c r="AM725">
        <v>0</v>
      </c>
      <c r="AN725">
        <v>0</v>
      </c>
      <c r="AO725">
        <v>0</v>
      </c>
      <c r="AP725">
        <v>0</v>
      </c>
      <c r="AQ725">
        <v>0</v>
      </c>
      <c r="AR725">
        <v>0</v>
      </c>
    </row>
    <row r="726" spans="1:44">
      <c r="A726" t="str">
        <f>H726&amp;COUNTIF($H$2:H726,H726)</f>
        <v>旋盤ライン28</v>
      </c>
      <c r="B726" t="str">
        <f>F726&amp;COUNTIF($F$2:F726,F726)</f>
        <v>川原鉄工所31</v>
      </c>
      <c r="C726" t="str">
        <v>退社</v>
      </c>
      <c r="D726">
        <v>240206</v>
      </c>
      <c r="E726">
        <v>0</v>
      </c>
      <c r="F726" t="str">
        <v>川原鉄工所</v>
      </c>
      <c r="G726" t="str">
        <v>製造部</v>
      </c>
      <c r="H726" t="str">
        <v>旋盤ライン</v>
      </c>
      <c r="I726" t="str">
        <v>ATミッション部品をはじめとする、各種自動車部品の製造</v>
      </c>
      <c r="J726" t="str">
        <v>安谷屋　ロベルト</v>
      </c>
      <c r="K726" t="str">
        <v>アダニヤ　ロベルト</v>
      </c>
      <c r="L726" t="str">
        <v>男</v>
      </c>
      <c r="M726" t="str">
        <v>ﾌﾞﾗｼﾞﾙ</v>
      </c>
      <c r="N726" s="31">
        <v>18235</v>
      </c>
      <c r="O726">
        <v>76</v>
      </c>
      <c r="P726">
        <v>1250</v>
      </c>
      <c r="Q726" t="str">
        <v>24/8/21~1250　24/2/21～1300</v>
      </c>
      <c r="R726">
        <v>1650</v>
      </c>
      <c r="S726">
        <v>0</v>
      </c>
      <c r="T726">
        <v>400</v>
      </c>
      <c r="U726">
        <v>220000</v>
      </c>
      <c r="V726">
        <v>11033</v>
      </c>
      <c r="W726" t="str">
        <v>0</v>
      </c>
      <c r="X726" t="str">
        <v>0</v>
      </c>
      <c r="Y726" s="31">
        <v>46588</v>
      </c>
      <c r="Z726" t="str">
        <v/>
      </c>
      <c r="AA726" t="str">
        <v>永住者</v>
      </c>
      <c r="AB726" t="str">
        <v>455-0001</v>
      </c>
      <c r="AC726" t="str">
        <v>愛知県名古屋市港区七番町2-11</v>
      </c>
      <c r="AD726" t="str">
        <v>九番団地7棟1305号</v>
      </c>
      <c r="AE726" s="31" t="str">
        <v>個人</v>
      </c>
      <c r="AF726" s="31">
        <v>45348</v>
      </c>
      <c r="AG726" s="31">
        <v>45630</v>
      </c>
      <c r="AH726" s="31">
        <v>0</v>
      </c>
      <c r="AI726" t="str">
        <v>24.2.26</v>
      </c>
      <c r="AJ726" t="str">
        <v>3/27林</v>
      </c>
      <c r="AK726">
        <v>0</v>
      </c>
      <c r="AL726">
        <v>45348</v>
      </c>
      <c r="AM726">
        <v>0</v>
      </c>
      <c r="AN726">
        <v>0</v>
      </c>
      <c r="AO726">
        <v>0</v>
      </c>
      <c r="AP726">
        <v>0</v>
      </c>
      <c r="AQ726">
        <v>0</v>
      </c>
      <c r="AR726">
        <v>0</v>
      </c>
    </row>
    <row r="727" spans="1:44">
      <c r="A727" t="str">
        <f>H727&amp;COUNTIF($H$2:H727,H727)</f>
        <v>W研磨7</v>
      </c>
      <c r="B727" t="str">
        <f>F727&amp;COUNTIF($F$2:F727,F727)</f>
        <v>高雄工業 海南第二19</v>
      </c>
      <c r="C727" t="str">
        <v>退社</v>
      </c>
      <c r="D727">
        <v>240207</v>
      </c>
      <c r="E727">
        <v>0</v>
      </c>
      <c r="F727" t="str">
        <v>高雄工業 海南第二</v>
      </c>
      <c r="G727" t="str">
        <v>高雄工業株式会社 海南第二工場製作課</v>
      </c>
      <c r="H727" t="str">
        <v>W研磨</v>
      </c>
      <c r="I727" t="str">
        <v>産業機械部品の研磨加工、MCプログラム修正</v>
      </c>
      <c r="J727" t="str">
        <v>NOVAIS GONDO GERENE LUKAS</v>
      </c>
      <c r="K727" t="str">
        <v>ゴンドウ　ルカス</v>
      </c>
      <c r="L727" t="str">
        <v>男</v>
      </c>
      <c r="M727" t="str">
        <v>ﾌﾞﾗｼﾞﾙ</v>
      </c>
      <c r="N727" s="31">
        <v>37765</v>
      </c>
      <c r="O727">
        <v>22</v>
      </c>
      <c r="P727">
        <v>1300</v>
      </c>
      <c r="Q727">
        <v>0</v>
      </c>
      <c r="R727">
        <v>1780</v>
      </c>
      <c r="S727">
        <v>0</v>
      </c>
      <c r="T727">
        <v>480</v>
      </c>
      <c r="U727">
        <v>220000</v>
      </c>
      <c r="V727">
        <v>11033</v>
      </c>
      <c r="W727" t="str">
        <v>0</v>
      </c>
      <c r="X727">
        <v>20130</v>
      </c>
      <c r="Y727" s="31">
        <v>46026</v>
      </c>
      <c r="Z727" t="str">
        <v/>
      </c>
      <c r="AA727" t="str">
        <v>永住者</v>
      </c>
      <c r="AB727" t="str">
        <v>498-0023</v>
      </c>
      <c r="AC727" t="str">
        <v>愛知県弥富市鯏浦町上六105-8</v>
      </c>
      <c r="AD727">
        <v>0</v>
      </c>
      <c r="AE727" s="31" t="str">
        <v>個人</v>
      </c>
      <c r="AF727" s="31">
        <v>45351</v>
      </c>
      <c r="AG727" s="31">
        <v>45432</v>
      </c>
      <c r="AH727" s="31">
        <v>0</v>
      </c>
      <c r="AI727" t="str">
        <v>24.2.29</v>
      </c>
      <c r="AJ727" t="str">
        <v>3/27林</v>
      </c>
      <c r="AK727">
        <v>0</v>
      </c>
      <c r="AL727">
        <v>45351</v>
      </c>
      <c r="AM727">
        <v>0</v>
      </c>
      <c r="AN727">
        <v>0</v>
      </c>
      <c r="AO727">
        <v>0</v>
      </c>
      <c r="AP727">
        <v>0</v>
      </c>
      <c r="AQ727">
        <v>0</v>
      </c>
      <c r="AR727">
        <v>0</v>
      </c>
    </row>
    <row r="728" spans="1:44">
      <c r="A728" t="str">
        <f>H728&amp;COUNTIF($H$2:H728,H728)</f>
        <v>0251</v>
      </c>
      <c r="B728" t="str">
        <f>F728&amp;COUNTIF($F$2:F728,F728)</f>
        <v>瑞陵精機45</v>
      </c>
      <c r="C728" t="str">
        <v>退社</v>
      </c>
      <c r="D728">
        <v>240301</v>
      </c>
      <c r="E728">
        <v>0</v>
      </c>
      <c r="F728" t="str">
        <v>瑞陵精機</v>
      </c>
      <c r="G728">
        <v>0</v>
      </c>
      <c r="H728">
        <v>0</v>
      </c>
      <c r="I728">
        <v>0</v>
      </c>
      <c r="J728" t="str">
        <v>LE DINH LOI</v>
      </c>
      <c r="K728" t="str">
        <v>レ　ディン　ロイ</v>
      </c>
      <c r="L728" t="str">
        <v>男</v>
      </c>
      <c r="M728" t="str">
        <v>ﾍﾞﾄﾅﾑ</v>
      </c>
      <c r="N728" s="31">
        <v>33363</v>
      </c>
      <c r="O728">
        <v>34</v>
      </c>
      <c r="P728">
        <v>1300</v>
      </c>
      <c r="Q728">
        <v>0</v>
      </c>
      <c r="R728">
        <v>1700</v>
      </c>
      <c r="S728">
        <v>0</v>
      </c>
      <c r="T728">
        <v>400</v>
      </c>
      <c r="U728">
        <v>280000</v>
      </c>
      <c r="V728">
        <v>14042</v>
      </c>
      <c r="W728" t="str">
        <v>0</v>
      </c>
      <c r="X728">
        <v>25620</v>
      </c>
      <c r="Y728" s="31">
        <v>46962</v>
      </c>
      <c r="Z728" t="str">
        <v/>
      </c>
      <c r="AA728" t="str">
        <v>技術・人文知識・国際業務</v>
      </c>
      <c r="AB728" t="str">
        <v>509-7201</v>
      </c>
      <c r="AC728" t="str">
        <v>岐阜県恵那市大井町2087-170</v>
      </c>
      <c r="AD728" t="str">
        <v>ﾋﾞﾚｯｼﾞﾊｳｽ恵那1号棟406</v>
      </c>
      <c r="AE728" s="31" t="str">
        <v>個人</v>
      </c>
      <c r="AF728" s="31">
        <v>45355</v>
      </c>
      <c r="AG728" s="31">
        <v>45741</v>
      </c>
      <c r="AH728" s="31">
        <v>0</v>
      </c>
      <c r="AI728" t="str">
        <v>24.3.4</v>
      </c>
      <c r="AJ728" t="str">
        <v>3/27林</v>
      </c>
      <c r="AK728">
        <v>0</v>
      </c>
      <c r="AL728">
        <v>45355</v>
      </c>
      <c r="AM728">
        <v>0</v>
      </c>
      <c r="AN728">
        <v>0</v>
      </c>
      <c r="AO728">
        <v>0</v>
      </c>
      <c r="AP728">
        <v>0</v>
      </c>
      <c r="AQ728">
        <v>0</v>
      </c>
      <c r="AR728">
        <v>0</v>
      </c>
    </row>
    <row r="729" spans="1:44">
      <c r="A729" t="str">
        <f>H729&amp;COUNTIF($H$2:H729,H729)</f>
        <v>旋盤ライン29</v>
      </c>
      <c r="B729" t="str">
        <f>F729&amp;COUNTIF($F$2:F729,F729)</f>
        <v>川原鉄工所32</v>
      </c>
      <c r="C729" t="str">
        <v>在職中</v>
      </c>
      <c r="D729">
        <v>240302</v>
      </c>
      <c r="E729">
        <v>0</v>
      </c>
      <c r="F729" t="str">
        <v>川原鉄工所</v>
      </c>
      <c r="G729" t="str">
        <v>製造部</v>
      </c>
      <c r="H729" t="str">
        <v>旋盤ライン</v>
      </c>
      <c r="I729" t="str">
        <v>ATミッション部品をはじめとする、各種自動車部品の製造</v>
      </c>
      <c r="J729" t="str">
        <v>PHAN VAN QUAN</v>
      </c>
      <c r="K729" t="str">
        <v>ファン　ヴァン　クウアン</v>
      </c>
      <c r="L729" t="str">
        <v>男</v>
      </c>
      <c r="M729" t="str">
        <v>ﾍﾞﾄﾅﾑ</v>
      </c>
      <c r="N729" s="31">
        <v>34486</v>
      </c>
      <c r="O729">
        <v>31</v>
      </c>
      <c r="P729">
        <v>1300</v>
      </c>
      <c r="Q729">
        <v>0</v>
      </c>
      <c r="R729">
        <v>1650</v>
      </c>
      <c r="S729">
        <v>0</v>
      </c>
      <c r="T729">
        <v>350</v>
      </c>
      <c r="U729">
        <v>300000</v>
      </c>
      <c r="V729">
        <v>15045</v>
      </c>
      <c r="W729" t="str">
        <v>0</v>
      </c>
      <c r="X729">
        <v>27450</v>
      </c>
      <c r="Y729" s="31">
        <v>46073</v>
      </c>
      <c r="Z729">
        <v>78</v>
      </c>
      <c r="AA729" t="str">
        <v>技術・人文知識・国際業務</v>
      </c>
      <c r="AB729" t="str">
        <v>455-0806</v>
      </c>
      <c r="AC729" t="str">
        <v>愛知県名古屋市港区明正2丁目176</v>
      </c>
      <c r="AD729" t="str">
        <v>飯田第二ｺｰﾎﾟ103</v>
      </c>
      <c r="AE729" s="31">
        <v>45355</v>
      </c>
      <c r="AF729" s="31">
        <v>45356</v>
      </c>
      <c r="AG729" s="31">
        <v>0</v>
      </c>
      <c r="AH729" s="31">
        <v>0</v>
      </c>
      <c r="AI729" t="str">
        <v>24.3.5</v>
      </c>
      <c r="AJ729" t="str">
        <v>3/28林</v>
      </c>
      <c r="AK729">
        <v>0</v>
      </c>
      <c r="AL729">
        <v>45356</v>
      </c>
      <c r="AM729">
        <v>0</v>
      </c>
      <c r="AN729">
        <v>0</v>
      </c>
      <c r="AO729">
        <v>0</v>
      </c>
      <c r="AP729">
        <v>0</v>
      </c>
      <c r="AQ729">
        <v>0</v>
      </c>
      <c r="AR729">
        <v>0</v>
      </c>
    </row>
    <row r="730" spans="1:44">
      <c r="A730" t="str">
        <f>H730&amp;COUNTIF($H$2:H730,H730)</f>
        <v>旋盤ライン30</v>
      </c>
      <c r="B730" t="str">
        <f>F730&amp;COUNTIF($F$2:F730,F730)</f>
        <v>川原鉄工所33</v>
      </c>
      <c r="C730" t="str">
        <v>退社</v>
      </c>
      <c r="D730">
        <v>240303</v>
      </c>
      <c r="E730">
        <v>0</v>
      </c>
      <c r="F730" t="str">
        <v>川原鉄工所</v>
      </c>
      <c r="G730" t="str">
        <v>製造部</v>
      </c>
      <c r="H730" t="str">
        <v>旋盤ライン</v>
      </c>
      <c r="I730" t="str">
        <v>ATミッション部品をはじめとする、各種自動車部品の製造</v>
      </c>
      <c r="J730" t="str">
        <v>NGUYEN XUAN NAM</v>
      </c>
      <c r="K730" t="str">
        <v>グエン　スアン　ナム</v>
      </c>
      <c r="L730" t="str">
        <v>男</v>
      </c>
      <c r="M730" t="str">
        <v>ﾍﾞﾄﾅﾑ</v>
      </c>
      <c r="N730" s="31">
        <v>35921</v>
      </c>
      <c r="O730">
        <v>27</v>
      </c>
      <c r="P730">
        <v>1300</v>
      </c>
      <c r="Q730">
        <v>0</v>
      </c>
      <c r="R730">
        <v>1650</v>
      </c>
      <c r="S730">
        <v>0</v>
      </c>
      <c r="T730">
        <v>350</v>
      </c>
      <c r="U730">
        <v>280000</v>
      </c>
      <c r="V730">
        <v>14042</v>
      </c>
      <c r="W730" t="str">
        <v>0</v>
      </c>
      <c r="X730">
        <v>25620</v>
      </c>
      <c r="Y730" s="31">
        <v>46517</v>
      </c>
      <c r="Z730" t="str">
        <v/>
      </c>
      <c r="AA730" t="str">
        <v>技術・人文知識・国際業務</v>
      </c>
      <c r="AB730" t="str">
        <v>455-0806</v>
      </c>
      <c r="AC730" t="str">
        <v>愛知県名古屋市港区明正2丁目176</v>
      </c>
      <c r="AD730" t="str">
        <v>飯田第二ｺｰﾎﾟ103</v>
      </c>
      <c r="AE730" s="31">
        <v>45355</v>
      </c>
      <c r="AF730" s="31">
        <v>45357</v>
      </c>
      <c r="AG730" s="31">
        <v>45652</v>
      </c>
      <c r="AH730" s="31">
        <v>0</v>
      </c>
      <c r="AI730" t="str">
        <v>24.3.6</v>
      </c>
      <c r="AJ730" t="str">
        <v>3/28林</v>
      </c>
      <c r="AK730">
        <v>0</v>
      </c>
      <c r="AL730">
        <v>45357</v>
      </c>
      <c r="AM730">
        <v>0</v>
      </c>
      <c r="AN730">
        <v>0</v>
      </c>
      <c r="AO730">
        <v>0</v>
      </c>
      <c r="AP730">
        <v>0</v>
      </c>
      <c r="AQ730">
        <v>0</v>
      </c>
      <c r="AR730">
        <v>0</v>
      </c>
    </row>
    <row r="731" spans="1:44">
      <c r="A731" t="str">
        <f>H731&amp;COUNTIF($H$2:H731,H731)</f>
        <v>0252</v>
      </c>
      <c r="B731" t="str">
        <f>F731&amp;COUNTIF($F$2:F731,F731)</f>
        <v>ユアサ工機 御津3</v>
      </c>
      <c r="C731" t="str">
        <v>在職中</v>
      </c>
      <c r="D731">
        <v>240304</v>
      </c>
      <c r="E731">
        <v>0</v>
      </c>
      <c r="F731" t="str">
        <v>ユアサ工機 御津</v>
      </c>
      <c r="G731">
        <v>0</v>
      </c>
      <c r="H731">
        <v>0</v>
      </c>
      <c r="I731">
        <v>0</v>
      </c>
      <c r="J731" t="str">
        <v>CAO VAN QUANG</v>
      </c>
      <c r="K731" t="str">
        <v>カオ　ヴァン　クアン</v>
      </c>
      <c r="L731" t="str">
        <v>男</v>
      </c>
      <c r="M731" t="str">
        <v>ﾍﾞﾄﾅﾑ</v>
      </c>
      <c r="N731" s="31">
        <v>36735</v>
      </c>
      <c r="O731">
        <v>25</v>
      </c>
      <c r="P731">
        <v>1300</v>
      </c>
      <c r="Q731">
        <v>0</v>
      </c>
      <c r="R731">
        <v>1900</v>
      </c>
      <c r="S731">
        <v>0</v>
      </c>
      <c r="T731">
        <v>600</v>
      </c>
      <c r="U731">
        <v>300000</v>
      </c>
      <c r="V731">
        <v>15045</v>
      </c>
      <c r="W731" t="str">
        <v>0</v>
      </c>
      <c r="X731">
        <v>27450</v>
      </c>
      <c r="Y731" s="31">
        <v>47013</v>
      </c>
      <c r="Z731" t="str">
        <v/>
      </c>
      <c r="AA731" t="str">
        <v>技術・人文知識・国際業務</v>
      </c>
      <c r="AB731" t="str">
        <v>709-2107</v>
      </c>
      <c r="AC731" t="str">
        <v>岡山県岡山市北区御津矢原307-1</v>
      </c>
      <c r="AD731" t="str">
        <v>成広矢原ｺｰﾎﾟⅡ102号</v>
      </c>
      <c r="AE731" s="31">
        <v>45353</v>
      </c>
      <c r="AF731" s="31">
        <v>45357</v>
      </c>
      <c r="AG731" s="31">
        <v>0</v>
      </c>
      <c r="AH731" s="31">
        <v>0</v>
      </c>
      <c r="AI731" t="str">
        <v>24.3.6</v>
      </c>
      <c r="AJ731" t="str">
        <v>3/27林</v>
      </c>
      <c r="AK731">
        <v>0</v>
      </c>
      <c r="AL731">
        <v>45357</v>
      </c>
      <c r="AM731">
        <v>0</v>
      </c>
      <c r="AN731">
        <v>0</v>
      </c>
      <c r="AO731">
        <v>0</v>
      </c>
      <c r="AP731">
        <v>0</v>
      </c>
      <c r="AQ731">
        <v>0</v>
      </c>
      <c r="AR731">
        <v>0</v>
      </c>
    </row>
    <row r="732" spans="1:44">
      <c r="A732" t="str">
        <f>H732&amp;COUNTIF($H$2:H732,H732)</f>
        <v>チャンファー6</v>
      </c>
      <c r="B732" t="str">
        <f>F732&amp;COUNTIF($F$2:F732,F732)</f>
        <v>高雄工業 静岡73</v>
      </c>
      <c r="C732" t="str">
        <v>在職中</v>
      </c>
      <c r="D732">
        <v>251106</v>
      </c>
      <c r="E732">
        <v>242140</v>
      </c>
      <c r="F732" t="str">
        <v>高雄工業 静岡</v>
      </c>
      <c r="G732" t="str">
        <v>高雄工業株式会社 静岡事業所第一工場製作課</v>
      </c>
      <c r="H732" t="str">
        <v>チャンファー</v>
      </c>
      <c r="I732" t="str">
        <v>産業機械部品の研磨加工、NCプログラム修正</v>
      </c>
      <c r="J732" t="str">
        <v>NGUYEN MANH HA</v>
      </c>
      <c r="K732" t="str">
        <v>グエン　マイン　ハー</v>
      </c>
      <c r="L732" t="str">
        <v>男</v>
      </c>
      <c r="M732" t="str">
        <v>ﾍﾞﾄﾅﾑ</v>
      </c>
      <c r="N732" s="31">
        <v>37052</v>
      </c>
      <c r="O732">
        <v>24</v>
      </c>
      <c r="P732">
        <v>1200</v>
      </c>
      <c r="Q732">
        <v>0</v>
      </c>
      <c r="R732">
        <v>1650</v>
      </c>
      <c r="S732">
        <v>0</v>
      </c>
      <c r="T732">
        <v>450</v>
      </c>
      <c r="U732">
        <v>190000</v>
      </c>
      <c r="V732">
        <v>9528</v>
      </c>
      <c r="W732" t="str">
        <v>0</v>
      </c>
      <c r="X732">
        <v>17385</v>
      </c>
      <c r="Y732" s="31">
        <v>47052</v>
      </c>
      <c r="Z732" t="str">
        <v/>
      </c>
      <c r="AA732" t="str">
        <v>技術・人文知識・国際業務</v>
      </c>
      <c r="AB732" t="str">
        <v>437-0066</v>
      </c>
      <c r="AC732" t="str">
        <v>静岡県袋井市山科3388-1</v>
      </c>
      <c r="AD732" t="str">
        <v>鶴松102</v>
      </c>
      <c r="AE732" s="31">
        <v>0</v>
      </c>
      <c r="AF732" s="31">
        <v>45973</v>
      </c>
      <c r="AG732" s="31">
        <v>0</v>
      </c>
      <c r="AH732" s="31">
        <v>0</v>
      </c>
      <c r="AI732">
        <v>45973</v>
      </c>
      <c r="AJ732" t="str">
        <v>11/20林</v>
      </c>
      <c r="AK732">
        <v>0</v>
      </c>
      <c r="AL732">
        <v>45973</v>
      </c>
      <c r="AM732">
        <v>0</v>
      </c>
      <c r="AN732">
        <v>0</v>
      </c>
      <c r="AO732">
        <v>0</v>
      </c>
      <c r="AP732">
        <v>0</v>
      </c>
      <c r="AQ732">
        <v>0</v>
      </c>
      <c r="AR732">
        <v>0</v>
      </c>
    </row>
    <row r="733" spans="1:44">
      <c r="A733" t="str">
        <f>H733&amp;COUNTIF($H$2:H733,H733)</f>
        <v>トラニオン3</v>
      </c>
      <c r="B733" t="str">
        <f>F733&amp;COUNTIF($F$2:F733,F733)</f>
        <v>高雄工業 静岡74</v>
      </c>
      <c r="C733" t="str">
        <v>在職中</v>
      </c>
      <c r="D733">
        <v>221211</v>
      </c>
      <c r="E733">
        <v>242059</v>
      </c>
      <c r="F733" t="str">
        <v>高雄工業 静岡</v>
      </c>
      <c r="G733" t="str">
        <v>高雄工業株式会社 静岡事業所第二工場製作課</v>
      </c>
      <c r="H733" t="str">
        <v>トラニオン</v>
      </c>
      <c r="I733" t="str">
        <v>産業機械部品の研磨加工、NCプログラム修正</v>
      </c>
      <c r="J733" t="str">
        <v>TA DUC TUAN</v>
      </c>
      <c r="K733" t="str">
        <v>ター　ドゥック　トゥアン</v>
      </c>
      <c r="L733" t="str">
        <v>男</v>
      </c>
      <c r="M733" t="str">
        <v>ﾍﾞﾄﾅﾑ</v>
      </c>
      <c r="N733" s="31">
        <v>35716</v>
      </c>
      <c r="O733">
        <v>28</v>
      </c>
      <c r="P733">
        <v>1310</v>
      </c>
      <c r="Q733">
        <v>0</v>
      </c>
      <c r="R733">
        <v>1720</v>
      </c>
      <c r="S733">
        <v>0</v>
      </c>
      <c r="T733">
        <v>410</v>
      </c>
      <c r="U733">
        <v>240000</v>
      </c>
      <c r="V733">
        <v>12036</v>
      </c>
      <c r="W733" t="str">
        <v>0</v>
      </c>
      <c r="X733">
        <v>21960</v>
      </c>
      <c r="Y733" s="31">
        <v>45998</v>
      </c>
      <c r="Z733">
        <v>3</v>
      </c>
      <c r="AA733" t="str">
        <v>技術・人文知識・国際業務</v>
      </c>
      <c r="AB733" t="str">
        <v>437-0016</v>
      </c>
      <c r="AC733" t="str">
        <v>静岡県袋井市葵町2丁目5番地1</v>
      </c>
      <c r="AD733" t="str">
        <v>ｼｬﾝﾄﾞﾌﾙｰﾙ103</v>
      </c>
      <c r="AE733" s="31">
        <v>0</v>
      </c>
      <c r="AF733" s="31">
        <v>44907</v>
      </c>
      <c r="AG733" s="31">
        <v>0</v>
      </c>
      <c r="AH733" s="31">
        <v>0</v>
      </c>
      <c r="AI733" t="str">
        <v>23.1.1</v>
      </c>
      <c r="AJ733" t="str">
        <v>12/15林</v>
      </c>
      <c r="AK733">
        <v>0</v>
      </c>
      <c r="AL733">
        <v>44907</v>
      </c>
      <c r="AM733">
        <v>0</v>
      </c>
      <c r="AN733">
        <v>0</v>
      </c>
      <c r="AO733">
        <v>0</v>
      </c>
      <c r="AP733">
        <v>0</v>
      </c>
      <c r="AQ733" t="str">
        <v>JLPT-N4</v>
      </c>
      <c r="AR733">
        <v>0</v>
      </c>
    </row>
    <row r="734" spans="1:44">
      <c r="A734" t="str">
        <f>H734&amp;COUNTIF($H$2:H734,H734)</f>
        <v>H_2次旋19</v>
      </c>
      <c r="B734" t="str">
        <f>F734&amp;COUNTIF($F$2:F734,F734)</f>
        <v>高雄工業 海南第一61</v>
      </c>
      <c r="C734" t="str">
        <v>退社</v>
      </c>
      <c r="D734">
        <v>240307</v>
      </c>
      <c r="E734">
        <v>222065</v>
      </c>
      <c r="F734" t="str">
        <v>高雄工業 海南第一</v>
      </c>
      <c r="G734" t="str">
        <v>高雄工業株式会社 愛知事業所海南第一工場製作1課</v>
      </c>
      <c r="H734" t="str">
        <v>H_2次旋</v>
      </c>
      <c r="I734" t="str">
        <v>ハブ加工品の2次施削、手動機械オペレーターNCプログラム修正</v>
      </c>
      <c r="J734" t="str">
        <v>NGUYEN KHOA TIEN DAT</v>
      </c>
      <c r="K734" t="str">
        <v>グエン　コア　ティエン　ダット</v>
      </c>
      <c r="L734" t="str">
        <v>男</v>
      </c>
      <c r="M734" t="str">
        <v>ﾍﾞﾄﾅﾑ</v>
      </c>
      <c r="N734" s="31">
        <v>36859</v>
      </c>
      <c r="O734">
        <v>25</v>
      </c>
      <c r="P734">
        <v>1250</v>
      </c>
      <c r="Q734">
        <v>0</v>
      </c>
      <c r="R734">
        <v>1650</v>
      </c>
      <c r="S734">
        <v>0</v>
      </c>
      <c r="T734">
        <v>400</v>
      </c>
      <c r="U734">
        <v>240000</v>
      </c>
      <c r="V734">
        <v>12036</v>
      </c>
      <c r="W734" t="str">
        <v>0</v>
      </c>
      <c r="X734">
        <v>21960</v>
      </c>
      <c r="Y734" s="31">
        <v>45722</v>
      </c>
      <c r="Z734" t="str">
        <v/>
      </c>
      <c r="AA734" t="str">
        <v>技術・人文知識・国際業務</v>
      </c>
      <c r="AB734" t="str">
        <v>498-0028</v>
      </c>
      <c r="AC734" t="str">
        <v>愛知県弥富市鯏浦町中六109</v>
      </c>
      <c r="AD734" t="str">
        <v>ｾﾗﾀｳﾝ弥冨B棟101</v>
      </c>
      <c r="AE734" s="31">
        <v>0</v>
      </c>
      <c r="AF734" s="31">
        <v>45359</v>
      </c>
      <c r="AG734" s="31">
        <v>45679</v>
      </c>
      <c r="AH734" s="31">
        <v>0</v>
      </c>
      <c r="AI734" t="str">
        <v>24.3.8</v>
      </c>
      <c r="AJ734" t="str">
        <v>3/27林</v>
      </c>
      <c r="AK734">
        <v>0</v>
      </c>
      <c r="AL734">
        <v>45359</v>
      </c>
      <c r="AM734">
        <v>0</v>
      </c>
      <c r="AN734">
        <v>0</v>
      </c>
      <c r="AO734">
        <v>0</v>
      </c>
      <c r="AP734">
        <v>0</v>
      </c>
      <c r="AQ734">
        <v>0</v>
      </c>
      <c r="AR734">
        <v>0</v>
      </c>
    </row>
    <row r="735" spans="1:44">
      <c r="A735" t="str">
        <f>H735&amp;COUNTIF($H$2:H735,H735)</f>
        <v>乙川工場製造3課5工区7班6</v>
      </c>
      <c r="B735" t="str">
        <f>F735&amp;COUNTIF($F$2:F735,F735)</f>
        <v>コーリツ 乙川23</v>
      </c>
      <c r="C735" t="str">
        <v>退社</v>
      </c>
      <c r="D735">
        <v>240308</v>
      </c>
      <c r="E735">
        <v>8210088</v>
      </c>
      <c r="F735" t="str">
        <v>コーリツ 乙川</v>
      </c>
      <c r="G735" t="str">
        <v>乙川工場製造3課5工区7班</v>
      </c>
      <c r="H735" t="str">
        <v>乙川工場製造3課5工区7班</v>
      </c>
      <c r="I735">
        <v>0</v>
      </c>
      <c r="J735" t="str">
        <v>TRAN VAN CHINH</v>
      </c>
      <c r="K735" t="str">
        <v>チャン　ヴァン　チン</v>
      </c>
      <c r="L735" t="str">
        <v>男</v>
      </c>
      <c r="M735" t="str">
        <v>ﾍﾞﾄﾅﾑ</v>
      </c>
      <c r="N735" s="31">
        <v>32911</v>
      </c>
      <c r="O735">
        <v>35</v>
      </c>
      <c r="P735">
        <v>1500</v>
      </c>
      <c r="Q735">
        <v>0</v>
      </c>
      <c r="R735">
        <v>2150</v>
      </c>
      <c r="S735">
        <v>0</v>
      </c>
      <c r="T735">
        <v>650</v>
      </c>
      <c r="U735">
        <v>360000</v>
      </c>
      <c r="V735">
        <v>18054</v>
      </c>
      <c r="W735" t="str">
        <v>0</v>
      </c>
      <c r="X735">
        <v>32940</v>
      </c>
      <c r="Y735" s="31">
        <v>46622</v>
      </c>
      <c r="Z735" t="str">
        <v/>
      </c>
      <c r="AA735" t="str">
        <v>技術・人文知識・国際業務</v>
      </c>
      <c r="AB735" t="str">
        <v>475-0043</v>
      </c>
      <c r="AC735" t="str">
        <v>愛知県半田市乙川浜側町2-39</v>
      </c>
      <c r="AD735" t="str">
        <v>ｺｰﾎﾟ浜側105</v>
      </c>
      <c r="AE735" s="31" t="str">
        <v>個人</v>
      </c>
      <c r="AF735" s="31">
        <v>45362</v>
      </c>
      <c r="AG735" s="31">
        <v>45908</v>
      </c>
      <c r="AH735" s="31">
        <v>0</v>
      </c>
      <c r="AI735" t="str">
        <v>24.3.11</v>
      </c>
      <c r="AJ735" t="str">
        <v>3/27林</v>
      </c>
      <c r="AK735">
        <v>0</v>
      </c>
      <c r="AL735">
        <v>45362</v>
      </c>
      <c r="AM735" t="str">
        <v>原付</v>
      </c>
      <c r="AN735">
        <v>46453</v>
      </c>
      <c r="AO735" t="str">
        <v>原付</v>
      </c>
      <c r="AP735">
        <v>46316</v>
      </c>
      <c r="AQ735">
        <v>0</v>
      </c>
      <c r="AR735">
        <v>0</v>
      </c>
    </row>
    <row r="736" spans="1:44">
      <c r="A736" t="str">
        <f>H736&amp;COUNTIF($H$2:H736,H736)</f>
        <v>旋盤ライン31</v>
      </c>
      <c r="B736" t="str">
        <f>F736&amp;COUNTIF($F$2:F736,F736)</f>
        <v>川原鉄工所34</v>
      </c>
      <c r="C736" t="str">
        <v>在職中</v>
      </c>
      <c r="D736">
        <v>240309</v>
      </c>
      <c r="E736">
        <v>0</v>
      </c>
      <c r="F736" t="str">
        <v>川原鉄工所</v>
      </c>
      <c r="G736" t="str">
        <v>製造部</v>
      </c>
      <c r="H736" t="str">
        <v>旋盤ライン</v>
      </c>
      <c r="I736" t="str">
        <v>ATミッション部品をはじめとする、各種自動車部品の製造</v>
      </c>
      <c r="J736" t="str">
        <v>NGUYEN DUY HUNG</v>
      </c>
      <c r="K736" t="str">
        <v>グエン　ズイ　フン</v>
      </c>
      <c r="L736" t="str">
        <v>男</v>
      </c>
      <c r="M736" t="str">
        <v>ﾍﾞﾄﾅﾑ</v>
      </c>
      <c r="N736" s="31">
        <v>32702</v>
      </c>
      <c r="O736">
        <v>36</v>
      </c>
      <c r="P736">
        <v>1300</v>
      </c>
      <c r="Q736">
        <v>0</v>
      </c>
      <c r="R736">
        <v>1650</v>
      </c>
      <c r="S736">
        <v>0</v>
      </c>
      <c r="T736">
        <v>350</v>
      </c>
      <c r="U736">
        <v>300000</v>
      </c>
      <c r="V736">
        <v>15045</v>
      </c>
      <c r="W736" t="str">
        <v>0</v>
      </c>
      <c r="X736">
        <v>27450</v>
      </c>
      <c r="Y736" s="31">
        <v>46629</v>
      </c>
      <c r="Z736" t="str">
        <v/>
      </c>
      <c r="AA736" t="str">
        <v>技術・人文知識・国際業務</v>
      </c>
      <c r="AB736" t="str">
        <v>455-0014</v>
      </c>
      <c r="AC736" t="str">
        <v>愛知県名古屋市港区港楽1-1-10</v>
      </c>
      <c r="AD736" t="str">
        <v>港楽荘4棟102号</v>
      </c>
      <c r="AE736" s="31">
        <v>0</v>
      </c>
      <c r="AF736" s="31">
        <v>45362</v>
      </c>
      <c r="AG736" s="31">
        <v>0</v>
      </c>
      <c r="AH736" s="31">
        <v>0</v>
      </c>
      <c r="AI736" t="str">
        <v>24.3.11</v>
      </c>
      <c r="AJ736" t="str">
        <v>3/27林</v>
      </c>
      <c r="AK736">
        <v>0</v>
      </c>
      <c r="AL736">
        <v>45362</v>
      </c>
      <c r="AM736">
        <v>0</v>
      </c>
      <c r="AN736">
        <v>0</v>
      </c>
      <c r="AO736">
        <v>0</v>
      </c>
      <c r="AP736">
        <v>0</v>
      </c>
      <c r="AQ736">
        <v>0</v>
      </c>
      <c r="AR736">
        <v>0</v>
      </c>
    </row>
    <row r="737" spans="1:44">
      <c r="A737" t="str">
        <f>H737&amp;COUNTIF($H$2:H737,H737)</f>
        <v>乙川工場製造3課5工区7班7</v>
      </c>
      <c r="B737" t="str">
        <f>F737&amp;COUNTIF($F$2:F737,F737)</f>
        <v>コーリツ 乙川24</v>
      </c>
      <c r="C737" t="str">
        <v>退社</v>
      </c>
      <c r="D737">
        <v>220315</v>
      </c>
      <c r="E737">
        <v>8210089</v>
      </c>
      <c r="F737" t="str">
        <v>コーリツ 乙川</v>
      </c>
      <c r="G737" t="str">
        <v>乙川工場製造3課5工区7班</v>
      </c>
      <c r="H737" t="str">
        <v>乙川工場製造3課5工区7班</v>
      </c>
      <c r="I737">
        <v>0</v>
      </c>
      <c r="J737" t="str">
        <v>VU VAN NGHIA</v>
      </c>
      <c r="K737" t="str">
        <v>ヴー　ヴァン　ギエ</v>
      </c>
      <c r="L737" t="str">
        <v>男</v>
      </c>
      <c r="M737" t="str">
        <v>ﾍﾞﾄﾅﾑ</v>
      </c>
      <c r="N737" s="31">
        <v>34262</v>
      </c>
      <c r="O737">
        <v>32</v>
      </c>
      <c r="P737">
        <v>1400</v>
      </c>
      <c r="Q737">
        <v>0</v>
      </c>
      <c r="R737">
        <v>1990</v>
      </c>
      <c r="S737">
        <v>0</v>
      </c>
      <c r="T737">
        <v>590</v>
      </c>
      <c r="U737">
        <v>360000</v>
      </c>
      <c r="V737">
        <v>18054</v>
      </c>
      <c r="W737" t="str">
        <v>0</v>
      </c>
      <c r="X737">
        <v>32940</v>
      </c>
      <c r="Y737" s="31">
        <v>46622</v>
      </c>
      <c r="Z737" t="str">
        <v/>
      </c>
      <c r="AA737" t="str">
        <v>技術・人文知識・国際業務</v>
      </c>
      <c r="AB737" t="str">
        <v>475-0048</v>
      </c>
      <c r="AC737" t="str">
        <v>愛知県半田市乙川稗田町116　</v>
      </c>
      <c r="AD737" t="str">
        <v>NOVA PLUS 301</v>
      </c>
      <c r="AE737" s="31">
        <v>0</v>
      </c>
      <c r="AF737" s="31">
        <v>45363</v>
      </c>
      <c r="AG737" s="31">
        <v>45609</v>
      </c>
      <c r="AH737" s="31">
        <v>0</v>
      </c>
      <c r="AI737" t="str">
        <v>24.3.12</v>
      </c>
      <c r="AJ737" t="str">
        <v>3/27林</v>
      </c>
      <c r="AK737">
        <v>0</v>
      </c>
      <c r="AL737">
        <v>45363</v>
      </c>
      <c r="AM737">
        <v>0</v>
      </c>
      <c r="AN737">
        <v>0</v>
      </c>
      <c r="AO737" t="str">
        <v>自転車</v>
      </c>
      <c r="AP737">
        <v>45903</v>
      </c>
      <c r="AQ737">
        <v>0</v>
      </c>
      <c r="AR737">
        <v>0</v>
      </c>
    </row>
    <row r="738" spans="1:44">
      <c r="A738" t="str">
        <f>H738&amp;COUNTIF($H$2:H738,H738)</f>
        <v>チャンファー7</v>
      </c>
      <c r="B738" t="str">
        <f>F738&amp;COUNTIF($F$2:F738,F738)</f>
        <v>高雄工業 静岡75</v>
      </c>
      <c r="C738" t="str">
        <v>退社</v>
      </c>
      <c r="D738">
        <v>240310</v>
      </c>
      <c r="E738">
        <v>242105</v>
      </c>
      <c r="F738" t="str">
        <v>高雄工業 静岡</v>
      </c>
      <c r="G738" t="str">
        <v>高雄工業株式会社 静岡事業所第一工場製作課</v>
      </c>
      <c r="H738" t="str">
        <v>チャンファー</v>
      </c>
      <c r="I738" t="str">
        <v>産業機械部品の研磨加工、NCプログラム修正</v>
      </c>
      <c r="J738" t="str">
        <v>NGUYEN THANH LUAN</v>
      </c>
      <c r="K738" t="str">
        <v>グエン　タイン　ルアン</v>
      </c>
      <c r="L738" t="str">
        <v>男</v>
      </c>
      <c r="M738" t="str">
        <v>ﾍﾞﾄﾅﾑ</v>
      </c>
      <c r="N738" s="31">
        <v>35522</v>
      </c>
      <c r="O738">
        <v>28</v>
      </c>
      <c r="P738">
        <v>1300</v>
      </c>
      <c r="Q738">
        <v>0</v>
      </c>
      <c r="R738">
        <v>1660</v>
      </c>
      <c r="S738">
        <v>0</v>
      </c>
      <c r="T738">
        <v>360</v>
      </c>
      <c r="U738">
        <v>320000</v>
      </c>
      <c r="V738">
        <v>16048</v>
      </c>
      <c r="W738" t="str">
        <v>0</v>
      </c>
      <c r="X738">
        <v>29280</v>
      </c>
      <c r="Y738" s="31">
        <v>46106</v>
      </c>
      <c r="Z738" t="str">
        <v/>
      </c>
      <c r="AA738" t="str">
        <v>技術・人文知識・国際業務</v>
      </c>
      <c r="AB738" t="str">
        <v>437-0061</v>
      </c>
      <c r="AC738" t="str">
        <v>静岡県袋井市久能2807-1</v>
      </c>
      <c r="AD738" t="str">
        <v>ﾛｼﾞｭﾏﾝ久能A棟203号</v>
      </c>
      <c r="AE738" s="31">
        <v>0</v>
      </c>
      <c r="AF738" s="31">
        <v>45363</v>
      </c>
      <c r="AG738" s="31">
        <v>45813</v>
      </c>
      <c r="AH738" s="31">
        <v>0</v>
      </c>
      <c r="AI738" t="str">
        <v>24.3.12</v>
      </c>
      <c r="AJ738" t="str">
        <v>3/27林</v>
      </c>
      <c r="AK738">
        <v>0</v>
      </c>
      <c r="AL738">
        <v>45363</v>
      </c>
      <c r="AM738">
        <v>0</v>
      </c>
      <c r="AN738">
        <v>0</v>
      </c>
      <c r="AO738">
        <v>0</v>
      </c>
      <c r="AP738">
        <v>0</v>
      </c>
      <c r="AQ738" t="str">
        <v>JLPT-N4</v>
      </c>
      <c r="AR738">
        <v>0</v>
      </c>
    </row>
    <row r="739" spans="1:44">
      <c r="A739" t="str">
        <f>H739&amp;COUNTIF($H$2:H739,H739)</f>
        <v>トラニオン4</v>
      </c>
      <c r="B739" t="str">
        <f>F739&amp;COUNTIF($F$2:F739,F739)</f>
        <v>高雄工業 静岡76</v>
      </c>
      <c r="C739" t="str">
        <v>在職中</v>
      </c>
      <c r="D739">
        <v>230901</v>
      </c>
      <c r="E739">
        <v>242073</v>
      </c>
      <c r="F739" t="str">
        <v>高雄工業 静岡</v>
      </c>
      <c r="G739" t="str">
        <v>高雄工業株式会社 静岡事業所第二工場製作課</v>
      </c>
      <c r="H739" t="str">
        <v>トラニオン</v>
      </c>
      <c r="I739" t="str">
        <v>産業機械部品の研磨加工、NCプログラム修正</v>
      </c>
      <c r="J739" t="str">
        <v>TRAN XUAN HUNG</v>
      </c>
      <c r="K739" t="str">
        <v>チャン　スアン　フン</v>
      </c>
      <c r="L739" t="str">
        <v>男</v>
      </c>
      <c r="M739" t="str">
        <v>ﾍﾞﾄﾅﾑ</v>
      </c>
      <c r="N739" s="31">
        <v>33801</v>
      </c>
      <c r="O739">
        <v>33</v>
      </c>
      <c r="P739">
        <v>1320</v>
      </c>
      <c r="Q739">
        <v>0</v>
      </c>
      <c r="R739">
        <v>1680</v>
      </c>
      <c r="S739">
        <v>0</v>
      </c>
      <c r="T739">
        <v>360</v>
      </c>
      <c r="U739">
        <v>260000</v>
      </c>
      <c r="V739">
        <v>13039</v>
      </c>
      <c r="W739" t="str">
        <v>0</v>
      </c>
      <c r="X739">
        <v>23790</v>
      </c>
      <c r="Y739" s="31">
        <v>46999</v>
      </c>
      <c r="Z739" t="str">
        <v/>
      </c>
      <c r="AA739" t="str">
        <v>技術・人文知識・国際業務</v>
      </c>
      <c r="AB739" t="str">
        <v>437-0065</v>
      </c>
      <c r="AC739" t="str">
        <v>静岡県袋井市堀越1-21-9</v>
      </c>
      <c r="AD739" t="str">
        <v>ﾌﾟﾁｾｿﾞﾝ103号</v>
      </c>
      <c r="AE739" s="31">
        <v>45166</v>
      </c>
      <c r="AF739" s="31">
        <v>45170</v>
      </c>
      <c r="AG739" s="31">
        <v>0</v>
      </c>
      <c r="AH739" s="31">
        <v>0</v>
      </c>
      <c r="AI739" t="str">
        <v>23.9.1</v>
      </c>
      <c r="AJ739" t="str">
        <v>9/8林</v>
      </c>
      <c r="AK739">
        <v>0</v>
      </c>
      <c r="AL739">
        <v>45170</v>
      </c>
      <c r="AM739">
        <v>0</v>
      </c>
      <c r="AN739">
        <v>0</v>
      </c>
      <c r="AO739">
        <v>0</v>
      </c>
      <c r="AP739">
        <v>0</v>
      </c>
      <c r="AQ739" t="str">
        <v>JLPT-N4</v>
      </c>
      <c r="AR739">
        <v>0</v>
      </c>
    </row>
    <row r="740" spans="1:44">
      <c r="A740" t="str">
        <f>H740&amp;COUNTIF($H$2:H740,H740)</f>
        <v>トラニオン5</v>
      </c>
      <c r="B740" t="str">
        <f>F740&amp;COUNTIF($F$2:F740,F740)</f>
        <v>高雄工業 静岡77</v>
      </c>
      <c r="C740" t="str">
        <v>在職中</v>
      </c>
      <c r="D740">
        <v>230914</v>
      </c>
      <c r="E740">
        <v>242079</v>
      </c>
      <c r="F740" t="str">
        <v>高雄工業 静岡</v>
      </c>
      <c r="G740" t="str">
        <v>高雄工業株式会社 静岡事業所第二工場製作課</v>
      </c>
      <c r="H740" t="str">
        <v>トラニオン</v>
      </c>
      <c r="I740" t="str">
        <v>産業機械部品の研磨加工、NCプログラム修正</v>
      </c>
      <c r="J740" t="str">
        <v>TRAN VAN THINH</v>
      </c>
      <c r="K740" t="str">
        <v>チャン　バン　ティン</v>
      </c>
      <c r="L740" t="str">
        <v>男</v>
      </c>
      <c r="M740" t="str">
        <v>ﾍﾞﾄﾅﾑ</v>
      </c>
      <c r="N740" s="31">
        <v>35440</v>
      </c>
      <c r="O740">
        <v>28</v>
      </c>
      <c r="P740">
        <v>1300</v>
      </c>
      <c r="Q740">
        <v>0</v>
      </c>
      <c r="R740">
        <v>1690</v>
      </c>
      <c r="S740">
        <v>0</v>
      </c>
      <c r="T740">
        <v>390</v>
      </c>
      <c r="U740">
        <v>260000</v>
      </c>
      <c r="V740">
        <v>13039</v>
      </c>
      <c r="W740" t="str">
        <v>0</v>
      </c>
      <c r="X740">
        <v>23790</v>
      </c>
      <c r="Y740" s="31">
        <v>47014</v>
      </c>
      <c r="Z740" t="str">
        <v/>
      </c>
      <c r="AA740" t="str">
        <v>技術・人文知識・国際業務</v>
      </c>
      <c r="AB740" t="str">
        <v>437-0066</v>
      </c>
      <c r="AC740" t="str">
        <v>静岡県袋井市山科2844-1</v>
      </c>
      <c r="AD740" t="str">
        <v>ｳﾞｨﾚﾁﾞﾌｫｰB101</v>
      </c>
      <c r="AE740" s="31">
        <v>45187</v>
      </c>
      <c r="AF740" s="31">
        <v>45190</v>
      </c>
      <c r="AG740" s="31">
        <v>0</v>
      </c>
      <c r="AH740" s="31">
        <v>0</v>
      </c>
      <c r="AI740" t="str">
        <v>23.9.21</v>
      </c>
      <c r="AJ740" t="str">
        <v>10/13林</v>
      </c>
      <c r="AK740">
        <v>0</v>
      </c>
      <c r="AL740">
        <v>45190</v>
      </c>
      <c r="AM740">
        <v>0</v>
      </c>
      <c r="AN740">
        <v>0</v>
      </c>
      <c r="AO740">
        <v>0</v>
      </c>
      <c r="AP740">
        <v>0</v>
      </c>
      <c r="AQ740" t="str">
        <v>JLPT-N3</v>
      </c>
      <c r="AR740">
        <v>0</v>
      </c>
    </row>
    <row r="741" spans="1:44">
      <c r="A741" t="str">
        <f>H741&amp;COUNTIF($H$2:H741,H741)</f>
        <v>0253</v>
      </c>
      <c r="B741" t="str">
        <f>F741&amp;COUNTIF($F$2:F741,F741)</f>
        <v>ユアサ工機 御津4</v>
      </c>
      <c r="C741" t="str">
        <v>退社</v>
      </c>
      <c r="D741">
        <v>240313</v>
      </c>
      <c r="E741">
        <v>0</v>
      </c>
      <c r="F741" t="str">
        <v>ユアサ工機 御津</v>
      </c>
      <c r="G741">
        <v>0</v>
      </c>
      <c r="H741">
        <v>0</v>
      </c>
      <c r="I741">
        <v>0</v>
      </c>
      <c r="J741" t="str">
        <v>NGUYEN HOANG HIEP</v>
      </c>
      <c r="K741" t="str">
        <v>グエン　ホアン　ヒエップ</v>
      </c>
      <c r="L741" t="str">
        <v>男</v>
      </c>
      <c r="M741" t="str">
        <v>ﾍﾞﾄﾅﾑ</v>
      </c>
      <c r="N741" s="31">
        <v>36997</v>
      </c>
      <c r="O741">
        <v>24</v>
      </c>
      <c r="P741">
        <v>1300</v>
      </c>
      <c r="Q741">
        <v>0</v>
      </c>
      <c r="R741">
        <v>1900</v>
      </c>
      <c r="S741">
        <v>0</v>
      </c>
      <c r="T741">
        <v>600</v>
      </c>
      <c r="U741">
        <v>280000</v>
      </c>
      <c r="V741">
        <v>14042</v>
      </c>
      <c r="W741" t="str">
        <v>0</v>
      </c>
      <c r="X741">
        <v>25620</v>
      </c>
      <c r="Y741" s="31">
        <v>45982</v>
      </c>
      <c r="Z741" t="str">
        <v/>
      </c>
      <c r="AA741" t="str">
        <v>技術・人文知識・国際業務</v>
      </c>
      <c r="AB741" t="str">
        <v>709-2107</v>
      </c>
      <c r="AC741" t="str">
        <v>岡山県岡山市北区御津矢原294-1</v>
      </c>
      <c r="AD741" t="str">
        <v>成広矢原ｺｰﾎﾟⅢ103号</v>
      </c>
      <c r="AE741" s="31">
        <v>0</v>
      </c>
      <c r="AF741" s="31">
        <v>45364</v>
      </c>
      <c r="AG741" s="31">
        <v>45687</v>
      </c>
      <c r="AH741" s="31">
        <v>0</v>
      </c>
      <c r="AI741" t="str">
        <v>24.3.13</v>
      </c>
      <c r="AJ741" t="str">
        <v>3/27林</v>
      </c>
      <c r="AK741">
        <v>0</v>
      </c>
      <c r="AL741">
        <v>45364</v>
      </c>
      <c r="AM741">
        <v>0</v>
      </c>
      <c r="AN741">
        <v>0</v>
      </c>
      <c r="AO741">
        <v>0</v>
      </c>
      <c r="AP741">
        <v>0</v>
      </c>
      <c r="AQ741">
        <v>0</v>
      </c>
      <c r="AR741">
        <v>0</v>
      </c>
    </row>
    <row r="742" spans="1:44">
      <c r="A742" t="str">
        <f>H742&amp;COUNTIF($H$2:H742,H742)</f>
        <v>トラニオン6</v>
      </c>
      <c r="B742" t="str">
        <f>F742&amp;COUNTIF($F$2:F742,F742)</f>
        <v>高雄工業 静岡78</v>
      </c>
      <c r="C742" t="str">
        <v>在職中</v>
      </c>
      <c r="D742">
        <v>250308</v>
      </c>
      <c r="E742">
        <v>242128</v>
      </c>
      <c r="F742" t="str">
        <v>高雄工業 静岡</v>
      </c>
      <c r="G742" t="str">
        <v>高雄工業株式会社 静岡事業所第二工場製作課</v>
      </c>
      <c r="H742" t="str">
        <v>トラニオン</v>
      </c>
      <c r="I742" t="str">
        <v>産業機械部品の研磨加工、NCプログラム修正</v>
      </c>
      <c r="J742" t="str">
        <v>DUONG CHI THONG</v>
      </c>
      <c r="K742" t="str">
        <v>ズオン　チ　トン</v>
      </c>
      <c r="L742" t="str">
        <v>男</v>
      </c>
      <c r="M742" t="str">
        <v>ﾍﾞﾄﾅﾑ</v>
      </c>
      <c r="N742" s="31">
        <v>37525</v>
      </c>
      <c r="O742">
        <v>23</v>
      </c>
      <c r="P742">
        <v>1200</v>
      </c>
      <c r="Q742">
        <v>0</v>
      </c>
      <c r="R742">
        <v>1650</v>
      </c>
      <c r="S742">
        <v>0</v>
      </c>
      <c r="T742">
        <v>450</v>
      </c>
      <c r="U742">
        <v>220000</v>
      </c>
      <c r="V742">
        <v>11033</v>
      </c>
      <c r="W742" t="str">
        <v>0</v>
      </c>
      <c r="X742">
        <v>20130</v>
      </c>
      <c r="Y742" s="31">
        <v>46825</v>
      </c>
      <c r="Z742" t="str">
        <v/>
      </c>
      <c r="AA742" t="str">
        <v>技術・人文知識・国際業務</v>
      </c>
      <c r="AB742" t="str">
        <v>437-0123</v>
      </c>
      <c r="AC742" t="str">
        <v>静岡県袋井市下山梨1603-2</v>
      </c>
      <c r="AD742" t="str">
        <v>ﾎｰﾌﾟｼﾃｨHIRO202</v>
      </c>
      <c r="AE742" s="31">
        <v>0</v>
      </c>
      <c r="AF742" s="31">
        <v>45736</v>
      </c>
      <c r="AG742" s="31">
        <v>0</v>
      </c>
      <c r="AH742" s="31">
        <v>0</v>
      </c>
      <c r="AI742">
        <v>45736</v>
      </c>
      <c r="AJ742" t="str">
        <v>4/18林</v>
      </c>
      <c r="AK742">
        <v>0</v>
      </c>
      <c r="AL742">
        <v>45736</v>
      </c>
      <c r="AM742">
        <v>0</v>
      </c>
      <c r="AN742">
        <v>0</v>
      </c>
      <c r="AO742">
        <v>0</v>
      </c>
      <c r="AP742">
        <v>0</v>
      </c>
      <c r="AQ742" t="str">
        <v>JLPT-N4</v>
      </c>
      <c r="AR742">
        <v>0</v>
      </c>
    </row>
    <row r="743" spans="1:44">
      <c r="A743" t="str">
        <f>H743&amp;COUNTIF($H$2:H743,H743)</f>
        <v>トラニオン7</v>
      </c>
      <c r="B743" t="str">
        <f>F743&amp;COUNTIF($F$2:F743,F743)</f>
        <v>高雄工業 静岡79</v>
      </c>
      <c r="C743" t="str">
        <v>在職中</v>
      </c>
      <c r="D743">
        <v>250406</v>
      </c>
      <c r="E743">
        <v>242130</v>
      </c>
      <c r="F743" t="str">
        <v>高雄工業 静岡</v>
      </c>
      <c r="G743" t="str">
        <v>高雄工業株式会社 静岡事業所第二工場製作課</v>
      </c>
      <c r="H743" t="str">
        <v>トラニオン</v>
      </c>
      <c r="I743" t="str">
        <v>産業機械部品の研磨加工、NCプログラム修正</v>
      </c>
      <c r="J743" t="str">
        <v>PHAM TAN DANH</v>
      </c>
      <c r="K743" t="str">
        <v>ファム　タン　ザイン</v>
      </c>
      <c r="L743" t="str">
        <v>男</v>
      </c>
      <c r="M743" t="str">
        <v>ﾍﾞﾄﾅﾑ</v>
      </c>
      <c r="N743" s="31">
        <v>35553</v>
      </c>
      <c r="O743">
        <v>28</v>
      </c>
      <c r="P743">
        <v>1200</v>
      </c>
      <c r="Q743">
        <v>0</v>
      </c>
      <c r="R743">
        <v>1650</v>
      </c>
      <c r="S743">
        <v>0</v>
      </c>
      <c r="T743">
        <v>450</v>
      </c>
      <c r="U743">
        <v>220000</v>
      </c>
      <c r="V743">
        <v>11033</v>
      </c>
      <c r="W743" t="str">
        <v>0</v>
      </c>
      <c r="X743">
        <v>20130</v>
      </c>
      <c r="Y743" s="31">
        <v>46837</v>
      </c>
      <c r="Z743" t="str">
        <v/>
      </c>
      <c r="AA743" t="str">
        <v>技術・人文知識・国際業務</v>
      </c>
      <c r="AB743" t="str">
        <v>437-0063</v>
      </c>
      <c r="AC743" t="str">
        <v>静岡県袋井市田町2丁目6-10</v>
      </c>
      <c r="AD743" t="str">
        <v>SuperiorⅠ201</v>
      </c>
      <c r="AE743" s="31">
        <v>0</v>
      </c>
      <c r="AF743" s="31">
        <v>45749</v>
      </c>
      <c r="AG743" s="31">
        <v>0</v>
      </c>
      <c r="AH743" s="31">
        <v>0</v>
      </c>
      <c r="AI743">
        <v>45749</v>
      </c>
      <c r="AJ743" t="str">
        <v>4/18林</v>
      </c>
      <c r="AK743">
        <v>0</v>
      </c>
      <c r="AL743">
        <v>45749</v>
      </c>
      <c r="AM743">
        <v>0</v>
      </c>
      <c r="AN743">
        <v>0</v>
      </c>
      <c r="AO743">
        <v>0</v>
      </c>
      <c r="AP743">
        <v>0</v>
      </c>
      <c r="AQ743">
        <v>0</v>
      </c>
      <c r="AR743">
        <v>0</v>
      </c>
    </row>
    <row r="744" spans="1:44">
      <c r="A744" t="str">
        <f>H744&amp;COUNTIF($H$2:H744,H744)</f>
        <v>Aライン5</v>
      </c>
      <c r="B744" t="str">
        <f>F744&amp;COUNTIF($F$2:F744,F744)</f>
        <v>ピーエムアイ27</v>
      </c>
      <c r="C744" t="str">
        <v>在職中</v>
      </c>
      <c r="D744">
        <v>240319</v>
      </c>
      <c r="E744">
        <v>212049</v>
      </c>
      <c r="F744" t="str">
        <v>ピーエムアイ</v>
      </c>
      <c r="G744" t="str">
        <v>高雄工業株式会社 愛知事業所本社工場製作課</v>
      </c>
      <c r="H744" t="str">
        <v>Aライン</v>
      </c>
      <c r="I744" t="str">
        <v>CVJ部品短軸品の施削加工、NCプログラム修正</v>
      </c>
      <c r="J744" t="str">
        <v>PHAN VAN HAI</v>
      </c>
      <c r="K744" t="str">
        <v>ファン　ヴァン　ハイ</v>
      </c>
      <c r="L744" t="str">
        <v>男</v>
      </c>
      <c r="M744" t="str">
        <v>ﾍﾞﾄﾅﾑ</v>
      </c>
      <c r="N744" s="31">
        <v>34929</v>
      </c>
      <c r="O744">
        <v>30</v>
      </c>
      <c r="P744">
        <v>1300</v>
      </c>
      <c r="Q744">
        <v>0</v>
      </c>
      <c r="R744">
        <v>1800</v>
      </c>
      <c r="S744">
        <v>0</v>
      </c>
      <c r="T744">
        <v>500</v>
      </c>
      <c r="U744">
        <v>240000</v>
      </c>
      <c r="V744">
        <v>12036</v>
      </c>
      <c r="W744" t="str">
        <v>0</v>
      </c>
      <c r="X744">
        <v>21960</v>
      </c>
      <c r="Y744" s="31">
        <v>46112</v>
      </c>
      <c r="Z744" t="str">
        <v/>
      </c>
      <c r="AA744" t="str">
        <v>技術・人文知識・国際業務</v>
      </c>
      <c r="AB744" t="str">
        <v>471-0805</v>
      </c>
      <c r="AC744" t="str">
        <v>愛知県豊田市美里2‐6‐9</v>
      </c>
      <c r="AD744" t="str">
        <v>ﾚｼﾞｪﾝﾄﾞK301</v>
      </c>
      <c r="AE744" s="31">
        <v>0</v>
      </c>
      <c r="AF744" s="31">
        <v>45366</v>
      </c>
      <c r="AG744" s="31">
        <v>0</v>
      </c>
      <c r="AH744" s="31">
        <v>0</v>
      </c>
      <c r="AI744" t="str">
        <v>24.3.15</v>
      </c>
      <c r="AJ744" t="str">
        <v>3/27林</v>
      </c>
      <c r="AK744" t="str">
        <v>2024/3/15～2502/14まで高雄本社　2025/3/10～PMI異動</v>
      </c>
      <c r="AL744">
        <v>45366</v>
      </c>
      <c r="AM744">
        <v>0</v>
      </c>
      <c r="AN744">
        <v>0</v>
      </c>
      <c r="AO744">
        <v>0</v>
      </c>
      <c r="AP744">
        <v>0</v>
      </c>
      <c r="AQ744">
        <v>0</v>
      </c>
      <c r="AR744">
        <v>0</v>
      </c>
    </row>
    <row r="745" spans="1:44">
      <c r="A745" t="str">
        <f>H745&amp;COUNTIF($H$2:H745,H745)</f>
        <v>転造12</v>
      </c>
      <c r="B745" t="str">
        <f>F745&amp;COUNTIF($F$2:F745,F745)</f>
        <v>高雄工業 静岡80</v>
      </c>
      <c r="C745" t="str">
        <v>退社</v>
      </c>
      <c r="D745">
        <v>240316</v>
      </c>
      <c r="E745">
        <v>242108</v>
      </c>
      <c r="F745" t="str">
        <v>高雄工業 静岡</v>
      </c>
      <c r="G745" t="str">
        <v>高雄工業株式会社 静岡事業所第一工場製作課</v>
      </c>
      <c r="H745" t="str">
        <v>転造</v>
      </c>
      <c r="I745" t="str">
        <v>ＣＶＪ短軸等速ジョイント旋削加工・ＮＣプログラム修正</v>
      </c>
      <c r="J745" t="str">
        <v>LE ANH TU</v>
      </c>
      <c r="K745" t="str">
        <v>レ　アイン　トゥ</v>
      </c>
      <c r="L745" t="str">
        <v>男</v>
      </c>
      <c r="M745" t="str">
        <v>ﾍﾞﾄﾅﾑ</v>
      </c>
      <c r="N745" s="31">
        <v>37221</v>
      </c>
      <c r="O745">
        <v>24</v>
      </c>
      <c r="P745">
        <v>1300</v>
      </c>
      <c r="Q745">
        <v>0</v>
      </c>
      <c r="R745">
        <v>1660</v>
      </c>
      <c r="S745">
        <v>0</v>
      </c>
      <c r="T745">
        <v>360</v>
      </c>
      <c r="U745">
        <v>300000</v>
      </c>
      <c r="V745">
        <v>15045</v>
      </c>
      <c r="W745" t="str">
        <v>0</v>
      </c>
      <c r="X745">
        <v>27450</v>
      </c>
      <c r="Y745" s="31">
        <v>46106</v>
      </c>
      <c r="Z745" t="str">
        <v/>
      </c>
      <c r="AA745" t="str">
        <v>技術・人文知識・国際業務</v>
      </c>
      <c r="AB745" t="str">
        <v>437-0066</v>
      </c>
      <c r="AC745" t="str">
        <v>静岡県袋井市山科2844-1</v>
      </c>
      <c r="AD745" t="str">
        <v>ｳﾞｨﾚﾁﾞﾌｫｰB101</v>
      </c>
      <c r="AE745" s="31">
        <v>0</v>
      </c>
      <c r="AF745" s="31">
        <v>45366</v>
      </c>
      <c r="AG745" s="31">
        <v>45835</v>
      </c>
      <c r="AH745" s="31">
        <v>0</v>
      </c>
      <c r="AI745" t="str">
        <v>24.3.15</v>
      </c>
      <c r="AJ745" t="str">
        <v>3/27林</v>
      </c>
      <c r="AK745">
        <v>0</v>
      </c>
      <c r="AL745">
        <v>45366</v>
      </c>
      <c r="AM745">
        <v>0</v>
      </c>
      <c r="AN745">
        <v>0</v>
      </c>
      <c r="AO745">
        <v>0</v>
      </c>
      <c r="AP745">
        <v>0</v>
      </c>
      <c r="AQ745" t="str">
        <v>JLPT-N4</v>
      </c>
      <c r="AR745">
        <v>0</v>
      </c>
    </row>
    <row r="746" spans="1:44">
      <c r="A746" t="str">
        <f>H746&amp;COUNTIF($H$2:H746,H746)</f>
        <v>トラニオン8</v>
      </c>
      <c r="B746" t="str">
        <f>F746&amp;COUNTIF($F$2:F746,F746)</f>
        <v>高雄工業 静岡81</v>
      </c>
      <c r="C746" t="str">
        <v>在職中</v>
      </c>
      <c r="D746">
        <v>250605</v>
      </c>
      <c r="E746">
        <v>242131</v>
      </c>
      <c r="F746" t="str">
        <v>高雄工業 静岡</v>
      </c>
      <c r="G746" t="str">
        <v>高雄工業株式会社 静岡事業所第二工場製作課</v>
      </c>
      <c r="H746" t="str">
        <v>トラニオン</v>
      </c>
      <c r="I746" t="str">
        <v>産業機械部品の研磨加工、NCプログラム修正</v>
      </c>
      <c r="J746" t="str">
        <v>BUI QUANG DUNG</v>
      </c>
      <c r="K746" t="str">
        <v>ブイ　クアン　ズン</v>
      </c>
      <c r="L746" t="str">
        <v>男</v>
      </c>
      <c r="M746" t="str">
        <v>ﾍﾞﾄﾅﾑ</v>
      </c>
      <c r="N746" s="31">
        <v>37497</v>
      </c>
      <c r="O746">
        <v>23</v>
      </c>
      <c r="P746">
        <v>1200</v>
      </c>
      <c r="Q746">
        <v>0</v>
      </c>
      <c r="R746">
        <v>1650</v>
      </c>
      <c r="S746">
        <v>0</v>
      </c>
      <c r="T746">
        <v>450</v>
      </c>
      <c r="U746">
        <v>200000</v>
      </c>
      <c r="V746">
        <v>10030</v>
      </c>
      <c r="W746" t="str">
        <v>0</v>
      </c>
      <c r="X746">
        <v>18300</v>
      </c>
      <c r="Y746" s="31">
        <v>46170</v>
      </c>
      <c r="Z746" t="str">
        <v/>
      </c>
      <c r="AA746" t="str">
        <v>技術・人文知識・国際業務</v>
      </c>
      <c r="AB746" t="str">
        <v>437-0065</v>
      </c>
      <c r="AC746" t="str">
        <v>静岡県袋井市堀越3-7-1</v>
      </c>
      <c r="AD746" t="str">
        <v>ｸﾚｰﾙ103</v>
      </c>
      <c r="AE746" s="31">
        <v>0</v>
      </c>
      <c r="AF746" s="31">
        <v>45817</v>
      </c>
      <c r="AG746" s="31">
        <v>0</v>
      </c>
      <c r="AH746" s="31">
        <v>0</v>
      </c>
      <c r="AI746">
        <v>45817</v>
      </c>
      <c r="AJ746" t="str">
        <v>6/30林</v>
      </c>
      <c r="AK746">
        <v>0</v>
      </c>
      <c r="AL746">
        <v>45817</v>
      </c>
      <c r="AM746">
        <v>0</v>
      </c>
      <c r="AN746">
        <v>0</v>
      </c>
      <c r="AO746">
        <v>0</v>
      </c>
      <c r="AP746">
        <v>0</v>
      </c>
      <c r="AQ746">
        <v>0</v>
      </c>
      <c r="AR746">
        <v>0</v>
      </c>
    </row>
    <row r="747" spans="1:44">
      <c r="A747" t="str">
        <f>H747&amp;COUNTIF($H$2:H747,H747)</f>
        <v>Gライン18</v>
      </c>
      <c r="B747" t="str">
        <f>F747&amp;COUNTIF($F$2:F747,F747)</f>
        <v>高雄工業 本社52</v>
      </c>
      <c r="C747" t="str">
        <v>退社</v>
      </c>
      <c r="D747">
        <v>240318</v>
      </c>
      <c r="E747">
        <v>212048</v>
      </c>
      <c r="F747" t="str">
        <v>高雄工業 本社</v>
      </c>
      <c r="G747" t="str">
        <v>高雄工業株式会社 愛知事業所本社工場製作課</v>
      </c>
      <c r="H747" t="str">
        <v>Gライン</v>
      </c>
      <c r="I747" t="str">
        <v>CVJ部品長軸品の施削加工、NCプログラム修正</v>
      </c>
      <c r="J747" t="str">
        <v>NGUYEN VAN HUNG</v>
      </c>
      <c r="K747" t="str">
        <v>グエン　ヴァン　フン</v>
      </c>
      <c r="L747" t="str">
        <v>男</v>
      </c>
      <c r="M747" t="str">
        <v>ﾍﾞﾄﾅﾑ</v>
      </c>
      <c r="N747" s="31">
        <v>36066</v>
      </c>
      <c r="O747">
        <v>27</v>
      </c>
      <c r="P747">
        <v>1300</v>
      </c>
      <c r="Q747">
        <v>0</v>
      </c>
      <c r="R747">
        <v>1670</v>
      </c>
      <c r="S747">
        <v>0</v>
      </c>
      <c r="T747">
        <v>370</v>
      </c>
      <c r="U747">
        <v>300000</v>
      </c>
      <c r="V747">
        <v>15045</v>
      </c>
      <c r="W747" t="str">
        <v>0</v>
      </c>
      <c r="X747">
        <v>27450</v>
      </c>
      <c r="Y747" s="31">
        <v>46106</v>
      </c>
      <c r="Z747" t="str">
        <v/>
      </c>
      <c r="AA747" t="str">
        <v>技術・人文知識・国際業務</v>
      </c>
      <c r="AB747" t="str">
        <v>498-0031</v>
      </c>
      <c r="AC747" t="str">
        <v>愛知県弥富市平島町甲新田72-6</v>
      </c>
      <c r="AD747" t="str">
        <v>ﾊｯﾋﾟｰｳｲﾝ長尾201</v>
      </c>
      <c r="AE747" s="31">
        <v>0</v>
      </c>
      <c r="AF747" s="31">
        <v>45366</v>
      </c>
      <c r="AG747" s="31">
        <v>45898</v>
      </c>
      <c r="AH747" s="31">
        <v>0</v>
      </c>
      <c r="AI747" t="str">
        <v>24.3.15</v>
      </c>
      <c r="AJ747" t="str">
        <v>3/27林</v>
      </c>
      <c r="AK747">
        <v>0</v>
      </c>
      <c r="AL747">
        <v>45366</v>
      </c>
      <c r="AM747">
        <v>0</v>
      </c>
      <c r="AN747">
        <v>0</v>
      </c>
      <c r="AO747">
        <v>0</v>
      </c>
      <c r="AP747">
        <v>0</v>
      </c>
      <c r="AQ747">
        <v>0</v>
      </c>
      <c r="AR747">
        <v>0</v>
      </c>
    </row>
    <row r="748" spans="1:44">
      <c r="A748" t="str">
        <f>H748&amp;COUNTIF($H$2:H748,H748)</f>
        <v>0254</v>
      </c>
      <c r="B748" t="str">
        <f>F748&amp;COUNTIF($F$2:F748,F748)</f>
        <v>ﾌｪﾆﾃｯｸｾﾐｺﾝﾀﾞｸﾀｰ 岡山20</v>
      </c>
      <c r="C748" t="str">
        <v>在職中</v>
      </c>
      <c r="D748">
        <v>210801</v>
      </c>
      <c r="E748">
        <v>0</v>
      </c>
      <c r="F748" t="str">
        <v>ﾌｪﾆﾃｯｸｾﾐｺﾝﾀﾞｸﾀｰ 岡山</v>
      </c>
      <c r="G748">
        <v>0</v>
      </c>
      <c r="H748">
        <v>0</v>
      </c>
      <c r="I748">
        <v>0</v>
      </c>
      <c r="J748" t="str">
        <v>TRAN XUAN HUNG</v>
      </c>
      <c r="K748" t="str">
        <v>チャン　スアン　フン</v>
      </c>
      <c r="L748" t="str">
        <v>男</v>
      </c>
      <c r="M748" t="str">
        <v>ﾍﾞﾄﾅﾑ</v>
      </c>
      <c r="N748" s="31">
        <v>34643</v>
      </c>
      <c r="O748">
        <v>31</v>
      </c>
      <c r="P748">
        <v>1600</v>
      </c>
      <c r="Q748">
        <v>0</v>
      </c>
      <c r="R748">
        <v>2400</v>
      </c>
      <c r="S748">
        <v>0</v>
      </c>
      <c r="T748">
        <v>800</v>
      </c>
      <c r="U748">
        <v>280000</v>
      </c>
      <c r="V748">
        <v>14042</v>
      </c>
      <c r="W748" t="str">
        <v>0</v>
      </c>
      <c r="X748">
        <v>25620</v>
      </c>
      <c r="Y748" s="31">
        <v>45937</v>
      </c>
      <c r="Z748" t="str">
        <v>期限過ぎてます! 58</v>
      </c>
      <c r="AA748" t="str">
        <v>技術・人文知識・国際業務</v>
      </c>
      <c r="AB748" t="str">
        <v>715-0014</v>
      </c>
      <c r="AC748" t="str">
        <v>岡山県井原氏七日市町696-2</v>
      </c>
      <c r="AD748" t="str">
        <v>Florence1997 201号</v>
      </c>
      <c r="AE748" s="31">
        <v>0</v>
      </c>
      <c r="AF748" s="31">
        <v>45369</v>
      </c>
      <c r="AG748" s="31">
        <v>0</v>
      </c>
      <c r="AH748" s="31">
        <v>0</v>
      </c>
      <c r="AI748" t="str">
        <v>24.3.18</v>
      </c>
      <c r="AJ748" t="str">
        <v>3/27林</v>
      </c>
      <c r="AK748">
        <v>0</v>
      </c>
      <c r="AL748">
        <v>45369</v>
      </c>
      <c r="AM748">
        <v>0</v>
      </c>
      <c r="AN748">
        <v>0</v>
      </c>
      <c r="AO748">
        <v>0</v>
      </c>
      <c r="AP748">
        <v>0</v>
      </c>
      <c r="AQ748">
        <v>0</v>
      </c>
      <c r="AR748">
        <v>0</v>
      </c>
    </row>
    <row r="749" spans="1:44">
      <c r="A749" t="str">
        <f>H749&amp;COUNTIF($H$2:H749,H749)</f>
        <v>第2工場1</v>
      </c>
      <c r="B749" t="str">
        <f>F749&amp;COUNTIF($F$2:F749,F749)</f>
        <v>オーツカ8</v>
      </c>
      <c r="C749" t="str">
        <v>在職中</v>
      </c>
      <c r="D749">
        <v>240321</v>
      </c>
      <c r="E749">
        <v>9330008</v>
      </c>
      <c r="F749" t="str">
        <v>オーツカ</v>
      </c>
      <c r="G749" t="str">
        <v>製造部第2製造課</v>
      </c>
      <c r="H749" t="str">
        <v>第2工場</v>
      </c>
      <c r="I749" t="str">
        <v>製造及び検索、それに付随する業務。</v>
      </c>
      <c r="J749" t="str">
        <v>WATANABE MAYORGA ARMANDO JOSE</v>
      </c>
      <c r="K749" t="str">
        <v>ワタナベ　アルマンド</v>
      </c>
      <c r="L749" t="str">
        <v>男</v>
      </c>
      <c r="M749" t="str">
        <v>ﾍﾟﾙｰ</v>
      </c>
      <c r="N749" s="31">
        <v>33698</v>
      </c>
      <c r="O749">
        <v>33</v>
      </c>
      <c r="P749">
        <v>1400</v>
      </c>
      <c r="Q749">
        <v>0</v>
      </c>
      <c r="R749">
        <v>1872</v>
      </c>
      <c r="S749">
        <v>0</v>
      </c>
      <c r="T749">
        <v>472</v>
      </c>
      <c r="U749">
        <v>300000</v>
      </c>
      <c r="V749">
        <v>15045</v>
      </c>
      <c r="W749" t="str">
        <v>0</v>
      </c>
      <c r="X749">
        <v>27450</v>
      </c>
      <c r="Y749" s="31">
        <v>45836</v>
      </c>
      <c r="Z749" t="str">
        <v>期限過ぎてます! 159</v>
      </c>
      <c r="AA749" t="str">
        <v>定住者</v>
      </c>
      <c r="AB749" t="str">
        <v>503-2124</v>
      </c>
      <c r="AC749" t="str">
        <v>岐阜県不破郡垂井町宮代536番地の1</v>
      </c>
      <c r="AD749" t="str">
        <v>ｱﾙﾃｰﾙ宮代A号</v>
      </c>
      <c r="AE749" s="31" t="str">
        <v>個人</v>
      </c>
      <c r="AF749" s="31">
        <v>45369</v>
      </c>
      <c r="AG749" s="31">
        <v>0</v>
      </c>
      <c r="AH749" s="31">
        <v>0</v>
      </c>
      <c r="AI749" t="str">
        <v>24.3.18</v>
      </c>
      <c r="AJ749" t="str">
        <v>3/27林</v>
      </c>
      <c r="AK749">
        <v>0</v>
      </c>
      <c r="AL749">
        <v>45369</v>
      </c>
      <c r="AM749">
        <v>0</v>
      </c>
      <c r="AN749">
        <v>0</v>
      </c>
      <c r="AO749">
        <v>0</v>
      </c>
      <c r="AP749">
        <v>0</v>
      </c>
      <c r="AQ749">
        <v>0</v>
      </c>
      <c r="AR749">
        <v>0</v>
      </c>
    </row>
    <row r="750" spans="1:44">
      <c r="A750" t="str">
        <f>H750&amp;COUNTIF($H$2:H750,H750)</f>
        <v>0255</v>
      </c>
      <c r="B750" t="str">
        <f>F750&amp;COUNTIF($F$2:F750,F750)</f>
        <v>PATEC32</v>
      </c>
      <c r="C750" t="str">
        <v>退社</v>
      </c>
      <c r="D750">
        <v>211031</v>
      </c>
      <c r="E750">
        <v>0</v>
      </c>
      <c r="F750" t="str">
        <v>PATEC</v>
      </c>
      <c r="G750" t="str">
        <v>製造部機械加工課</v>
      </c>
      <c r="H750">
        <v>0</v>
      </c>
      <c r="I750">
        <v>0</v>
      </c>
      <c r="J750" t="str">
        <v>NGUYEN SY DUC</v>
      </c>
      <c r="K750" t="str">
        <v>グエン　シー　ドウク</v>
      </c>
      <c r="L750" t="str">
        <v>男</v>
      </c>
      <c r="M750" t="str">
        <v>ﾍﾞﾄﾅﾑ</v>
      </c>
      <c r="N750" s="31">
        <v>31475</v>
      </c>
      <c r="O750">
        <v>39</v>
      </c>
      <c r="P750">
        <v>1500</v>
      </c>
      <c r="Q750" t="str">
        <v>5/21～\1400⇒1500</v>
      </c>
      <c r="R750">
        <v>2000</v>
      </c>
      <c r="S750">
        <v>0</v>
      </c>
      <c r="T750">
        <v>500</v>
      </c>
      <c r="U750">
        <v>0</v>
      </c>
      <c r="V750" t="str">
        <v/>
      </c>
      <c r="W750" t="str">
        <v>0</v>
      </c>
      <c r="X750">
        <v>0</v>
      </c>
      <c r="Y750" s="31">
        <v>46109</v>
      </c>
      <c r="Z750" t="str">
        <v/>
      </c>
      <c r="AA750" t="str">
        <v>技術・人文知識・国際業務</v>
      </c>
      <c r="AB750" t="str">
        <v>747-0833</v>
      </c>
      <c r="AC750" t="str">
        <v>山口県防府市大字浜方716-15</v>
      </c>
      <c r="AD750" t="str">
        <v>ｱﾙｿｰﾚD103</v>
      </c>
      <c r="AE750" s="31">
        <v>0</v>
      </c>
      <c r="AF750" s="31">
        <v>45372</v>
      </c>
      <c r="AG750" s="31">
        <v>45393</v>
      </c>
      <c r="AH750" s="31">
        <v>0</v>
      </c>
      <c r="AI750" t="str">
        <v>加入なし</v>
      </c>
      <c r="AJ750" t="str">
        <v>4/24林</v>
      </c>
      <c r="AK750">
        <v>0</v>
      </c>
      <c r="AL750">
        <v>45372</v>
      </c>
      <c r="AM750">
        <v>0</v>
      </c>
      <c r="AN750">
        <v>0</v>
      </c>
      <c r="AO750">
        <v>0</v>
      </c>
      <c r="AP750">
        <v>0</v>
      </c>
      <c r="AQ750">
        <v>0</v>
      </c>
      <c r="AR750">
        <v>0</v>
      </c>
    </row>
    <row r="751" spans="1:44">
      <c r="A751" t="str">
        <f>H751&amp;COUNTIF($H$2:H751,H751)</f>
        <v>等速ジョイント31</v>
      </c>
      <c r="B751" t="str">
        <f>F751&amp;COUNTIF($F$2:F751,F751)</f>
        <v>瑞陵精機46</v>
      </c>
      <c r="C751" t="str">
        <v>在職中</v>
      </c>
      <c r="D751">
        <v>240322</v>
      </c>
      <c r="E751">
        <v>0</v>
      </c>
      <c r="F751" t="str">
        <v>瑞陵精機</v>
      </c>
      <c r="G751" t="str">
        <v>製造課</v>
      </c>
      <c r="H751" t="str">
        <v>等速ジョイント</v>
      </c>
      <c r="I751" t="str">
        <v>ＮＣ旋盤、マシニングセンター等の工作機械を使いオペレーターとして製造ラインで製品を加工</v>
      </c>
      <c r="J751" t="str">
        <v>TRAN VAN TIEN</v>
      </c>
      <c r="K751" t="str">
        <v>チャン　バン　ティエン</v>
      </c>
      <c r="L751" t="str">
        <v>男</v>
      </c>
      <c r="M751" t="str">
        <v>ﾍﾞﾄﾅﾑ</v>
      </c>
      <c r="N751" s="31">
        <v>32363</v>
      </c>
      <c r="O751">
        <v>37</v>
      </c>
      <c r="P751">
        <v>1300</v>
      </c>
      <c r="Q751">
        <v>0</v>
      </c>
      <c r="R751">
        <v>1700</v>
      </c>
      <c r="S751">
        <v>0</v>
      </c>
      <c r="T751">
        <v>400</v>
      </c>
      <c r="U751">
        <v>260000</v>
      </c>
      <c r="V751">
        <v>13039</v>
      </c>
      <c r="W751" t="str">
        <v>0</v>
      </c>
      <c r="X751">
        <v>23790</v>
      </c>
      <c r="Y751" s="31">
        <v>46885</v>
      </c>
      <c r="Z751" t="str">
        <v/>
      </c>
      <c r="AA751" t="str">
        <v>技術・人文知識・国際業務</v>
      </c>
      <c r="AB751" t="str">
        <v>509-7201</v>
      </c>
      <c r="AC751" t="str">
        <v>岐阜県恵那市大井町2087-170</v>
      </c>
      <c r="AD751" t="str">
        <v>ﾋﾞﾚｯｼﾞﾊｳｽ1-304</v>
      </c>
      <c r="AE751" s="31" t="str">
        <v>個人</v>
      </c>
      <c r="AF751" s="31">
        <v>45372</v>
      </c>
      <c r="AG751" s="31">
        <v>0</v>
      </c>
      <c r="AH751" s="31">
        <v>0</v>
      </c>
      <c r="AI751" t="str">
        <v>24.3.21</v>
      </c>
      <c r="AJ751" t="str">
        <v>4/15林</v>
      </c>
      <c r="AK751">
        <v>0</v>
      </c>
      <c r="AL751">
        <v>45372</v>
      </c>
      <c r="AM751">
        <v>0</v>
      </c>
      <c r="AN751">
        <v>0</v>
      </c>
      <c r="AO751">
        <v>0</v>
      </c>
      <c r="AP751">
        <v>0</v>
      </c>
      <c r="AQ751">
        <v>0</v>
      </c>
      <c r="AR751">
        <v>0</v>
      </c>
    </row>
    <row r="752" spans="1:44">
      <c r="A752" t="str">
        <f>H752&amp;COUNTIF($H$2:H752,H752)</f>
        <v>材料管理係2</v>
      </c>
      <c r="B752" t="str">
        <f>F752&amp;COUNTIF($F$2:F752,F752)</f>
        <v>高雄工業 岡山132</v>
      </c>
      <c r="C752" t="str">
        <v>退社</v>
      </c>
      <c r="D752">
        <v>240323</v>
      </c>
      <c r="E752">
        <v>232132</v>
      </c>
      <c r="F752" t="str">
        <v>高雄工業 岡山</v>
      </c>
      <c r="G752" t="str">
        <v>高雄工業株式会社第一営業部岡山営業課</v>
      </c>
      <c r="H752" t="str">
        <v>材料管理係</v>
      </c>
      <c r="I752" t="str">
        <v>鋳造材料の工場内加工ラインへの供給</v>
      </c>
      <c r="J752" t="str">
        <v>TRAN THI TRANG</v>
      </c>
      <c r="K752" t="str">
        <v>チャン　ティ　チャン</v>
      </c>
      <c r="L752" t="str">
        <v>女</v>
      </c>
      <c r="M752" t="str">
        <v>ﾍﾞﾄﾅﾑ</v>
      </c>
      <c r="N752" s="31">
        <v>34244</v>
      </c>
      <c r="O752">
        <v>32</v>
      </c>
      <c r="P752">
        <v>1100</v>
      </c>
      <c r="Q752">
        <v>0</v>
      </c>
      <c r="R752">
        <v>1600</v>
      </c>
      <c r="S752">
        <v>0</v>
      </c>
      <c r="T752">
        <v>500</v>
      </c>
      <c r="U752">
        <v>98000</v>
      </c>
      <c r="V752">
        <v>4915</v>
      </c>
      <c r="W752" t="str">
        <v>0</v>
      </c>
      <c r="X752">
        <v>8967</v>
      </c>
      <c r="Y752" s="31">
        <v>46481</v>
      </c>
      <c r="Z752" t="str">
        <v/>
      </c>
      <c r="AA752" t="str">
        <v>家族滞在</v>
      </c>
      <c r="AB752" t="str">
        <v>709-2134</v>
      </c>
      <c r="AC752" t="str">
        <v>岡山県岡山市北区御津下田77番地3</v>
      </c>
      <c r="AD752" t="str">
        <v>ﾋﾞﾚｯｼﾞﾊｳｽ1-307</v>
      </c>
      <c r="AE752" s="31" t="str">
        <v>個人</v>
      </c>
      <c r="AF752" s="31">
        <v>45372</v>
      </c>
      <c r="AG752" s="31">
        <v>45750</v>
      </c>
      <c r="AH752" s="31">
        <v>0</v>
      </c>
      <c r="AI752" t="str">
        <v>24.3.21</v>
      </c>
      <c r="AJ752" t="str">
        <v>3/22林</v>
      </c>
      <c r="AK752">
        <v>0</v>
      </c>
      <c r="AL752">
        <v>45372</v>
      </c>
      <c r="AM752">
        <v>0</v>
      </c>
      <c r="AN752">
        <v>0</v>
      </c>
      <c r="AO752">
        <v>0</v>
      </c>
      <c r="AP752">
        <v>0</v>
      </c>
      <c r="AQ752">
        <v>0</v>
      </c>
      <c r="AR752">
        <v>0</v>
      </c>
    </row>
    <row r="753" spans="1:44">
      <c r="A753" t="str">
        <f>H753&amp;COUNTIF($H$2:H753,H753)</f>
        <v>0256</v>
      </c>
      <c r="B753" t="str">
        <f>F753&amp;COUNTIF($F$2:F753,F753)</f>
        <v>ワーク 堺10</v>
      </c>
      <c r="C753" t="str">
        <v>在職中</v>
      </c>
      <c r="D753">
        <v>240324</v>
      </c>
      <c r="E753">
        <v>0</v>
      </c>
      <c r="F753" t="str">
        <v>ワーク 堺</v>
      </c>
      <c r="G753">
        <v>0</v>
      </c>
      <c r="H753">
        <v>0</v>
      </c>
      <c r="I753">
        <v>0</v>
      </c>
      <c r="J753" t="str">
        <v>TRAN VAN VIET</v>
      </c>
      <c r="K753" t="str">
        <v>チャン　ヴァン　ヴィエット</v>
      </c>
      <c r="L753" t="str">
        <v>男</v>
      </c>
      <c r="M753" t="str">
        <v>ﾍﾞﾄﾅﾑ</v>
      </c>
      <c r="N753" s="31">
        <v>31596</v>
      </c>
      <c r="O753">
        <v>39</v>
      </c>
      <c r="P753">
        <v>1400</v>
      </c>
      <c r="Q753">
        <v>0</v>
      </c>
      <c r="R753">
        <v>1900</v>
      </c>
      <c r="S753">
        <v>0</v>
      </c>
      <c r="T753">
        <v>500</v>
      </c>
      <c r="U753">
        <v>240000</v>
      </c>
      <c r="V753">
        <v>12036</v>
      </c>
      <c r="W753" t="str">
        <v>0</v>
      </c>
      <c r="X753">
        <v>21960</v>
      </c>
      <c r="Y753" s="31">
        <v>46973</v>
      </c>
      <c r="Z753" t="str">
        <v/>
      </c>
      <c r="AA753" t="str">
        <v>技術・人文知識・国際業務</v>
      </c>
      <c r="AB753" t="str">
        <v>559-0007</v>
      </c>
      <c r="AC753" t="str">
        <v>大阪府大阪市住之江区粉浜西3丁目1番2</v>
      </c>
      <c r="AD753" t="str">
        <v>904号</v>
      </c>
      <c r="AE753" s="31" t="str">
        <v>個人</v>
      </c>
      <c r="AF753" s="31">
        <v>45376</v>
      </c>
      <c r="AG753" s="31">
        <v>0</v>
      </c>
      <c r="AH753" s="31">
        <v>0</v>
      </c>
      <c r="AI753" t="str">
        <v>24.3.25</v>
      </c>
      <c r="AJ753" t="str">
        <v>4/15林</v>
      </c>
      <c r="AK753">
        <v>0</v>
      </c>
      <c r="AL753">
        <v>45376</v>
      </c>
      <c r="AM753">
        <v>0</v>
      </c>
      <c r="AN753">
        <v>0</v>
      </c>
      <c r="AO753">
        <v>0</v>
      </c>
      <c r="AP753">
        <v>0</v>
      </c>
      <c r="AQ753">
        <v>0</v>
      </c>
      <c r="AR753">
        <v>0</v>
      </c>
    </row>
    <row r="754" spans="1:44">
      <c r="A754" t="str">
        <f>H754&amp;COUNTIF($H$2:H754,H754)</f>
        <v>トラニオン9</v>
      </c>
      <c r="B754" t="str">
        <f>F754&amp;COUNTIF($F$2:F754,F754)</f>
        <v>高雄工業 静岡82</v>
      </c>
      <c r="C754" t="str">
        <v>在職中</v>
      </c>
      <c r="D754">
        <v>250906</v>
      </c>
      <c r="E754">
        <v>242138</v>
      </c>
      <c r="F754" t="str">
        <v>高雄工業 静岡</v>
      </c>
      <c r="G754" t="str">
        <v>高雄工業株式会社 静岡事業所第二工場製作課</v>
      </c>
      <c r="H754" t="str">
        <v>トラニオン</v>
      </c>
      <c r="I754" t="str">
        <v>産業機械部品の研磨加工、NCプログラム修正</v>
      </c>
      <c r="J754" t="str">
        <v>LE HUU NGHI</v>
      </c>
      <c r="K754" t="str">
        <v>レ　ヒュウ　ギー</v>
      </c>
      <c r="L754" t="str">
        <v>男</v>
      </c>
      <c r="M754" t="str">
        <v>ﾍﾞﾄﾅﾑ</v>
      </c>
      <c r="N754" s="31">
        <v>37470</v>
      </c>
      <c r="O754">
        <v>23</v>
      </c>
      <c r="P754">
        <v>1200</v>
      </c>
      <c r="Q754">
        <v>0</v>
      </c>
      <c r="R754">
        <v>1650</v>
      </c>
      <c r="S754">
        <v>0</v>
      </c>
      <c r="T754">
        <v>450</v>
      </c>
      <c r="U754">
        <v>200000</v>
      </c>
      <c r="V754">
        <v>10030</v>
      </c>
      <c r="W754" t="str">
        <v>0</v>
      </c>
      <c r="X754">
        <v>18300</v>
      </c>
      <c r="Y754" s="31">
        <v>47742</v>
      </c>
      <c r="Z754" t="str">
        <v/>
      </c>
      <c r="AA754" t="str">
        <v>技術・人文知識・国際業務</v>
      </c>
      <c r="AB754" t="str">
        <v>437-0061</v>
      </c>
      <c r="AC754" t="str">
        <v>静岡県袋井市久能1889-2</v>
      </c>
      <c r="AD754" t="str">
        <v>ﾗﾌｨｰﾈ久能402号</v>
      </c>
      <c r="AE754" s="31">
        <v>45918</v>
      </c>
      <c r="AF754" s="31">
        <v>45923</v>
      </c>
      <c r="AG754" s="31">
        <v>0</v>
      </c>
      <c r="AH754" s="31">
        <v>0</v>
      </c>
      <c r="AI754">
        <v>45923</v>
      </c>
      <c r="AJ754" t="str">
        <v>10/17林</v>
      </c>
      <c r="AK754">
        <v>0</v>
      </c>
      <c r="AL754">
        <v>45923</v>
      </c>
      <c r="AM754">
        <v>0</v>
      </c>
      <c r="AN754">
        <v>0</v>
      </c>
      <c r="AO754">
        <v>0</v>
      </c>
      <c r="AP754">
        <v>0</v>
      </c>
      <c r="AQ754">
        <v>0</v>
      </c>
      <c r="AR754">
        <v>0</v>
      </c>
    </row>
    <row r="755" spans="1:44">
      <c r="A755" t="str">
        <f>H755&amp;COUNTIF($H$2:H755,H755)</f>
        <v>H_2次旋20</v>
      </c>
      <c r="B755" t="str">
        <f>F755&amp;COUNTIF($F$2:F755,F755)</f>
        <v>高雄工業 海南第一62</v>
      </c>
      <c r="C755" t="str">
        <v>退社</v>
      </c>
      <c r="D755">
        <v>240402</v>
      </c>
      <c r="E755">
        <v>222069</v>
      </c>
      <c r="F755" t="str">
        <v>高雄工業 海南第一</v>
      </c>
      <c r="G755" t="str">
        <v>高雄工業株式会社 愛知事業所海南第一工場製作1課</v>
      </c>
      <c r="H755" t="str">
        <v>H_2次旋</v>
      </c>
      <c r="I755" t="str">
        <v>ハブ加工品の2次施削、手動機械オペレーターNCプログラム修正</v>
      </c>
      <c r="J755" t="str">
        <v>NGUYEN THANH LONG</v>
      </c>
      <c r="K755" t="str">
        <v>グエン　タイン　ロン</v>
      </c>
      <c r="L755" t="str">
        <v>男</v>
      </c>
      <c r="M755" t="str">
        <v>ﾍﾞﾄﾅﾑ</v>
      </c>
      <c r="N755" s="31">
        <v>36903</v>
      </c>
      <c r="O755">
        <v>24</v>
      </c>
      <c r="P755">
        <v>1200</v>
      </c>
      <c r="Q755">
        <v>0</v>
      </c>
      <c r="R755">
        <v>1650</v>
      </c>
      <c r="S755">
        <v>0</v>
      </c>
      <c r="T755">
        <v>450</v>
      </c>
      <c r="U755">
        <v>200000</v>
      </c>
      <c r="V755">
        <v>10030</v>
      </c>
      <c r="W755" t="str">
        <v>0</v>
      </c>
      <c r="X755">
        <v>18300</v>
      </c>
      <c r="Y755" s="31">
        <v>45745</v>
      </c>
      <c r="Z755" t="str">
        <v/>
      </c>
      <c r="AA755" t="str">
        <v>技術・人文知識・国際業務</v>
      </c>
      <c r="AB755" t="str">
        <v>498-0032</v>
      </c>
      <c r="AC755" t="str">
        <v>愛知県弥富市平島中4-125</v>
      </c>
      <c r="AD755">
        <v>0</v>
      </c>
      <c r="AE755" s="31">
        <v>0</v>
      </c>
      <c r="AF755" s="31">
        <v>45384</v>
      </c>
      <c r="AG755" s="31">
        <v>45480</v>
      </c>
      <c r="AH755" s="31">
        <v>0</v>
      </c>
      <c r="AI755" t="str">
        <v>2024.4.2</v>
      </c>
      <c r="AJ755" t="str">
        <v>4/15林</v>
      </c>
      <c r="AK755">
        <v>0</v>
      </c>
      <c r="AL755">
        <v>45384</v>
      </c>
      <c r="AM755">
        <v>0</v>
      </c>
      <c r="AN755">
        <v>0</v>
      </c>
      <c r="AO755">
        <v>0</v>
      </c>
      <c r="AP755">
        <v>0</v>
      </c>
      <c r="AQ755">
        <v>0</v>
      </c>
      <c r="AR755">
        <v>0</v>
      </c>
    </row>
    <row r="756" spans="1:44">
      <c r="A756" t="str">
        <f>H756&amp;COUNTIF($H$2:H756,H756)</f>
        <v>乙川工場製造3課5工区7班8</v>
      </c>
      <c r="B756" t="str">
        <f>F756&amp;COUNTIF($F$2:F756,F756)</f>
        <v>コーリツ 乙川25</v>
      </c>
      <c r="C756" t="str">
        <v>在職中</v>
      </c>
      <c r="D756">
        <v>211211</v>
      </c>
      <c r="E756">
        <v>8210090</v>
      </c>
      <c r="F756" t="str">
        <v>コーリツ 乙川</v>
      </c>
      <c r="G756" t="str">
        <v>乙川工場製造3課5工区7班</v>
      </c>
      <c r="H756" t="str">
        <v>乙川工場製造3課5工区7班</v>
      </c>
      <c r="I756">
        <v>0</v>
      </c>
      <c r="J756" t="str">
        <v>TRAN VAN THAN</v>
      </c>
      <c r="K756" t="str">
        <v>チャン　ヴァン　タン</v>
      </c>
      <c r="L756" t="str">
        <v>男</v>
      </c>
      <c r="M756" t="str">
        <v>ﾍﾞﾄﾅﾑ</v>
      </c>
      <c r="N756" s="31">
        <v>33865</v>
      </c>
      <c r="O756">
        <v>33</v>
      </c>
      <c r="P756">
        <v>1500</v>
      </c>
      <c r="Q756">
        <v>0</v>
      </c>
      <c r="R756">
        <v>2150</v>
      </c>
      <c r="S756">
        <v>0</v>
      </c>
      <c r="T756">
        <v>650</v>
      </c>
      <c r="U756">
        <v>360000</v>
      </c>
      <c r="V756">
        <v>18054</v>
      </c>
      <c r="W756" t="str">
        <v>0</v>
      </c>
      <c r="X756">
        <v>32940</v>
      </c>
      <c r="Y756" s="31">
        <v>46006</v>
      </c>
      <c r="Z756">
        <v>11</v>
      </c>
      <c r="AA756" t="str">
        <v>技術・人文知識・国際業務</v>
      </c>
      <c r="AB756" t="str">
        <v>475-0086</v>
      </c>
      <c r="AC756" t="str">
        <v>愛知県半田市庚申町2丁目6番地の7</v>
      </c>
      <c r="AD756" t="str">
        <v>ﾊｲﾂこうしんA棟101号</v>
      </c>
      <c r="AE756" s="31" t="str">
        <v>個人</v>
      </c>
      <c r="AF756" s="31">
        <v>45386</v>
      </c>
      <c r="AG756" s="31">
        <v>0</v>
      </c>
      <c r="AH756" s="31">
        <v>0</v>
      </c>
      <c r="AI756" t="str">
        <v>2024.4.4</v>
      </c>
      <c r="AJ756" t="str">
        <v>4/18林</v>
      </c>
      <c r="AK756">
        <v>0</v>
      </c>
      <c r="AL756">
        <v>45386</v>
      </c>
      <c r="AM756" t="str">
        <v>普通免許</v>
      </c>
      <c r="AN756">
        <v>46313</v>
      </c>
      <c r="AO756" t="str">
        <v>原付</v>
      </c>
      <c r="AP756">
        <v>45562</v>
      </c>
      <c r="AQ756">
        <v>0</v>
      </c>
      <c r="AR756">
        <v>0</v>
      </c>
    </row>
    <row r="757" spans="1:44">
      <c r="A757" t="str">
        <f>H757&amp;COUNTIF($H$2:H757,H757)</f>
        <v>0257</v>
      </c>
      <c r="B757" t="str">
        <f>F757&amp;COUNTIF($F$2:F757,F757)</f>
        <v>ワーク 堺11</v>
      </c>
      <c r="C757" t="str">
        <v>在職中</v>
      </c>
      <c r="D757">
        <v>240403</v>
      </c>
      <c r="E757">
        <v>0</v>
      </c>
      <c r="F757" t="str">
        <v>ワーク 堺</v>
      </c>
      <c r="G757">
        <v>0</v>
      </c>
      <c r="H757">
        <v>0</v>
      </c>
      <c r="I757">
        <v>0</v>
      </c>
      <c r="J757" t="str">
        <v>NGUYEN VAN HOA</v>
      </c>
      <c r="K757" t="str">
        <v>グエン　ヴァン　ホア</v>
      </c>
      <c r="L757" t="str">
        <v>男</v>
      </c>
      <c r="M757" t="str">
        <v>ﾍﾞﾄﾅﾑ</v>
      </c>
      <c r="N757" s="31">
        <v>35024</v>
      </c>
      <c r="O757">
        <v>30</v>
      </c>
      <c r="P757">
        <v>1400</v>
      </c>
      <c r="Q757">
        <v>0</v>
      </c>
      <c r="R757">
        <v>1990</v>
      </c>
      <c r="S757">
        <v>0</v>
      </c>
      <c r="T757">
        <v>590</v>
      </c>
      <c r="U757">
        <v>260000</v>
      </c>
      <c r="V757">
        <v>13039</v>
      </c>
      <c r="W757" t="str">
        <v>0</v>
      </c>
      <c r="X757">
        <v>23790</v>
      </c>
      <c r="Y757" s="31">
        <v>45982</v>
      </c>
      <c r="Z757" t="str">
        <v>期限過ぎてます! 13</v>
      </c>
      <c r="AA757" t="str">
        <v>技術・人文知識・国際業務</v>
      </c>
      <c r="AB757" t="str">
        <v>559-0013</v>
      </c>
      <c r="AC757" t="str">
        <v>大阪府大阪市住之江区御崎3-3-20</v>
      </c>
      <c r="AD757" t="str">
        <v>岩本ﾏﾝｼｮﾝ402</v>
      </c>
      <c r="AE757" s="31">
        <v>0</v>
      </c>
      <c r="AF757" s="31">
        <v>45393</v>
      </c>
      <c r="AG757" s="31">
        <v>0</v>
      </c>
      <c r="AH757" s="31">
        <v>0</v>
      </c>
      <c r="AI757" t="str">
        <v>2024.4.11</v>
      </c>
      <c r="AJ757" t="str">
        <v>5/13原</v>
      </c>
      <c r="AK757">
        <v>0</v>
      </c>
      <c r="AL757">
        <v>45393</v>
      </c>
      <c r="AM757">
        <v>0</v>
      </c>
      <c r="AN757">
        <v>0</v>
      </c>
      <c r="AO757">
        <v>0</v>
      </c>
      <c r="AP757">
        <v>0</v>
      </c>
      <c r="AQ757">
        <v>0</v>
      </c>
      <c r="AR757">
        <v>0</v>
      </c>
    </row>
    <row r="758" spans="1:44">
      <c r="A758" t="str">
        <f>H758&amp;COUNTIF($H$2:H758,H758)</f>
        <v>0258</v>
      </c>
      <c r="B758" t="str">
        <f>F758&amp;COUNTIF($F$2:F758,F758)</f>
        <v>ワーク 堺12</v>
      </c>
      <c r="C758" t="str">
        <v>在職中</v>
      </c>
      <c r="D758">
        <v>240404</v>
      </c>
      <c r="E758">
        <v>0</v>
      </c>
      <c r="F758" t="str">
        <v>ワーク 堺</v>
      </c>
      <c r="G758">
        <v>0</v>
      </c>
      <c r="H758">
        <v>0</v>
      </c>
      <c r="I758">
        <v>0</v>
      </c>
      <c r="J758" t="str">
        <v>TRINH VAN TU</v>
      </c>
      <c r="K758" t="str">
        <v>チン　ヴァン　トウ</v>
      </c>
      <c r="L758" t="str">
        <v>男</v>
      </c>
      <c r="M758" t="str">
        <v>ﾍﾞﾄﾅﾑ</v>
      </c>
      <c r="N758" s="31">
        <v>34076</v>
      </c>
      <c r="O758">
        <v>32</v>
      </c>
      <c r="P758">
        <v>1400</v>
      </c>
      <c r="Q758">
        <v>0</v>
      </c>
      <c r="R758">
        <v>1990</v>
      </c>
      <c r="S758">
        <v>0</v>
      </c>
      <c r="T758">
        <v>590</v>
      </c>
      <c r="U758">
        <v>240000</v>
      </c>
      <c r="V758">
        <v>12036</v>
      </c>
      <c r="W758" t="str">
        <v>0</v>
      </c>
      <c r="X758">
        <v>21960</v>
      </c>
      <c r="Y758" s="31">
        <v>47036</v>
      </c>
      <c r="Z758" t="str">
        <v/>
      </c>
      <c r="AA758" t="str">
        <v>技術・人文知識・国際業務</v>
      </c>
      <c r="AB758" t="str">
        <v>559-0013</v>
      </c>
      <c r="AC758" t="str">
        <v>大阪府大阪市住之江区御崎3-3-20</v>
      </c>
      <c r="AD758" t="str">
        <v>岩本ﾏﾝｼｮﾝ402</v>
      </c>
      <c r="AE758" s="31">
        <v>0</v>
      </c>
      <c r="AF758" s="31">
        <v>45393</v>
      </c>
      <c r="AG758" s="31">
        <v>0</v>
      </c>
      <c r="AH758" s="31">
        <v>0</v>
      </c>
      <c r="AI758" t="str">
        <v>2024.4.11</v>
      </c>
      <c r="AJ758" t="str">
        <v>4/25林</v>
      </c>
      <c r="AK758">
        <v>0</v>
      </c>
      <c r="AL758">
        <v>45393</v>
      </c>
      <c r="AM758">
        <v>0</v>
      </c>
      <c r="AN758">
        <v>0</v>
      </c>
      <c r="AO758">
        <v>0</v>
      </c>
      <c r="AP758">
        <v>0</v>
      </c>
      <c r="AQ758">
        <v>0</v>
      </c>
      <c r="AR758">
        <v>0</v>
      </c>
    </row>
    <row r="759" spans="1:44">
      <c r="A759" t="str">
        <f>H759&amp;COUNTIF($H$2:H759,H759)</f>
        <v>ナット4</v>
      </c>
      <c r="B759" t="str">
        <f>F759&amp;COUNTIF($F$2:F759,F759)</f>
        <v>高雄工業 静岡83</v>
      </c>
      <c r="C759" t="str">
        <v>在職中</v>
      </c>
      <c r="D759">
        <v>210112</v>
      </c>
      <c r="E759">
        <v>242006</v>
      </c>
      <c r="F759" t="str">
        <v>高雄工業 静岡</v>
      </c>
      <c r="G759" t="str">
        <v>高雄工業株式会社 静岡事業所第二工場製作課</v>
      </c>
      <c r="H759" t="str">
        <v>ナット</v>
      </c>
      <c r="I759" t="str">
        <v>産業機械部品の研磨加工、NCプログラム修正</v>
      </c>
      <c r="J759" t="str">
        <v>NGUYEN QUANG QUYEN</v>
      </c>
      <c r="K759" t="str">
        <v>グエン　カン　クエン</v>
      </c>
      <c r="L759" t="str">
        <v>男</v>
      </c>
      <c r="M759" t="str">
        <v>ﾍﾞﾄﾅﾑ</v>
      </c>
      <c r="N759" s="31">
        <v>34179</v>
      </c>
      <c r="O759">
        <v>32</v>
      </c>
      <c r="P759">
        <v>1440</v>
      </c>
      <c r="Q759" t="str">
        <v>6/16~ \1200⇒\1250</v>
      </c>
      <c r="R759">
        <v>1870</v>
      </c>
      <c r="S759" t="str">
        <v>9/16~ 1610円→1760円</v>
      </c>
      <c r="T759">
        <v>430</v>
      </c>
      <c r="U759">
        <v>300000</v>
      </c>
      <c r="V759">
        <v>15045</v>
      </c>
      <c r="W759" t="str">
        <v>0</v>
      </c>
      <c r="X759">
        <v>27450</v>
      </c>
      <c r="Y759" s="31">
        <v>46857</v>
      </c>
      <c r="Z759" t="str">
        <v/>
      </c>
      <c r="AA759" t="str">
        <v>技術・人文知識・国際業務</v>
      </c>
      <c r="AB759" t="str">
        <v>437-0065</v>
      </c>
      <c r="AC759" t="str">
        <v>静岡県袋井市堀越3丁目19-2</v>
      </c>
      <c r="AD759" t="str">
        <v>ｴｸｾｰﾗ201号室</v>
      </c>
      <c r="AE759" s="31" t="str">
        <v>個人</v>
      </c>
      <c r="AF759" s="31">
        <v>44207</v>
      </c>
      <c r="AG759" s="31">
        <v>0</v>
      </c>
      <c r="AH759" s="31">
        <v>44439</v>
      </c>
      <c r="AI759">
        <v>44256</v>
      </c>
      <c r="AJ759" t="str">
        <v>OK</v>
      </c>
      <c r="AK759">
        <v>0</v>
      </c>
      <c r="AL759">
        <v>44207</v>
      </c>
      <c r="AM759">
        <v>0</v>
      </c>
      <c r="AN759">
        <v>0</v>
      </c>
      <c r="AO759">
        <v>0</v>
      </c>
      <c r="AP759">
        <v>0</v>
      </c>
      <c r="AQ759" t="str">
        <v>JLPT-N3</v>
      </c>
      <c r="AR759">
        <v>0</v>
      </c>
    </row>
    <row r="760" spans="1:44">
      <c r="A760" t="str">
        <f>H760&amp;COUNTIF($H$2:H760,H760)</f>
        <v>1次旋係57</v>
      </c>
      <c r="B760" t="str">
        <f>F760&amp;COUNTIF($F$2:F760,F760)</f>
        <v>高雄工業 岡山133</v>
      </c>
      <c r="C760" t="str">
        <v>退社</v>
      </c>
      <c r="D760">
        <v>240405</v>
      </c>
      <c r="E760">
        <v>232135</v>
      </c>
      <c r="F760" t="str">
        <v>高雄工業 岡山</v>
      </c>
      <c r="G760" t="str">
        <v>高雄工業株式会社 岡山事業所HUB工場製作1課</v>
      </c>
      <c r="H760" t="str">
        <v>1次旋係</v>
      </c>
      <c r="I760" t="str">
        <v>ハブ加工 自動機の操作、ＮＣプログラム修正</v>
      </c>
      <c r="J760" t="str">
        <v>DONG LE XUAN HIEP</v>
      </c>
      <c r="K760" t="str">
        <v>ドン　レ　スアン　ヒエップ</v>
      </c>
      <c r="L760" t="str">
        <v>男</v>
      </c>
      <c r="M760" t="str">
        <v>ﾍﾞﾄﾅﾑ</v>
      </c>
      <c r="N760" s="31">
        <v>37183</v>
      </c>
      <c r="O760">
        <v>24</v>
      </c>
      <c r="P760">
        <v>1300</v>
      </c>
      <c r="Q760">
        <v>0</v>
      </c>
      <c r="R760">
        <v>1670</v>
      </c>
      <c r="S760">
        <v>0</v>
      </c>
      <c r="T760">
        <v>370</v>
      </c>
      <c r="U760">
        <v>260000</v>
      </c>
      <c r="V760">
        <v>13039</v>
      </c>
      <c r="W760" t="str">
        <v>0</v>
      </c>
      <c r="X760">
        <v>23790</v>
      </c>
      <c r="Y760" s="31">
        <v>46858</v>
      </c>
      <c r="Z760" t="str">
        <v/>
      </c>
      <c r="AA760" t="str">
        <v>技術・人文知識・国際業務</v>
      </c>
      <c r="AB760" t="str">
        <v>709-2107</v>
      </c>
      <c r="AC760" t="str">
        <v>岡山県岡山市北区御津矢原294-1</v>
      </c>
      <c r="AD760" t="str">
        <v>成広矢原ｺｰﾎﾟⅢ101号</v>
      </c>
      <c r="AE760" s="31">
        <v>0</v>
      </c>
      <c r="AF760" s="31">
        <v>45398</v>
      </c>
      <c r="AG760" s="31">
        <v>45863</v>
      </c>
      <c r="AH760" s="31">
        <v>0</v>
      </c>
      <c r="AI760" t="str">
        <v>2024.4.16</v>
      </c>
      <c r="AJ760" t="str">
        <v>4/25林</v>
      </c>
      <c r="AK760">
        <v>0</v>
      </c>
      <c r="AL760">
        <v>45398</v>
      </c>
      <c r="AM760">
        <v>0</v>
      </c>
      <c r="AN760">
        <v>0</v>
      </c>
      <c r="AO760">
        <v>0</v>
      </c>
      <c r="AP760">
        <v>0</v>
      </c>
      <c r="AQ760">
        <v>0</v>
      </c>
      <c r="AR760">
        <v>0</v>
      </c>
    </row>
    <row r="761" spans="1:44">
      <c r="A761" t="str">
        <f>H761&amp;COUNTIF($H$2:H761,H761)</f>
        <v>1次旋係58</v>
      </c>
      <c r="B761" t="str">
        <f>F761&amp;COUNTIF($F$2:F761,F761)</f>
        <v>高雄工業 岡山134</v>
      </c>
      <c r="C761" t="str">
        <v>在職中</v>
      </c>
      <c r="D761">
        <v>240406</v>
      </c>
      <c r="E761">
        <v>232134</v>
      </c>
      <c r="F761" t="str">
        <v>高雄工業 岡山</v>
      </c>
      <c r="G761" t="str">
        <v>高雄工業株式会社 岡山事業所HUB工場製作1課</v>
      </c>
      <c r="H761" t="str">
        <v>1次旋係</v>
      </c>
      <c r="I761" t="str">
        <v>ハブ加工 自動機の操作、ＮＣプログラム修正</v>
      </c>
      <c r="J761" t="str">
        <v>NGUYEN VAN LONG</v>
      </c>
      <c r="K761" t="str">
        <v>グエン　ヴァン　ロン</v>
      </c>
      <c r="L761" t="str">
        <v>男</v>
      </c>
      <c r="M761" t="str">
        <v>ﾍﾞﾄﾅﾑ</v>
      </c>
      <c r="N761" s="31">
        <v>36906</v>
      </c>
      <c r="O761">
        <v>24</v>
      </c>
      <c r="P761">
        <v>1300</v>
      </c>
      <c r="Q761">
        <v>0</v>
      </c>
      <c r="R761">
        <v>1670</v>
      </c>
      <c r="S761">
        <v>0</v>
      </c>
      <c r="T761">
        <v>370</v>
      </c>
      <c r="U761">
        <v>240000</v>
      </c>
      <c r="V761">
        <v>12036</v>
      </c>
      <c r="W761" t="str">
        <v>0</v>
      </c>
      <c r="X761">
        <v>21960</v>
      </c>
      <c r="Y761" s="31">
        <v>46858</v>
      </c>
      <c r="Z761" t="str">
        <v/>
      </c>
      <c r="AA761" t="str">
        <v>技術・人文知識・国際業務</v>
      </c>
      <c r="AB761" t="str">
        <v>709-2107</v>
      </c>
      <c r="AC761" t="str">
        <v>岡山県岡山市北区御津矢原294-1</v>
      </c>
      <c r="AD761" t="str">
        <v>成広矢原ｺｰﾎﾟⅢ101号</v>
      </c>
      <c r="AE761" s="31">
        <v>0</v>
      </c>
      <c r="AF761" s="31">
        <v>45398</v>
      </c>
      <c r="AG761" s="31">
        <v>0</v>
      </c>
      <c r="AH761" s="31">
        <v>0</v>
      </c>
      <c r="AI761" t="str">
        <v>2024.4.16</v>
      </c>
      <c r="AJ761" t="str">
        <v>4/25林</v>
      </c>
      <c r="AK761">
        <v>0</v>
      </c>
      <c r="AL761">
        <v>45398</v>
      </c>
      <c r="AM761">
        <v>0</v>
      </c>
      <c r="AN761">
        <v>0</v>
      </c>
      <c r="AO761">
        <v>0</v>
      </c>
      <c r="AP761">
        <v>0</v>
      </c>
      <c r="AQ761">
        <v>0</v>
      </c>
      <c r="AR761">
        <v>0</v>
      </c>
    </row>
    <row r="762" spans="1:44">
      <c r="A762" t="str">
        <f>H762&amp;COUNTIF($H$2:H762,H762)</f>
        <v>1次旋係59</v>
      </c>
      <c r="B762" t="str">
        <f>F762&amp;COUNTIF($F$2:F762,F762)</f>
        <v>高雄工業 岡山135</v>
      </c>
      <c r="C762" t="str">
        <v>退社</v>
      </c>
      <c r="D762">
        <v>240407</v>
      </c>
      <c r="E762">
        <v>232133</v>
      </c>
      <c r="F762" t="str">
        <v>高雄工業 岡山</v>
      </c>
      <c r="G762" t="str">
        <v>高雄工業株式会社 岡山事業所HUB工場製作1課</v>
      </c>
      <c r="H762" t="str">
        <v>1次旋係</v>
      </c>
      <c r="I762" t="str">
        <v>ハブ加工 自動機の操作、ＮＣプログラム修正</v>
      </c>
      <c r="J762" t="str">
        <v>VU CONG MINH</v>
      </c>
      <c r="K762" t="str">
        <v>ヴ　コン　ミン</v>
      </c>
      <c r="L762" t="str">
        <v>男</v>
      </c>
      <c r="M762" t="str">
        <v>ﾍﾞﾄﾅﾑ</v>
      </c>
      <c r="N762" s="31">
        <v>37237</v>
      </c>
      <c r="O762">
        <v>23</v>
      </c>
      <c r="P762">
        <v>1300</v>
      </c>
      <c r="Q762">
        <v>0</v>
      </c>
      <c r="R762">
        <v>1670</v>
      </c>
      <c r="S762">
        <v>0</v>
      </c>
      <c r="T762">
        <v>370</v>
      </c>
      <c r="U762">
        <v>240000</v>
      </c>
      <c r="V762">
        <v>12036</v>
      </c>
      <c r="W762" t="str">
        <v>0</v>
      </c>
      <c r="X762">
        <v>21960</v>
      </c>
      <c r="Y762" s="31">
        <v>46858</v>
      </c>
      <c r="Z762" t="str">
        <v/>
      </c>
      <c r="AA762" t="str">
        <v>技術・人文知識・国際業務</v>
      </c>
      <c r="AB762" t="str">
        <v>709-2107</v>
      </c>
      <c r="AC762" t="str">
        <v>岡山県岡山市北区御津矢原294-1</v>
      </c>
      <c r="AD762" t="str">
        <v>成広矢原ｺｰﾎﾟⅢ101号</v>
      </c>
      <c r="AE762" s="31">
        <v>0</v>
      </c>
      <c r="AF762" s="31">
        <v>45398</v>
      </c>
      <c r="AG762" s="31">
        <v>45954</v>
      </c>
      <c r="AH762" s="31">
        <v>0</v>
      </c>
      <c r="AI762" t="str">
        <v>2024.4.16</v>
      </c>
      <c r="AJ762" t="str">
        <v>4/25林</v>
      </c>
      <c r="AK762">
        <v>0</v>
      </c>
      <c r="AL762">
        <v>45398</v>
      </c>
      <c r="AM762">
        <v>0</v>
      </c>
      <c r="AN762">
        <v>0</v>
      </c>
      <c r="AO762">
        <v>0</v>
      </c>
      <c r="AP762">
        <v>0</v>
      </c>
      <c r="AQ762">
        <v>0</v>
      </c>
      <c r="AR762">
        <v>0</v>
      </c>
    </row>
    <row r="763" spans="1:44">
      <c r="A763" t="str">
        <f>H763&amp;COUNTIF($H$2:H763,H763)</f>
        <v>本社工場工務課1</v>
      </c>
      <c r="B763" t="str">
        <f>F763&amp;COUNTIF($F$2:F763,F763)</f>
        <v>コーリツ 本社27</v>
      </c>
      <c r="C763" t="str">
        <v>退社</v>
      </c>
      <c r="D763">
        <v>240408</v>
      </c>
      <c r="E763">
        <v>8210092</v>
      </c>
      <c r="F763" t="str">
        <v>コーリツ 本社</v>
      </c>
      <c r="G763" t="str">
        <v>本社工場工務課</v>
      </c>
      <c r="H763" t="str">
        <v>本社工場工務課</v>
      </c>
      <c r="I763">
        <v>0</v>
      </c>
      <c r="J763" t="str">
        <v>HO VAN THICH</v>
      </c>
      <c r="K763" t="str">
        <v>ホー　ヴァン　ティック</v>
      </c>
      <c r="L763" t="str">
        <v>男</v>
      </c>
      <c r="M763" t="str">
        <v>ﾍﾞﾄﾅﾑ</v>
      </c>
      <c r="N763" s="31">
        <v>32288</v>
      </c>
      <c r="O763">
        <v>37</v>
      </c>
      <c r="P763">
        <v>1400</v>
      </c>
      <c r="Q763">
        <v>0</v>
      </c>
      <c r="R763">
        <v>1990</v>
      </c>
      <c r="S763">
        <v>0</v>
      </c>
      <c r="T763">
        <v>590</v>
      </c>
      <c r="U763">
        <v>220000</v>
      </c>
      <c r="V763">
        <v>11033</v>
      </c>
      <c r="W763" t="str">
        <v>0</v>
      </c>
      <c r="X763">
        <v>20130</v>
      </c>
      <c r="Y763" s="31">
        <v>45611</v>
      </c>
      <c r="Z763" t="str">
        <v/>
      </c>
      <c r="AA763" t="str">
        <v>技術・人文知識・国際業務</v>
      </c>
      <c r="AB763" t="str">
        <v>448-0855</v>
      </c>
      <c r="AC763" t="str">
        <v>愛知県刈谷市大正町7丁目401-1</v>
      </c>
      <c r="AD763" t="str">
        <v>ﾆｭｰﾊﾋﾟﾈｽ201</v>
      </c>
      <c r="AE763" s="31">
        <v>0</v>
      </c>
      <c r="AF763" s="31">
        <v>45399</v>
      </c>
      <c r="AG763" s="31">
        <v>45498</v>
      </c>
      <c r="AH763" s="31">
        <v>0</v>
      </c>
      <c r="AI763" t="str">
        <v>2024.4.17</v>
      </c>
      <c r="AJ763" t="str">
        <v>4/26林</v>
      </c>
      <c r="AK763">
        <v>0</v>
      </c>
      <c r="AL763">
        <v>45399</v>
      </c>
      <c r="AM763">
        <v>0</v>
      </c>
      <c r="AN763">
        <v>0</v>
      </c>
      <c r="AO763" t="str">
        <v>自転車</v>
      </c>
      <c r="AP763">
        <v>45770</v>
      </c>
      <c r="AQ763">
        <v>0</v>
      </c>
      <c r="AR763">
        <v>0</v>
      </c>
    </row>
    <row r="764" spans="1:44">
      <c r="A764" t="str">
        <f>H764&amp;COUNTIF($H$2:H764,H764)</f>
        <v>本社工場製造1課2工区3班4</v>
      </c>
      <c r="B764" t="str">
        <f>F764&amp;COUNTIF($F$2:F764,F764)</f>
        <v>コーリツ 本社28</v>
      </c>
      <c r="C764" t="str">
        <v>退社</v>
      </c>
      <c r="D764">
        <v>240409</v>
      </c>
      <c r="E764">
        <v>8210093</v>
      </c>
      <c r="F764" t="str">
        <v>コーリツ 本社</v>
      </c>
      <c r="G764" t="str">
        <v>本社工場製造1課2工区3班</v>
      </c>
      <c r="H764" t="str">
        <v>本社工場製造1課2工区3班</v>
      </c>
      <c r="I764">
        <v>0</v>
      </c>
      <c r="J764" t="str">
        <v>TRAN THE HOANG</v>
      </c>
      <c r="K764" t="str">
        <v>チャン　テー　ホアン</v>
      </c>
      <c r="L764" t="str">
        <v>男</v>
      </c>
      <c r="M764" t="str">
        <v>ﾍﾞﾄﾅﾑ</v>
      </c>
      <c r="N764" s="31">
        <v>34548</v>
      </c>
      <c r="O764">
        <v>31</v>
      </c>
      <c r="P764">
        <v>1500</v>
      </c>
      <c r="Q764">
        <v>0</v>
      </c>
      <c r="R764">
        <v>2150</v>
      </c>
      <c r="S764">
        <v>0</v>
      </c>
      <c r="T764">
        <v>650</v>
      </c>
      <c r="U764">
        <v>220000</v>
      </c>
      <c r="V764">
        <v>11033</v>
      </c>
      <c r="W764" t="str">
        <v>0</v>
      </c>
      <c r="X764">
        <v>20130</v>
      </c>
      <c r="Y764" s="31">
        <v>46517</v>
      </c>
      <c r="Z764" t="str">
        <v/>
      </c>
      <c r="AA764" t="str">
        <v>技術・人文知識・国際業務</v>
      </c>
      <c r="AB764" t="str">
        <v>448-0013</v>
      </c>
      <c r="AC764" t="str">
        <v>愛知県刈谷市小垣江町石ノ戸86-3</v>
      </c>
      <c r="AD764" t="str">
        <v>ｳﾞｨﾗｺｰﾄ田園403</v>
      </c>
      <c r="AE764" s="31">
        <v>0</v>
      </c>
      <c r="AF764" s="31">
        <v>45399</v>
      </c>
      <c r="AG764" s="31">
        <v>45726</v>
      </c>
      <c r="AH764" s="31">
        <v>0</v>
      </c>
      <c r="AI764" t="str">
        <v>2024.4.17</v>
      </c>
      <c r="AJ764" t="str">
        <v>4/26林</v>
      </c>
      <c r="AK764">
        <v>0</v>
      </c>
      <c r="AL764">
        <v>45399</v>
      </c>
      <c r="AM764">
        <v>0</v>
      </c>
      <c r="AN764">
        <v>0</v>
      </c>
      <c r="AO764" t="str">
        <v>自転車</v>
      </c>
      <c r="AP764">
        <v>45770</v>
      </c>
      <c r="AQ764">
        <v>0</v>
      </c>
      <c r="AR764">
        <v>0</v>
      </c>
    </row>
    <row r="765" spans="1:44">
      <c r="A765" t="str">
        <f>H765&amp;COUNTIF($H$2:H765,H765)</f>
        <v>本社工場製造1課2工区3班5</v>
      </c>
      <c r="B765" t="str">
        <f>F765&amp;COUNTIF($F$2:F765,F765)</f>
        <v>コーリツ 本社29</v>
      </c>
      <c r="C765" t="str">
        <v>在職中</v>
      </c>
      <c r="D765">
        <v>240410</v>
      </c>
      <c r="E765">
        <v>8210091</v>
      </c>
      <c r="F765" t="str">
        <v>コーリツ 本社</v>
      </c>
      <c r="G765" t="str">
        <v>本社工場製造1課2工区3班</v>
      </c>
      <c r="H765" t="str">
        <v>本社工場製造1課2工区3班</v>
      </c>
      <c r="I765">
        <v>0</v>
      </c>
      <c r="J765" t="str">
        <v>NGUYEN QUANG HOA</v>
      </c>
      <c r="K765" t="str">
        <v>グエン　クアン　ホア</v>
      </c>
      <c r="L765" t="str">
        <v>男</v>
      </c>
      <c r="M765" t="str">
        <v>ﾍﾞﾄﾅﾑ</v>
      </c>
      <c r="N765" s="31">
        <v>35345</v>
      </c>
      <c r="O765">
        <v>29</v>
      </c>
      <c r="P765">
        <v>1500</v>
      </c>
      <c r="Q765">
        <v>0</v>
      </c>
      <c r="R765">
        <v>2150</v>
      </c>
      <c r="S765">
        <v>0</v>
      </c>
      <c r="T765">
        <v>650</v>
      </c>
      <c r="U765">
        <v>300000</v>
      </c>
      <c r="V765">
        <v>15045</v>
      </c>
      <c r="W765" t="str">
        <v>0</v>
      </c>
      <c r="X765">
        <v>27450</v>
      </c>
      <c r="Y765" s="31">
        <v>47075</v>
      </c>
      <c r="Z765" t="str">
        <v/>
      </c>
      <c r="AA765" t="str">
        <v>技術・人文知識・国際業務</v>
      </c>
      <c r="AB765" t="str">
        <v>448-0803</v>
      </c>
      <c r="AC765" t="str">
        <v>愛知県刈谷市野田町一本木27-1</v>
      </c>
      <c r="AD765" t="str">
        <v>ﾋﾞﾚｯｼﾞﾊｳｽ野田5-405</v>
      </c>
      <c r="AE765" s="31" t="str">
        <v>個人</v>
      </c>
      <c r="AF765" s="31">
        <v>45399</v>
      </c>
      <c r="AG765" s="31">
        <v>0</v>
      </c>
      <c r="AH765" s="31">
        <v>0</v>
      </c>
      <c r="AI765" t="str">
        <v>2024.4.17</v>
      </c>
      <c r="AJ765" t="str">
        <v>4/26林</v>
      </c>
      <c r="AK765">
        <v>0</v>
      </c>
      <c r="AL765">
        <v>45399</v>
      </c>
      <c r="AM765" t="str">
        <v>普通免許</v>
      </c>
      <c r="AN765">
        <v>46333</v>
      </c>
      <c r="AO765" t="str">
        <v>原付</v>
      </c>
      <c r="AP765">
        <v>46419</v>
      </c>
      <c r="AQ765">
        <v>0</v>
      </c>
      <c r="AR765">
        <v>0</v>
      </c>
    </row>
    <row r="766" spans="1:44">
      <c r="A766" t="str">
        <f>H766&amp;COUNTIF($H$2:H766,H766)</f>
        <v>本社工場製造1課2工区2班7</v>
      </c>
      <c r="B766" t="str">
        <f>F766&amp;COUNTIF($F$2:F766,F766)</f>
        <v>コーリツ 本社30</v>
      </c>
      <c r="C766" t="str">
        <v>在職中</v>
      </c>
      <c r="D766">
        <v>240412</v>
      </c>
      <c r="E766">
        <v>8210094</v>
      </c>
      <c r="F766" t="str">
        <v>コーリツ 本社</v>
      </c>
      <c r="G766" t="str">
        <v>本社工場製造1課2工区2班</v>
      </c>
      <c r="H766" t="str">
        <v>本社工場製造1課2工区2班</v>
      </c>
      <c r="I766">
        <v>0</v>
      </c>
      <c r="J766" t="str">
        <v>TRAN VAN CHINH</v>
      </c>
      <c r="K766" t="str">
        <v>チャン　バン　チン</v>
      </c>
      <c r="L766" t="str">
        <v>男</v>
      </c>
      <c r="M766" t="str">
        <v>ﾍﾞﾄﾅﾑ</v>
      </c>
      <c r="N766" s="31">
        <v>34506</v>
      </c>
      <c r="O766">
        <v>31</v>
      </c>
      <c r="P766">
        <v>1500</v>
      </c>
      <c r="Q766">
        <v>0</v>
      </c>
      <c r="R766">
        <v>2150</v>
      </c>
      <c r="S766">
        <v>0</v>
      </c>
      <c r="T766">
        <v>650</v>
      </c>
      <c r="U766">
        <v>320000</v>
      </c>
      <c r="V766">
        <v>16048</v>
      </c>
      <c r="W766" t="str">
        <v>0</v>
      </c>
      <c r="X766">
        <v>29280</v>
      </c>
      <c r="Y766" s="31">
        <v>46075</v>
      </c>
      <c r="Z766">
        <v>80</v>
      </c>
      <c r="AA766" t="str">
        <v>技術・人文知識・国際業務</v>
      </c>
      <c r="AB766" t="str">
        <v>474-0026</v>
      </c>
      <c r="AC766" t="str">
        <v>愛知県大府市東新町3-11</v>
      </c>
      <c r="AD766" t="str">
        <v>ﾋﾞﾚｯｼﾞﾊｳｽ八代山2号棟307号室</v>
      </c>
      <c r="AE766" s="31" t="str">
        <v>個人</v>
      </c>
      <c r="AF766" s="31">
        <v>45399</v>
      </c>
      <c r="AG766" s="31">
        <v>0</v>
      </c>
      <c r="AH766" s="31">
        <v>0</v>
      </c>
      <c r="AI766" t="str">
        <v>2024.4.17</v>
      </c>
      <c r="AJ766" t="str">
        <v>4/26林</v>
      </c>
      <c r="AK766">
        <v>0</v>
      </c>
      <c r="AL766">
        <v>45399</v>
      </c>
      <c r="AM766" t="str">
        <v>普通免許</v>
      </c>
      <c r="AN766">
        <v>46224</v>
      </c>
      <c r="AO766" t="str">
        <v>車</v>
      </c>
      <c r="AP766">
        <v>46458</v>
      </c>
      <c r="AQ766">
        <v>0</v>
      </c>
      <c r="AR766">
        <v>0</v>
      </c>
    </row>
    <row r="767" spans="1:44">
      <c r="A767" t="str">
        <f>H767&amp;COUNTIF($H$2:H767,H767)</f>
        <v>州の崎工場製造3課5工区6班4</v>
      </c>
      <c r="B767" t="str">
        <f>F767&amp;COUNTIF($F$2:F767,F767)</f>
        <v>コーリツ 州の崎32</v>
      </c>
      <c r="C767" t="str">
        <v>在職中</v>
      </c>
      <c r="D767">
        <v>240411</v>
      </c>
      <c r="E767">
        <v>8210095</v>
      </c>
      <c r="F767" t="str">
        <v>コーリツ 州の崎</v>
      </c>
      <c r="G767" t="str">
        <v>州の崎工場製造3課5工区6班</v>
      </c>
      <c r="H767" t="str">
        <v>州の崎工場製造3課5工区6班</v>
      </c>
      <c r="I767">
        <v>0</v>
      </c>
      <c r="J767" t="str">
        <v>NGUYEN TRONG HIEU</v>
      </c>
      <c r="K767" t="str">
        <v>グエン　チゥン　ヒエウ</v>
      </c>
      <c r="L767" t="str">
        <v>男</v>
      </c>
      <c r="M767" t="str">
        <v>ﾍﾞﾄﾅﾑ</v>
      </c>
      <c r="N767" s="31">
        <v>34393</v>
      </c>
      <c r="O767">
        <v>31</v>
      </c>
      <c r="P767">
        <v>1500</v>
      </c>
      <c r="Q767">
        <v>0</v>
      </c>
      <c r="R767">
        <v>2150</v>
      </c>
      <c r="S767">
        <v>0</v>
      </c>
      <c r="T767">
        <v>650</v>
      </c>
      <c r="U767">
        <v>340000</v>
      </c>
      <c r="V767">
        <v>17051</v>
      </c>
      <c r="W767" t="str">
        <v>0</v>
      </c>
      <c r="X767">
        <v>31110</v>
      </c>
      <c r="Y767" s="31">
        <v>46302</v>
      </c>
      <c r="Z767" t="str">
        <v/>
      </c>
      <c r="AA767" t="str">
        <v>技術・人文知識・国際業務</v>
      </c>
      <c r="AB767" t="str">
        <v>474-0011</v>
      </c>
      <c r="AC767" t="str">
        <v>愛知県大府市横根町午池80-2</v>
      </c>
      <c r="AD767" t="str">
        <v>県営横根住宅403号</v>
      </c>
      <c r="AE767" s="31" t="str">
        <v>個人</v>
      </c>
      <c r="AF767" s="31">
        <v>45399</v>
      </c>
      <c r="AG767" s="31">
        <v>0</v>
      </c>
      <c r="AH767" s="31">
        <v>0</v>
      </c>
      <c r="AI767" t="str">
        <v>2024.4.17</v>
      </c>
      <c r="AJ767" t="str">
        <v>4/26林</v>
      </c>
      <c r="AK767">
        <v>0</v>
      </c>
      <c r="AL767">
        <v>45399</v>
      </c>
      <c r="AM767" t="str">
        <v>普通免許</v>
      </c>
      <c r="AN767">
        <v>46109</v>
      </c>
      <c r="AO767" t="str">
        <v>車</v>
      </c>
      <c r="AP767">
        <v>46495</v>
      </c>
      <c r="AQ767">
        <v>0</v>
      </c>
      <c r="AR767">
        <v>0</v>
      </c>
    </row>
    <row r="768" spans="1:44">
      <c r="A768" t="str">
        <f>H768&amp;COUNTIF($H$2:H768,H768)</f>
        <v>本社工場製造1課2工区2班8</v>
      </c>
      <c r="B768" t="str">
        <f>F768&amp;COUNTIF($F$2:F768,F768)</f>
        <v>コーリツ 本社31</v>
      </c>
      <c r="C768" t="str">
        <v>在職中</v>
      </c>
      <c r="D768">
        <v>240413</v>
      </c>
      <c r="E768">
        <v>8210096</v>
      </c>
      <c r="F768" t="str">
        <v>コーリツ 本社</v>
      </c>
      <c r="G768" t="str">
        <v>本社工場製造1課2工区2班</v>
      </c>
      <c r="H768" t="str">
        <v>本社工場製造1課2工区2班</v>
      </c>
      <c r="I768">
        <v>0</v>
      </c>
      <c r="J768" t="str">
        <v>NGUYEN HONG SON</v>
      </c>
      <c r="K768" t="str">
        <v>グエン　ホン　ソン</v>
      </c>
      <c r="L768" t="str">
        <v>男</v>
      </c>
      <c r="M768" t="str">
        <v>ﾍﾞﾄﾅﾑ</v>
      </c>
      <c r="N768" s="31">
        <v>32600</v>
      </c>
      <c r="O768">
        <v>36</v>
      </c>
      <c r="P768">
        <v>1500</v>
      </c>
      <c r="Q768">
        <v>0</v>
      </c>
      <c r="R768">
        <v>2150</v>
      </c>
      <c r="S768">
        <v>0</v>
      </c>
      <c r="T768">
        <v>650</v>
      </c>
      <c r="U768">
        <v>340000</v>
      </c>
      <c r="V768">
        <v>17051</v>
      </c>
      <c r="W768" t="str">
        <v>0</v>
      </c>
      <c r="X768">
        <v>31110</v>
      </c>
      <c r="Y768" s="31">
        <v>46999</v>
      </c>
      <c r="Z768" t="str">
        <v/>
      </c>
      <c r="AA768" t="str">
        <v>技術・人文知識・国際業務</v>
      </c>
      <c r="AB768" t="str">
        <v>444-1323</v>
      </c>
      <c r="AC768" t="str">
        <v>愛知県高浜市田戸町3-1-28</v>
      </c>
      <c r="AD768" t="str">
        <v>ﾚｵﾊﾟﾚｽ田戸113</v>
      </c>
      <c r="AE768" s="31" t="str">
        <v>個人</v>
      </c>
      <c r="AF768" s="31">
        <v>45404</v>
      </c>
      <c r="AG768" s="31">
        <v>0</v>
      </c>
      <c r="AH768" s="31">
        <v>0</v>
      </c>
      <c r="AI768" t="str">
        <v>2024.4.22</v>
      </c>
      <c r="AJ768" t="str">
        <v>5/15林</v>
      </c>
      <c r="AK768">
        <v>0</v>
      </c>
      <c r="AL768">
        <v>45404</v>
      </c>
      <c r="AM768" t="str">
        <v>原付</v>
      </c>
      <c r="AN768">
        <v>46509</v>
      </c>
      <c r="AO768" t="str">
        <v>原付</v>
      </c>
      <c r="AP768">
        <v>45603</v>
      </c>
      <c r="AQ768">
        <v>0</v>
      </c>
      <c r="AR768">
        <v>0</v>
      </c>
    </row>
    <row r="769" spans="1:44">
      <c r="A769" t="str">
        <f>H769&amp;COUNTIF($H$2:H769,H769)</f>
        <v>HUB 検査課係.5</v>
      </c>
      <c r="B769" t="str">
        <f>F769&amp;COUNTIF($F$2:F769,F769)</f>
        <v>高雄工業 岡山136</v>
      </c>
      <c r="C769" t="str">
        <v>退社</v>
      </c>
      <c r="D769">
        <v>240501</v>
      </c>
      <c r="E769">
        <v>232136</v>
      </c>
      <c r="F769" t="str">
        <v>高雄工業 岡山</v>
      </c>
      <c r="G769" t="str">
        <v>高雄工業株式会社 岡山品質保証部岡山HUB品証課</v>
      </c>
      <c r="H769" t="str">
        <v>HUB 検査課係.</v>
      </c>
      <c r="I769" t="str">
        <v>HUB旋削加工品の抜き取り検査</v>
      </c>
      <c r="J769" t="str">
        <v>DO THI ANH</v>
      </c>
      <c r="K769" t="str">
        <v>ド　ティ　アイン</v>
      </c>
      <c r="L769" t="str">
        <v>女</v>
      </c>
      <c r="M769" t="str">
        <v>ﾍﾞﾄﾅﾑ</v>
      </c>
      <c r="N769" s="31">
        <v>35986</v>
      </c>
      <c r="O769">
        <v>27</v>
      </c>
      <c r="P769">
        <v>1300</v>
      </c>
      <c r="Q769">
        <v>0</v>
      </c>
      <c r="R769">
        <v>1780</v>
      </c>
      <c r="S769">
        <v>0</v>
      </c>
      <c r="T769">
        <v>480</v>
      </c>
      <c r="U769">
        <v>200000</v>
      </c>
      <c r="V769">
        <v>10030</v>
      </c>
      <c r="W769" t="str">
        <v>0</v>
      </c>
      <c r="X769">
        <v>18300</v>
      </c>
      <c r="Y769" s="31">
        <v>46945</v>
      </c>
      <c r="Z769" t="str">
        <v/>
      </c>
      <c r="AA769" t="str">
        <v>技術・人文知識・国際業務</v>
      </c>
      <c r="AB769" t="str">
        <v>701-1145</v>
      </c>
      <c r="AC769" t="str">
        <v>岡山県岡山市北区横井上203番地7</v>
      </c>
      <c r="AD769" t="str">
        <v>ｱﾒﾆﾃｨﾊｳｽ重実305号室</v>
      </c>
      <c r="AE769" s="31" t="str">
        <v>個人</v>
      </c>
      <c r="AF769" s="31">
        <v>45418</v>
      </c>
      <c r="AG769" s="31">
        <v>45915</v>
      </c>
      <c r="AH769" s="31">
        <v>0</v>
      </c>
      <c r="AI769" t="str">
        <v>2024.5.6</v>
      </c>
      <c r="AJ769" t="str">
        <v>5/20林</v>
      </c>
      <c r="AK769">
        <v>0</v>
      </c>
      <c r="AL769">
        <v>45418</v>
      </c>
      <c r="AM769">
        <v>0</v>
      </c>
      <c r="AN769">
        <v>0</v>
      </c>
      <c r="AO769">
        <v>0</v>
      </c>
      <c r="AP769">
        <v>0</v>
      </c>
      <c r="AQ769">
        <v>0</v>
      </c>
      <c r="AR769">
        <v>0</v>
      </c>
    </row>
    <row r="770" spans="1:44">
      <c r="A770" t="str">
        <f>H770&amp;COUNTIF($H$2:H770,H770)</f>
        <v>州の崎工場製造1課1工区2班5</v>
      </c>
      <c r="B770" t="str">
        <f>F770&amp;COUNTIF($F$2:F770,F770)</f>
        <v>コーリツ 州の崎33</v>
      </c>
      <c r="C770" t="str">
        <v>在職中</v>
      </c>
      <c r="D770">
        <v>240502</v>
      </c>
      <c r="E770">
        <v>8210097</v>
      </c>
      <c r="F770" t="str">
        <v>コーリツ 州の崎</v>
      </c>
      <c r="G770" t="str">
        <v>州の崎工場製造1課1工区2班</v>
      </c>
      <c r="H770" t="str">
        <v>州の崎工場製造1課1工区2班</v>
      </c>
      <c r="I770">
        <v>0</v>
      </c>
      <c r="J770" t="str">
        <v>PHAN HUU THI</v>
      </c>
      <c r="K770" t="str">
        <v>ファン　フュ　ティ</v>
      </c>
      <c r="L770" t="str">
        <v>男</v>
      </c>
      <c r="M770" t="str">
        <v>ﾍﾞﾄﾅﾑ</v>
      </c>
      <c r="N770" s="31">
        <v>34930</v>
      </c>
      <c r="O770">
        <v>30</v>
      </c>
      <c r="P770">
        <v>1500</v>
      </c>
      <c r="Q770">
        <v>0</v>
      </c>
      <c r="R770">
        <v>2150</v>
      </c>
      <c r="S770">
        <v>0</v>
      </c>
      <c r="T770">
        <v>650</v>
      </c>
      <c r="U770">
        <v>380000</v>
      </c>
      <c r="V770">
        <v>19057</v>
      </c>
      <c r="W770" t="str">
        <v>0</v>
      </c>
      <c r="X770">
        <v>34770</v>
      </c>
      <c r="Y770" s="31">
        <v>46120</v>
      </c>
      <c r="Z770" t="str">
        <v/>
      </c>
      <c r="AA770" t="str">
        <v>技術・人文知識・国際業務</v>
      </c>
      <c r="AB770" t="str">
        <v>475-0061</v>
      </c>
      <c r="AC770" t="str">
        <v>愛知県半田市一ノ草町201-11</v>
      </c>
      <c r="AD770" t="str">
        <v>ﾒｿﾞﾝﾊﾟｰｸｱﾍﾞﾆｭｰ201</v>
      </c>
      <c r="AE770" s="31">
        <v>0</v>
      </c>
      <c r="AF770" s="31">
        <v>45418</v>
      </c>
      <c r="AG770" s="31">
        <v>0</v>
      </c>
      <c r="AH770" s="31">
        <v>0</v>
      </c>
      <c r="AI770" t="str">
        <v>2024.5.6</v>
      </c>
      <c r="AJ770" t="str">
        <v>5/20林</v>
      </c>
      <c r="AK770">
        <v>0</v>
      </c>
      <c r="AL770">
        <v>45418</v>
      </c>
      <c r="AM770">
        <v>0</v>
      </c>
      <c r="AN770">
        <v>0</v>
      </c>
      <c r="AO770" t="str">
        <v>自転車</v>
      </c>
      <c r="AP770">
        <v>45796</v>
      </c>
      <c r="AQ770">
        <v>0</v>
      </c>
      <c r="AR770">
        <v>0</v>
      </c>
    </row>
    <row r="771" spans="1:44">
      <c r="A771" t="str">
        <f>H771&amp;COUNTIF($H$2:H771,H771)</f>
        <v>州の崎工場製造1課1工区1班4</v>
      </c>
      <c r="B771" t="str">
        <f>F771&amp;COUNTIF($F$2:F771,F771)</f>
        <v>コーリツ 州の崎34</v>
      </c>
      <c r="C771" t="str">
        <v>在職中</v>
      </c>
      <c r="D771">
        <v>240503</v>
      </c>
      <c r="E771">
        <v>8210098</v>
      </c>
      <c r="F771" t="str">
        <v>コーリツ 州の崎</v>
      </c>
      <c r="G771" t="str">
        <v>州の崎工場製造1課1工区1班</v>
      </c>
      <c r="H771" t="str">
        <v>州の崎工場製造1課1工区1班</v>
      </c>
      <c r="I771">
        <v>0</v>
      </c>
      <c r="J771" t="str">
        <v>TRAN TRONG KHOE</v>
      </c>
      <c r="K771" t="str">
        <v>チャン　チョン　クォエ</v>
      </c>
      <c r="L771" t="str">
        <v>男</v>
      </c>
      <c r="M771" t="str">
        <v>ﾍﾞﾄﾅﾑ</v>
      </c>
      <c r="N771" s="31">
        <v>34592</v>
      </c>
      <c r="O771">
        <v>31</v>
      </c>
      <c r="P771">
        <v>1500</v>
      </c>
      <c r="Q771">
        <v>0</v>
      </c>
      <c r="R771">
        <v>2150</v>
      </c>
      <c r="S771">
        <v>0</v>
      </c>
      <c r="T771">
        <v>650</v>
      </c>
      <c r="U771">
        <v>360000</v>
      </c>
      <c r="V771">
        <v>18054</v>
      </c>
      <c r="W771" t="str">
        <v>0</v>
      </c>
      <c r="X771">
        <v>32940</v>
      </c>
      <c r="Y771" s="31">
        <v>46783</v>
      </c>
      <c r="Z771" t="str">
        <v/>
      </c>
      <c r="AA771" t="str">
        <v>技術・人文知識・国際業務</v>
      </c>
      <c r="AB771" t="str">
        <v>475-0073</v>
      </c>
      <c r="AC771" t="str">
        <v>愛知県半田市美原町1丁目25番地</v>
      </c>
      <c r="AD771" t="str">
        <v>ｺｰﾎﾟﾏｲｷｬｯｽﾙS 206号室</v>
      </c>
      <c r="AE771" s="31" t="str">
        <v>個人</v>
      </c>
      <c r="AF771" s="31">
        <v>45418</v>
      </c>
      <c r="AG771" s="31">
        <v>0</v>
      </c>
      <c r="AH771" s="31">
        <v>0</v>
      </c>
      <c r="AI771" t="str">
        <v>2024.5.6</v>
      </c>
      <c r="AJ771" t="str">
        <v>5/22林</v>
      </c>
      <c r="AK771">
        <v>0</v>
      </c>
      <c r="AL771">
        <v>45418</v>
      </c>
      <c r="AM771" t="str">
        <v>普通免許</v>
      </c>
      <c r="AN771">
        <v>46310</v>
      </c>
      <c r="AO771" t="str">
        <v>車</v>
      </c>
      <c r="AP771">
        <v>46539</v>
      </c>
      <c r="AQ771">
        <v>0</v>
      </c>
      <c r="AR771">
        <v>0</v>
      </c>
    </row>
    <row r="772" spans="1:44">
      <c r="A772" t="str">
        <f>H772&amp;COUNTIF($H$2:H772,H772)</f>
        <v>ナット5</v>
      </c>
      <c r="B772" t="str">
        <f>F772&amp;COUNTIF($F$2:F772,F772)</f>
        <v>高雄工業 静岡84</v>
      </c>
      <c r="C772" t="str">
        <v>在職中</v>
      </c>
      <c r="D772">
        <v>220412</v>
      </c>
      <c r="E772">
        <v>242040</v>
      </c>
      <c r="F772" t="str">
        <v>高雄工業 静岡</v>
      </c>
      <c r="G772" t="str">
        <v>高雄工業株式会社 静岡事業所第二工場製作課</v>
      </c>
      <c r="H772" t="str">
        <v>ナット</v>
      </c>
      <c r="I772" t="str">
        <v>産業機械部品の研磨加工、NCプログラム修正</v>
      </c>
      <c r="J772" t="str">
        <v>NGUYEN THANH PHUONG</v>
      </c>
      <c r="K772" t="str">
        <v>グエン　タン　フォン</v>
      </c>
      <c r="L772" t="str">
        <v>男</v>
      </c>
      <c r="M772" t="str">
        <v>ﾍﾞﾄﾅﾑ</v>
      </c>
      <c r="N772" s="31">
        <v>30919</v>
      </c>
      <c r="O772">
        <v>41</v>
      </c>
      <c r="P772">
        <v>1420</v>
      </c>
      <c r="Q772">
        <v>0</v>
      </c>
      <c r="R772">
        <v>1850</v>
      </c>
      <c r="S772">
        <v>0</v>
      </c>
      <c r="T772">
        <v>430</v>
      </c>
      <c r="U772">
        <v>300000</v>
      </c>
      <c r="V772">
        <v>15045</v>
      </c>
      <c r="W772">
        <v>2385</v>
      </c>
      <c r="X772">
        <v>27450</v>
      </c>
      <c r="Y772" s="31">
        <v>46636</v>
      </c>
      <c r="Z772" t="str">
        <v/>
      </c>
      <c r="AA772" t="str">
        <v>技術・人文知識・国際業務</v>
      </c>
      <c r="AB772" t="str">
        <v>437-0066</v>
      </c>
      <c r="AC772" t="str">
        <v>静岡県袋井市山科2997番地の５</v>
      </c>
      <c r="AD772">
        <v>0</v>
      </c>
      <c r="AE772" s="31" t="str">
        <v>個人</v>
      </c>
      <c r="AF772" s="31">
        <v>44669</v>
      </c>
      <c r="AG772" s="31">
        <v>0</v>
      </c>
      <c r="AH772" s="31">
        <v>0</v>
      </c>
      <c r="AI772" t="str">
        <v>22.04.01</v>
      </c>
      <c r="AJ772">
        <v>44669</v>
      </c>
      <c r="AK772">
        <v>0</v>
      </c>
      <c r="AL772">
        <v>44669</v>
      </c>
      <c r="AM772">
        <v>0</v>
      </c>
      <c r="AN772">
        <v>0</v>
      </c>
      <c r="AO772">
        <v>0</v>
      </c>
      <c r="AP772">
        <v>0</v>
      </c>
      <c r="AQ772" t="str">
        <v>JLPT-N3</v>
      </c>
      <c r="AR772">
        <v>0</v>
      </c>
    </row>
    <row r="773" spans="1:44">
      <c r="A773" t="str">
        <f>H773&amp;COUNTIF($H$2:H773,H773)</f>
        <v>1次旋係60</v>
      </c>
      <c r="B773" t="str">
        <f>F773&amp;COUNTIF($F$2:F773,F773)</f>
        <v>高雄工業 岡山137</v>
      </c>
      <c r="C773" t="str">
        <v>在職中</v>
      </c>
      <c r="D773">
        <v>240506</v>
      </c>
      <c r="E773">
        <v>232137</v>
      </c>
      <c r="F773" t="str">
        <v>高雄工業 岡山</v>
      </c>
      <c r="G773" t="str">
        <v>高雄工業株式会社 岡山事業所HUB工場製作1課</v>
      </c>
      <c r="H773" t="str">
        <v>1次旋係</v>
      </c>
      <c r="I773" t="str">
        <v>ハブ加工 自動機の操作、ＮＣプログラム修正</v>
      </c>
      <c r="J773" t="str">
        <v>PHAN TRUNG NAM</v>
      </c>
      <c r="K773" t="str">
        <v>ファン　チュン　ナム</v>
      </c>
      <c r="L773" t="str">
        <v>男</v>
      </c>
      <c r="M773" t="str">
        <v>ﾍﾞﾄﾅﾑ</v>
      </c>
      <c r="N773" s="31">
        <v>36618</v>
      </c>
      <c r="O773">
        <v>25</v>
      </c>
      <c r="P773">
        <v>1300</v>
      </c>
      <c r="Q773">
        <v>0</v>
      </c>
      <c r="R773">
        <v>1660</v>
      </c>
      <c r="S773">
        <v>0</v>
      </c>
      <c r="T773">
        <v>360</v>
      </c>
      <c r="U773">
        <v>260000</v>
      </c>
      <c r="V773">
        <v>13039</v>
      </c>
      <c r="W773" t="str">
        <v>0</v>
      </c>
      <c r="X773">
        <v>23790</v>
      </c>
      <c r="Y773" s="31">
        <v>46892</v>
      </c>
      <c r="Z773" t="str">
        <v/>
      </c>
      <c r="AA773" t="str">
        <v>技術・人文知識・国際業務</v>
      </c>
      <c r="AB773" t="str">
        <v>709-2133</v>
      </c>
      <c r="AC773" t="str">
        <v>岡山県岡山市北区御津金川373番地1</v>
      </c>
      <c r="AD773" t="str">
        <v>ﾆｭｰｴﾙﾃﾞｨﾑ小西A202</v>
      </c>
      <c r="AE773" s="31">
        <v>0</v>
      </c>
      <c r="AF773" s="31">
        <v>45425</v>
      </c>
      <c r="AG773" s="31">
        <v>0</v>
      </c>
      <c r="AH773" s="31">
        <v>0</v>
      </c>
      <c r="AI773" t="str">
        <v>2024.5.13</v>
      </c>
      <c r="AJ773" t="str">
        <v>5/23林</v>
      </c>
      <c r="AK773">
        <v>0</v>
      </c>
      <c r="AL773">
        <v>45425</v>
      </c>
      <c r="AM773">
        <v>0</v>
      </c>
      <c r="AN773">
        <v>0</v>
      </c>
      <c r="AO773">
        <v>0</v>
      </c>
      <c r="AP773">
        <v>0</v>
      </c>
      <c r="AQ773">
        <v>0</v>
      </c>
      <c r="AR773">
        <v>0</v>
      </c>
    </row>
    <row r="774" spans="1:44">
      <c r="A774" t="str">
        <f>H774&amp;COUNTIF($H$2:H774,H774)</f>
        <v>乙川工場製造3課5工区7班9</v>
      </c>
      <c r="B774" t="str">
        <f>F774&amp;COUNTIF($F$2:F774,F774)</f>
        <v>コーリツ 乙川26</v>
      </c>
      <c r="C774" t="str">
        <v>在職中</v>
      </c>
      <c r="D774">
        <v>240505</v>
      </c>
      <c r="E774">
        <v>8210099</v>
      </c>
      <c r="F774" t="str">
        <v>コーリツ 乙川</v>
      </c>
      <c r="G774" t="str">
        <v>乙川工場製造3課5工区7班</v>
      </c>
      <c r="H774" t="str">
        <v>乙川工場製造3課5工区7班</v>
      </c>
      <c r="I774">
        <v>0</v>
      </c>
      <c r="J774" t="str">
        <v>VU VAN SON</v>
      </c>
      <c r="K774" t="str">
        <v>ヴ　ヴァン　ソン</v>
      </c>
      <c r="L774" t="str">
        <v>男</v>
      </c>
      <c r="M774" t="str">
        <v>ﾍﾞﾄﾅﾑ</v>
      </c>
      <c r="N774" s="31">
        <v>31915</v>
      </c>
      <c r="O774">
        <v>38</v>
      </c>
      <c r="P774">
        <v>1500</v>
      </c>
      <c r="Q774">
        <v>0</v>
      </c>
      <c r="R774">
        <v>2150</v>
      </c>
      <c r="S774">
        <v>0</v>
      </c>
      <c r="T774">
        <v>650</v>
      </c>
      <c r="U774">
        <v>340000</v>
      </c>
      <c r="V774">
        <v>17051</v>
      </c>
      <c r="W774" t="str">
        <v>0</v>
      </c>
      <c r="X774">
        <v>31110</v>
      </c>
      <c r="Y774" s="31">
        <v>47059</v>
      </c>
      <c r="Z774" t="str">
        <v/>
      </c>
      <c r="AA774" t="str">
        <v>技術・人文知識・国際業務</v>
      </c>
      <c r="AB774" t="str">
        <v>475-0006</v>
      </c>
      <c r="AC774" t="str">
        <v>愛知県半田市南大矢知町3-103-4</v>
      </c>
      <c r="AD774" t="str">
        <v>ｺﾞｰﾙﾄﾞﾊｲﾂC101</v>
      </c>
      <c r="AE774" s="31">
        <v>0</v>
      </c>
      <c r="AF774" s="31">
        <v>45425</v>
      </c>
      <c r="AG774" s="31">
        <v>0</v>
      </c>
      <c r="AH774" s="31">
        <v>0</v>
      </c>
      <c r="AI774" t="str">
        <v>2024.5.13</v>
      </c>
      <c r="AJ774" t="str">
        <v>5/23林</v>
      </c>
      <c r="AK774">
        <v>0</v>
      </c>
      <c r="AL774">
        <v>45425</v>
      </c>
      <c r="AM774">
        <v>0</v>
      </c>
      <c r="AN774">
        <v>0</v>
      </c>
      <c r="AO774" t="str">
        <v>自転車</v>
      </c>
      <c r="AP774">
        <v>45783</v>
      </c>
      <c r="AQ774">
        <v>0</v>
      </c>
      <c r="AR774">
        <v>0</v>
      </c>
    </row>
    <row r="775" spans="1:44">
      <c r="A775" t="str">
        <f>H775&amp;COUNTIF($H$2:H775,H775)</f>
        <v>0259</v>
      </c>
      <c r="B775" t="str">
        <f>F775&amp;COUNTIF($F$2:F775,F775)</f>
        <v>ﾌｪﾆﾃｯｸｾﾐｺﾝﾀﾞｸﾀｰ 鹿児島22</v>
      </c>
      <c r="C775" t="str">
        <v>退社</v>
      </c>
      <c r="D775">
        <v>210424</v>
      </c>
      <c r="E775">
        <v>0</v>
      </c>
      <c r="F775" t="str">
        <v>ﾌｪﾆﾃｯｸｾﾐｺﾝﾀﾞｸﾀｰ 鹿児島</v>
      </c>
      <c r="G775" t="str">
        <v>鹿児島工場　製造部　製造課</v>
      </c>
      <c r="H775">
        <v>0</v>
      </c>
      <c r="I775">
        <v>0</v>
      </c>
      <c r="J775" t="str">
        <v>NGUYEN VAN HOA</v>
      </c>
      <c r="K775" t="str">
        <v>グエン　バン　ホア</v>
      </c>
      <c r="L775" t="str">
        <v>男</v>
      </c>
      <c r="M775" t="str">
        <v>ﾍﾞﾄﾅﾑ</v>
      </c>
      <c r="N775" s="31">
        <v>32730</v>
      </c>
      <c r="O775">
        <v>36</v>
      </c>
      <c r="P775">
        <v>1450</v>
      </c>
      <c r="Q775">
        <v>0</v>
      </c>
      <c r="R775">
        <v>2100</v>
      </c>
      <c r="S775">
        <v>0</v>
      </c>
      <c r="T775">
        <v>650</v>
      </c>
      <c r="U775">
        <v>0</v>
      </c>
      <c r="V775" t="str">
        <v/>
      </c>
      <c r="W775" t="str">
        <v>0</v>
      </c>
      <c r="X775">
        <v>0</v>
      </c>
      <c r="Y775" s="31">
        <v>46439</v>
      </c>
      <c r="Z775" t="str">
        <v/>
      </c>
      <c r="AA775" t="str">
        <v>技術・人文知識・国際業務</v>
      </c>
      <c r="AB775" t="str">
        <v>899-6202</v>
      </c>
      <c r="AC775" t="str">
        <v>鹿児島県姶良郡湧水町北方850番地</v>
      </c>
      <c r="AD775" t="str">
        <v>京田住宅2号棟244</v>
      </c>
      <c r="AE775" s="31">
        <v>45435</v>
      </c>
      <c r="AF775" s="31">
        <v>45439</v>
      </c>
      <c r="AG775" s="31">
        <v>45524</v>
      </c>
      <c r="AH775" s="31">
        <v>0</v>
      </c>
      <c r="AI775" t="str">
        <v>2024.5.27</v>
      </c>
      <c r="AJ775" t="str">
        <v>6/24林</v>
      </c>
      <c r="AK775">
        <v>0</v>
      </c>
      <c r="AL775">
        <v>45439</v>
      </c>
      <c r="AM775">
        <v>0</v>
      </c>
      <c r="AN775">
        <v>0</v>
      </c>
      <c r="AO775">
        <v>0</v>
      </c>
      <c r="AP775">
        <v>0</v>
      </c>
      <c r="AQ775">
        <v>0</v>
      </c>
      <c r="AR775">
        <v>0</v>
      </c>
    </row>
    <row r="776" spans="1:44">
      <c r="A776" t="str">
        <f>H776&amp;COUNTIF($H$2:H776,H776)</f>
        <v>P研磨6</v>
      </c>
      <c r="B776" t="str">
        <f>F776&amp;COUNTIF($F$2:F776,F776)</f>
        <v>高雄工業 海南第二20</v>
      </c>
      <c r="C776" t="str">
        <v>退社</v>
      </c>
      <c r="D776">
        <v>240507</v>
      </c>
      <c r="E776">
        <v>222071</v>
      </c>
      <c r="F776" t="str">
        <v>高雄工業 海南第二</v>
      </c>
      <c r="G776" t="str">
        <v>高雄工業株式会社 愛知事業所海南第二工場製作課</v>
      </c>
      <c r="H776" t="str">
        <v>P研磨</v>
      </c>
      <c r="I776" t="str">
        <v>産業機械部品の旋削加工、NCプログラム修正</v>
      </c>
      <c r="J776" t="str">
        <v>TRAN DUC TOAN</v>
      </c>
      <c r="K776" t="str">
        <v>チャン　ドゥック　トアン</v>
      </c>
      <c r="L776" t="str">
        <v>男</v>
      </c>
      <c r="M776" t="str">
        <v>ﾍﾞﾄﾅﾑ</v>
      </c>
      <c r="N776" s="31">
        <v>36826</v>
      </c>
      <c r="O776">
        <v>25</v>
      </c>
      <c r="P776">
        <v>1250</v>
      </c>
      <c r="Q776">
        <v>0</v>
      </c>
      <c r="R776">
        <v>1650</v>
      </c>
      <c r="S776">
        <v>0</v>
      </c>
      <c r="T776">
        <v>400</v>
      </c>
      <c r="U776">
        <v>190000</v>
      </c>
      <c r="V776">
        <v>9528</v>
      </c>
      <c r="W776" t="str">
        <v>0</v>
      </c>
      <c r="X776">
        <v>17385</v>
      </c>
      <c r="Y776" s="31">
        <v>45797</v>
      </c>
      <c r="Z776" t="str">
        <v/>
      </c>
      <c r="AA776" t="str">
        <v>技術・人文知識・国際業務</v>
      </c>
      <c r="AB776" t="str">
        <v>498-0017</v>
      </c>
      <c r="AC776" t="str">
        <v>愛知県弥富市前ヶ須町勘助走29-1</v>
      </c>
      <c r="AD776" t="str">
        <v>ﾌﾟﾚｼﾞｵC202</v>
      </c>
      <c r="AE776" s="31">
        <v>45432</v>
      </c>
      <c r="AF776" s="31">
        <v>45439</v>
      </c>
      <c r="AG776" s="31">
        <v>45765</v>
      </c>
      <c r="AH776" s="31">
        <v>0</v>
      </c>
      <c r="AI776" t="str">
        <v>2024.5.27</v>
      </c>
      <c r="AJ776" t="str">
        <v>6/24林</v>
      </c>
      <c r="AK776">
        <v>0</v>
      </c>
      <c r="AL776">
        <v>45439</v>
      </c>
      <c r="AM776">
        <v>0</v>
      </c>
      <c r="AN776">
        <v>0</v>
      </c>
      <c r="AO776">
        <v>0</v>
      </c>
      <c r="AP776">
        <v>0</v>
      </c>
      <c r="AQ776" t="str">
        <v>JLPT-N4</v>
      </c>
      <c r="AR776">
        <v>0</v>
      </c>
    </row>
    <row r="777" spans="1:44">
      <c r="A777" t="str">
        <f>H777&amp;COUNTIF($H$2:H777,H777)</f>
        <v>ヴー　ゴック　タン1</v>
      </c>
      <c r="B777" t="str">
        <f>F777&amp;COUNTIF($F$2:F777,F777)</f>
        <v>川原鉄工所35</v>
      </c>
      <c r="C777" t="str">
        <v>退社</v>
      </c>
      <c r="D777">
        <v>201204</v>
      </c>
      <c r="E777" t="str">
        <v>川原鉄工所</v>
      </c>
      <c r="F777" t="str">
        <v>川原鉄工所</v>
      </c>
      <c r="G777" t="str">
        <v>VU NGOC TAN</v>
      </c>
      <c r="H777" t="str">
        <v>ヴー　ゴック　タン</v>
      </c>
      <c r="I777" t="str">
        <v>男</v>
      </c>
      <c r="J777" t="str">
        <v>VU NGOC TAN</v>
      </c>
      <c r="K777" t="str">
        <v>ヴー　ゴック　タン</v>
      </c>
      <c r="L777" t="str">
        <v>男</v>
      </c>
      <c r="M777" t="str">
        <v>ﾍﾞﾄﾅﾑ</v>
      </c>
      <c r="N777" s="31">
        <v>33003</v>
      </c>
      <c r="O777">
        <v>35</v>
      </c>
      <c r="P777">
        <v>1300</v>
      </c>
      <c r="Q777">
        <v>1650</v>
      </c>
      <c r="R777">
        <v>1650</v>
      </c>
      <c r="S777">
        <v>300000</v>
      </c>
      <c r="T777">
        <v>350</v>
      </c>
      <c r="U777">
        <v>200000</v>
      </c>
      <c r="V777">
        <v>10030</v>
      </c>
      <c r="W777" t="str">
        <v>0</v>
      </c>
      <c r="X777">
        <v>18300</v>
      </c>
      <c r="Y777" s="31">
        <v>47139</v>
      </c>
      <c r="Z777" t="str">
        <v/>
      </c>
      <c r="AA777" t="str">
        <v>技術・人文知識・国際業務</v>
      </c>
      <c r="AB777" t="str">
        <v>455-0068</v>
      </c>
      <c r="AC777" t="str">
        <v>愛知県名古屋市港区土古町2丁目23番地</v>
      </c>
      <c r="AD777" t="str">
        <v>新土古荘1棟202号</v>
      </c>
      <c r="AE777" s="31" t="str">
        <v>個人</v>
      </c>
      <c r="AF777" s="31">
        <v>45446</v>
      </c>
      <c r="AG777" s="31">
        <v>45583</v>
      </c>
      <c r="AH777" s="31">
        <v>0</v>
      </c>
      <c r="AI777" t="str">
        <v>2024.6.3</v>
      </c>
      <c r="AJ777" t="str">
        <v>6/24林</v>
      </c>
      <c r="AK777">
        <v>0</v>
      </c>
      <c r="AL777">
        <v>0</v>
      </c>
      <c r="AM777">
        <v>0</v>
      </c>
      <c r="AN777">
        <v>0</v>
      </c>
      <c r="AO777">
        <v>0</v>
      </c>
      <c r="AP777">
        <v>0</v>
      </c>
      <c r="AQ777">
        <v>0</v>
      </c>
      <c r="AR777">
        <v>0</v>
      </c>
    </row>
    <row r="778" spans="1:44">
      <c r="A778" t="str">
        <f>H778&amp;COUNTIF($H$2:H778,H778)</f>
        <v>州の崎工場製造2課3工区5班1</v>
      </c>
      <c r="B778" t="str">
        <f>F778&amp;COUNTIF($F$2:F778,F778)</f>
        <v>コーリツ 州の崎35</v>
      </c>
      <c r="C778" t="str">
        <v>在職中</v>
      </c>
      <c r="D778">
        <v>231011</v>
      </c>
      <c r="E778">
        <v>8210107</v>
      </c>
      <c r="F778" t="str">
        <v>コーリツ 州の崎</v>
      </c>
      <c r="G778" t="str">
        <v>州の崎工場製造2課3工区5班</v>
      </c>
      <c r="H778" t="str">
        <v>州の崎工場製造2課3工区5班</v>
      </c>
      <c r="I778">
        <v>0</v>
      </c>
      <c r="J778" t="str">
        <v>PHAM VAN DONG</v>
      </c>
      <c r="K778" t="str">
        <v>ファム　バン　ドン</v>
      </c>
      <c r="L778" t="str">
        <v>男</v>
      </c>
      <c r="M778" t="str">
        <v>ﾍﾞﾄﾅﾑ</v>
      </c>
      <c r="N778" s="31">
        <v>31659</v>
      </c>
      <c r="O778">
        <v>39</v>
      </c>
      <c r="P778">
        <v>1500</v>
      </c>
      <c r="Q778">
        <v>0</v>
      </c>
      <c r="R778">
        <v>2150</v>
      </c>
      <c r="S778">
        <v>0</v>
      </c>
      <c r="T778">
        <v>650</v>
      </c>
      <c r="U778">
        <v>340000</v>
      </c>
      <c r="V778">
        <v>17051</v>
      </c>
      <c r="W778" t="str">
        <v>0</v>
      </c>
      <c r="X778">
        <v>31110</v>
      </c>
      <c r="Y778" s="31">
        <v>46668</v>
      </c>
      <c r="Z778" t="str">
        <v/>
      </c>
      <c r="AA778" t="str">
        <v>技術・人文知識・国際業務</v>
      </c>
      <c r="AB778" t="str">
        <v>471-0805</v>
      </c>
      <c r="AC778" t="str">
        <v>愛知県豊田市美里1-14-18</v>
      </c>
      <c r="AD778" t="str">
        <v>ﾊｲﾂ長嶋201</v>
      </c>
      <c r="AE778" s="31">
        <v>45441</v>
      </c>
      <c r="AF778" s="31">
        <v>45446</v>
      </c>
      <c r="AG778" s="31">
        <v>0</v>
      </c>
      <c r="AH778" s="31">
        <v>0</v>
      </c>
      <c r="AI778" t="str">
        <v>2024.6.3</v>
      </c>
      <c r="AJ778" t="str">
        <v>6/24林</v>
      </c>
      <c r="AK778" t="str">
        <v>2024/12/2～PMIより異動</v>
      </c>
      <c r="AL778">
        <v>45446</v>
      </c>
      <c r="AM778">
        <v>0</v>
      </c>
      <c r="AN778">
        <v>0</v>
      </c>
      <c r="AO778">
        <v>0</v>
      </c>
      <c r="AP778">
        <v>0</v>
      </c>
      <c r="AQ778">
        <v>0</v>
      </c>
      <c r="AR778">
        <v>0</v>
      </c>
    </row>
    <row r="779" spans="1:44">
      <c r="A779" t="str">
        <f>H779&amp;COUNTIF($H$2:H779,H779)</f>
        <v>本社工場製造1課2工区3班6</v>
      </c>
      <c r="B779" t="str">
        <f>F779&amp;COUNTIF($F$2:F779,F779)</f>
        <v>コーリツ 本社32</v>
      </c>
      <c r="C779" t="str">
        <v>在職中</v>
      </c>
      <c r="D779">
        <v>230906</v>
      </c>
      <c r="E779">
        <v>8210100</v>
      </c>
      <c r="F779" t="str">
        <v>コーリツ 本社</v>
      </c>
      <c r="G779" t="str">
        <v>本社工場製造1課2工区3班</v>
      </c>
      <c r="H779" t="str">
        <v>本社工場製造1課2工区3班</v>
      </c>
      <c r="I779">
        <v>0</v>
      </c>
      <c r="J779" t="str">
        <v>NGUYEN DUC CHUNG</v>
      </c>
      <c r="K779" t="str">
        <v>グエン　ドゥック　チュン</v>
      </c>
      <c r="L779" t="str">
        <v>男</v>
      </c>
      <c r="M779" t="str">
        <v>ﾍﾞﾄﾅﾑ</v>
      </c>
      <c r="N779" s="31">
        <v>34237</v>
      </c>
      <c r="O779">
        <v>32</v>
      </c>
      <c r="P779">
        <v>1500</v>
      </c>
      <c r="Q779">
        <v>0</v>
      </c>
      <c r="R779">
        <v>2150</v>
      </c>
      <c r="S779">
        <v>0</v>
      </c>
      <c r="T779">
        <v>650</v>
      </c>
      <c r="U779">
        <v>340000</v>
      </c>
      <c r="V779">
        <v>17051</v>
      </c>
      <c r="W779" t="str">
        <v>0</v>
      </c>
      <c r="X779">
        <v>31110</v>
      </c>
      <c r="Y779" s="31">
        <v>46915</v>
      </c>
      <c r="Z779" t="str">
        <v/>
      </c>
      <c r="AA779" t="str">
        <v>技術・人文知識・国際業務</v>
      </c>
      <c r="AB779" t="str">
        <v>448-0013</v>
      </c>
      <c r="AC779" t="str">
        <v>愛知県刈谷市小垣江町石ノ戸86-3</v>
      </c>
      <c r="AD779" t="str">
        <v>ｳﾞｨﾗｺｰﾄ田園403</v>
      </c>
      <c r="AE779" s="31">
        <v>0</v>
      </c>
      <c r="AF779" s="31">
        <v>45453</v>
      </c>
      <c r="AG779" s="31">
        <v>0</v>
      </c>
      <c r="AH779" s="31">
        <v>0</v>
      </c>
      <c r="AI779" t="str">
        <v>2024.6.10</v>
      </c>
      <c r="AJ779" t="str">
        <v>6/24林</v>
      </c>
      <c r="AK779">
        <v>0</v>
      </c>
      <c r="AL779">
        <v>45453</v>
      </c>
      <c r="AM779" t="str">
        <v>普通免許</v>
      </c>
      <c r="AN779">
        <v>45590</v>
      </c>
      <c r="AO779" t="str">
        <v>車</v>
      </c>
      <c r="AP779">
        <v>45551</v>
      </c>
      <c r="AQ779">
        <v>0</v>
      </c>
      <c r="AR779">
        <v>0</v>
      </c>
    </row>
    <row r="780" spans="1:44">
      <c r="A780" t="str">
        <f>H780&amp;COUNTIF($H$2:H780,H780)</f>
        <v>0260</v>
      </c>
      <c r="B780" t="str">
        <f>F780&amp;COUNTIF($F$2:F780,F780)</f>
        <v>アサヒフォージ2</v>
      </c>
      <c r="C780" t="str">
        <v>退社</v>
      </c>
      <c r="D780">
        <v>240601</v>
      </c>
      <c r="E780">
        <v>0</v>
      </c>
      <c r="F780" t="str">
        <v>アサヒフォージ</v>
      </c>
      <c r="G780">
        <v>0</v>
      </c>
      <c r="H780">
        <v>0</v>
      </c>
      <c r="I780">
        <v>0</v>
      </c>
      <c r="J780" t="str">
        <v>DO DUC TUAN</v>
      </c>
      <c r="K780" t="str">
        <v>ド　ドゥック　トゥアン</v>
      </c>
      <c r="L780" t="str">
        <v>男</v>
      </c>
      <c r="M780" t="str">
        <v>ﾍﾞﾄﾅﾑ</v>
      </c>
      <c r="N780" s="31">
        <v>31309</v>
      </c>
      <c r="O780">
        <v>40</v>
      </c>
      <c r="P780">
        <v>1400</v>
      </c>
      <c r="Q780">
        <v>0</v>
      </c>
      <c r="R780">
        <v>2000</v>
      </c>
      <c r="S780">
        <v>0</v>
      </c>
      <c r="T780">
        <v>600</v>
      </c>
      <c r="U780">
        <v>220000</v>
      </c>
      <c r="V780">
        <v>11033</v>
      </c>
      <c r="W780">
        <v>1749</v>
      </c>
      <c r="X780">
        <v>20130</v>
      </c>
      <c r="Y780" s="31">
        <v>46009</v>
      </c>
      <c r="Z780" t="str">
        <v/>
      </c>
      <c r="AA780" t="str">
        <v>技術・人文知識・国際業務</v>
      </c>
      <c r="AB780" t="str">
        <v>719-3227</v>
      </c>
      <c r="AC780" t="str">
        <v>岡山県真庭市台金屋624-10</v>
      </c>
      <c r="AD780" t="str">
        <v>A-style台金屋1-105号室</v>
      </c>
      <c r="AE780" s="31">
        <v>0</v>
      </c>
      <c r="AF780" s="31">
        <v>45460</v>
      </c>
      <c r="AG780" s="31">
        <v>45735</v>
      </c>
      <c r="AH780" s="31">
        <v>0</v>
      </c>
      <c r="AI780" t="str">
        <v>2024.6.17</v>
      </c>
      <c r="AJ780" t="str">
        <v>7/2林</v>
      </c>
      <c r="AK780">
        <v>0</v>
      </c>
      <c r="AL780">
        <v>45460</v>
      </c>
      <c r="AM780">
        <v>0</v>
      </c>
      <c r="AN780">
        <v>0</v>
      </c>
      <c r="AO780">
        <v>0</v>
      </c>
      <c r="AP780">
        <v>0</v>
      </c>
      <c r="AQ780">
        <v>0</v>
      </c>
      <c r="AR780">
        <v>0</v>
      </c>
    </row>
    <row r="781" spans="1:44">
      <c r="A781" t="str">
        <f>H781&amp;COUNTIF($H$2:H781,H781)</f>
        <v>0261</v>
      </c>
      <c r="B781" t="str">
        <f>F781&amp;COUNTIF($F$2:F781,F781)</f>
        <v>川原鉄工所36</v>
      </c>
      <c r="C781" t="str">
        <v>在職中</v>
      </c>
      <c r="D781">
        <v>240602</v>
      </c>
      <c r="E781">
        <v>0</v>
      </c>
      <c r="F781" t="str">
        <v>川原鉄工所</v>
      </c>
      <c r="G781">
        <v>0</v>
      </c>
      <c r="H781">
        <v>0</v>
      </c>
      <c r="I781">
        <v>0</v>
      </c>
      <c r="J781" t="str">
        <v>NGUYEN VAN TU</v>
      </c>
      <c r="K781" t="str">
        <v>グエン　バン　トゥ</v>
      </c>
      <c r="L781" t="str">
        <v>男</v>
      </c>
      <c r="M781" t="str">
        <v>ﾍﾞﾄﾅﾑ</v>
      </c>
      <c r="N781" s="31">
        <v>33467</v>
      </c>
      <c r="O781">
        <v>34</v>
      </c>
      <c r="P781">
        <v>1300</v>
      </c>
      <c r="Q781">
        <v>0</v>
      </c>
      <c r="R781">
        <v>1650</v>
      </c>
      <c r="S781">
        <v>0</v>
      </c>
      <c r="T781">
        <v>350</v>
      </c>
      <c r="U781">
        <v>300000</v>
      </c>
      <c r="V781">
        <v>15045</v>
      </c>
      <c r="W781" t="str">
        <v>0</v>
      </c>
      <c r="X781">
        <v>27450</v>
      </c>
      <c r="Y781" s="31">
        <v>46058</v>
      </c>
      <c r="Z781">
        <v>63</v>
      </c>
      <c r="AA781" t="str">
        <v>技術・人文知識・国際業務</v>
      </c>
      <c r="AB781" t="str">
        <v>455-0806</v>
      </c>
      <c r="AC781" t="str">
        <v>愛知県名古屋市港区明正2丁目176</v>
      </c>
      <c r="AD781" t="str">
        <v>飯田第二ｺｰﾎﾟ103</v>
      </c>
      <c r="AE781" s="31">
        <v>0</v>
      </c>
      <c r="AF781" s="31">
        <v>45461</v>
      </c>
      <c r="AG781" s="31">
        <v>0</v>
      </c>
      <c r="AH781" s="31">
        <v>0</v>
      </c>
      <c r="AI781" t="str">
        <v>2024.6.18</v>
      </c>
      <c r="AJ781" t="str">
        <v>6/24林</v>
      </c>
      <c r="AK781">
        <v>0</v>
      </c>
      <c r="AL781">
        <v>45461</v>
      </c>
      <c r="AM781">
        <v>0</v>
      </c>
      <c r="AN781">
        <v>0</v>
      </c>
      <c r="AO781">
        <v>0</v>
      </c>
      <c r="AP781">
        <v>0</v>
      </c>
      <c r="AQ781">
        <v>0</v>
      </c>
      <c r="AR781">
        <v>0</v>
      </c>
    </row>
    <row r="782" spans="1:44">
      <c r="A782" t="str">
        <f>H782&amp;COUNTIF($H$2:H782,H782)</f>
        <v>0262</v>
      </c>
      <c r="B782" t="str">
        <f>F782&amp;COUNTIF($F$2:F782,F782)</f>
        <v>PATEC33</v>
      </c>
      <c r="C782" t="str">
        <v>退社</v>
      </c>
      <c r="D782">
        <v>240603</v>
      </c>
      <c r="E782">
        <v>0</v>
      </c>
      <c r="F782" t="str">
        <v>PATEC</v>
      </c>
      <c r="G782">
        <v>0</v>
      </c>
      <c r="H782">
        <v>0</v>
      </c>
      <c r="I782">
        <v>0</v>
      </c>
      <c r="J782" t="str">
        <v>DAO THE DIEU</v>
      </c>
      <c r="K782" t="str">
        <v>ダオ　テー　ジエウ</v>
      </c>
      <c r="L782" t="str">
        <v>男</v>
      </c>
      <c r="M782" t="str">
        <v>ﾍﾞﾄﾅﾑ</v>
      </c>
      <c r="N782" s="31">
        <v>36698</v>
      </c>
      <c r="O782">
        <v>25</v>
      </c>
      <c r="P782">
        <v>1400</v>
      </c>
      <c r="Q782">
        <v>0</v>
      </c>
      <c r="R782">
        <v>2000</v>
      </c>
      <c r="S782" t="str">
        <v>24/2/21～24/8/20まで請求単価50円下げ</v>
      </c>
      <c r="T782">
        <v>600</v>
      </c>
      <c r="U782">
        <v>300000</v>
      </c>
      <c r="V782">
        <v>15045</v>
      </c>
      <c r="W782" t="str">
        <v>0</v>
      </c>
      <c r="X782">
        <v>27450</v>
      </c>
      <c r="Y782" s="31">
        <v>46923</v>
      </c>
      <c r="Z782" t="str">
        <v/>
      </c>
      <c r="AA782" t="str">
        <v>技術・人文知識・国際業務</v>
      </c>
      <c r="AB782" t="str">
        <v>747-0833</v>
      </c>
      <c r="AC782" t="str">
        <v>山口県防府市大字浜方716-15</v>
      </c>
      <c r="AD782" t="str">
        <v>ｱﾙｿｰﾚD203</v>
      </c>
      <c r="AE782" s="31">
        <v>0</v>
      </c>
      <c r="AF782" s="31">
        <v>45464</v>
      </c>
      <c r="AG782" s="31">
        <v>45806</v>
      </c>
      <c r="AH782" s="31">
        <v>0</v>
      </c>
      <c r="AI782" t="str">
        <v>2024.6.21</v>
      </c>
      <c r="AJ782" t="str">
        <v>7/19林</v>
      </c>
      <c r="AK782">
        <v>0</v>
      </c>
      <c r="AL782">
        <v>45464</v>
      </c>
      <c r="AM782">
        <v>0</v>
      </c>
      <c r="AN782">
        <v>0</v>
      </c>
      <c r="AO782">
        <v>0</v>
      </c>
      <c r="AP782">
        <v>0</v>
      </c>
      <c r="AQ782">
        <v>0</v>
      </c>
      <c r="AR782">
        <v>0</v>
      </c>
    </row>
    <row r="783" spans="1:44">
      <c r="A783" t="str">
        <f>H783&amp;COUNTIF($H$2:H783,H783)</f>
        <v>本社工場製造1課1工区1班11</v>
      </c>
      <c r="B783" t="str">
        <f>F783&amp;COUNTIF($F$2:F783,F783)</f>
        <v>コーリツ 本社33</v>
      </c>
      <c r="C783" t="str">
        <v>退社</v>
      </c>
      <c r="D783">
        <v>240604</v>
      </c>
      <c r="E783">
        <v>8210101</v>
      </c>
      <c r="F783" t="str">
        <v>コーリツ 本社</v>
      </c>
      <c r="G783" t="str">
        <v>本社工場製造1課1工区1班</v>
      </c>
      <c r="H783" t="str">
        <v>本社工場製造1課1工区1班</v>
      </c>
      <c r="I783">
        <v>0</v>
      </c>
      <c r="J783" t="str">
        <v>NGUYEN VAN PHUONG</v>
      </c>
      <c r="K783" t="str">
        <v>グエン　ヴァン　フォン</v>
      </c>
      <c r="L783" t="str">
        <v>男</v>
      </c>
      <c r="M783" t="str">
        <v>ﾍﾞﾄﾅﾑ</v>
      </c>
      <c r="N783" s="31">
        <v>31688</v>
      </c>
      <c r="O783">
        <v>39</v>
      </c>
      <c r="P783">
        <v>1460</v>
      </c>
      <c r="Q783">
        <v>0</v>
      </c>
      <c r="R783">
        <v>2050</v>
      </c>
      <c r="S783">
        <v>0</v>
      </c>
      <c r="T783">
        <v>590</v>
      </c>
      <c r="U783">
        <v>240000</v>
      </c>
      <c r="V783">
        <v>12036</v>
      </c>
      <c r="W783" t="str">
        <v>0</v>
      </c>
      <c r="X783">
        <v>21960</v>
      </c>
      <c r="Y783" s="31">
        <v>46936</v>
      </c>
      <c r="Z783" t="str">
        <v/>
      </c>
      <c r="AA783" t="str">
        <v>技術・人文知識・国際業務</v>
      </c>
      <c r="AB783" t="str">
        <v>475-0074</v>
      </c>
      <c r="AC783" t="str">
        <v>愛知県半田市長根町3丁目1</v>
      </c>
      <c r="AD783" t="str">
        <v>県営長根住宅6棟405号</v>
      </c>
      <c r="AE783" s="31" t="str">
        <v>個人</v>
      </c>
      <c r="AF783" s="31">
        <v>45467</v>
      </c>
      <c r="AG783" s="31">
        <v>45625</v>
      </c>
      <c r="AH783" s="31">
        <v>0</v>
      </c>
      <c r="AI783" t="str">
        <v>2024.6.24</v>
      </c>
      <c r="AJ783" t="str">
        <v>7/19林</v>
      </c>
      <c r="AK783">
        <v>0</v>
      </c>
      <c r="AL783">
        <v>45467</v>
      </c>
      <c r="AM783" t="str">
        <v>普通免許</v>
      </c>
      <c r="AN783">
        <v>45964</v>
      </c>
      <c r="AO783" t="str">
        <v>車</v>
      </c>
      <c r="AP783">
        <v>46287</v>
      </c>
      <c r="AQ783">
        <v>0</v>
      </c>
      <c r="AR783">
        <v>0</v>
      </c>
    </row>
    <row r="784" spans="1:44">
      <c r="A784" t="str">
        <f>H784&amp;COUNTIF($H$2:H784,H784)</f>
        <v>0263</v>
      </c>
      <c r="B784" t="str">
        <f>F784&amp;COUNTIF($F$2:F784,F784)</f>
        <v>ピーエムアイ28</v>
      </c>
      <c r="C784" t="str">
        <v>在職中</v>
      </c>
      <c r="D784">
        <v>240605</v>
      </c>
      <c r="E784">
        <v>0</v>
      </c>
      <c r="F784" t="str">
        <v>ピーエムアイ</v>
      </c>
      <c r="G784">
        <v>0</v>
      </c>
      <c r="H784">
        <v>0</v>
      </c>
      <c r="I784">
        <v>0</v>
      </c>
      <c r="J784" t="str">
        <v>TRAN THI LE</v>
      </c>
      <c r="K784" t="str">
        <v>チャン　ティ　レ</v>
      </c>
      <c r="L784" t="str">
        <v>女</v>
      </c>
      <c r="M784" t="str">
        <v>ﾍﾞﾄﾅﾑ</v>
      </c>
      <c r="N784" s="31">
        <v>36066</v>
      </c>
      <c r="O784">
        <v>27</v>
      </c>
      <c r="P784">
        <v>1300</v>
      </c>
      <c r="Q784">
        <v>0</v>
      </c>
      <c r="R784">
        <v>1800</v>
      </c>
      <c r="S784">
        <v>0</v>
      </c>
      <c r="T784">
        <v>500</v>
      </c>
      <c r="U784">
        <v>240000</v>
      </c>
      <c r="V784">
        <v>12036</v>
      </c>
      <c r="W784" t="str">
        <v>0</v>
      </c>
      <c r="X784">
        <v>21960</v>
      </c>
      <c r="Y784" s="31">
        <v>46565</v>
      </c>
      <c r="Z784" t="str">
        <v/>
      </c>
      <c r="AA784" t="str">
        <v>技術・人文知識・国際業務</v>
      </c>
      <c r="AB784" t="str">
        <v>471-0804</v>
      </c>
      <c r="AC784" t="str">
        <v>愛知県豊田市神池町２丁目1236-98</v>
      </c>
      <c r="AD784" t="str">
        <v>ﾌｫｰﾌﾞﾙ神池102</v>
      </c>
      <c r="AE784" s="31">
        <v>0</v>
      </c>
      <c r="AF784" s="31">
        <v>45467</v>
      </c>
      <c r="AG784" s="31">
        <v>0</v>
      </c>
      <c r="AH784" s="31">
        <v>0</v>
      </c>
      <c r="AI784" t="str">
        <v>2024.6.24</v>
      </c>
      <c r="AJ784" t="str">
        <v>7/19林</v>
      </c>
      <c r="AK784">
        <v>0</v>
      </c>
      <c r="AL784">
        <v>45467</v>
      </c>
      <c r="AM784">
        <v>0</v>
      </c>
      <c r="AN784">
        <v>0</v>
      </c>
      <c r="AO784">
        <v>0</v>
      </c>
      <c r="AP784">
        <v>0</v>
      </c>
      <c r="AQ784">
        <v>0</v>
      </c>
      <c r="AR784">
        <v>0</v>
      </c>
    </row>
    <row r="785" spans="1:44">
      <c r="A785" t="str">
        <f>H785&amp;COUNTIF($H$2:H785,H785)</f>
        <v>材料管理係3</v>
      </c>
      <c r="B785" t="str">
        <f>F785&amp;COUNTIF($F$2:F785,F785)</f>
        <v>高雄工業 岡山138</v>
      </c>
      <c r="C785" t="str">
        <v>在職中</v>
      </c>
      <c r="D785">
        <v>240606</v>
      </c>
      <c r="E785">
        <v>232138</v>
      </c>
      <c r="F785" t="str">
        <v>高雄工業 岡山</v>
      </c>
      <c r="G785" t="str">
        <v>高雄工業株式会社第一営業部岡山営業課</v>
      </c>
      <c r="H785" t="str">
        <v>材料管理係</v>
      </c>
      <c r="I785" t="str">
        <v>鋳造材料の工場内加工ラインへの供給</v>
      </c>
      <c r="J785" t="str">
        <v>CHU VAN LOC</v>
      </c>
      <c r="K785" t="str">
        <v>チュ　ヴァン　ロック</v>
      </c>
      <c r="L785" t="str">
        <v>男</v>
      </c>
      <c r="M785" t="str">
        <v>ﾍﾞﾄﾅﾑ</v>
      </c>
      <c r="N785" s="31">
        <v>36418</v>
      </c>
      <c r="O785">
        <v>26</v>
      </c>
      <c r="P785">
        <v>1300</v>
      </c>
      <c r="Q785">
        <v>0</v>
      </c>
      <c r="R785">
        <v>1670</v>
      </c>
      <c r="S785">
        <v>0</v>
      </c>
      <c r="T785">
        <v>370</v>
      </c>
      <c r="U785">
        <v>220000</v>
      </c>
      <c r="V785">
        <v>11033</v>
      </c>
      <c r="W785" t="str">
        <v>0</v>
      </c>
      <c r="X785">
        <v>20130</v>
      </c>
      <c r="Y785" s="31">
        <v>46923</v>
      </c>
      <c r="Z785" t="str">
        <v/>
      </c>
      <c r="AA785" t="str">
        <v>技術・人文知識・国際業務</v>
      </c>
      <c r="AB785" t="str">
        <v>709-2107</v>
      </c>
      <c r="AC785" t="str">
        <v>岡山県岡山市北区御津矢原288-1</v>
      </c>
      <c r="AD785" t="str">
        <v>ｸﾞﾗﾝﾃﾞｰｻﾞ208</v>
      </c>
      <c r="AE785" s="31">
        <v>0</v>
      </c>
      <c r="AF785" s="31">
        <v>45468</v>
      </c>
      <c r="AG785" s="31">
        <v>0</v>
      </c>
      <c r="AH785" s="31">
        <v>0</v>
      </c>
      <c r="AI785" t="str">
        <v>2024.6.25</v>
      </c>
      <c r="AJ785" t="str">
        <v>7/19林</v>
      </c>
      <c r="AK785">
        <v>0</v>
      </c>
      <c r="AL785">
        <v>45468</v>
      </c>
      <c r="AM785">
        <v>0</v>
      </c>
      <c r="AN785">
        <v>0</v>
      </c>
      <c r="AO785">
        <v>0</v>
      </c>
      <c r="AP785">
        <v>0</v>
      </c>
      <c r="AQ785">
        <v>0</v>
      </c>
      <c r="AR785">
        <v>0</v>
      </c>
    </row>
    <row r="786" spans="1:44">
      <c r="A786" t="str">
        <f>H786&amp;COUNTIF($H$2:H786,H786)</f>
        <v>品質管理課1</v>
      </c>
      <c r="B786" t="str">
        <f>F786&amp;COUNTIF($F$2:F786,F786)</f>
        <v>アサヒフォージ3</v>
      </c>
      <c r="C786" t="str">
        <v>退社</v>
      </c>
      <c r="D786">
        <v>240607</v>
      </c>
      <c r="E786">
        <v>502406</v>
      </c>
      <c r="F786" t="str">
        <v>アサヒフォージ</v>
      </c>
      <c r="G786" t="str">
        <v>真庭工場</v>
      </c>
      <c r="H786" t="str">
        <v>品質管理課</v>
      </c>
      <c r="I786" t="str">
        <v>仕入れた材料や部品の検査</v>
      </c>
      <c r="J786" t="str">
        <v>NGUYEN QUANG DAI</v>
      </c>
      <c r="K786" t="str">
        <v>グエン　クアン　ダイ</v>
      </c>
      <c r="L786" t="str">
        <v>男</v>
      </c>
      <c r="M786" t="str">
        <v>ﾍﾞﾄﾅﾑ</v>
      </c>
      <c r="N786" s="31">
        <v>33767</v>
      </c>
      <c r="O786">
        <v>33</v>
      </c>
      <c r="P786">
        <v>1400</v>
      </c>
      <c r="Q786">
        <v>0</v>
      </c>
      <c r="R786">
        <v>2000</v>
      </c>
      <c r="S786">
        <v>0</v>
      </c>
      <c r="T786">
        <v>600</v>
      </c>
      <c r="U786">
        <v>220000</v>
      </c>
      <c r="V786">
        <v>11033</v>
      </c>
      <c r="W786" t="str">
        <v>0</v>
      </c>
      <c r="X786">
        <v>20130</v>
      </c>
      <c r="Y786" s="31">
        <v>46929</v>
      </c>
      <c r="Z786" t="str">
        <v/>
      </c>
      <c r="AA786" t="str">
        <v>技術・人文知識・国際業務</v>
      </c>
      <c r="AB786" t="str">
        <v>700-0961</v>
      </c>
      <c r="AC786" t="str">
        <v>岡山県岡山市北区北長瀬本町4番8号</v>
      </c>
      <c r="AD786" t="str">
        <v>ﾊﾟｰｸｻｲﾄﾞﾊｲﾂA棟105</v>
      </c>
      <c r="AE786" s="31" t="str">
        <v>個人</v>
      </c>
      <c r="AF786" s="31">
        <v>45470</v>
      </c>
      <c r="AG786" s="31">
        <v>45926</v>
      </c>
      <c r="AH786" s="31">
        <v>0</v>
      </c>
      <c r="AI786" t="str">
        <v>2024.6.27</v>
      </c>
      <c r="AJ786" t="str">
        <v>7/19林</v>
      </c>
      <c r="AK786">
        <v>0</v>
      </c>
      <c r="AL786">
        <v>45470</v>
      </c>
      <c r="AM786">
        <v>0</v>
      </c>
      <c r="AN786">
        <v>0</v>
      </c>
      <c r="AO786">
        <v>0</v>
      </c>
      <c r="AP786">
        <v>0</v>
      </c>
      <c r="AQ786">
        <v>0</v>
      </c>
      <c r="AR786">
        <v>0</v>
      </c>
    </row>
    <row r="787" spans="1:44">
      <c r="A787" t="str">
        <f>H787&amp;COUNTIF($H$2:H787,H787)</f>
        <v>素材2</v>
      </c>
      <c r="B787" t="str">
        <f>F787&amp;COUNTIF($F$2:F787,F787)</f>
        <v>PATEC34</v>
      </c>
      <c r="C787" t="str">
        <v>在職中</v>
      </c>
      <c r="D787">
        <v>210908</v>
      </c>
      <c r="E787">
        <v>0</v>
      </c>
      <c r="F787" t="str">
        <v>PATEC</v>
      </c>
      <c r="G787" t="str">
        <v>製造部素材課</v>
      </c>
      <c r="H787" t="str">
        <v>素材</v>
      </c>
      <c r="I787" t="str">
        <v>原材料の受入・溶解、低圧鋳造機での成型、熱処理作業、金型整備等</v>
      </c>
      <c r="J787" t="str">
        <v>NGUYEN MINH TIEN</v>
      </c>
      <c r="K787" t="str">
        <v>グエン　ミン　ティエン</v>
      </c>
      <c r="L787" t="str">
        <v>男</v>
      </c>
      <c r="M787" t="str">
        <v>ﾍﾞﾄﾅﾑ</v>
      </c>
      <c r="N787" s="31">
        <v>34397</v>
      </c>
      <c r="O787">
        <v>31</v>
      </c>
      <c r="P787">
        <v>1600</v>
      </c>
      <c r="Q787" t="str">
        <v>3/21～　\1500⇒￥1600</v>
      </c>
      <c r="R787">
        <v>2100</v>
      </c>
      <c r="S787" t="str">
        <v>24/2/21～24/8/20まで請求単価50円下げ</v>
      </c>
      <c r="T787">
        <v>500</v>
      </c>
      <c r="U787">
        <v>380000</v>
      </c>
      <c r="V787">
        <v>19057</v>
      </c>
      <c r="W787" t="str">
        <v>0</v>
      </c>
      <c r="X787">
        <v>34770</v>
      </c>
      <c r="Y787" s="31">
        <v>46288</v>
      </c>
      <c r="Z787" t="str">
        <v/>
      </c>
      <c r="AA787" t="str">
        <v>技術・人文知識・国際業務</v>
      </c>
      <c r="AB787" t="str">
        <v>747-0833</v>
      </c>
      <c r="AC787" t="str">
        <v>山口県防府市大字浜方716-15</v>
      </c>
      <c r="AD787" t="str">
        <v>ｱﾙｿｰﾚD202</v>
      </c>
      <c r="AE787" s="31">
        <v>0</v>
      </c>
      <c r="AF787" s="31">
        <v>45474</v>
      </c>
      <c r="AG787" s="31">
        <v>0</v>
      </c>
      <c r="AH787" s="31">
        <v>0</v>
      </c>
      <c r="AI787" t="str">
        <v>2024.7.1</v>
      </c>
      <c r="AJ787" t="str">
        <v>7/18原</v>
      </c>
      <c r="AK787">
        <v>0</v>
      </c>
      <c r="AL787">
        <v>45474</v>
      </c>
      <c r="AM787">
        <v>0</v>
      </c>
      <c r="AN787">
        <v>0</v>
      </c>
      <c r="AO787">
        <v>0</v>
      </c>
      <c r="AP787">
        <v>0</v>
      </c>
      <c r="AQ787">
        <v>0</v>
      </c>
      <c r="AR787">
        <v>0</v>
      </c>
    </row>
    <row r="788" spans="1:44">
      <c r="A788" t="str">
        <f>H788&amp;COUNTIF($H$2:H788,H788)</f>
        <v>J加工2課4</v>
      </c>
      <c r="B788" t="str">
        <f>F788&amp;COUNTIF($F$2:F788,F788)</f>
        <v>ピーエムアイ29</v>
      </c>
      <c r="C788" t="str">
        <v>在職中</v>
      </c>
      <c r="D788">
        <v>240701</v>
      </c>
      <c r="E788">
        <v>5628</v>
      </c>
      <c r="F788" t="str">
        <v>ピーエムアイ</v>
      </c>
      <c r="G788" t="str">
        <v>生産2部</v>
      </c>
      <c r="H788" t="str">
        <v>J加工2課</v>
      </c>
      <c r="I788" t="str">
        <v>出荷前の最終製品の品質確認</v>
      </c>
      <c r="J788" t="str">
        <v>NGUYEN VAN THACH</v>
      </c>
      <c r="K788" t="str">
        <v>グエン　ヴァン　タック</v>
      </c>
      <c r="L788" t="str">
        <v>男</v>
      </c>
      <c r="M788" t="str">
        <v>ﾍﾞﾄﾅﾑ</v>
      </c>
      <c r="N788" s="31">
        <v>32618</v>
      </c>
      <c r="O788">
        <v>36</v>
      </c>
      <c r="P788">
        <v>1300</v>
      </c>
      <c r="Q788">
        <v>0</v>
      </c>
      <c r="R788">
        <v>1800</v>
      </c>
      <c r="S788">
        <v>0</v>
      </c>
      <c r="T788">
        <v>500</v>
      </c>
      <c r="U788">
        <v>240000</v>
      </c>
      <c r="V788">
        <v>12036</v>
      </c>
      <c r="W788" t="str">
        <v>0</v>
      </c>
      <c r="X788">
        <v>21960</v>
      </c>
      <c r="Y788" s="31">
        <v>47048</v>
      </c>
      <c r="Z788">
        <v>0</v>
      </c>
      <c r="AA788" t="str">
        <v>技術・人文知識・国際業務</v>
      </c>
      <c r="AB788" t="str">
        <v>471-0805</v>
      </c>
      <c r="AC788" t="str">
        <v>愛知県豊田市美里1-14-18</v>
      </c>
      <c r="AD788" t="str">
        <v>ﾊｲﾂ長嶋201</v>
      </c>
      <c r="AE788" s="31">
        <v>0</v>
      </c>
      <c r="AF788" s="31">
        <v>45474</v>
      </c>
      <c r="AG788" s="31">
        <v>0</v>
      </c>
      <c r="AH788" s="31">
        <v>0</v>
      </c>
      <c r="AI788" t="str">
        <v>2024.7.1</v>
      </c>
      <c r="AJ788" t="str">
        <v>7/24林</v>
      </c>
      <c r="AK788" t="str">
        <v>2024/7/1～2025/2/20まで加藤木材工業本社配属　2025/2/24～PMIに異動</v>
      </c>
      <c r="AL788">
        <v>45474</v>
      </c>
      <c r="AM788">
        <v>0</v>
      </c>
      <c r="AN788">
        <v>0</v>
      </c>
      <c r="AO788">
        <v>0</v>
      </c>
      <c r="AP788">
        <v>0</v>
      </c>
      <c r="AQ788">
        <v>0</v>
      </c>
      <c r="AR788">
        <v>0</v>
      </c>
    </row>
    <row r="789" spans="1:44">
      <c r="A789" t="str">
        <f>H789&amp;COUNTIF($H$2:H789,H789)</f>
        <v>等速ジョイント32</v>
      </c>
      <c r="B789" t="str">
        <f>F789&amp;COUNTIF($F$2:F789,F789)</f>
        <v>瑞陵精機47</v>
      </c>
      <c r="C789" t="str">
        <v>在職中</v>
      </c>
      <c r="D789">
        <v>240702</v>
      </c>
      <c r="E789">
        <v>0</v>
      </c>
      <c r="F789" t="str">
        <v>瑞陵精機</v>
      </c>
      <c r="G789" t="str">
        <v>製造課</v>
      </c>
      <c r="H789" t="str">
        <v>等速ジョイント</v>
      </c>
      <c r="I789" t="str">
        <v>ＮＣ旋盤、マシニングセンター等の工作機械を使いオペレーターとして製造ラインで製品を加工</v>
      </c>
      <c r="J789" t="str">
        <v>CHU VAN TIEN</v>
      </c>
      <c r="K789" t="str">
        <v>ツ　ヴァン　テイエン</v>
      </c>
      <c r="L789" t="str">
        <v>男</v>
      </c>
      <c r="M789" t="str">
        <v>ﾍﾞﾄﾅﾑ</v>
      </c>
      <c r="N789" s="31">
        <v>31418</v>
      </c>
      <c r="O789">
        <v>39</v>
      </c>
      <c r="P789">
        <v>1300</v>
      </c>
      <c r="Q789">
        <v>0</v>
      </c>
      <c r="R789">
        <v>1700</v>
      </c>
      <c r="S789">
        <v>0</v>
      </c>
      <c r="T789">
        <v>400</v>
      </c>
      <c r="U789">
        <v>260000</v>
      </c>
      <c r="V789">
        <v>13039</v>
      </c>
      <c r="W789" t="str">
        <v>0</v>
      </c>
      <c r="X789">
        <v>23790</v>
      </c>
      <c r="Y789" s="31">
        <v>47144</v>
      </c>
      <c r="Z789" t="str">
        <v/>
      </c>
      <c r="AA789" t="str">
        <v>技術・人文知識・国際業務</v>
      </c>
      <c r="AB789" t="str">
        <v>509-7205</v>
      </c>
      <c r="AC789" t="str">
        <v>岐阜県恵那市長島町中野480-6</v>
      </c>
      <c r="AD789">
        <v>0</v>
      </c>
      <c r="AE789" s="31">
        <v>0</v>
      </c>
      <c r="AF789" s="31">
        <v>45474</v>
      </c>
      <c r="AG789" s="31">
        <v>0</v>
      </c>
      <c r="AH789" s="31">
        <v>0</v>
      </c>
      <c r="AI789" t="str">
        <v>2024.7.1</v>
      </c>
      <c r="AJ789" t="str">
        <v>7/19林</v>
      </c>
      <c r="AK789">
        <v>0</v>
      </c>
      <c r="AL789">
        <v>45474</v>
      </c>
      <c r="AM789">
        <v>0</v>
      </c>
      <c r="AN789">
        <v>0</v>
      </c>
      <c r="AO789">
        <v>0</v>
      </c>
      <c r="AP789">
        <v>0</v>
      </c>
      <c r="AQ789">
        <v>0</v>
      </c>
      <c r="AR789">
        <v>0</v>
      </c>
    </row>
    <row r="790" spans="1:44">
      <c r="A790" t="str">
        <f>H790&amp;COUNTIF($H$2:H790,H790)</f>
        <v>乙川工場製造3課5工区7班10</v>
      </c>
      <c r="B790" t="str">
        <f>F790&amp;COUNTIF($F$2:F790,F790)</f>
        <v>コーリツ 本社34</v>
      </c>
      <c r="C790" t="str">
        <v>退社</v>
      </c>
      <c r="D790">
        <v>210611</v>
      </c>
      <c r="E790">
        <v>8210102</v>
      </c>
      <c r="F790" t="str">
        <v>コーリツ 本社</v>
      </c>
      <c r="G790" t="str">
        <v>乙川工場製造3課5工区7班</v>
      </c>
      <c r="H790" t="str">
        <v>乙川工場製造3課5工区7班</v>
      </c>
      <c r="I790">
        <v>0</v>
      </c>
      <c r="J790" t="str">
        <v>TRUONG DINH HUNG</v>
      </c>
      <c r="K790" t="str">
        <v>トゥン　ディン　フン</v>
      </c>
      <c r="L790" t="str">
        <v>男</v>
      </c>
      <c r="M790" t="str">
        <v>ﾍﾞﾄﾅﾑ</v>
      </c>
      <c r="N790" s="31">
        <v>33440</v>
      </c>
      <c r="O790">
        <v>34</v>
      </c>
      <c r="P790">
        <v>1400</v>
      </c>
      <c r="Q790">
        <v>0</v>
      </c>
      <c r="R790">
        <v>1990</v>
      </c>
      <c r="S790">
        <v>0</v>
      </c>
      <c r="T790">
        <v>590</v>
      </c>
      <c r="U790">
        <v>260000</v>
      </c>
      <c r="V790">
        <v>13039</v>
      </c>
      <c r="W790" t="str">
        <v>0</v>
      </c>
      <c r="X790">
        <v>23790</v>
      </c>
      <c r="Y790" s="31">
        <v>45989</v>
      </c>
      <c r="Z790" t="str">
        <v/>
      </c>
      <c r="AA790" t="str">
        <v>技術・人文知識・国際業務</v>
      </c>
      <c r="AB790" t="str">
        <v>444-1305</v>
      </c>
      <c r="AC790" t="str">
        <v>愛知県高浜市神明町2-2-36</v>
      </c>
      <c r="AD790" t="str">
        <v>ﾄﾞﾐｰﾙ神明B-101</v>
      </c>
      <c r="AE790" s="31">
        <v>0</v>
      </c>
      <c r="AF790" s="31">
        <v>45481</v>
      </c>
      <c r="AG790" s="31">
        <v>45674</v>
      </c>
      <c r="AH790" s="31">
        <v>0</v>
      </c>
      <c r="AI790" t="str">
        <v>2024.7.8</v>
      </c>
      <c r="AJ790" t="str">
        <v>7/18原</v>
      </c>
      <c r="AK790">
        <v>0</v>
      </c>
      <c r="AL790">
        <v>45481</v>
      </c>
      <c r="AM790" t="str">
        <v>普通免許</v>
      </c>
      <c r="AN790">
        <v>46620</v>
      </c>
      <c r="AO790" t="str">
        <v>車</v>
      </c>
      <c r="AP790">
        <v>45994</v>
      </c>
      <c r="AQ790">
        <v>0</v>
      </c>
      <c r="AR790">
        <v>0</v>
      </c>
    </row>
    <row r="791" spans="1:44">
      <c r="A791" t="str">
        <f>H791&amp;COUNTIF($H$2:H791,H791)</f>
        <v>HUB 検査課係.6</v>
      </c>
      <c r="B791" t="str">
        <f>F791&amp;COUNTIF($F$2:F791,F791)</f>
        <v>高雄工業 岡山139</v>
      </c>
      <c r="C791" t="str">
        <v>退社</v>
      </c>
      <c r="D791">
        <v>240703</v>
      </c>
      <c r="E791">
        <v>0</v>
      </c>
      <c r="F791" t="str">
        <v>高雄工業 岡山</v>
      </c>
      <c r="G791" t="str">
        <v>高雄工業株式会社 岡山品質保証部岡山HUB品証課</v>
      </c>
      <c r="H791" t="str">
        <v>HUB 検査課係.</v>
      </c>
      <c r="I791" t="str">
        <v>HUB旋削加工品の抜き取り検査</v>
      </c>
      <c r="J791" t="str">
        <v>NGUYEN THI THO</v>
      </c>
      <c r="K791" t="str">
        <v>グエン　ティ　ト</v>
      </c>
      <c r="L791" t="str">
        <v>女</v>
      </c>
      <c r="M791" t="str">
        <v>ﾍﾞﾄﾅﾑ</v>
      </c>
      <c r="N791" s="31">
        <v>35141</v>
      </c>
      <c r="O791">
        <v>29</v>
      </c>
      <c r="P791">
        <v>1100</v>
      </c>
      <c r="Q791">
        <v>0</v>
      </c>
      <c r="R791">
        <v>1600</v>
      </c>
      <c r="S791">
        <v>0</v>
      </c>
      <c r="T791">
        <v>500</v>
      </c>
      <c r="U791">
        <v>126000</v>
      </c>
      <c r="V791">
        <v>6319</v>
      </c>
      <c r="W791" t="str">
        <v>0</v>
      </c>
      <c r="X791">
        <v>11529</v>
      </c>
      <c r="Y791" s="31">
        <v>45537</v>
      </c>
      <c r="Z791" t="str">
        <v/>
      </c>
      <c r="AA791" t="str">
        <v>家族滞在</v>
      </c>
      <c r="AB791" t="str">
        <v>709-2107</v>
      </c>
      <c r="AC791" t="str">
        <v>岡山県岡山市北区御津矢原312-2</v>
      </c>
      <c r="AD791" t="str">
        <v>中須賀ｺｰﾎﾟⅡ101</v>
      </c>
      <c r="AE791" s="31">
        <v>0</v>
      </c>
      <c r="AF791" s="31">
        <v>45481</v>
      </c>
      <c r="AG791" s="31">
        <v>45525</v>
      </c>
      <c r="AH791" s="31">
        <v>0</v>
      </c>
      <c r="AI791" t="str">
        <v>2024.7.8</v>
      </c>
      <c r="AJ791" t="str">
        <v>7/25林</v>
      </c>
      <c r="AK791">
        <v>0</v>
      </c>
      <c r="AL791">
        <v>45481</v>
      </c>
      <c r="AM791">
        <v>0</v>
      </c>
      <c r="AN791">
        <v>0</v>
      </c>
      <c r="AO791">
        <v>0</v>
      </c>
      <c r="AP791">
        <v>0</v>
      </c>
      <c r="AQ791">
        <v>0</v>
      </c>
      <c r="AR791">
        <v>0</v>
      </c>
    </row>
    <row r="792" spans="1:44">
      <c r="A792" t="str">
        <f>H792&amp;COUNTIF($H$2:H792,H792)</f>
        <v>0264</v>
      </c>
      <c r="B792" t="str">
        <f>F792&amp;COUNTIF($F$2:F792,F792)</f>
        <v>ピーエムアイ30</v>
      </c>
      <c r="C792" t="str">
        <v>退社</v>
      </c>
      <c r="D792">
        <v>240704</v>
      </c>
      <c r="E792">
        <v>0</v>
      </c>
      <c r="F792" t="str">
        <v>ピーエムアイ</v>
      </c>
      <c r="G792">
        <v>0</v>
      </c>
      <c r="H792">
        <v>0</v>
      </c>
      <c r="I792">
        <v>0</v>
      </c>
      <c r="J792" t="str">
        <v>TRAN QUANG DUC</v>
      </c>
      <c r="K792" t="str">
        <v>チャン　クアン　ドゥック</v>
      </c>
      <c r="L792" t="str">
        <v>男</v>
      </c>
      <c r="M792" t="str">
        <v>ﾍﾞﾄﾅﾑ</v>
      </c>
      <c r="N792" s="31">
        <v>34416</v>
      </c>
      <c r="O792">
        <v>31</v>
      </c>
      <c r="P792">
        <v>1300</v>
      </c>
      <c r="Q792">
        <v>0</v>
      </c>
      <c r="R792">
        <v>1800</v>
      </c>
      <c r="S792">
        <v>0</v>
      </c>
      <c r="T792">
        <v>500</v>
      </c>
      <c r="U792">
        <v>240000</v>
      </c>
      <c r="V792">
        <v>12036</v>
      </c>
      <c r="W792" t="str">
        <v>0</v>
      </c>
      <c r="X792">
        <v>21960</v>
      </c>
      <c r="Y792" s="31">
        <v>45682</v>
      </c>
      <c r="Z792" t="str">
        <v/>
      </c>
      <c r="AA792" t="str">
        <v>技術・人文知識・国際業務</v>
      </c>
      <c r="AB792" t="str">
        <v>471-0805</v>
      </c>
      <c r="AC792" t="str">
        <v>愛知県豊田市美里2-6-9</v>
      </c>
      <c r="AD792" t="str">
        <v>ﾚｼﾞｪﾝﾄﾞK203</v>
      </c>
      <c r="AE792" s="31">
        <v>0</v>
      </c>
      <c r="AF792" s="31">
        <v>45481</v>
      </c>
      <c r="AG792" s="31">
        <v>45576</v>
      </c>
      <c r="AH792" s="31">
        <v>0</v>
      </c>
      <c r="AI792" t="str">
        <v>2024.7.8</v>
      </c>
      <c r="AJ792" t="str">
        <v>7/31林</v>
      </c>
      <c r="AK792">
        <v>0</v>
      </c>
      <c r="AL792">
        <v>45481</v>
      </c>
      <c r="AM792">
        <v>0</v>
      </c>
      <c r="AN792">
        <v>0</v>
      </c>
      <c r="AO792">
        <v>0</v>
      </c>
      <c r="AP792">
        <v>0</v>
      </c>
      <c r="AQ792">
        <v>0</v>
      </c>
      <c r="AR792">
        <v>0</v>
      </c>
    </row>
    <row r="793" spans="1:44">
      <c r="A793" t="str">
        <f>H793&amp;COUNTIF($H$2:H793,H793)</f>
        <v>乙川工場製造3課7工区9班3</v>
      </c>
      <c r="B793" t="str">
        <f>F793&amp;COUNTIF($F$2:F793,F793)</f>
        <v>コーリツ 乙川27</v>
      </c>
      <c r="C793" t="str">
        <v>在職中</v>
      </c>
      <c r="D793">
        <v>240705</v>
      </c>
      <c r="E793">
        <v>8210103</v>
      </c>
      <c r="F793" t="str">
        <v>コーリツ 乙川</v>
      </c>
      <c r="G793" t="str">
        <v>乙川工場製造3課7工区9班</v>
      </c>
      <c r="H793" t="str">
        <v>乙川工場製造3課7工区9班</v>
      </c>
      <c r="I793">
        <v>0</v>
      </c>
      <c r="J793" t="str">
        <v>NGUYEN MANH CUONG</v>
      </c>
      <c r="K793" t="str">
        <v>グエン　マイン　クオン</v>
      </c>
      <c r="L793" t="str">
        <v>男</v>
      </c>
      <c r="M793" t="str">
        <v>ﾍﾞﾄﾅﾑ</v>
      </c>
      <c r="N793" s="31">
        <v>33469</v>
      </c>
      <c r="O793">
        <v>34</v>
      </c>
      <c r="P793">
        <v>1555</v>
      </c>
      <c r="Q793">
        <v>0</v>
      </c>
      <c r="R793">
        <v>2225</v>
      </c>
      <c r="S793">
        <v>0</v>
      </c>
      <c r="T793">
        <v>670</v>
      </c>
      <c r="U793">
        <v>360000</v>
      </c>
      <c r="V793">
        <v>18054</v>
      </c>
      <c r="W793" t="str">
        <v>0</v>
      </c>
      <c r="X793">
        <v>32940</v>
      </c>
      <c r="Y793" s="31">
        <v>46774</v>
      </c>
      <c r="Z793" t="str">
        <v/>
      </c>
      <c r="AA793" t="str">
        <v>技術・人文知識・国際業務</v>
      </c>
      <c r="AB793" t="str">
        <v>475-0074</v>
      </c>
      <c r="AC793" t="str">
        <v>愛知県半田市長根町3丁目1番地</v>
      </c>
      <c r="AD793" t="str">
        <v>県営長根住宅6棟401号</v>
      </c>
      <c r="AE793" s="31" t="str">
        <v>個人</v>
      </c>
      <c r="AF793" s="31">
        <v>45482</v>
      </c>
      <c r="AG793" s="31">
        <v>0</v>
      </c>
      <c r="AH793" s="31">
        <v>0</v>
      </c>
      <c r="AI793" t="str">
        <v>2024.7.9</v>
      </c>
      <c r="AJ793" t="str">
        <v>7/19林</v>
      </c>
      <c r="AK793">
        <v>0</v>
      </c>
      <c r="AL793">
        <v>45482</v>
      </c>
      <c r="AM793" t="str">
        <v>普通免許</v>
      </c>
      <c r="AN793">
        <v>46284</v>
      </c>
      <c r="AO793" t="str">
        <v>車</v>
      </c>
      <c r="AP793">
        <v>46211</v>
      </c>
      <c r="AQ793">
        <v>0</v>
      </c>
      <c r="AR793">
        <v>0</v>
      </c>
    </row>
    <row r="794" spans="1:44">
      <c r="A794" t="str">
        <f>H794&amp;COUNTIF($H$2:H794,H794)</f>
        <v>1次旋係61</v>
      </c>
      <c r="B794" t="str">
        <f>F794&amp;COUNTIF($F$2:F794,F794)</f>
        <v>高雄工業 岡山140</v>
      </c>
      <c r="C794" t="str">
        <v>在職中</v>
      </c>
      <c r="D794">
        <v>240706</v>
      </c>
      <c r="E794">
        <v>232140</v>
      </c>
      <c r="F794" t="str">
        <v>高雄工業 岡山</v>
      </c>
      <c r="G794" t="str">
        <v>高雄工業株式会社 岡山事業所HUB工場製作1課</v>
      </c>
      <c r="H794" t="str">
        <v>1次旋係</v>
      </c>
      <c r="I794" t="str">
        <v>ハブ加工 自動機の操作、ＮＣプログラム修正</v>
      </c>
      <c r="J794" t="str">
        <v>NGUYEN VAN DAT</v>
      </c>
      <c r="K794" t="str">
        <v>グエン　ヴァン　ダット</v>
      </c>
      <c r="L794" t="str">
        <v>男</v>
      </c>
      <c r="M794" t="str">
        <v>ﾍﾞﾄﾅﾑ</v>
      </c>
      <c r="N794" s="31">
        <v>37184</v>
      </c>
      <c r="O794">
        <v>24</v>
      </c>
      <c r="P794">
        <v>1300</v>
      </c>
      <c r="Q794">
        <v>0</v>
      </c>
      <c r="R794">
        <v>1670</v>
      </c>
      <c r="S794">
        <v>0</v>
      </c>
      <c r="T794">
        <v>370</v>
      </c>
      <c r="U794">
        <v>260000</v>
      </c>
      <c r="V794">
        <v>13039</v>
      </c>
      <c r="W794" t="str">
        <v>0</v>
      </c>
      <c r="X794">
        <v>23790</v>
      </c>
      <c r="Y794" s="31">
        <v>46212</v>
      </c>
      <c r="Z794">
        <v>0</v>
      </c>
      <c r="AA794" t="str">
        <v>技術・人文知識・国際業務</v>
      </c>
      <c r="AB794" t="str">
        <v>709-2107</v>
      </c>
      <c r="AC794" t="str">
        <v>岡山県岡山市北区御津矢原299－2</v>
      </c>
      <c r="AD794" t="str">
        <v>成広矢原ｺｰﾎﾟⅦ206</v>
      </c>
      <c r="AE794" s="31">
        <v>45476</v>
      </c>
      <c r="AF794" s="31">
        <v>45483</v>
      </c>
      <c r="AG794" s="31">
        <v>0</v>
      </c>
      <c r="AH794" s="31">
        <v>0</v>
      </c>
      <c r="AI794" t="str">
        <v>2024.7.10</v>
      </c>
      <c r="AJ794" t="str">
        <v>8/1林</v>
      </c>
      <c r="AK794">
        <v>0</v>
      </c>
      <c r="AL794">
        <v>45483</v>
      </c>
      <c r="AM794">
        <v>0</v>
      </c>
      <c r="AN794">
        <v>0</v>
      </c>
      <c r="AO794">
        <v>0</v>
      </c>
      <c r="AP794">
        <v>0</v>
      </c>
      <c r="AQ794">
        <v>0</v>
      </c>
      <c r="AR794">
        <v>0</v>
      </c>
    </row>
    <row r="795" spans="1:44">
      <c r="A795" t="str">
        <f>H795&amp;COUNTIF($H$2:H795,H795)</f>
        <v>1次旋係62</v>
      </c>
      <c r="B795" t="str">
        <f>F795&amp;COUNTIF($F$2:F795,F795)</f>
        <v>高雄工業 岡山141</v>
      </c>
      <c r="C795" t="str">
        <v>退社</v>
      </c>
      <c r="D795">
        <v>240707</v>
      </c>
      <c r="E795">
        <v>232141</v>
      </c>
      <c r="F795" t="str">
        <v>高雄工業 岡山</v>
      </c>
      <c r="G795" t="str">
        <v>高雄工業株式会社 岡山事業所HUB工場製作1課</v>
      </c>
      <c r="H795" t="str">
        <v>1次旋係</v>
      </c>
      <c r="I795" t="str">
        <v>ハブ加工 自動機の操作、ＮＣプログラム修正</v>
      </c>
      <c r="J795" t="str">
        <v>NGUYEN CONG NAM</v>
      </c>
      <c r="K795" t="str">
        <v>グエン　コン　ナム</v>
      </c>
      <c r="L795" t="str">
        <v>男</v>
      </c>
      <c r="M795" t="str">
        <v>ﾍﾞﾄﾅﾑ</v>
      </c>
      <c r="N795" s="31">
        <v>36438</v>
      </c>
      <c r="O795">
        <v>26</v>
      </c>
      <c r="P795">
        <v>1300</v>
      </c>
      <c r="Q795">
        <v>0</v>
      </c>
      <c r="R795">
        <v>1680</v>
      </c>
      <c r="S795">
        <v>0</v>
      </c>
      <c r="T795">
        <v>380</v>
      </c>
      <c r="U795">
        <v>220000</v>
      </c>
      <c r="V795">
        <v>11033</v>
      </c>
      <c r="W795" t="str">
        <v>0</v>
      </c>
      <c r="X795">
        <v>20130</v>
      </c>
      <c r="Y795" s="31">
        <v>46212</v>
      </c>
      <c r="Z795" t="str">
        <v/>
      </c>
      <c r="AA795" t="str">
        <v>技術・人文知識・国際業務</v>
      </c>
      <c r="AB795" t="str">
        <v>709-2107</v>
      </c>
      <c r="AC795" t="str">
        <v>岡山県岡山市北区御津矢原299－2</v>
      </c>
      <c r="AD795" t="str">
        <v>成広矢原ｺｰﾎﾟⅦ206</v>
      </c>
      <c r="AE795" s="31">
        <v>45476</v>
      </c>
      <c r="AF795" s="31">
        <v>45483</v>
      </c>
      <c r="AG795" s="31">
        <v>45940</v>
      </c>
      <c r="AH795" s="31">
        <v>0</v>
      </c>
      <c r="AI795" t="str">
        <v>2024.7.10</v>
      </c>
      <c r="AJ795" t="str">
        <v>8/1林</v>
      </c>
      <c r="AK795">
        <v>0</v>
      </c>
      <c r="AL795">
        <v>45483</v>
      </c>
      <c r="AM795">
        <v>0</v>
      </c>
      <c r="AN795">
        <v>0</v>
      </c>
      <c r="AO795">
        <v>0</v>
      </c>
      <c r="AP795">
        <v>0</v>
      </c>
      <c r="AQ795">
        <v>0</v>
      </c>
      <c r="AR795">
        <v>0</v>
      </c>
    </row>
    <row r="796" spans="1:44">
      <c r="A796" t="str">
        <f>H796&amp;COUNTIF($H$2:H796,H796)</f>
        <v>検査3</v>
      </c>
      <c r="B796" t="str">
        <f>F796&amp;COUNTIF($F$2:F796,F796)</f>
        <v>PATEC35</v>
      </c>
      <c r="C796" t="str">
        <v>在職中</v>
      </c>
      <c r="D796">
        <v>240708</v>
      </c>
      <c r="E796">
        <v>0</v>
      </c>
      <c r="F796" t="str">
        <v>PATEC</v>
      </c>
      <c r="G796" t="str">
        <v>製造部検査課</v>
      </c>
      <c r="H796" t="str">
        <v>検査</v>
      </c>
      <c r="I796" t="str">
        <v>キズ・へこみ・塗装ムラ・異物混入などの不良を目視で確認</v>
      </c>
      <c r="J796" t="str">
        <v>PHAM HUYNH DUC</v>
      </c>
      <c r="K796" t="str">
        <v>ファム　フィン　ドゥック</v>
      </c>
      <c r="L796" t="str">
        <v>男</v>
      </c>
      <c r="M796" t="str">
        <v>ﾍﾞﾄﾅﾑ</v>
      </c>
      <c r="N796" s="31">
        <v>36109</v>
      </c>
      <c r="O796">
        <v>27</v>
      </c>
      <c r="P796">
        <v>1500</v>
      </c>
      <c r="Q796">
        <v>0</v>
      </c>
      <c r="R796">
        <v>2000</v>
      </c>
      <c r="S796" t="str">
        <v>24/2/21～24/8/20まで請求単価50円下げ</v>
      </c>
      <c r="T796">
        <v>500</v>
      </c>
      <c r="U796">
        <v>320000</v>
      </c>
      <c r="V796">
        <v>16048</v>
      </c>
      <c r="W796" t="str">
        <v>0</v>
      </c>
      <c r="X796">
        <v>29280</v>
      </c>
      <c r="Y796" s="31">
        <v>46923</v>
      </c>
      <c r="Z796" t="str">
        <v/>
      </c>
      <c r="AA796" t="str">
        <v>技術・人文知識・国際業務</v>
      </c>
      <c r="AB796" t="str">
        <v>747-0833</v>
      </c>
      <c r="AC796" t="str">
        <v>山口県防府市大字浜方716-15</v>
      </c>
      <c r="AD796" t="str">
        <v>ｱﾙｿｰﾚC201</v>
      </c>
      <c r="AE796" s="31">
        <v>0</v>
      </c>
      <c r="AF796" s="31">
        <v>45485</v>
      </c>
      <c r="AG796" s="31">
        <v>0</v>
      </c>
      <c r="AH796" s="31">
        <v>0</v>
      </c>
      <c r="AI796" t="str">
        <v>2024.7.12</v>
      </c>
      <c r="AJ796" t="str">
        <v>7/18原</v>
      </c>
      <c r="AK796" t="str">
        <v>2024/7/10まで請負。7/12～PATEC</v>
      </c>
      <c r="AL796">
        <v>45485</v>
      </c>
      <c r="AM796">
        <v>0</v>
      </c>
      <c r="AN796">
        <v>0</v>
      </c>
      <c r="AO796">
        <v>0</v>
      </c>
      <c r="AP796">
        <v>0</v>
      </c>
      <c r="AQ796">
        <v>0</v>
      </c>
      <c r="AR796">
        <v>0</v>
      </c>
    </row>
    <row r="797" spans="1:44">
      <c r="A797" t="str">
        <f>H797&amp;COUNTIF($H$2:H797,H797)</f>
        <v>0265</v>
      </c>
      <c r="B797" t="str">
        <f>F797&amp;COUNTIF($F$2:F797,F797)</f>
        <v>PATEC36</v>
      </c>
      <c r="C797" t="str">
        <v>退社</v>
      </c>
      <c r="D797">
        <v>240709</v>
      </c>
      <c r="E797">
        <v>0</v>
      </c>
      <c r="F797" t="str">
        <v>PATEC</v>
      </c>
      <c r="G797">
        <v>0</v>
      </c>
      <c r="H797">
        <v>0</v>
      </c>
      <c r="I797">
        <v>0</v>
      </c>
      <c r="J797" t="str">
        <v>NGUYEN TRONG DAI</v>
      </c>
      <c r="K797" t="str">
        <v>グエン　チョン　ダイ</v>
      </c>
      <c r="L797" t="str">
        <v>男</v>
      </c>
      <c r="M797" t="str">
        <v>ﾍﾞﾄﾅﾑ</v>
      </c>
      <c r="N797" s="31">
        <v>37040</v>
      </c>
      <c r="O797">
        <v>24</v>
      </c>
      <c r="P797">
        <v>1400</v>
      </c>
      <c r="Q797">
        <v>0</v>
      </c>
      <c r="R797">
        <v>2000</v>
      </c>
      <c r="S797" t="str">
        <v>24/2/21～24/8/20まで請求単価50円下げ</v>
      </c>
      <c r="T797">
        <v>600</v>
      </c>
      <c r="U797">
        <v>190000</v>
      </c>
      <c r="V797">
        <v>9528</v>
      </c>
      <c r="W797" t="str">
        <v>0</v>
      </c>
      <c r="X797">
        <v>17385</v>
      </c>
      <c r="Y797" s="31">
        <v>45827</v>
      </c>
      <c r="Z797" t="str">
        <v/>
      </c>
      <c r="AA797" t="str">
        <v>技術・人文知識・国際業務</v>
      </c>
      <c r="AB797" t="str">
        <v>747-0833</v>
      </c>
      <c r="AC797" t="str">
        <v>山口県防府市大字浜方716-15</v>
      </c>
      <c r="AD797" t="str">
        <v>ｱﾙｿｰﾚC201</v>
      </c>
      <c r="AE797" s="31">
        <v>0</v>
      </c>
      <c r="AF797" s="31">
        <v>45485</v>
      </c>
      <c r="AG797" s="31">
        <v>45814</v>
      </c>
      <c r="AH797" s="31">
        <v>0</v>
      </c>
      <c r="AI797" t="str">
        <v>2024.7.12</v>
      </c>
      <c r="AJ797" t="str">
        <v>7/18原</v>
      </c>
      <c r="AK797" t="str">
        <v>2024/7/10まで請負。7/12～PATEC</v>
      </c>
      <c r="AL797">
        <v>45485</v>
      </c>
      <c r="AM797">
        <v>0</v>
      </c>
      <c r="AN797">
        <v>0</v>
      </c>
      <c r="AO797">
        <v>0</v>
      </c>
      <c r="AP797">
        <v>0</v>
      </c>
      <c r="AQ797">
        <v>0</v>
      </c>
      <c r="AR797">
        <v>0</v>
      </c>
    </row>
    <row r="798" spans="1:44">
      <c r="A798" t="str">
        <f>H798&amp;COUNTIF($H$2:H798,H798)</f>
        <v>0266</v>
      </c>
      <c r="B798" t="str">
        <f>F798&amp;COUNTIF($F$2:F798,F798)</f>
        <v>川原鉄工所37</v>
      </c>
      <c r="C798" t="str">
        <v>在職中</v>
      </c>
      <c r="D798">
        <v>240710</v>
      </c>
      <c r="E798">
        <v>0</v>
      </c>
      <c r="F798" t="str">
        <v>川原鉄工所</v>
      </c>
      <c r="G798">
        <v>0</v>
      </c>
      <c r="H798">
        <v>0</v>
      </c>
      <c r="I798">
        <v>0</v>
      </c>
      <c r="J798" t="str">
        <v>NGUYEN VAN HAN</v>
      </c>
      <c r="K798" t="str">
        <v>グエン　ヴァン　ハン</v>
      </c>
      <c r="L798" t="str">
        <v>男</v>
      </c>
      <c r="M798" t="str">
        <v>ﾍﾞﾄﾅﾑ</v>
      </c>
      <c r="N798" s="31">
        <v>33539</v>
      </c>
      <c r="O798">
        <v>34</v>
      </c>
      <c r="P798">
        <v>1300</v>
      </c>
      <c r="Q798">
        <v>0</v>
      </c>
      <c r="R798">
        <v>1650</v>
      </c>
      <c r="S798">
        <v>0</v>
      </c>
      <c r="T798">
        <v>350</v>
      </c>
      <c r="U798">
        <v>300000</v>
      </c>
      <c r="V798">
        <v>15045</v>
      </c>
      <c r="W798" t="str">
        <v>0</v>
      </c>
      <c r="X798">
        <v>27450</v>
      </c>
      <c r="Y798" s="31">
        <v>47058</v>
      </c>
      <c r="Z798" t="str">
        <v/>
      </c>
      <c r="AA798" t="str">
        <v>技術・人文知識・国際業務</v>
      </c>
      <c r="AB798" t="str">
        <v>455-0806</v>
      </c>
      <c r="AC798" t="str">
        <v>愛知県名古屋市港区明正2丁目176</v>
      </c>
      <c r="AD798" t="str">
        <v>飯田第二ｺｰﾎﾟ103</v>
      </c>
      <c r="AE798" s="31">
        <v>0</v>
      </c>
      <c r="AF798" s="31">
        <v>45488</v>
      </c>
      <c r="AG798" s="31">
        <v>0</v>
      </c>
      <c r="AH798" s="31">
        <v>0</v>
      </c>
      <c r="AI798" t="str">
        <v>2024.7.15</v>
      </c>
      <c r="AJ798" t="str">
        <v>7/24林</v>
      </c>
      <c r="AK798">
        <v>0</v>
      </c>
      <c r="AL798">
        <v>45488</v>
      </c>
      <c r="AM798">
        <v>0</v>
      </c>
      <c r="AN798">
        <v>0</v>
      </c>
      <c r="AO798">
        <v>0</v>
      </c>
      <c r="AP798">
        <v>0</v>
      </c>
      <c r="AQ798">
        <v>0</v>
      </c>
      <c r="AR798">
        <v>0</v>
      </c>
    </row>
    <row r="799" spans="1:44">
      <c r="A799" t="str">
        <f>H799&amp;COUNTIF($H$2:H799,H799)</f>
        <v>ナット6</v>
      </c>
      <c r="B799" t="str">
        <f>F799&amp;COUNTIF($F$2:F799,F799)</f>
        <v>高雄工業 静岡85</v>
      </c>
      <c r="C799" t="str">
        <v>在職中</v>
      </c>
      <c r="D799">
        <v>220508</v>
      </c>
      <c r="E799">
        <v>242045</v>
      </c>
      <c r="F799" t="str">
        <v>高雄工業 静岡</v>
      </c>
      <c r="G799" t="str">
        <v>高雄工業株式会社 静岡事業所第二工場製作課</v>
      </c>
      <c r="H799" t="str">
        <v>ナット</v>
      </c>
      <c r="I799" t="str">
        <v>産業機械部品の研磨加工、NCプログラム修正</v>
      </c>
      <c r="J799" t="str">
        <v>TRAN VAN HIEU</v>
      </c>
      <c r="K799" t="str">
        <v>チャン　ヴァン　ヒエウ</v>
      </c>
      <c r="L799" t="str">
        <v>男</v>
      </c>
      <c r="M799" t="str">
        <v>ﾍﾞﾄﾅﾑ</v>
      </c>
      <c r="N799" s="31">
        <v>35623</v>
      </c>
      <c r="O799">
        <v>28</v>
      </c>
      <c r="P799">
        <v>1310</v>
      </c>
      <c r="Q799">
        <v>0</v>
      </c>
      <c r="R799">
        <v>1730</v>
      </c>
      <c r="S799">
        <v>0</v>
      </c>
      <c r="T799">
        <v>420</v>
      </c>
      <c r="U799">
        <v>260000</v>
      </c>
      <c r="V799">
        <v>13039</v>
      </c>
      <c r="W799" t="str">
        <v>0</v>
      </c>
      <c r="X799">
        <v>23790</v>
      </c>
      <c r="Y799" s="31">
        <v>46549</v>
      </c>
      <c r="Z799" t="str">
        <v/>
      </c>
      <c r="AA799" t="str">
        <v>技術・人文知識・国際業務</v>
      </c>
      <c r="AB799" t="str">
        <v>437-0065</v>
      </c>
      <c r="AC799" t="str">
        <v>静岡県袋井市堀越1丁目14-6</v>
      </c>
      <c r="AD799" t="str">
        <v>ﾊｰﾓﾆｰ201</v>
      </c>
      <c r="AE799" s="31">
        <v>44680</v>
      </c>
      <c r="AF799" s="31">
        <v>44691</v>
      </c>
      <c r="AG799" s="31">
        <v>0</v>
      </c>
      <c r="AH799" s="31">
        <v>0</v>
      </c>
      <c r="AI799" t="str">
        <v>22.07.01</v>
      </c>
      <c r="AJ799" t="str">
        <v>5/17原</v>
      </c>
      <c r="AK799">
        <v>0</v>
      </c>
      <c r="AL799">
        <v>44691</v>
      </c>
      <c r="AM799">
        <v>0</v>
      </c>
      <c r="AN799">
        <v>0</v>
      </c>
      <c r="AO799">
        <v>0</v>
      </c>
      <c r="AP799">
        <v>0</v>
      </c>
      <c r="AQ799">
        <v>0</v>
      </c>
      <c r="AR799">
        <v>0</v>
      </c>
    </row>
    <row r="800" spans="1:44">
      <c r="A800" t="str">
        <f>H800&amp;COUNTIF($H$2:H800,H800)</f>
        <v>ナット7</v>
      </c>
      <c r="B800" t="str">
        <f>F800&amp;COUNTIF($F$2:F800,F800)</f>
        <v>高雄工業 静岡86</v>
      </c>
      <c r="C800" t="str">
        <v>在職中</v>
      </c>
      <c r="D800">
        <v>220522</v>
      </c>
      <c r="E800">
        <v>242047</v>
      </c>
      <c r="F800" t="str">
        <v>高雄工業 静岡</v>
      </c>
      <c r="G800" t="str">
        <v>高雄工業株式会社 静岡事業所第一工場製作課</v>
      </c>
      <c r="H800" t="str">
        <v>ナット</v>
      </c>
      <c r="I800" t="str">
        <v>産業機械部品の研磨加工、NCプログラム修正</v>
      </c>
      <c r="J800" t="str">
        <v>NGUYEN DINH THANH</v>
      </c>
      <c r="K800" t="str">
        <v>グエン　ディン　タイン</v>
      </c>
      <c r="L800" t="str">
        <v>男</v>
      </c>
      <c r="M800" t="str">
        <v>ﾍﾞﾄﾅﾑ</v>
      </c>
      <c r="N800" s="31">
        <v>36538</v>
      </c>
      <c r="O800">
        <v>25</v>
      </c>
      <c r="P800">
        <v>1310</v>
      </c>
      <c r="Q800">
        <v>0</v>
      </c>
      <c r="R800">
        <v>1720</v>
      </c>
      <c r="S800">
        <v>0</v>
      </c>
      <c r="T800">
        <v>410</v>
      </c>
      <c r="U800">
        <v>260000</v>
      </c>
      <c r="V800">
        <v>13039</v>
      </c>
      <c r="W800" t="str">
        <v>0</v>
      </c>
      <c r="X800">
        <v>23790</v>
      </c>
      <c r="Y800" s="31">
        <v>46552</v>
      </c>
      <c r="Z800" t="str">
        <v/>
      </c>
      <c r="AA800" t="str">
        <v>技術・人文知識・国際業務</v>
      </c>
      <c r="AB800" t="str">
        <v>437-0062</v>
      </c>
      <c r="AC800" t="str">
        <v>静岡県袋井市泉町1丁目7-3</v>
      </c>
      <c r="AD800" t="str">
        <v>BeehiveresidenceⅦ102</v>
      </c>
      <c r="AE800" s="31">
        <v>44699</v>
      </c>
      <c r="AF800" s="31">
        <v>44707</v>
      </c>
      <c r="AG800" s="31">
        <v>0</v>
      </c>
      <c r="AH800" s="31">
        <v>0</v>
      </c>
      <c r="AI800" t="str">
        <v>22.07.01</v>
      </c>
      <c r="AJ800" t="str">
        <v>6/6林</v>
      </c>
      <c r="AK800">
        <v>0</v>
      </c>
      <c r="AL800">
        <v>44707</v>
      </c>
      <c r="AM800">
        <v>0</v>
      </c>
      <c r="AN800">
        <v>0</v>
      </c>
      <c r="AO800">
        <v>0</v>
      </c>
      <c r="AP800">
        <v>0</v>
      </c>
      <c r="AQ800">
        <v>0</v>
      </c>
      <c r="AR800">
        <v>0</v>
      </c>
    </row>
    <row r="801" spans="1:44">
      <c r="A801" t="str">
        <f>H801&amp;COUNTIF($H$2:H801,H801)</f>
        <v>ナット8</v>
      </c>
      <c r="B801" t="str">
        <f>F801&amp;COUNTIF($F$2:F801,F801)</f>
        <v>高雄工業 静岡87</v>
      </c>
      <c r="C801" t="str">
        <v>在職中</v>
      </c>
      <c r="D801">
        <v>220808</v>
      </c>
      <c r="E801">
        <v>242053</v>
      </c>
      <c r="F801" t="str">
        <v>高雄工業 静岡</v>
      </c>
      <c r="G801" t="str">
        <v>高雄工業株式会社 静岡事業所第二工場製作課</v>
      </c>
      <c r="H801" t="str">
        <v>ナット</v>
      </c>
      <c r="I801" t="str">
        <v>産業機械部品の研磨加工、NCプログラム修正</v>
      </c>
      <c r="J801" t="str">
        <v>THIEU QUANG TINH</v>
      </c>
      <c r="K801" t="str">
        <v>ティエウ　クアン　ティン</v>
      </c>
      <c r="L801" t="str">
        <v>男</v>
      </c>
      <c r="M801" t="str">
        <v>ﾍﾞﾄﾅﾑ</v>
      </c>
      <c r="N801" s="31">
        <v>33643</v>
      </c>
      <c r="O801">
        <v>33</v>
      </c>
      <c r="P801">
        <v>1420</v>
      </c>
      <c r="Q801">
        <v>0</v>
      </c>
      <c r="R801">
        <v>1830</v>
      </c>
      <c r="S801">
        <v>0</v>
      </c>
      <c r="T801">
        <v>410</v>
      </c>
      <c r="U801">
        <v>280000</v>
      </c>
      <c r="V801">
        <v>14042</v>
      </c>
      <c r="W801" t="str">
        <v>0</v>
      </c>
      <c r="X801">
        <v>25620</v>
      </c>
      <c r="Y801" s="31">
        <v>46668</v>
      </c>
      <c r="Z801" t="str">
        <v/>
      </c>
      <c r="AA801" t="str">
        <v>技術・人文知識・国際業務</v>
      </c>
      <c r="AB801" t="str">
        <v>437-0065</v>
      </c>
      <c r="AC801" t="str">
        <v>静岡県袋井市堀越3丁目19番地2</v>
      </c>
      <c r="AD801" t="str">
        <v>ｴｸｾｰﾗ103号室</v>
      </c>
      <c r="AE801" s="31" t="str">
        <v>個人</v>
      </c>
      <c r="AF801" s="31">
        <v>44798</v>
      </c>
      <c r="AG801" s="31">
        <v>0</v>
      </c>
      <c r="AH801" s="31">
        <v>0</v>
      </c>
      <c r="AI801" t="str">
        <v>22.10.01</v>
      </c>
      <c r="AJ801" t="str">
        <v>9/12林</v>
      </c>
      <c r="AK801">
        <v>0</v>
      </c>
      <c r="AL801">
        <v>44798</v>
      </c>
      <c r="AM801">
        <v>0</v>
      </c>
      <c r="AN801">
        <v>0</v>
      </c>
      <c r="AO801">
        <v>0</v>
      </c>
      <c r="AP801">
        <v>0</v>
      </c>
      <c r="AQ801" t="str">
        <v>JLPT-N3</v>
      </c>
      <c r="AR801">
        <v>0</v>
      </c>
    </row>
    <row r="802" spans="1:44">
      <c r="A802" t="str">
        <f>H802&amp;COUNTIF($H$2:H802,H802)</f>
        <v>0267</v>
      </c>
      <c r="B802" t="str">
        <f>F802&amp;COUNTIF($F$2:F802,F802)</f>
        <v>ﾌｪﾆﾃｯｸｾﾐｺﾝﾀﾞｸﾀｰ 鹿児島23</v>
      </c>
      <c r="C802" t="str">
        <v>退社</v>
      </c>
      <c r="D802">
        <v>210315</v>
      </c>
      <c r="E802">
        <v>0</v>
      </c>
      <c r="F802" t="str">
        <v>ﾌｪﾆﾃｯｸｾﾐｺﾝﾀﾞｸﾀｰ 鹿児島</v>
      </c>
      <c r="G802" t="str">
        <v>鹿児島工場　製造部　製造課</v>
      </c>
      <c r="H802">
        <v>0</v>
      </c>
      <c r="I802">
        <v>0</v>
      </c>
      <c r="J802" t="str">
        <v>DAO VAN HOAN</v>
      </c>
      <c r="K802" t="str">
        <v>ダオ　ヴァン　ホアン</v>
      </c>
      <c r="L802" t="str">
        <v>男</v>
      </c>
      <c r="M802" t="str">
        <v>ﾍﾞﾄﾅﾑ</v>
      </c>
      <c r="N802" s="31">
        <v>33176</v>
      </c>
      <c r="O802">
        <v>35</v>
      </c>
      <c r="P802">
        <v>1450</v>
      </c>
      <c r="Q802">
        <v>0</v>
      </c>
      <c r="R802">
        <v>2100</v>
      </c>
      <c r="S802">
        <v>0</v>
      </c>
      <c r="T802">
        <v>650</v>
      </c>
      <c r="U802">
        <v>240000</v>
      </c>
      <c r="V802">
        <v>12036</v>
      </c>
      <c r="W802" t="str">
        <v>0</v>
      </c>
      <c r="X802">
        <v>21960</v>
      </c>
      <c r="Y802" s="31">
        <v>46165</v>
      </c>
      <c r="Z802" t="str">
        <v/>
      </c>
      <c r="AA802" t="str">
        <v>技術・人文知識・国際業務</v>
      </c>
      <c r="AB802" t="str">
        <v>899-6201</v>
      </c>
      <c r="AC802" t="str">
        <v>鹿児島県姶良郡湧水町木場1214-1</v>
      </c>
      <c r="AD802" t="str">
        <v>尾鉢第3住宅1号棟</v>
      </c>
      <c r="AE802" s="31">
        <v>0</v>
      </c>
      <c r="AF802" s="31">
        <v>45505</v>
      </c>
      <c r="AG802" s="31">
        <v>45650</v>
      </c>
      <c r="AH802" s="31">
        <v>0</v>
      </c>
      <c r="AI802">
        <v>45505</v>
      </c>
      <c r="AJ802" t="str">
        <v>9/3林</v>
      </c>
      <c r="AK802">
        <v>0</v>
      </c>
      <c r="AL802">
        <v>45505</v>
      </c>
      <c r="AM802">
        <v>0</v>
      </c>
      <c r="AN802">
        <v>0</v>
      </c>
      <c r="AO802">
        <v>0</v>
      </c>
      <c r="AP802">
        <v>0</v>
      </c>
      <c r="AQ802">
        <v>0</v>
      </c>
      <c r="AR802">
        <v>0</v>
      </c>
    </row>
    <row r="803" spans="1:44">
      <c r="A803" t="str">
        <f>H803&amp;COUNTIF($H$2:H803,H803)</f>
        <v>品証安全環境管理課1</v>
      </c>
      <c r="B803" t="str">
        <f>F803&amp;COUNTIF($F$2:F803,F803)</f>
        <v>加藤木材工業 本社27</v>
      </c>
      <c r="C803" t="str">
        <v>退社</v>
      </c>
      <c r="D803">
        <v>240801</v>
      </c>
      <c r="E803">
        <v>5630</v>
      </c>
      <c r="F803" t="str">
        <v>加藤木材工業 本社</v>
      </c>
      <c r="G803" t="str">
        <v>生産管理部</v>
      </c>
      <c r="H803" t="str">
        <v>品証安全環境管理課</v>
      </c>
      <c r="I803" t="str">
        <v>機械オペレーター及び機械メンテナンス他付随する業務</v>
      </c>
      <c r="J803" t="str">
        <v>NGUYEN THANH Y</v>
      </c>
      <c r="K803" t="str">
        <v>グエン　タン　イー</v>
      </c>
      <c r="L803" t="str">
        <v>男</v>
      </c>
      <c r="M803" t="str">
        <v>ﾍﾞﾄﾅﾑ</v>
      </c>
      <c r="N803" s="31">
        <v>35005</v>
      </c>
      <c r="O803">
        <v>30</v>
      </c>
      <c r="P803">
        <v>1300</v>
      </c>
      <c r="Q803">
        <v>0</v>
      </c>
      <c r="R803">
        <v>1700</v>
      </c>
      <c r="S803">
        <v>0</v>
      </c>
      <c r="T803">
        <v>400</v>
      </c>
      <c r="U803">
        <v>180000</v>
      </c>
      <c r="V803">
        <v>9027</v>
      </c>
      <c r="W803" t="str">
        <v>0</v>
      </c>
      <c r="X803">
        <v>16470</v>
      </c>
      <c r="Y803" s="31">
        <v>46457</v>
      </c>
      <c r="Z803" t="str">
        <v/>
      </c>
      <c r="AA803" t="str">
        <v>技術・人文知識・国際業務</v>
      </c>
      <c r="AB803" t="str">
        <v>486-0913</v>
      </c>
      <c r="AC803" t="str">
        <v>愛知県春日井市柏原町5-225</v>
      </c>
      <c r="AD803" t="str">
        <v>ｽｶｲﾋﾞｰﾝｽﾞ柏原202号</v>
      </c>
      <c r="AE803" s="31">
        <v>45640</v>
      </c>
      <c r="AF803" s="31">
        <v>45505</v>
      </c>
      <c r="AG803" s="31">
        <v>45877</v>
      </c>
      <c r="AH803" s="31">
        <v>0</v>
      </c>
      <c r="AI803">
        <v>45505</v>
      </c>
      <c r="AJ803" t="str">
        <v>9/3林</v>
      </c>
      <c r="AK803">
        <v>0</v>
      </c>
      <c r="AL803">
        <v>45505</v>
      </c>
      <c r="AM803">
        <v>0</v>
      </c>
      <c r="AN803">
        <v>0</v>
      </c>
      <c r="AO803">
        <v>0</v>
      </c>
      <c r="AP803">
        <v>0</v>
      </c>
      <c r="AQ803">
        <v>0</v>
      </c>
      <c r="AR803">
        <v>0</v>
      </c>
    </row>
    <row r="804" spans="1:44">
      <c r="A804" t="str">
        <f>H804&amp;COUNTIF($H$2:H804,H804)</f>
        <v>手動旋削15</v>
      </c>
      <c r="B804" t="str">
        <f>F804&amp;COUNTIF($F$2:F804,F804)</f>
        <v>高雄工業 静岡88</v>
      </c>
      <c r="C804" t="str">
        <v>退社</v>
      </c>
      <c r="D804">
        <v>240802</v>
      </c>
      <c r="E804">
        <v>242109</v>
      </c>
      <c r="F804" t="str">
        <v>高雄工業 静岡</v>
      </c>
      <c r="G804" t="str">
        <v>高雄工業株式会社 静岡事業所第一工場製作課</v>
      </c>
      <c r="H804" t="str">
        <v>手動旋削</v>
      </c>
      <c r="I804" t="str">
        <v>CVJ部品短軸品の施削加工、NCプログラム修正</v>
      </c>
      <c r="J804" t="str">
        <v>NGUYEN MANH CUONG</v>
      </c>
      <c r="K804" t="str">
        <v>グエン　マン　クオン</v>
      </c>
      <c r="L804" t="str">
        <v>男</v>
      </c>
      <c r="M804" t="str">
        <v>ﾍﾞﾄﾅﾑ</v>
      </c>
      <c r="N804" s="31">
        <v>36172</v>
      </c>
      <c r="O804">
        <v>26</v>
      </c>
      <c r="P804">
        <v>1200</v>
      </c>
      <c r="Q804">
        <v>0</v>
      </c>
      <c r="R804">
        <v>1650</v>
      </c>
      <c r="S804">
        <v>0</v>
      </c>
      <c r="T804">
        <v>450</v>
      </c>
      <c r="U804">
        <v>170000</v>
      </c>
      <c r="V804">
        <v>8525</v>
      </c>
      <c r="W804" t="str">
        <v>0</v>
      </c>
      <c r="X804">
        <v>15555</v>
      </c>
      <c r="Y804" s="31">
        <v>45863</v>
      </c>
      <c r="Z804" t="str">
        <v/>
      </c>
      <c r="AA804" t="str">
        <v>技術・人文知識・国際業務</v>
      </c>
      <c r="AB804" t="str">
        <v>437-0062</v>
      </c>
      <c r="AC804" t="str">
        <v>静岡県袋井市泉町1-7-3</v>
      </c>
      <c r="AD804" t="str">
        <v>BeehiveresidenceⅦ102</v>
      </c>
      <c r="AE804" s="31">
        <v>0</v>
      </c>
      <c r="AF804" s="31">
        <v>45505</v>
      </c>
      <c r="AG804" s="31">
        <v>45630</v>
      </c>
      <c r="AH804" s="31">
        <v>0</v>
      </c>
      <c r="AI804">
        <v>45505</v>
      </c>
      <c r="AJ804" t="str">
        <v>8/22林</v>
      </c>
      <c r="AK804">
        <v>0</v>
      </c>
      <c r="AL804">
        <v>45505</v>
      </c>
      <c r="AM804">
        <v>0</v>
      </c>
      <c r="AN804">
        <v>0</v>
      </c>
      <c r="AO804">
        <v>0</v>
      </c>
      <c r="AP804">
        <v>0</v>
      </c>
      <c r="AQ804">
        <v>0</v>
      </c>
      <c r="AR804">
        <v>0</v>
      </c>
    </row>
    <row r="805" spans="1:44">
      <c r="A805" t="str">
        <f>H805&amp;COUNTIF($H$2:H805,H805)</f>
        <v>ナット9</v>
      </c>
      <c r="B805" t="str">
        <f>F805&amp;COUNTIF($F$2:F805,F805)</f>
        <v>高雄工業 静岡89</v>
      </c>
      <c r="C805" t="str">
        <v>在職中</v>
      </c>
      <c r="D805">
        <v>230503</v>
      </c>
      <c r="E805">
        <v>242065</v>
      </c>
      <c r="F805" t="str">
        <v>高雄工業 静岡</v>
      </c>
      <c r="G805" t="str">
        <v>高雄工業株式会社 静岡事業所第二工場製作課</v>
      </c>
      <c r="H805" t="str">
        <v>ナット</v>
      </c>
      <c r="I805" t="str">
        <v>産業機械部品の研磨加工、NCプログラム修正</v>
      </c>
      <c r="J805" t="str">
        <v>LE DUC THINH</v>
      </c>
      <c r="K805" t="str">
        <v>レー　ドゥック　ティン</v>
      </c>
      <c r="L805" t="str">
        <v>男</v>
      </c>
      <c r="M805" t="str">
        <v>ﾍﾞﾄﾅﾑ</v>
      </c>
      <c r="N805" s="31">
        <v>36708</v>
      </c>
      <c r="O805">
        <v>25</v>
      </c>
      <c r="P805">
        <v>1310</v>
      </c>
      <c r="Q805">
        <v>0</v>
      </c>
      <c r="R805">
        <v>1680</v>
      </c>
      <c r="S805">
        <v>0</v>
      </c>
      <c r="T805">
        <v>370</v>
      </c>
      <c r="U805">
        <v>260000</v>
      </c>
      <c r="V805">
        <v>13039</v>
      </c>
      <c r="W805" t="str">
        <v>0</v>
      </c>
      <c r="X805">
        <v>23790</v>
      </c>
      <c r="Y805" s="31">
        <v>46184</v>
      </c>
      <c r="Z805" t="str">
        <v/>
      </c>
      <c r="AA805" t="str">
        <v>技術・人文知識・国際業務</v>
      </c>
      <c r="AB805" t="str">
        <v>437-0015</v>
      </c>
      <c r="AC805" t="str">
        <v>静岡県袋井市旭町1-1-17</v>
      </c>
      <c r="AD805" t="str">
        <v>ｱｻﾋﾒｲﾄ202</v>
      </c>
      <c r="AE805" s="31">
        <v>45056</v>
      </c>
      <c r="AF805" s="31">
        <v>45061</v>
      </c>
      <c r="AG805" s="31">
        <v>0</v>
      </c>
      <c r="AH805" s="31">
        <v>0</v>
      </c>
      <c r="AI805" t="str">
        <v>23.6.1</v>
      </c>
      <c r="AJ805" t="str">
        <v>5/17林</v>
      </c>
      <c r="AK805">
        <v>0</v>
      </c>
      <c r="AL805">
        <v>45061</v>
      </c>
      <c r="AM805">
        <v>0</v>
      </c>
      <c r="AN805">
        <v>0</v>
      </c>
      <c r="AO805">
        <v>0</v>
      </c>
      <c r="AP805">
        <v>0</v>
      </c>
      <c r="AQ805">
        <v>0</v>
      </c>
      <c r="AR805">
        <v>0</v>
      </c>
    </row>
    <row r="806" spans="1:44">
      <c r="A806" t="str">
        <f>H806&amp;COUNTIF($H$2:H806,H806)</f>
        <v>ナット10</v>
      </c>
      <c r="B806" t="str">
        <f>F806&amp;COUNTIF($F$2:F806,F806)</f>
        <v>高雄工業 静岡90</v>
      </c>
      <c r="C806" t="str">
        <v>在職中</v>
      </c>
      <c r="D806">
        <v>231116</v>
      </c>
      <c r="E806">
        <v>242084</v>
      </c>
      <c r="F806" t="str">
        <v>高雄工業 静岡</v>
      </c>
      <c r="G806" t="str">
        <v>高雄工業株式会社 静岡事業所第二工場製作課</v>
      </c>
      <c r="H806" t="str">
        <v>ナット</v>
      </c>
      <c r="I806" t="str">
        <v>産業機械部品の研磨加工、NCプログラム修正</v>
      </c>
      <c r="J806" t="str">
        <v>NGUYEN VAN THANH</v>
      </c>
      <c r="K806" t="str">
        <v>グエン　バン　タイン</v>
      </c>
      <c r="L806" t="str">
        <v>男</v>
      </c>
      <c r="M806" t="str">
        <v>ﾍﾞﾄﾅﾑ</v>
      </c>
      <c r="N806" s="31">
        <v>35182</v>
      </c>
      <c r="O806">
        <v>29</v>
      </c>
      <c r="P806">
        <v>1310</v>
      </c>
      <c r="Q806">
        <v>0</v>
      </c>
      <c r="R806">
        <v>1710</v>
      </c>
      <c r="S806">
        <v>0</v>
      </c>
      <c r="T806">
        <v>400</v>
      </c>
      <c r="U806">
        <v>260000</v>
      </c>
      <c r="V806">
        <v>13039</v>
      </c>
      <c r="W806" t="str">
        <v>0</v>
      </c>
      <c r="X806">
        <v>23790</v>
      </c>
      <c r="Y806" s="31">
        <v>47072</v>
      </c>
      <c r="Z806" t="str">
        <v/>
      </c>
      <c r="AA806" t="str">
        <v>技術・人文知識・国際業務</v>
      </c>
      <c r="AB806" t="str">
        <v>437-0066</v>
      </c>
      <c r="AC806" t="str">
        <v>静岡県袋井市山科3539-6</v>
      </c>
      <c r="AD806" t="str">
        <v>ﾌﾟﾛﾑﾅｰﾄﾞⅡA103号</v>
      </c>
      <c r="AE806" s="31">
        <v>45245</v>
      </c>
      <c r="AF806" s="31">
        <v>45251</v>
      </c>
      <c r="AG806" s="31">
        <v>0</v>
      </c>
      <c r="AH806" s="31">
        <v>0</v>
      </c>
      <c r="AI806" t="str">
        <v>23.11.21</v>
      </c>
      <c r="AJ806" t="str">
        <v>12/15林</v>
      </c>
      <c r="AK806">
        <v>0</v>
      </c>
      <c r="AL806">
        <v>45251</v>
      </c>
      <c r="AM806">
        <v>0</v>
      </c>
      <c r="AN806">
        <v>0</v>
      </c>
      <c r="AO806">
        <v>0</v>
      </c>
      <c r="AP806">
        <v>0</v>
      </c>
      <c r="AQ806" t="str">
        <v>JLPT-N3</v>
      </c>
      <c r="AR806">
        <v>0</v>
      </c>
    </row>
    <row r="807" spans="1:44">
      <c r="A807" t="str">
        <f>H807&amp;COUNTIF($H$2:H807,H807)</f>
        <v>J加工2課5</v>
      </c>
      <c r="B807" t="str">
        <f>F807&amp;COUNTIF($F$2:F807,F807)</f>
        <v>加藤木材工業 本社28</v>
      </c>
      <c r="C807" t="str">
        <v>在職中</v>
      </c>
      <c r="D807">
        <v>240805</v>
      </c>
      <c r="E807">
        <v>5629</v>
      </c>
      <c r="F807" t="str">
        <v>加藤木材工業 本社</v>
      </c>
      <c r="G807" t="str">
        <v>生産2部</v>
      </c>
      <c r="H807" t="str">
        <v>J加工2課</v>
      </c>
      <c r="I807" t="str">
        <v>機械オペレーター及び機械メンテナンス他付随する業務</v>
      </c>
      <c r="J807" t="str">
        <v>CAO VAN SON</v>
      </c>
      <c r="K807" t="str">
        <v>カオ　ヴァン　ソン</v>
      </c>
      <c r="L807" t="str">
        <v>男</v>
      </c>
      <c r="M807" t="str">
        <v>ﾍﾞﾄﾅﾑ</v>
      </c>
      <c r="N807" s="31">
        <v>33197</v>
      </c>
      <c r="O807">
        <v>35</v>
      </c>
      <c r="P807">
        <v>1300</v>
      </c>
      <c r="Q807">
        <v>0</v>
      </c>
      <c r="R807">
        <v>1700</v>
      </c>
      <c r="S807">
        <v>0</v>
      </c>
      <c r="T807">
        <v>400</v>
      </c>
      <c r="U807">
        <v>280000</v>
      </c>
      <c r="V807">
        <v>14042</v>
      </c>
      <c r="W807" t="str">
        <v>0</v>
      </c>
      <c r="X807">
        <v>25620</v>
      </c>
      <c r="Y807" s="31">
        <v>46990</v>
      </c>
      <c r="Z807" t="str">
        <v/>
      </c>
      <c r="AA807" t="str">
        <v>技術・人文知識・国際業務</v>
      </c>
      <c r="AB807" t="str">
        <v>485-0041</v>
      </c>
      <c r="AC807" t="str">
        <v>愛知県小牧市小牧3522</v>
      </c>
      <c r="AD807" t="str">
        <v>ﾋﾞﾚｯｼﾞﾊｳｽ山北5号棟205</v>
      </c>
      <c r="AE807" s="31" t="str">
        <v>個人</v>
      </c>
      <c r="AF807" s="31">
        <v>45509</v>
      </c>
      <c r="AG807" s="31">
        <v>0</v>
      </c>
      <c r="AH807" s="31">
        <v>0</v>
      </c>
      <c r="AI807">
        <v>45509</v>
      </c>
      <c r="AJ807" t="str">
        <v>8/27林</v>
      </c>
      <c r="AK807">
        <v>0</v>
      </c>
      <c r="AL807">
        <v>45509</v>
      </c>
      <c r="AM807">
        <v>0</v>
      </c>
      <c r="AN807">
        <v>0</v>
      </c>
      <c r="AO807">
        <v>0</v>
      </c>
      <c r="AP807">
        <v>0</v>
      </c>
      <c r="AQ807">
        <v>0</v>
      </c>
      <c r="AR807">
        <v>0</v>
      </c>
    </row>
    <row r="808" spans="1:44">
      <c r="A808" t="str">
        <f>H808&amp;COUNTIF($H$2:H808,H808)</f>
        <v>3課5</v>
      </c>
      <c r="B808" t="str">
        <f>F808&amp;COUNTIF($F$2:F808,F808)</f>
        <v>加藤木材工業 本社29</v>
      </c>
      <c r="C808" t="str">
        <v>退社</v>
      </c>
      <c r="D808">
        <v>210906</v>
      </c>
      <c r="E808">
        <v>5632</v>
      </c>
      <c r="F808" t="str">
        <v>加藤木材工業 本社</v>
      </c>
      <c r="G808" t="str">
        <v>生産1部</v>
      </c>
      <c r="H808" t="str">
        <v>3課</v>
      </c>
      <c r="I808" t="str">
        <v>ATミッション部品をはじめとする、各種自動車部品の製造</v>
      </c>
      <c r="J808" t="str">
        <v>DAO NGOC ANH</v>
      </c>
      <c r="K808" t="str">
        <v>ダオ　ゴック　アン</v>
      </c>
      <c r="L808" t="str">
        <v>男</v>
      </c>
      <c r="M808" t="str">
        <v>ﾍﾞﾄﾅﾑ</v>
      </c>
      <c r="N808" s="31">
        <v>32441</v>
      </c>
      <c r="O808">
        <v>37</v>
      </c>
      <c r="P808">
        <v>1300</v>
      </c>
      <c r="Q808">
        <v>0</v>
      </c>
      <c r="R808">
        <v>1700</v>
      </c>
      <c r="S808">
        <v>0</v>
      </c>
      <c r="T808">
        <v>400</v>
      </c>
      <c r="U808">
        <v>180000</v>
      </c>
      <c r="V808">
        <v>9027</v>
      </c>
      <c r="W808" t="str">
        <v>0</v>
      </c>
      <c r="X808">
        <v>16470</v>
      </c>
      <c r="Y808" s="31">
        <v>45838</v>
      </c>
      <c r="Z808" t="str">
        <v/>
      </c>
      <c r="AA808" t="str">
        <v>技術・人文知識・国際業務</v>
      </c>
      <c r="AB808" t="str">
        <v>468-0808</v>
      </c>
      <c r="AC808" t="str">
        <v>愛知県春日井市田楽町1641-10</v>
      </c>
      <c r="AD808" t="str">
        <v>ｻﾝ・ﾅｶﾑﾗ203</v>
      </c>
      <c r="AE808" s="31">
        <v>0</v>
      </c>
      <c r="AF808" s="31">
        <v>45510</v>
      </c>
      <c r="AG808" s="31">
        <v>45562</v>
      </c>
      <c r="AH808" s="31">
        <v>0</v>
      </c>
      <c r="AI808">
        <v>45510</v>
      </c>
      <c r="AJ808" t="str">
        <v>8/27林</v>
      </c>
      <c r="AK808">
        <v>0</v>
      </c>
      <c r="AL808">
        <v>45510</v>
      </c>
      <c r="AM808">
        <v>0</v>
      </c>
      <c r="AN808">
        <v>0</v>
      </c>
      <c r="AO808">
        <v>0</v>
      </c>
      <c r="AP808">
        <v>0</v>
      </c>
      <c r="AQ808">
        <v>0</v>
      </c>
      <c r="AR808">
        <v>0</v>
      </c>
    </row>
    <row r="809" spans="1:44">
      <c r="A809" t="str">
        <f>H809&amp;COUNTIF($H$2:H809,H809)</f>
        <v>生産課5</v>
      </c>
      <c r="B809" t="str">
        <f>F809&amp;COUNTIF($F$2:F809,F809)</f>
        <v>加藤木材工業 本社30</v>
      </c>
      <c r="C809" t="str">
        <v>退社</v>
      </c>
      <c r="D809">
        <v>240806</v>
      </c>
      <c r="E809">
        <v>5634</v>
      </c>
      <c r="F809" t="str">
        <v>加藤木材工業 本社</v>
      </c>
      <c r="G809" t="str">
        <v>生産2部</v>
      </c>
      <c r="H809" t="str">
        <v>生産課</v>
      </c>
      <c r="I809">
        <v>0</v>
      </c>
      <c r="J809" t="str">
        <v>NGUYEN THE HAO</v>
      </c>
      <c r="K809" t="str">
        <v>グエン　テー　ハオ</v>
      </c>
      <c r="L809" t="str">
        <v>男</v>
      </c>
      <c r="M809" t="str">
        <v>ﾍﾞﾄﾅﾑ</v>
      </c>
      <c r="N809" s="31">
        <v>34573</v>
      </c>
      <c r="O809">
        <v>31</v>
      </c>
      <c r="P809">
        <v>1300</v>
      </c>
      <c r="Q809">
        <v>0</v>
      </c>
      <c r="R809">
        <v>1700</v>
      </c>
      <c r="S809">
        <v>0</v>
      </c>
      <c r="T809">
        <v>400</v>
      </c>
      <c r="U809">
        <v>0</v>
      </c>
      <c r="V809" t="str">
        <v/>
      </c>
      <c r="W809" t="str">
        <v>0</v>
      </c>
      <c r="X809">
        <v>0</v>
      </c>
      <c r="Y809" s="31">
        <v>46381</v>
      </c>
      <c r="Z809" t="str">
        <v/>
      </c>
      <c r="AA809" t="str">
        <v>技術・人文知識・国際業務</v>
      </c>
      <c r="AB809" t="str">
        <v>486-0913</v>
      </c>
      <c r="AC809" t="str">
        <v>愛知県春日井市柏原町5-225</v>
      </c>
      <c r="AD809" t="str">
        <v>ｽｶｲﾋﾞｰﾝｽﾞ柏原202号</v>
      </c>
      <c r="AE809" s="31">
        <v>0</v>
      </c>
      <c r="AF809" s="31">
        <v>45510</v>
      </c>
      <c r="AG809" s="31">
        <v>45555</v>
      </c>
      <c r="AH809" s="31">
        <v>0</v>
      </c>
      <c r="AI809">
        <v>0</v>
      </c>
      <c r="AJ809" t="str">
        <v>8/27林</v>
      </c>
      <c r="AK809">
        <v>0</v>
      </c>
      <c r="AL809">
        <v>45510</v>
      </c>
      <c r="AM809">
        <v>0</v>
      </c>
      <c r="AN809">
        <v>0</v>
      </c>
      <c r="AO809">
        <v>0</v>
      </c>
      <c r="AP809">
        <v>0</v>
      </c>
      <c r="AQ809">
        <v>0</v>
      </c>
      <c r="AR809">
        <v>0</v>
      </c>
    </row>
    <row r="810" spans="1:44">
      <c r="A810" t="str">
        <f>H810&amp;COUNTIF($H$2:H810,H810)</f>
        <v>塗装B2</v>
      </c>
      <c r="B810" t="str">
        <f>F810&amp;COUNTIF($F$2:F810,F810)</f>
        <v>PATEC37</v>
      </c>
      <c r="C810" t="str">
        <v>在職中</v>
      </c>
      <c r="D810">
        <v>240807</v>
      </c>
      <c r="E810">
        <v>0</v>
      </c>
      <c r="F810" t="str">
        <v>PATEC</v>
      </c>
      <c r="G810" t="str">
        <v>製造部塗装課</v>
      </c>
      <c r="H810" t="str">
        <v>塗装B</v>
      </c>
      <c r="I810" t="str">
        <v>エアスプレーガンや自動塗装機を使い、均一に塗装を施す</v>
      </c>
      <c r="J810" t="str">
        <v>NGUYEN NGOC NHUT</v>
      </c>
      <c r="K810" t="str">
        <v>グエン　ゴック　ヌット</v>
      </c>
      <c r="L810" t="str">
        <v>男</v>
      </c>
      <c r="M810" t="str">
        <v>ﾍﾞﾄﾅﾑ</v>
      </c>
      <c r="N810" s="31">
        <v>36969</v>
      </c>
      <c r="O810">
        <v>24</v>
      </c>
      <c r="P810">
        <v>1400</v>
      </c>
      <c r="Q810">
        <v>0</v>
      </c>
      <c r="R810">
        <v>2000</v>
      </c>
      <c r="S810" t="str">
        <v>24/2/21～24/8/20まで請求単価50円下げ</v>
      </c>
      <c r="T810">
        <v>600</v>
      </c>
      <c r="U810">
        <v>320000</v>
      </c>
      <c r="V810">
        <v>16048</v>
      </c>
      <c r="W810" t="str">
        <v>0</v>
      </c>
      <c r="X810">
        <v>29280</v>
      </c>
      <c r="Y810" s="31">
        <v>46964</v>
      </c>
      <c r="Z810" t="str">
        <v/>
      </c>
      <c r="AA810" t="str">
        <v>技術・人文知識・国際業務</v>
      </c>
      <c r="AB810" t="str">
        <v>747-0833</v>
      </c>
      <c r="AC810" t="str">
        <v>山口県防府市大字浜方716-15</v>
      </c>
      <c r="AD810" t="str">
        <v>ｱﾙｿｰﾚD201</v>
      </c>
      <c r="AE810" s="31">
        <v>0</v>
      </c>
      <c r="AF810" s="31">
        <v>45510</v>
      </c>
      <c r="AG810" s="31">
        <v>0</v>
      </c>
      <c r="AH810" s="31">
        <v>0</v>
      </c>
      <c r="AI810">
        <v>45510</v>
      </c>
      <c r="AJ810" t="str">
        <v>8/27林</v>
      </c>
      <c r="AK810">
        <v>0</v>
      </c>
      <c r="AL810">
        <v>45510</v>
      </c>
      <c r="AM810">
        <v>0</v>
      </c>
      <c r="AN810">
        <v>0</v>
      </c>
      <c r="AO810">
        <v>0</v>
      </c>
      <c r="AP810">
        <v>0</v>
      </c>
      <c r="AQ810">
        <v>0</v>
      </c>
      <c r="AR810">
        <v>0</v>
      </c>
    </row>
    <row r="811" spans="1:44">
      <c r="A811" t="str">
        <f>H811&amp;COUNTIF($H$2:H811,H811)</f>
        <v>0268</v>
      </c>
      <c r="B811" t="str">
        <f>F811&amp;COUNTIF($F$2:F811,F811)</f>
        <v>PATEC38</v>
      </c>
      <c r="C811" t="str">
        <v>退社</v>
      </c>
      <c r="D811">
        <v>240808</v>
      </c>
      <c r="E811">
        <v>0</v>
      </c>
      <c r="F811" t="str">
        <v>PATEC</v>
      </c>
      <c r="G811">
        <v>0</v>
      </c>
      <c r="H811">
        <v>0</v>
      </c>
      <c r="I811">
        <v>0</v>
      </c>
      <c r="J811" t="str">
        <v>PHAN DUY KHUONG</v>
      </c>
      <c r="K811" t="str">
        <v>ファン　ズイ　クオン</v>
      </c>
      <c r="L811" t="str">
        <v>男</v>
      </c>
      <c r="M811" t="str">
        <v>ﾍﾞﾄﾅﾑ</v>
      </c>
      <c r="N811" s="31">
        <v>37028</v>
      </c>
      <c r="O811">
        <v>24</v>
      </c>
      <c r="P811">
        <v>1400</v>
      </c>
      <c r="Q811">
        <v>0</v>
      </c>
      <c r="R811">
        <v>2000</v>
      </c>
      <c r="S811" t="str">
        <v>24/2/21～24/8/20まで請求単価50円下げ</v>
      </c>
      <c r="T811">
        <v>600</v>
      </c>
      <c r="U811">
        <v>190000</v>
      </c>
      <c r="V811">
        <v>9528</v>
      </c>
      <c r="W811" t="str">
        <v>0</v>
      </c>
      <c r="X811">
        <v>17385</v>
      </c>
      <c r="Y811" s="31">
        <v>45868</v>
      </c>
      <c r="Z811" t="str">
        <v/>
      </c>
      <c r="AA811" t="str">
        <v>技術・人文知識・国際業務</v>
      </c>
      <c r="AB811" t="str">
        <v>747-0833</v>
      </c>
      <c r="AC811" t="str">
        <v>山口県防府市大字浜方716-15</v>
      </c>
      <c r="AD811" t="str">
        <v>ｱﾙｿｰﾚD103</v>
      </c>
      <c r="AE811" s="31">
        <v>0</v>
      </c>
      <c r="AF811" s="31">
        <v>45510</v>
      </c>
      <c r="AG811" s="31">
        <v>45807</v>
      </c>
      <c r="AH811" s="31">
        <v>0</v>
      </c>
      <c r="AI811">
        <v>45510</v>
      </c>
      <c r="AJ811" t="str">
        <v>8/27林</v>
      </c>
      <c r="AK811">
        <v>0</v>
      </c>
      <c r="AL811">
        <v>45510</v>
      </c>
      <c r="AM811">
        <v>0</v>
      </c>
      <c r="AN811">
        <v>0</v>
      </c>
      <c r="AO811">
        <v>0</v>
      </c>
      <c r="AP811">
        <v>0</v>
      </c>
      <c r="AQ811">
        <v>0</v>
      </c>
      <c r="AR811">
        <v>0</v>
      </c>
    </row>
    <row r="812" spans="1:44">
      <c r="A812" t="str">
        <f>H812&amp;COUNTIF($H$2:H812,H812)</f>
        <v>塗装A1</v>
      </c>
      <c r="B812" t="str">
        <f>F812&amp;COUNTIF($F$2:F812,F812)</f>
        <v>PATEC39</v>
      </c>
      <c r="C812" t="str">
        <v>在職中</v>
      </c>
      <c r="D812">
        <v>240809</v>
      </c>
      <c r="E812">
        <v>0</v>
      </c>
      <c r="F812" t="str">
        <v>PATEC</v>
      </c>
      <c r="G812" t="str">
        <v>製造部塗装課</v>
      </c>
      <c r="H812" t="str">
        <v>塗装A</v>
      </c>
      <c r="I812" t="str">
        <v>エアスプレーガンや自動塗装機を使い、均一に塗装を施す</v>
      </c>
      <c r="J812" t="str">
        <v>PHAM VINH QUANG</v>
      </c>
      <c r="K812" t="str">
        <v>ファム　ヴィン　クアン</v>
      </c>
      <c r="L812" t="str">
        <v>男</v>
      </c>
      <c r="M812" t="str">
        <v>ﾍﾞﾄﾅﾑ</v>
      </c>
      <c r="N812" s="31">
        <v>33526</v>
      </c>
      <c r="O812">
        <v>34</v>
      </c>
      <c r="P812">
        <v>1500</v>
      </c>
      <c r="Q812">
        <v>0</v>
      </c>
      <c r="R812">
        <v>2000</v>
      </c>
      <c r="S812" t="str">
        <v>24/2/21～24/8/20まで請求単価50円下げ</v>
      </c>
      <c r="T812">
        <v>500</v>
      </c>
      <c r="U812">
        <v>360000</v>
      </c>
      <c r="V812">
        <v>18054</v>
      </c>
      <c r="W812" t="str">
        <v>0</v>
      </c>
      <c r="X812">
        <v>32940</v>
      </c>
      <c r="Y812" s="31">
        <v>45856</v>
      </c>
      <c r="Z812">
        <v>0</v>
      </c>
      <c r="AA812" t="str">
        <v>技術・人文知識・国際業務</v>
      </c>
      <c r="AB812" t="str">
        <v>747-0834</v>
      </c>
      <c r="AC812" t="str">
        <v>山口県防府市大字田島531-1</v>
      </c>
      <c r="AD812" t="str">
        <v>ﾛｼﾞｭﾏﾝ千希A202号</v>
      </c>
      <c r="AE812" s="31">
        <v>45505</v>
      </c>
      <c r="AF812" s="31">
        <v>45510</v>
      </c>
      <c r="AG812" s="31">
        <v>0</v>
      </c>
      <c r="AH812" s="31">
        <v>0</v>
      </c>
      <c r="AI812">
        <v>45510</v>
      </c>
      <c r="AJ812" t="str">
        <v>8/21林</v>
      </c>
      <c r="AK812" t="str">
        <v>請負より異動あり。</v>
      </c>
      <c r="AL812">
        <v>45510</v>
      </c>
      <c r="AM812">
        <v>0</v>
      </c>
      <c r="AN812">
        <v>0</v>
      </c>
      <c r="AO812">
        <v>0</v>
      </c>
      <c r="AP812">
        <v>0</v>
      </c>
      <c r="AQ812">
        <v>0</v>
      </c>
      <c r="AR812">
        <v>0</v>
      </c>
    </row>
    <row r="813" spans="1:44">
      <c r="A813" t="str">
        <f>H813&amp;COUNTIF($H$2:H813,H813)</f>
        <v>乙川工場製造3課5工区7班11</v>
      </c>
      <c r="B813" t="str">
        <f>F813&amp;COUNTIF($F$2:F813,F813)</f>
        <v>コーリツ 乙川28</v>
      </c>
      <c r="C813" t="str">
        <v>在職中</v>
      </c>
      <c r="D813">
        <v>240810</v>
      </c>
      <c r="E813">
        <v>8210135</v>
      </c>
      <c r="F813" t="str">
        <v>コーリツ 乙川</v>
      </c>
      <c r="G813" t="str">
        <v>乙川工場製造3課5工区7班</v>
      </c>
      <c r="H813" t="str">
        <v>乙川工場製造3課5工区7班</v>
      </c>
      <c r="I813">
        <v>0</v>
      </c>
      <c r="J813" t="str">
        <v>DO DUC TRUNG</v>
      </c>
      <c r="K813" t="str">
        <v>ド　ドゥック　チュン</v>
      </c>
      <c r="L813" t="str">
        <v>男</v>
      </c>
      <c r="M813" t="str">
        <v>ﾍﾞﾄﾅﾑ</v>
      </c>
      <c r="N813" s="31">
        <v>32353</v>
      </c>
      <c r="O813">
        <v>37</v>
      </c>
      <c r="P813">
        <v>1500</v>
      </c>
      <c r="Q813">
        <v>0</v>
      </c>
      <c r="R813">
        <v>2150</v>
      </c>
      <c r="S813" t="str">
        <v>24/2/21～24/8/20まで請求単価50円下げ</v>
      </c>
      <c r="T813">
        <v>650</v>
      </c>
      <c r="U813">
        <v>360000</v>
      </c>
      <c r="V813">
        <v>18054</v>
      </c>
      <c r="W813" t="str">
        <v>0</v>
      </c>
      <c r="X813">
        <v>32940</v>
      </c>
      <c r="Y813" s="31">
        <v>45856</v>
      </c>
      <c r="Z813">
        <v>0</v>
      </c>
      <c r="AA813" t="str">
        <v>技術・人文知識・国際業務</v>
      </c>
      <c r="AB813" t="str">
        <v>475-0061</v>
      </c>
      <c r="AC813" t="str">
        <v>愛知県半田市一ノ草町201-11</v>
      </c>
      <c r="AD813" t="str">
        <v>ﾒｿﾞﾝﾊﾟｰｸｱﾍﾞﾆｭｰ201</v>
      </c>
      <c r="AE813" s="31">
        <v>0</v>
      </c>
      <c r="AF813" s="31">
        <v>45510</v>
      </c>
      <c r="AG813" s="31">
        <v>0</v>
      </c>
      <c r="AH813" s="31">
        <v>0</v>
      </c>
      <c r="AI813">
        <v>45510</v>
      </c>
      <c r="AJ813" t="str">
        <v>5/21林</v>
      </c>
      <c r="AK813" t="str">
        <v>請負より異動　2024/8/6～2025/5/9までPATEC　2025/5/19～コーリツへ異動</v>
      </c>
      <c r="AL813">
        <v>45510</v>
      </c>
      <c r="AM813">
        <v>0</v>
      </c>
      <c r="AN813">
        <v>0</v>
      </c>
      <c r="AO813">
        <v>0</v>
      </c>
      <c r="AP813">
        <v>0</v>
      </c>
      <c r="AQ813">
        <v>0</v>
      </c>
      <c r="AR813">
        <v>0</v>
      </c>
    </row>
    <row r="814" spans="1:44">
      <c r="A814" t="str">
        <f>H814&amp;COUNTIF($H$2:H814,H814)</f>
        <v>2課3</v>
      </c>
      <c r="B814" t="str">
        <f>F814&amp;COUNTIF($F$2:F814,F814)</f>
        <v>加藤木材工業 本社31</v>
      </c>
      <c r="C814" t="str">
        <v>在職中</v>
      </c>
      <c r="D814">
        <v>240811</v>
      </c>
      <c r="E814">
        <v>5635</v>
      </c>
      <c r="F814" t="str">
        <v>加藤木材工業 本社</v>
      </c>
      <c r="G814" t="str">
        <v>生産1部</v>
      </c>
      <c r="H814" t="str">
        <v>2課</v>
      </c>
      <c r="I814" t="str">
        <v>機械オペレーター及び機械メンテナンス他付随する業務</v>
      </c>
      <c r="J814" t="str">
        <v>NGUYEN BA HIEU</v>
      </c>
      <c r="K814" t="str">
        <v>グエン　バー　ヒエウ</v>
      </c>
      <c r="L814" t="str">
        <v>男</v>
      </c>
      <c r="M814" t="str">
        <v>ﾍﾞﾄﾅﾑ</v>
      </c>
      <c r="N814" s="31">
        <v>32633</v>
      </c>
      <c r="O814">
        <v>36</v>
      </c>
      <c r="P814">
        <v>1300</v>
      </c>
      <c r="Q814">
        <v>0</v>
      </c>
      <c r="R814">
        <v>1700</v>
      </c>
      <c r="S814">
        <v>0</v>
      </c>
      <c r="T814">
        <v>400</v>
      </c>
      <c r="U814">
        <v>280000</v>
      </c>
      <c r="V814">
        <v>14042</v>
      </c>
      <c r="W814" t="str">
        <v>0</v>
      </c>
      <c r="X814">
        <v>25620</v>
      </c>
      <c r="Y814" s="31">
        <v>46170</v>
      </c>
      <c r="Z814" t="str">
        <v/>
      </c>
      <c r="AA814" t="str">
        <v>技術・人文知識・国際業務</v>
      </c>
      <c r="AB814" t="str">
        <v>482-0001</v>
      </c>
      <c r="AC814" t="str">
        <v>愛知県岩倉市東新町仲浦１番地</v>
      </c>
      <c r="AD814" t="str">
        <v>岩倉団地31棟407号</v>
      </c>
      <c r="AE814" s="31" t="str">
        <v>個人</v>
      </c>
      <c r="AF814" s="31">
        <v>45512</v>
      </c>
      <c r="AG814" s="31">
        <v>0</v>
      </c>
      <c r="AH814" s="31">
        <v>0</v>
      </c>
      <c r="AI814">
        <v>45512</v>
      </c>
      <c r="AJ814" t="str">
        <v>8/28林</v>
      </c>
      <c r="AK814">
        <v>0</v>
      </c>
      <c r="AL814">
        <v>45512</v>
      </c>
      <c r="AM814">
        <v>0</v>
      </c>
      <c r="AN814">
        <v>0</v>
      </c>
      <c r="AO814">
        <v>0</v>
      </c>
      <c r="AP814">
        <v>0</v>
      </c>
      <c r="AQ814">
        <v>0</v>
      </c>
      <c r="AR814">
        <v>0</v>
      </c>
    </row>
    <row r="815" spans="1:44">
      <c r="A815" t="str">
        <f>H815&amp;COUNTIF($H$2:H815,H815)</f>
        <v>乙川工場製造3課6工区9班10</v>
      </c>
      <c r="B815" t="str">
        <f>F815&amp;COUNTIF($F$2:F815,F815)</f>
        <v>コーリツ 乙川29</v>
      </c>
      <c r="C815" t="str">
        <v>退社</v>
      </c>
      <c r="D815">
        <v>210108</v>
      </c>
      <c r="E815">
        <v>8210104</v>
      </c>
      <c r="F815" t="str">
        <v>コーリツ 乙川</v>
      </c>
      <c r="G815" t="str">
        <v>乙川工場製造3課6工区9班</v>
      </c>
      <c r="H815" t="str">
        <v>乙川工場製造3課6工区9班</v>
      </c>
      <c r="I815">
        <v>0</v>
      </c>
      <c r="J815" t="str">
        <v>NGUYEN DINH TRONG</v>
      </c>
      <c r="K815" t="str">
        <v>グェン　ヂィン　チョン</v>
      </c>
      <c r="L815" t="str">
        <v>男</v>
      </c>
      <c r="M815" t="str">
        <v>ﾍﾞﾄﾅﾑ</v>
      </c>
      <c r="N815" s="31">
        <v>33896</v>
      </c>
      <c r="O815">
        <v>33</v>
      </c>
      <c r="P815">
        <v>1450</v>
      </c>
      <c r="Q815">
        <v>0</v>
      </c>
      <c r="R815">
        <v>2020</v>
      </c>
      <c r="S815">
        <v>0</v>
      </c>
      <c r="T815">
        <v>570</v>
      </c>
      <c r="U815">
        <v>200000</v>
      </c>
      <c r="V815">
        <v>10030</v>
      </c>
      <c r="W815" t="str">
        <v>0</v>
      </c>
      <c r="X815">
        <v>18300</v>
      </c>
      <c r="Y815" s="31">
        <v>47267</v>
      </c>
      <c r="Z815" t="str">
        <v/>
      </c>
      <c r="AA815" t="str">
        <v>技術・人文知識・国際業務</v>
      </c>
      <c r="AB815" t="str">
        <v>475-0074</v>
      </c>
      <c r="AC815" t="str">
        <v>愛知県半田市長根町3-1</v>
      </c>
      <c r="AD815" t="str">
        <v>県営長根住宅6棟405号</v>
      </c>
      <c r="AE815" s="31">
        <v>0</v>
      </c>
      <c r="AF815" s="31">
        <v>45523</v>
      </c>
      <c r="AG815" s="31">
        <v>45652</v>
      </c>
      <c r="AH815" s="31">
        <v>0</v>
      </c>
      <c r="AI815">
        <v>45523</v>
      </c>
      <c r="AJ815" t="str">
        <v>9/3林</v>
      </c>
      <c r="AK815">
        <v>0</v>
      </c>
      <c r="AL815">
        <v>45523</v>
      </c>
      <c r="AM815" t="str">
        <v>普通免許</v>
      </c>
      <c r="AN815">
        <v>46345</v>
      </c>
      <c r="AO815" t="str">
        <v>車</v>
      </c>
      <c r="AP815">
        <v>46366</v>
      </c>
      <c r="AQ815">
        <v>0</v>
      </c>
      <c r="AR815">
        <v>0</v>
      </c>
    </row>
    <row r="816" spans="1:44">
      <c r="A816" t="str">
        <f>H816&amp;COUNTIF($H$2:H816,H816)</f>
        <v>塗装A2</v>
      </c>
      <c r="B816" t="str">
        <f>F816&amp;COUNTIF($F$2:F816,F816)</f>
        <v>PATEC40</v>
      </c>
      <c r="C816" t="str">
        <v>退社</v>
      </c>
      <c r="D816">
        <v>240812</v>
      </c>
      <c r="E816">
        <v>0</v>
      </c>
      <c r="F816" t="str">
        <v>PATEC</v>
      </c>
      <c r="G816" t="str">
        <v>製造部塗装課</v>
      </c>
      <c r="H816" t="str">
        <v>塗装A</v>
      </c>
      <c r="I816" t="str">
        <v>エアスプレーガンや自動塗装機を使い、均一に塗装を施す</v>
      </c>
      <c r="J816" t="str">
        <v>TRAN NAM ANH</v>
      </c>
      <c r="K816" t="str">
        <v>チャン　ナム　アイン</v>
      </c>
      <c r="L816" t="str">
        <v>男</v>
      </c>
      <c r="M816" t="str">
        <v>ﾍﾞﾄﾅﾑ</v>
      </c>
      <c r="N816" s="31">
        <v>34939</v>
      </c>
      <c r="O816">
        <v>30</v>
      </c>
      <c r="P816">
        <v>1500</v>
      </c>
      <c r="Q816">
        <v>0</v>
      </c>
      <c r="R816">
        <v>2000</v>
      </c>
      <c r="S816" t="str">
        <v>24/2/21～24/8/20まで請求単価50円下げ</v>
      </c>
      <c r="T816">
        <v>500</v>
      </c>
      <c r="U816">
        <v>360000</v>
      </c>
      <c r="V816">
        <v>18054</v>
      </c>
      <c r="W816" t="str">
        <v>0</v>
      </c>
      <c r="X816">
        <v>32940</v>
      </c>
      <c r="Y816" s="31">
        <v>45621</v>
      </c>
      <c r="Z816">
        <v>0</v>
      </c>
      <c r="AA816" t="str">
        <v>技術・人文知識・国際業務</v>
      </c>
      <c r="AB816" t="str">
        <v>747-0833</v>
      </c>
      <c r="AC816" t="str">
        <v>山口県防府市大字浜方716-15</v>
      </c>
      <c r="AD816" t="str">
        <v>ｱﾙｿｰﾚD202</v>
      </c>
      <c r="AE816" s="31">
        <v>0</v>
      </c>
      <c r="AF816" s="31">
        <v>45524</v>
      </c>
      <c r="AG816" s="31">
        <v>45983</v>
      </c>
      <c r="AH816" s="31">
        <v>0</v>
      </c>
      <c r="AI816">
        <v>45524</v>
      </c>
      <c r="AJ816" t="str">
        <v>9/3林</v>
      </c>
      <c r="AK816">
        <v>0</v>
      </c>
      <c r="AL816">
        <v>45524</v>
      </c>
      <c r="AM816">
        <v>0</v>
      </c>
      <c r="AN816">
        <v>0</v>
      </c>
      <c r="AO816">
        <v>0</v>
      </c>
      <c r="AP816">
        <v>0</v>
      </c>
      <c r="AQ816">
        <v>0</v>
      </c>
      <c r="AR816">
        <v>0</v>
      </c>
    </row>
    <row r="817" spans="1:44">
      <c r="A817" t="str">
        <f>H817&amp;COUNTIF($H$2:H817,H817)</f>
        <v>PTJ5</v>
      </c>
      <c r="B817" t="str">
        <f>F817&amp;COUNTIF($F$2:F817,F817)</f>
        <v>加藤木材工業 本社32</v>
      </c>
      <c r="C817" t="str">
        <v>退社</v>
      </c>
      <c r="D817">
        <v>220506</v>
      </c>
      <c r="E817">
        <v>242044</v>
      </c>
      <c r="F817" t="str">
        <v>加藤木材工業 本社</v>
      </c>
      <c r="G817" t="str">
        <v>高雄工業株式会社 静岡事業所第二工場製作課</v>
      </c>
      <c r="H817" t="str">
        <v>PTJ</v>
      </c>
      <c r="I817" t="str">
        <v>産業機械部品の研磨加工、NCプログラム修正</v>
      </c>
      <c r="J817" t="str">
        <v>NGO DUC HIEP</v>
      </c>
      <c r="K817" t="str">
        <v>ゴー　ドゥック　ヒエップ</v>
      </c>
      <c r="L817" t="str">
        <v>男</v>
      </c>
      <c r="M817" t="str">
        <v>ﾍﾞﾄﾅﾑ</v>
      </c>
      <c r="N817" s="31">
        <v>35364</v>
      </c>
      <c r="O817">
        <v>29</v>
      </c>
      <c r="P817">
        <v>1300</v>
      </c>
      <c r="Q817">
        <v>0</v>
      </c>
      <c r="R817">
        <v>1700</v>
      </c>
      <c r="S817">
        <v>0</v>
      </c>
      <c r="T817">
        <v>400</v>
      </c>
      <c r="U817">
        <v>180000</v>
      </c>
      <c r="V817">
        <v>9027</v>
      </c>
      <c r="W817" t="str">
        <v>0</v>
      </c>
      <c r="X817">
        <v>16470</v>
      </c>
      <c r="Y817" s="31">
        <v>46549</v>
      </c>
      <c r="Z817" t="str">
        <v/>
      </c>
      <c r="AA817" t="str">
        <v>技術・人文知識・国際業務</v>
      </c>
      <c r="AB817" t="str">
        <v>486-0913</v>
      </c>
      <c r="AC817" t="str">
        <v>愛知県春日井市柏原町5-225</v>
      </c>
      <c r="AD817" t="str">
        <v>ｽｶｲﾋﾞｰﾝｽﾞ柏原202号</v>
      </c>
      <c r="AE817" s="31">
        <v>0</v>
      </c>
      <c r="AF817" s="31">
        <v>45525</v>
      </c>
      <c r="AG817" s="31">
        <v>45687</v>
      </c>
      <c r="AH817" s="31">
        <v>0</v>
      </c>
      <c r="AI817">
        <v>45525</v>
      </c>
      <c r="AJ817" t="str">
        <v>9/13林</v>
      </c>
      <c r="AK817">
        <v>0</v>
      </c>
      <c r="AL817">
        <v>45525</v>
      </c>
      <c r="AM817">
        <v>0</v>
      </c>
      <c r="AN817">
        <v>0</v>
      </c>
      <c r="AO817">
        <v>0</v>
      </c>
      <c r="AP817">
        <v>0</v>
      </c>
      <c r="AQ817">
        <v>0</v>
      </c>
      <c r="AR817">
        <v>0</v>
      </c>
    </row>
    <row r="818" spans="1:44" ht="34.5" customHeight="1">
      <c r="A818" t="str">
        <f>H818&amp;COUNTIF($H$2:H818,H818)</f>
        <v>2課4</v>
      </c>
      <c r="B818" t="str">
        <f>F818&amp;COUNTIF($F$2:F818,F818)</f>
        <v>加藤木材工業 本社33</v>
      </c>
      <c r="C818" t="str">
        <v>退社</v>
      </c>
      <c r="D818">
        <v>240813</v>
      </c>
      <c r="E818">
        <v>5640</v>
      </c>
      <c r="F818" t="str">
        <v>加藤木材工業 本社</v>
      </c>
      <c r="G818" t="str">
        <v>生産1部</v>
      </c>
      <c r="H818" t="str">
        <v>2課</v>
      </c>
      <c r="I818" t="str">
        <v>機械オペレーター及び機械メンテナンス他付随する業務</v>
      </c>
      <c r="J818" t="str">
        <v>VU DUONG LINH</v>
      </c>
      <c r="K818" t="str">
        <v>ヴ　ヅオン　リン</v>
      </c>
      <c r="L818" t="str">
        <v>男</v>
      </c>
      <c r="M818" t="str">
        <v>ﾍﾞﾄﾅﾑ</v>
      </c>
      <c r="N818" s="31">
        <v>31938</v>
      </c>
      <c r="O818">
        <v>38</v>
      </c>
      <c r="P818">
        <v>1300</v>
      </c>
      <c r="Q818">
        <v>0</v>
      </c>
      <c r="R818">
        <v>1700</v>
      </c>
      <c r="S818">
        <v>0</v>
      </c>
      <c r="T818">
        <v>400</v>
      </c>
      <c r="U818">
        <v>240000</v>
      </c>
      <c r="V818">
        <v>12036</v>
      </c>
      <c r="W818" t="str">
        <v>0</v>
      </c>
      <c r="X818">
        <v>21960</v>
      </c>
      <c r="Y818" s="31">
        <v>46676</v>
      </c>
      <c r="Z818" t="str">
        <v/>
      </c>
      <c r="AA818" t="str">
        <v>技術・人文知識・国際業務</v>
      </c>
      <c r="AB818" t="str">
        <v>486-0913</v>
      </c>
      <c r="AC818" t="str">
        <v>愛知県春日井市柏原町5-225</v>
      </c>
      <c r="AD818" t="str">
        <v>ｽｶｲﾋﾞｰﾝｽﾞ柏原202号</v>
      </c>
      <c r="AE818" s="31">
        <v>0</v>
      </c>
      <c r="AF818" s="31">
        <v>45525</v>
      </c>
      <c r="AG818" s="31">
        <v>45923</v>
      </c>
      <c r="AH818" s="31">
        <v>0</v>
      </c>
      <c r="AI818">
        <v>45525</v>
      </c>
      <c r="AJ818" t="str">
        <v>9/13林</v>
      </c>
      <c r="AK818">
        <v>0</v>
      </c>
      <c r="AL818">
        <v>45525</v>
      </c>
      <c r="AM818">
        <v>0</v>
      </c>
      <c r="AN818">
        <v>0</v>
      </c>
      <c r="AO818">
        <v>0</v>
      </c>
      <c r="AP818">
        <v>0</v>
      </c>
      <c r="AQ818">
        <v>0</v>
      </c>
      <c r="AR818">
        <v>0</v>
      </c>
    </row>
    <row r="819" spans="1:44">
      <c r="A819" t="str">
        <f>H819&amp;COUNTIF($H$2:H819,H819)</f>
        <v>2課5</v>
      </c>
      <c r="B819" t="str">
        <f>F819&amp;COUNTIF($F$2:F819,F819)</f>
        <v>加藤木材工業 本社34</v>
      </c>
      <c r="C819" t="str">
        <v>退社</v>
      </c>
      <c r="D819">
        <v>240814</v>
      </c>
      <c r="E819">
        <v>4641</v>
      </c>
      <c r="F819" t="str">
        <v>加藤木材工業 本社</v>
      </c>
      <c r="G819" t="str">
        <v>生産1部</v>
      </c>
      <c r="H819" t="str">
        <v>2課</v>
      </c>
      <c r="I819" t="str">
        <v>機械オペレーター及び機械メンテナンス他付随する業務</v>
      </c>
      <c r="J819" t="str">
        <v>KIEU THANH MINH</v>
      </c>
      <c r="K819" t="str">
        <v>キュウ　タン　ミン</v>
      </c>
      <c r="L819" t="str">
        <v>男</v>
      </c>
      <c r="M819" t="str">
        <v>ﾍﾞﾄﾅﾑ</v>
      </c>
      <c r="N819" s="31">
        <v>34097</v>
      </c>
      <c r="O819">
        <v>32</v>
      </c>
      <c r="P819">
        <v>1300</v>
      </c>
      <c r="Q819">
        <v>0</v>
      </c>
      <c r="R819">
        <v>1700</v>
      </c>
      <c r="S819">
        <v>0</v>
      </c>
      <c r="T819">
        <v>400</v>
      </c>
      <c r="U819">
        <v>180000</v>
      </c>
      <c r="V819">
        <v>9027</v>
      </c>
      <c r="W819" t="str">
        <v>0</v>
      </c>
      <c r="X819">
        <v>16470</v>
      </c>
      <c r="Y819" s="31">
        <v>46058</v>
      </c>
      <c r="Z819" t="str">
        <v/>
      </c>
      <c r="AA819" t="str">
        <v>技術・人文知識・国際業務</v>
      </c>
      <c r="AB819" t="str">
        <v>492-8164</v>
      </c>
      <c r="AC819" t="str">
        <v>愛知県稲沢市井之口大坪町79-1</v>
      </c>
      <c r="AD819" t="str">
        <v>ﾋﾞﾚｯｼﾞﾊｳｽ井之口1棟2</v>
      </c>
      <c r="AE819" s="31" t="str">
        <v>個人</v>
      </c>
      <c r="AF819" s="31">
        <v>45525</v>
      </c>
      <c r="AG819" s="31">
        <v>45825</v>
      </c>
      <c r="AH819" s="31">
        <v>0</v>
      </c>
      <c r="AI819">
        <v>45525</v>
      </c>
      <c r="AJ819" t="str">
        <v>9/13林</v>
      </c>
      <c r="AK819">
        <v>0</v>
      </c>
      <c r="AL819">
        <v>45525</v>
      </c>
      <c r="AM819">
        <v>0</v>
      </c>
      <c r="AN819">
        <v>0</v>
      </c>
      <c r="AO819">
        <v>0</v>
      </c>
      <c r="AP819">
        <v>0</v>
      </c>
      <c r="AQ819">
        <v>0</v>
      </c>
      <c r="AR819">
        <v>0</v>
      </c>
    </row>
    <row r="820" spans="1:44">
      <c r="A820" t="str">
        <f>H820&amp;COUNTIF($H$2:H820,H820)</f>
        <v>生産課6</v>
      </c>
      <c r="B820" t="str">
        <f>F820&amp;COUNTIF($F$2:F820,F820)</f>
        <v>加藤木材工業 本社35</v>
      </c>
      <c r="C820" t="str">
        <v>在職中</v>
      </c>
      <c r="D820">
        <v>240815</v>
      </c>
      <c r="E820">
        <v>5641</v>
      </c>
      <c r="F820" t="str">
        <v>加藤木材工業 本社</v>
      </c>
      <c r="G820" t="str">
        <v>生産2部</v>
      </c>
      <c r="H820" t="str">
        <v>生産課</v>
      </c>
      <c r="I820" t="str">
        <v>機械オペレーター及び機械メンテナンス他付随する業務</v>
      </c>
      <c r="J820" t="str">
        <v>DANG VAN MUOI</v>
      </c>
      <c r="K820" t="str">
        <v>ダン　バン　ムオイ</v>
      </c>
      <c r="L820" t="str">
        <v>男</v>
      </c>
      <c r="M820" t="str">
        <v>ﾍﾞﾄﾅﾑ</v>
      </c>
      <c r="N820" s="31">
        <v>35383</v>
      </c>
      <c r="O820">
        <v>29</v>
      </c>
      <c r="P820">
        <v>1300</v>
      </c>
      <c r="Q820">
        <v>0</v>
      </c>
      <c r="R820">
        <v>1700</v>
      </c>
      <c r="S820">
        <v>0</v>
      </c>
      <c r="T820">
        <v>400</v>
      </c>
      <c r="U820">
        <v>260000</v>
      </c>
      <c r="V820">
        <v>13039</v>
      </c>
      <c r="W820" t="str">
        <v>0</v>
      </c>
      <c r="X820">
        <v>23790</v>
      </c>
      <c r="Y820" s="31">
        <v>46217</v>
      </c>
      <c r="Z820" t="str">
        <v/>
      </c>
      <c r="AA820" t="str">
        <v>技術・人文知識・国際業務</v>
      </c>
      <c r="AB820" t="str">
        <v>486-0912</v>
      </c>
      <c r="AC820" t="str">
        <v>愛知県春日井市高山町4-5-1</v>
      </c>
      <c r="AD820" t="str">
        <v>ﾗ･ﾎﾞﾝｼｬｽ201</v>
      </c>
      <c r="AE820" s="31">
        <v>0</v>
      </c>
      <c r="AF820" s="31">
        <v>45526</v>
      </c>
      <c r="AG820" s="31">
        <v>0</v>
      </c>
      <c r="AH820" s="31">
        <v>0</v>
      </c>
      <c r="AI820">
        <v>45526</v>
      </c>
      <c r="AJ820" t="str">
        <v>9/13林</v>
      </c>
      <c r="AK820">
        <v>0</v>
      </c>
      <c r="AL820">
        <v>45526</v>
      </c>
      <c r="AM820">
        <v>0</v>
      </c>
      <c r="AN820">
        <v>0</v>
      </c>
      <c r="AO820">
        <v>0</v>
      </c>
      <c r="AP820">
        <v>0</v>
      </c>
      <c r="AQ820">
        <v>0</v>
      </c>
      <c r="AR820">
        <v>0</v>
      </c>
    </row>
    <row r="821" spans="1:44">
      <c r="A821" t="str">
        <f>H821&amp;COUNTIF($H$2:H821,H821)</f>
        <v>州の崎工場製造2課2工区３班4</v>
      </c>
      <c r="B821" t="str">
        <f>F821&amp;COUNTIF($F$2:F821,F821)</f>
        <v>コーリツ 州の崎36</v>
      </c>
      <c r="C821" t="str">
        <v>在職中</v>
      </c>
      <c r="D821">
        <v>240408</v>
      </c>
      <c r="E821">
        <v>8210105</v>
      </c>
      <c r="F821" t="str">
        <v>コーリツ 州の崎</v>
      </c>
      <c r="G821" t="str">
        <v>州の崎工場製造2課2工区３班</v>
      </c>
      <c r="H821" t="str">
        <v>州の崎工場製造2課2工区３班</v>
      </c>
      <c r="I821">
        <v>0</v>
      </c>
      <c r="J821" t="str">
        <v>HO VAN THICH</v>
      </c>
      <c r="K821" t="str">
        <v>ホー　ヴァン　ティック</v>
      </c>
      <c r="L821" t="str">
        <v>男</v>
      </c>
      <c r="M821" t="str">
        <v>ﾍﾞﾄﾅﾑ</v>
      </c>
      <c r="N821" s="31">
        <v>32288</v>
      </c>
      <c r="O821">
        <v>37</v>
      </c>
      <c r="P821">
        <v>1500</v>
      </c>
      <c r="Q821">
        <v>0</v>
      </c>
      <c r="R821">
        <v>2150</v>
      </c>
      <c r="S821">
        <v>0</v>
      </c>
      <c r="T821">
        <v>650</v>
      </c>
      <c r="U821">
        <v>380000</v>
      </c>
      <c r="V821">
        <v>19057</v>
      </c>
      <c r="W821" t="str">
        <v>0</v>
      </c>
      <c r="X821">
        <v>34770</v>
      </c>
      <c r="Y821" s="31">
        <v>47072</v>
      </c>
      <c r="Z821" t="str">
        <v/>
      </c>
      <c r="AA821" t="str">
        <v>技術・人文知識・国際業務</v>
      </c>
      <c r="AB821" t="str">
        <v>475-0061</v>
      </c>
      <c r="AC821" t="str">
        <v>愛知県半田市一ノ草町201-11</v>
      </c>
      <c r="AD821" t="str">
        <v>ﾒｿﾞﾝﾊﾟｰｸｱﾍﾞﾆｭｰ201</v>
      </c>
      <c r="AE821" s="31">
        <v>0</v>
      </c>
      <c r="AF821" s="31">
        <v>45530</v>
      </c>
      <c r="AG821" s="31">
        <v>0</v>
      </c>
      <c r="AH821" s="31">
        <v>0</v>
      </c>
      <c r="AI821">
        <v>45530</v>
      </c>
      <c r="AJ821" t="str">
        <v>9/13林</v>
      </c>
      <c r="AK821">
        <v>0</v>
      </c>
      <c r="AL821">
        <v>45530</v>
      </c>
      <c r="AM821">
        <v>0</v>
      </c>
      <c r="AN821">
        <v>0</v>
      </c>
      <c r="AO821">
        <v>0</v>
      </c>
      <c r="AP821">
        <v>45770</v>
      </c>
      <c r="AQ821">
        <v>0</v>
      </c>
      <c r="AR821">
        <v>0</v>
      </c>
    </row>
    <row r="822" spans="1:44">
      <c r="A822" t="str">
        <f>H822&amp;COUNTIF($H$2:H822,H822)</f>
        <v>0269</v>
      </c>
      <c r="B822" t="str">
        <f>F822&amp;COUNTIF($F$2:F822,F822)</f>
        <v>PATEC41</v>
      </c>
      <c r="C822" t="str">
        <v>退社</v>
      </c>
      <c r="D822">
        <v>240816</v>
      </c>
      <c r="E822">
        <v>0</v>
      </c>
      <c r="F822" t="str">
        <v>PATEC</v>
      </c>
      <c r="G822">
        <v>0</v>
      </c>
      <c r="H822">
        <v>0</v>
      </c>
      <c r="I822">
        <v>0</v>
      </c>
      <c r="J822" t="str">
        <v>DANG VAN HOAI PHONG</v>
      </c>
      <c r="K822" t="str">
        <v>ダン　ヴァン　ホアイ　フォン</v>
      </c>
      <c r="L822" t="str">
        <v>男</v>
      </c>
      <c r="M822" t="str">
        <v>ﾍﾞﾄﾅﾑ</v>
      </c>
      <c r="N822" s="31">
        <v>36622</v>
      </c>
      <c r="O822">
        <v>25</v>
      </c>
      <c r="P822">
        <v>1400</v>
      </c>
      <c r="Q822">
        <v>0</v>
      </c>
      <c r="R822">
        <v>2000</v>
      </c>
      <c r="S822">
        <v>0</v>
      </c>
      <c r="T822">
        <v>600</v>
      </c>
      <c r="U822">
        <v>190000</v>
      </c>
      <c r="V822">
        <v>9528</v>
      </c>
      <c r="W822" t="str">
        <v>0</v>
      </c>
      <c r="X822">
        <v>17385</v>
      </c>
      <c r="Y822" s="31">
        <v>45890</v>
      </c>
      <c r="Z822" t="str">
        <v/>
      </c>
      <c r="AA822" t="str">
        <v>技術・人文知識・国際業務</v>
      </c>
      <c r="AB822" t="str">
        <v>747-0833</v>
      </c>
      <c r="AC822" t="str">
        <v>山口県防府市大字浜方1087-2</v>
      </c>
      <c r="AD822" t="str">
        <v>ﾏﾚ･ｻﾗﾝⅡ201</v>
      </c>
      <c r="AE822" s="31">
        <v>0</v>
      </c>
      <c r="AF822" s="31">
        <v>45531</v>
      </c>
      <c r="AG822" s="31">
        <v>45792</v>
      </c>
      <c r="AH822" s="31">
        <v>0</v>
      </c>
      <c r="AI822">
        <v>45531</v>
      </c>
      <c r="AJ822" t="str">
        <v>9/19林</v>
      </c>
      <c r="AK822">
        <v>0</v>
      </c>
      <c r="AL822">
        <v>45531</v>
      </c>
      <c r="AM822">
        <v>0</v>
      </c>
      <c r="AN822">
        <v>0</v>
      </c>
      <c r="AO822">
        <v>0</v>
      </c>
      <c r="AP822">
        <v>0</v>
      </c>
      <c r="AQ822">
        <v>0</v>
      </c>
      <c r="AR822">
        <v>0</v>
      </c>
    </row>
    <row r="823" spans="1:44">
      <c r="A823" t="str">
        <f>H823&amp;COUNTIF($H$2:H823,H823)</f>
        <v>0270</v>
      </c>
      <c r="B823" t="str">
        <f>F823&amp;COUNTIF($F$2:F823,F823)</f>
        <v>PATEC42</v>
      </c>
      <c r="C823" t="str">
        <v>退社</v>
      </c>
      <c r="D823">
        <v>240817</v>
      </c>
      <c r="E823">
        <v>0</v>
      </c>
      <c r="F823" t="str">
        <v>PATEC</v>
      </c>
      <c r="G823">
        <v>0</v>
      </c>
      <c r="H823">
        <v>0</v>
      </c>
      <c r="I823">
        <v>0</v>
      </c>
      <c r="J823" t="str">
        <v>LE DUC ANH</v>
      </c>
      <c r="K823" t="str">
        <v>レ　ドゥック　アイン</v>
      </c>
      <c r="L823" t="str">
        <v>男</v>
      </c>
      <c r="M823" t="str">
        <v>ﾍﾞﾄﾅﾑ</v>
      </c>
      <c r="N823" s="31">
        <v>36188</v>
      </c>
      <c r="O823">
        <v>26</v>
      </c>
      <c r="P823">
        <v>1400</v>
      </c>
      <c r="Q823">
        <v>0</v>
      </c>
      <c r="R823">
        <v>2000</v>
      </c>
      <c r="S823">
        <v>0</v>
      </c>
      <c r="T823">
        <v>600</v>
      </c>
      <c r="U823">
        <v>190000</v>
      </c>
      <c r="V823">
        <v>9528</v>
      </c>
      <c r="W823" t="str">
        <v>0</v>
      </c>
      <c r="X823">
        <v>17385</v>
      </c>
      <c r="Y823" s="31">
        <v>45890</v>
      </c>
      <c r="Z823" t="str">
        <v/>
      </c>
      <c r="AA823" t="str">
        <v>技術・人文知識・国際業務</v>
      </c>
      <c r="AB823" t="str">
        <v>747-0833</v>
      </c>
      <c r="AC823" t="str">
        <v>山口県防府市大字浜方1087-2</v>
      </c>
      <c r="AD823" t="str">
        <v>ﾏﾚ･ｻﾗﾝⅡ201</v>
      </c>
      <c r="AE823" s="31">
        <v>0</v>
      </c>
      <c r="AF823" s="31">
        <v>45531</v>
      </c>
      <c r="AG823" s="31">
        <v>45807</v>
      </c>
      <c r="AH823" s="31">
        <v>0</v>
      </c>
      <c r="AI823">
        <v>45531</v>
      </c>
      <c r="AJ823" t="str">
        <v>9/19林</v>
      </c>
      <c r="AK823">
        <v>0</v>
      </c>
      <c r="AL823">
        <v>45531</v>
      </c>
      <c r="AM823">
        <v>0</v>
      </c>
      <c r="AN823">
        <v>0</v>
      </c>
      <c r="AO823">
        <v>0</v>
      </c>
      <c r="AP823">
        <v>0</v>
      </c>
      <c r="AQ823">
        <v>0</v>
      </c>
      <c r="AR823">
        <v>0</v>
      </c>
    </row>
    <row r="824" spans="1:44">
      <c r="A824" t="str">
        <f>H824&amp;COUNTIF($H$2:H824,H824)</f>
        <v>素材3</v>
      </c>
      <c r="B824" t="str">
        <f>F824&amp;COUNTIF($F$2:F824,F824)</f>
        <v>PATEC43</v>
      </c>
      <c r="C824" t="str">
        <v>在職中</v>
      </c>
      <c r="D824">
        <v>240818</v>
      </c>
      <c r="E824">
        <v>0</v>
      </c>
      <c r="F824" t="str">
        <v>PATEC</v>
      </c>
      <c r="G824" t="str">
        <v>製造部素材課</v>
      </c>
      <c r="H824" t="str">
        <v>素材</v>
      </c>
      <c r="I824" t="str">
        <v>原材料の受入・溶解、低圧鋳造機での成型、熱処理作業、金型整備等</v>
      </c>
      <c r="J824" t="str">
        <v>VO DIEN VU MINH</v>
      </c>
      <c r="K824" t="str">
        <v>ヴォー　ディエン　ヴー　ミン</v>
      </c>
      <c r="L824" t="str">
        <v>男</v>
      </c>
      <c r="M824" t="str">
        <v>ﾍﾞﾄﾅﾑ</v>
      </c>
      <c r="N824" s="31">
        <v>37108</v>
      </c>
      <c r="O824">
        <v>24</v>
      </c>
      <c r="P824">
        <v>1500</v>
      </c>
      <c r="Q824">
        <v>0</v>
      </c>
      <c r="R824">
        <v>2100</v>
      </c>
      <c r="S824">
        <v>0</v>
      </c>
      <c r="T824">
        <v>600</v>
      </c>
      <c r="U824">
        <v>360000</v>
      </c>
      <c r="V824">
        <v>18054</v>
      </c>
      <c r="W824" t="str">
        <v>0</v>
      </c>
      <c r="X824">
        <v>32940</v>
      </c>
      <c r="Y824" s="31">
        <v>46255</v>
      </c>
      <c r="Z824" t="str">
        <v/>
      </c>
      <c r="AA824" t="str">
        <v>技術・人文知識・国際業務</v>
      </c>
      <c r="AB824" t="str">
        <v>747-0833</v>
      </c>
      <c r="AC824" t="str">
        <v>山口県防府市大字浜方1087-2</v>
      </c>
      <c r="AD824" t="str">
        <v>ﾏﾚ･ｻﾗﾝⅡ201</v>
      </c>
      <c r="AE824" s="31">
        <v>0</v>
      </c>
      <c r="AF824" s="31">
        <v>45531</v>
      </c>
      <c r="AG824" s="31">
        <v>0</v>
      </c>
      <c r="AH824" s="31">
        <v>0</v>
      </c>
      <c r="AI824">
        <v>45531</v>
      </c>
      <c r="AJ824" t="str">
        <v>9/19林</v>
      </c>
      <c r="AK824">
        <v>0</v>
      </c>
      <c r="AL824">
        <v>45531</v>
      </c>
      <c r="AM824">
        <v>0</v>
      </c>
      <c r="AN824">
        <v>0</v>
      </c>
      <c r="AO824">
        <v>0</v>
      </c>
      <c r="AP824">
        <v>0</v>
      </c>
      <c r="AQ824">
        <v>0</v>
      </c>
      <c r="AR824">
        <v>0</v>
      </c>
    </row>
    <row r="825" spans="1:44">
      <c r="A825" t="str">
        <f>H825&amp;COUNTIF($H$2:H825,H825)</f>
        <v>本社工場製造1課1工区1班12</v>
      </c>
      <c r="B825" t="str">
        <f>F825&amp;COUNTIF($F$2:F825,F825)</f>
        <v>コーリツ 本社35</v>
      </c>
      <c r="C825" t="str">
        <v>在職中</v>
      </c>
      <c r="D825">
        <v>221206</v>
      </c>
      <c r="E825">
        <v>8210112</v>
      </c>
      <c r="F825" t="str">
        <v>コーリツ 本社</v>
      </c>
      <c r="G825" t="str">
        <v>本社工場製造1課1工区1班</v>
      </c>
      <c r="H825" t="str">
        <v>本社工場製造1課1工区1班</v>
      </c>
      <c r="I825" t="str">
        <v>自動車部品の研磨業務、オペレーターとして製造ラインで製品を加工</v>
      </c>
      <c r="J825" t="str">
        <v>DANG THE DONG</v>
      </c>
      <c r="K825" t="str">
        <v>ダン　テー　ドン</v>
      </c>
      <c r="L825" t="str">
        <v>男</v>
      </c>
      <c r="M825" t="str">
        <v>ﾍﾞﾄﾅﾑ</v>
      </c>
      <c r="N825" s="31">
        <v>33248</v>
      </c>
      <c r="O825">
        <v>34</v>
      </c>
      <c r="P825">
        <v>1500</v>
      </c>
      <c r="Q825">
        <v>0</v>
      </c>
      <c r="R825">
        <v>2150</v>
      </c>
      <c r="S825">
        <v>0</v>
      </c>
      <c r="T825">
        <v>650</v>
      </c>
      <c r="U825">
        <v>340000</v>
      </c>
      <c r="V825">
        <v>17051</v>
      </c>
      <c r="W825" t="str">
        <v>0</v>
      </c>
      <c r="X825">
        <v>31110</v>
      </c>
      <c r="Y825" s="31">
        <v>46161</v>
      </c>
      <c r="Z825" t="str">
        <v/>
      </c>
      <c r="AA825" t="str">
        <v>技術・人文知識・国際業務</v>
      </c>
      <c r="AB825" t="str">
        <v>474-0022</v>
      </c>
      <c r="AC825" t="str">
        <v>愛知県大府市若草町2丁目160番地</v>
      </c>
      <c r="AD825" t="str">
        <v>ｺｰﾎﾟ下村203号</v>
      </c>
      <c r="AE825" s="31" t="str">
        <v>個人</v>
      </c>
      <c r="AF825" s="31">
        <v>45532</v>
      </c>
      <c r="AG825" s="31">
        <v>0</v>
      </c>
      <c r="AH825" s="31">
        <v>0</v>
      </c>
      <c r="AI825">
        <v>45532</v>
      </c>
      <c r="AJ825" t="str">
        <v>9/13林</v>
      </c>
      <c r="AK825">
        <v>0</v>
      </c>
      <c r="AL825">
        <v>45532</v>
      </c>
      <c r="AM825">
        <v>0</v>
      </c>
      <c r="AN825">
        <v>0</v>
      </c>
      <c r="AO825">
        <v>0</v>
      </c>
      <c r="AP825">
        <v>0</v>
      </c>
      <c r="AQ825">
        <v>0</v>
      </c>
      <c r="AR825" t="str">
        <v>2024/8/28三幸技研再入社　2024/12/13業務終了　2024/12/16～コーリツ本社工場異動</v>
      </c>
    </row>
    <row r="826" spans="1:44">
      <c r="A826" t="str">
        <f>H826&amp;COUNTIF($H$2:H826,H826)</f>
        <v>生産課7</v>
      </c>
      <c r="B826" t="str">
        <f>F826&amp;COUNTIF($F$2:F826,F826)</f>
        <v>加藤木材工業 本社36</v>
      </c>
      <c r="C826" t="str">
        <v>退社</v>
      </c>
      <c r="D826">
        <v>240901</v>
      </c>
      <c r="E826">
        <v>5643</v>
      </c>
      <c r="F826" t="str">
        <v>加藤木材工業 本社</v>
      </c>
      <c r="G826" t="str">
        <v>生産2部</v>
      </c>
      <c r="H826" t="str">
        <v>生産課</v>
      </c>
      <c r="I826" t="str">
        <v>機械オペレーター及び機械メンテナンス他付随する業務</v>
      </c>
      <c r="J826" t="str">
        <v>BUI QUANG DAI</v>
      </c>
      <c r="K826" t="str">
        <v>ブイ　クアン　ダイ</v>
      </c>
      <c r="L826" t="str">
        <v>男</v>
      </c>
      <c r="M826" t="str">
        <v>ﾍﾞﾄﾅﾑ</v>
      </c>
      <c r="N826" s="31">
        <v>34167</v>
      </c>
      <c r="O826">
        <v>32</v>
      </c>
      <c r="P826">
        <v>1300</v>
      </c>
      <c r="Q826">
        <v>0</v>
      </c>
      <c r="R826">
        <v>1700</v>
      </c>
      <c r="S826">
        <v>0</v>
      </c>
      <c r="T826">
        <v>400</v>
      </c>
      <c r="U826">
        <v>220000</v>
      </c>
      <c r="V826">
        <v>11033</v>
      </c>
      <c r="W826" t="str">
        <v>0</v>
      </c>
      <c r="X826">
        <v>20130</v>
      </c>
      <c r="Y826" s="31">
        <v>46058</v>
      </c>
      <c r="Z826" t="str">
        <v/>
      </c>
      <c r="AA826" t="str">
        <v>技術・人文知識・国際業務</v>
      </c>
      <c r="AB826" t="str">
        <v>486-0913</v>
      </c>
      <c r="AC826" t="str">
        <v>愛知県春日井市柏原5-241</v>
      </c>
      <c r="AD826" t="str">
        <v>ﾚｵﾊﾟﾚｽｳｯﾄﾞｶｼﾊﾗ203号</v>
      </c>
      <c r="AE826" s="31" t="str">
        <v>個人</v>
      </c>
      <c r="AF826" s="31">
        <v>45537</v>
      </c>
      <c r="AG826" s="31">
        <v>45776</v>
      </c>
      <c r="AH826" s="31">
        <v>0</v>
      </c>
      <c r="AI826">
        <v>45537</v>
      </c>
      <c r="AJ826" t="str">
        <v>9/26林</v>
      </c>
      <c r="AK826">
        <v>0</v>
      </c>
      <c r="AL826">
        <v>45537</v>
      </c>
      <c r="AM826">
        <v>0</v>
      </c>
      <c r="AN826">
        <v>0</v>
      </c>
      <c r="AO826">
        <v>0</v>
      </c>
      <c r="AP826">
        <v>0</v>
      </c>
      <c r="AQ826">
        <v>0</v>
      </c>
      <c r="AR826">
        <v>0</v>
      </c>
    </row>
    <row r="827" spans="1:44">
      <c r="A827" t="str">
        <f>H827&amp;COUNTIF($H$2:H827,H827)</f>
        <v>加工課8</v>
      </c>
      <c r="B827" t="str">
        <f>F827&amp;COUNTIF($F$2:F827,F827)</f>
        <v>加藤木材工業 春日井9</v>
      </c>
      <c r="C827" t="str">
        <v>在職中</v>
      </c>
      <c r="D827">
        <v>240902</v>
      </c>
      <c r="E827">
        <v>5644</v>
      </c>
      <c r="F827" t="str">
        <v>加藤木材工業 春日井</v>
      </c>
      <c r="G827" t="str">
        <v>生産部</v>
      </c>
      <c r="H827" t="str">
        <v>加工課</v>
      </c>
      <c r="I827" t="str">
        <v>機械オペレーター及び機械メンテナンス他付随する業務</v>
      </c>
      <c r="J827" t="str">
        <v>PHAM HUU CUONG</v>
      </c>
      <c r="K827" t="str">
        <v>ファム　ヒゥ　クオン</v>
      </c>
      <c r="L827" t="str">
        <v>男</v>
      </c>
      <c r="M827" t="str">
        <v>ﾍﾞﾄﾅﾑ</v>
      </c>
      <c r="N827" s="31">
        <v>36805</v>
      </c>
      <c r="O827">
        <v>25</v>
      </c>
      <c r="P827">
        <v>1300</v>
      </c>
      <c r="Q827">
        <v>0</v>
      </c>
      <c r="R827">
        <v>1700</v>
      </c>
      <c r="S827">
        <v>0</v>
      </c>
      <c r="T827">
        <v>400</v>
      </c>
      <c r="U827">
        <v>260000</v>
      </c>
      <c r="V827">
        <v>13039</v>
      </c>
      <c r="W827" t="str">
        <v>0</v>
      </c>
      <c r="X827">
        <v>23790</v>
      </c>
      <c r="Y827" s="31">
        <v>46551</v>
      </c>
      <c r="Z827" t="str">
        <v/>
      </c>
      <c r="AA827" t="str">
        <v>技術・人文知識・国際業務</v>
      </c>
      <c r="AB827" t="str">
        <v>486-0912</v>
      </c>
      <c r="AC827" t="str">
        <v>愛知県春日井市高山町4-5-1</v>
      </c>
      <c r="AD827" t="str">
        <v>ﾗ･ﾎﾞﾝｼｬｽ201</v>
      </c>
      <c r="AE827" s="31">
        <v>0</v>
      </c>
      <c r="AF827" s="31">
        <v>45537</v>
      </c>
      <c r="AG827" s="31">
        <v>0</v>
      </c>
      <c r="AH827" s="31">
        <v>0</v>
      </c>
      <c r="AI827">
        <v>45537</v>
      </c>
      <c r="AJ827" t="str">
        <v>9/19林</v>
      </c>
      <c r="AK827">
        <v>0</v>
      </c>
      <c r="AL827">
        <v>45537</v>
      </c>
      <c r="AM827">
        <v>0</v>
      </c>
      <c r="AN827">
        <v>0</v>
      </c>
      <c r="AO827">
        <v>0</v>
      </c>
      <c r="AP827">
        <v>0</v>
      </c>
      <c r="AQ827">
        <v>0</v>
      </c>
      <c r="AR827">
        <v>0</v>
      </c>
    </row>
    <row r="828" spans="1:44">
      <c r="A828" t="str">
        <f>H828&amp;COUNTIF($H$2:H828,H828)</f>
        <v>リフト作業4</v>
      </c>
      <c r="B828" t="str">
        <f>F828&amp;COUNTIF($F$2:F828,F828)</f>
        <v>高雄工業 本社53</v>
      </c>
      <c r="C828" t="str">
        <v>退社</v>
      </c>
      <c r="D828">
        <v>240903</v>
      </c>
      <c r="E828">
        <v>212051</v>
      </c>
      <c r="F828" t="str">
        <v>高雄工業 本社</v>
      </c>
      <c r="G828" t="str">
        <v>高雄工業株式会社第一営業部本社営業課</v>
      </c>
      <c r="H828" t="str">
        <v>リフト作業</v>
      </c>
      <c r="I828" t="str">
        <v>鋳造材料の工場内加工ラインへの供給</v>
      </c>
      <c r="J828" t="str">
        <v>ABE NUNES ERICO KENJI</v>
      </c>
      <c r="K828" t="str">
        <v>アベ　ケンジ</v>
      </c>
      <c r="L828" t="str">
        <v>男</v>
      </c>
      <c r="M828" t="str">
        <v>ﾌﾞﾗｼﾞﾙ</v>
      </c>
      <c r="N828" s="31">
        <v>28501</v>
      </c>
      <c r="O828">
        <v>47</v>
      </c>
      <c r="P828">
        <v>1400</v>
      </c>
      <c r="Q828">
        <v>0</v>
      </c>
      <c r="R828">
        <v>1750</v>
      </c>
      <c r="S828">
        <v>0</v>
      </c>
      <c r="T828">
        <v>350</v>
      </c>
      <c r="U828">
        <v>220000</v>
      </c>
      <c r="V828">
        <v>11033</v>
      </c>
      <c r="W828">
        <v>1749</v>
      </c>
      <c r="X828">
        <v>20130</v>
      </c>
      <c r="Y828" s="31">
        <v>46474</v>
      </c>
      <c r="Z828" t="str">
        <v/>
      </c>
      <c r="AA828" t="str">
        <v>定住者</v>
      </c>
      <c r="AB828" t="str">
        <v>454-0981</v>
      </c>
      <c r="AC828" t="str">
        <v>愛知県名古屋市中川区吉津3-1004</v>
      </c>
      <c r="AD828" t="str">
        <v>松下荘T-2棟204</v>
      </c>
      <c r="AE828" s="31" t="str">
        <v>個人</v>
      </c>
      <c r="AF828" s="31">
        <v>45537</v>
      </c>
      <c r="AG828" s="31">
        <v>45730</v>
      </c>
      <c r="AH828" s="31">
        <v>0</v>
      </c>
      <c r="AI828">
        <v>45537</v>
      </c>
      <c r="AJ828" t="str">
        <v>9/13林</v>
      </c>
      <c r="AK828">
        <v>0</v>
      </c>
      <c r="AL828">
        <v>45537</v>
      </c>
      <c r="AM828">
        <v>0</v>
      </c>
      <c r="AN828">
        <v>0</v>
      </c>
      <c r="AO828">
        <v>0</v>
      </c>
      <c r="AP828">
        <v>0</v>
      </c>
      <c r="AQ828">
        <v>0</v>
      </c>
      <c r="AR828">
        <v>0</v>
      </c>
    </row>
    <row r="829" spans="1:44">
      <c r="A829" t="str">
        <f>H829&amp;COUNTIF($H$2:H829,H829)</f>
        <v>加工課9</v>
      </c>
      <c r="B829" t="str">
        <f>F829&amp;COUNTIF($F$2:F829,F829)</f>
        <v>加藤木材工業 本社37</v>
      </c>
      <c r="C829" t="str">
        <v>在職中</v>
      </c>
      <c r="D829">
        <v>240904</v>
      </c>
      <c r="E829">
        <v>5646</v>
      </c>
      <c r="F829" t="str">
        <v>加藤木材工業 本社</v>
      </c>
      <c r="G829" t="str">
        <v>生産部</v>
      </c>
      <c r="H829" t="str">
        <v>加工課</v>
      </c>
      <c r="I829" t="str">
        <v>機械オペレーター及び機械メンテナンス他付随する業務</v>
      </c>
      <c r="J829" t="str">
        <v>TRAN THE AN</v>
      </c>
      <c r="K829" t="str">
        <v>チャン　テー　アン</v>
      </c>
      <c r="L829" t="str">
        <v>男</v>
      </c>
      <c r="M829" t="str">
        <v>ﾍﾞﾄﾅﾑ</v>
      </c>
      <c r="N829" s="31">
        <v>37714</v>
      </c>
      <c r="O829">
        <v>22</v>
      </c>
      <c r="P829">
        <v>1300</v>
      </c>
      <c r="Q829">
        <v>0</v>
      </c>
      <c r="R829">
        <v>1700</v>
      </c>
      <c r="S829">
        <v>0</v>
      </c>
      <c r="T829">
        <v>400</v>
      </c>
      <c r="U829">
        <v>220000</v>
      </c>
      <c r="V829">
        <v>11033</v>
      </c>
      <c r="W829" t="str">
        <v>0</v>
      </c>
      <c r="X829">
        <v>20130</v>
      </c>
      <c r="Y829" s="31">
        <v>46551</v>
      </c>
      <c r="Z829" t="str">
        <v/>
      </c>
      <c r="AA829" t="str">
        <v>技術・人文知識・国際業務</v>
      </c>
      <c r="AB829" t="str">
        <v>486-0912</v>
      </c>
      <c r="AC829" t="str">
        <v>愛知県春日井市高山町4-5-1</v>
      </c>
      <c r="AD829" t="str">
        <v>ﾗ･ﾎﾞﾝｼｬｽ201</v>
      </c>
      <c r="AE829" s="31">
        <v>0</v>
      </c>
      <c r="AF829" s="31">
        <v>45537</v>
      </c>
      <c r="AG829" s="31">
        <v>0</v>
      </c>
      <c r="AH829" s="31">
        <v>0</v>
      </c>
      <c r="AI829">
        <v>45537</v>
      </c>
      <c r="AJ829" t="str">
        <v>9/19林</v>
      </c>
      <c r="AK829">
        <v>0</v>
      </c>
      <c r="AL829">
        <v>45537</v>
      </c>
      <c r="AM829">
        <v>0</v>
      </c>
      <c r="AN829">
        <v>0</v>
      </c>
      <c r="AO829">
        <v>0</v>
      </c>
      <c r="AP829">
        <v>0</v>
      </c>
      <c r="AQ829">
        <v>0</v>
      </c>
      <c r="AR829">
        <v>0</v>
      </c>
    </row>
    <row r="830" spans="1:44">
      <c r="A830" t="str">
        <f>H830&amp;COUNTIF($H$2:H830,H830)</f>
        <v>1次旋係63</v>
      </c>
      <c r="B830" t="str">
        <f>F830&amp;COUNTIF($F$2:F830,F830)</f>
        <v>高雄工業 岡山142</v>
      </c>
      <c r="C830" t="str">
        <v>在職中</v>
      </c>
      <c r="D830">
        <v>240905</v>
      </c>
      <c r="E830">
        <v>232144</v>
      </c>
      <c r="F830" t="str">
        <v>高雄工業 岡山</v>
      </c>
      <c r="G830" t="str">
        <v>高雄工業株式会社 岡山事業所HUB工場製作1課</v>
      </c>
      <c r="H830" t="str">
        <v>1次旋係</v>
      </c>
      <c r="I830" t="str">
        <v>ハブ加工 自動機の操作、ＮＣプログラム修正</v>
      </c>
      <c r="J830" t="str">
        <v>TRAN VIET HOANG</v>
      </c>
      <c r="K830" t="str">
        <v>チャン　ヴィエット　ホアン</v>
      </c>
      <c r="L830" t="str">
        <v>男</v>
      </c>
      <c r="M830" t="str">
        <v>ﾍﾞﾄﾅﾑ</v>
      </c>
      <c r="N830" s="31">
        <v>36769</v>
      </c>
      <c r="O830">
        <v>25</v>
      </c>
      <c r="P830">
        <v>1300</v>
      </c>
      <c r="Q830">
        <v>0</v>
      </c>
      <c r="R830">
        <v>1670</v>
      </c>
      <c r="S830">
        <v>0</v>
      </c>
      <c r="T830">
        <v>370</v>
      </c>
      <c r="U830">
        <v>240000</v>
      </c>
      <c r="V830">
        <v>12036</v>
      </c>
      <c r="W830" t="str">
        <v>0</v>
      </c>
      <c r="X830">
        <v>21960</v>
      </c>
      <c r="Y830" s="31">
        <v>46263</v>
      </c>
      <c r="Z830" t="str">
        <v/>
      </c>
      <c r="AA830" t="str">
        <v>技術・人文知識・国際業務</v>
      </c>
      <c r="AB830" t="str">
        <v>709-2107</v>
      </c>
      <c r="AC830" t="str">
        <v>岡山県岡山市北区御津矢原288-1</v>
      </c>
      <c r="AD830" t="str">
        <v>ｸﾞﾗﾝﾃﾞｰｻﾞ109</v>
      </c>
      <c r="AE830" s="31">
        <v>0</v>
      </c>
      <c r="AF830" s="31">
        <v>45539</v>
      </c>
      <c r="AG830" s="31">
        <v>0</v>
      </c>
      <c r="AH830" s="31">
        <v>0</v>
      </c>
      <c r="AI830">
        <v>45539</v>
      </c>
      <c r="AJ830" t="str">
        <v>9/19林</v>
      </c>
      <c r="AK830">
        <v>0</v>
      </c>
      <c r="AL830">
        <v>45539</v>
      </c>
      <c r="AM830">
        <v>0</v>
      </c>
      <c r="AN830">
        <v>0</v>
      </c>
      <c r="AO830">
        <v>0</v>
      </c>
      <c r="AP830">
        <v>0</v>
      </c>
      <c r="AQ830">
        <v>0</v>
      </c>
      <c r="AR830">
        <v>0</v>
      </c>
    </row>
    <row r="831" spans="1:44">
      <c r="A831" t="str">
        <f>H831&amp;COUNTIF($H$2:H831,H831)</f>
        <v>1次旋係64</v>
      </c>
      <c r="B831" t="str">
        <f>F831&amp;COUNTIF($F$2:F831,F831)</f>
        <v>高雄工業 岡山143</v>
      </c>
      <c r="C831" t="str">
        <v>在職中</v>
      </c>
      <c r="D831">
        <v>240906</v>
      </c>
      <c r="E831">
        <v>232143</v>
      </c>
      <c r="F831" t="str">
        <v>高雄工業 岡山</v>
      </c>
      <c r="G831" t="str">
        <v>高雄工業株式会社 岡山事業所HUB工場製作1課</v>
      </c>
      <c r="H831" t="str">
        <v>1次旋係</v>
      </c>
      <c r="I831" t="str">
        <v>ハブ加工 自動機の操作、ＮＣプログラム修正</v>
      </c>
      <c r="J831" t="str">
        <v>VU HAI LONG</v>
      </c>
      <c r="K831" t="str">
        <v>ヴー　ハイ　ロン</v>
      </c>
      <c r="L831" t="str">
        <v>男</v>
      </c>
      <c r="M831" t="str">
        <v>ﾍﾞﾄﾅﾑ</v>
      </c>
      <c r="N831" s="31">
        <v>36775</v>
      </c>
      <c r="O831">
        <v>25</v>
      </c>
      <c r="P831">
        <v>1310</v>
      </c>
      <c r="Q831">
        <v>0</v>
      </c>
      <c r="R831">
        <v>1670</v>
      </c>
      <c r="S831">
        <v>0</v>
      </c>
      <c r="T831">
        <v>360</v>
      </c>
      <c r="U831">
        <v>240000</v>
      </c>
      <c r="V831">
        <v>12036</v>
      </c>
      <c r="W831" t="str">
        <v>0</v>
      </c>
      <c r="X831">
        <v>21960</v>
      </c>
      <c r="Y831" s="31">
        <v>46263</v>
      </c>
      <c r="Z831" t="str">
        <v/>
      </c>
      <c r="AA831" t="str">
        <v>技術・人文知識・国際業務</v>
      </c>
      <c r="AB831" t="str">
        <v>709-2107</v>
      </c>
      <c r="AC831" t="str">
        <v>岡山県岡山市北区御津矢原298-1</v>
      </c>
      <c r="AD831" t="str">
        <v>成広矢原ｺｰﾎﾟⅥ101</v>
      </c>
      <c r="AE831" s="31">
        <v>0</v>
      </c>
      <c r="AF831" s="31">
        <v>45539</v>
      </c>
      <c r="AG831" s="31">
        <v>0</v>
      </c>
      <c r="AH831" s="31">
        <v>0</v>
      </c>
      <c r="AI831">
        <v>45539</v>
      </c>
      <c r="AJ831" t="str">
        <v>9/19林</v>
      </c>
      <c r="AK831">
        <v>0</v>
      </c>
      <c r="AL831">
        <v>45539</v>
      </c>
      <c r="AM831">
        <v>0</v>
      </c>
      <c r="AN831">
        <v>0</v>
      </c>
      <c r="AO831">
        <v>0</v>
      </c>
      <c r="AP831">
        <v>0</v>
      </c>
      <c r="AQ831">
        <v>0</v>
      </c>
      <c r="AR831">
        <v>0</v>
      </c>
    </row>
    <row r="832" spans="1:44">
      <c r="A832" t="str">
        <f>H832&amp;COUNTIF($H$2:H832,H832)</f>
        <v>CVJ長軸旋盤係11</v>
      </c>
      <c r="B832" t="str">
        <f>F832&amp;COUNTIF($F$2:F832,F832)</f>
        <v>高雄工業 岡山144</v>
      </c>
      <c r="C832" t="str">
        <v>在職中</v>
      </c>
      <c r="D832">
        <v>240907</v>
      </c>
      <c r="E832">
        <v>232145</v>
      </c>
      <c r="F832" t="str">
        <v>高雄工業 岡山</v>
      </c>
      <c r="G832" t="str">
        <v>高雄工業株式会社 岡山事業所CVJ工場製作課</v>
      </c>
      <c r="H832" t="str">
        <v>CVJ長軸旋盤係</v>
      </c>
      <c r="I832" t="str">
        <v>ＣＶＪ長軸等速ジョイント旋削加工、ＮＣプログラム修正</v>
      </c>
      <c r="J832" t="str">
        <v>DINH VAN TRUNG</v>
      </c>
      <c r="K832" t="str">
        <v>ディン　ヴァン　チュン</v>
      </c>
      <c r="L832" t="str">
        <v>男</v>
      </c>
      <c r="M832" t="str">
        <v>ﾍﾞﾄﾅﾑ</v>
      </c>
      <c r="N832" s="31">
        <v>36807</v>
      </c>
      <c r="O832">
        <v>25</v>
      </c>
      <c r="P832">
        <v>1300</v>
      </c>
      <c r="Q832">
        <v>0</v>
      </c>
      <c r="R832">
        <v>1670</v>
      </c>
      <c r="S832">
        <v>0</v>
      </c>
      <c r="T832">
        <v>370</v>
      </c>
      <c r="U832">
        <v>260000</v>
      </c>
      <c r="V832">
        <v>13039</v>
      </c>
      <c r="W832" t="str">
        <v>0</v>
      </c>
      <c r="X832">
        <v>23790</v>
      </c>
      <c r="Y832" s="31">
        <v>46263</v>
      </c>
      <c r="Z832" t="str">
        <v/>
      </c>
      <c r="AA832" t="str">
        <v>技術・人文知識・国際業務</v>
      </c>
      <c r="AB832" t="str">
        <v>709-2107</v>
      </c>
      <c r="AC832" t="str">
        <v>岡山県岡山市北区御津矢原298-1</v>
      </c>
      <c r="AD832" t="str">
        <v>成広矢原ｺｰﾎﾟⅥ101</v>
      </c>
      <c r="AE832" s="31">
        <v>0</v>
      </c>
      <c r="AF832" s="31">
        <v>45539</v>
      </c>
      <c r="AG832" s="31">
        <v>0</v>
      </c>
      <c r="AH832" s="31">
        <v>0</v>
      </c>
      <c r="AI832">
        <v>45539</v>
      </c>
      <c r="AJ832" t="str">
        <v>9/19林</v>
      </c>
      <c r="AK832">
        <v>0</v>
      </c>
      <c r="AL832">
        <v>45539</v>
      </c>
      <c r="AM832">
        <v>0</v>
      </c>
      <c r="AN832">
        <v>0</v>
      </c>
      <c r="AO832">
        <v>0</v>
      </c>
      <c r="AP832">
        <v>0</v>
      </c>
      <c r="AQ832">
        <v>0</v>
      </c>
      <c r="AR832">
        <v>0</v>
      </c>
    </row>
    <row r="833" spans="1:44">
      <c r="A833" t="str">
        <f>H833&amp;COUNTIF($H$2:H833,H833)</f>
        <v>0271</v>
      </c>
      <c r="B833" t="str">
        <f>F833&amp;COUNTIF($F$2:F833,F833)</f>
        <v>PATEC44</v>
      </c>
      <c r="C833" t="str">
        <v>退社</v>
      </c>
      <c r="D833">
        <v>240908</v>
      </c>
      <c r="E833">
        <v>0</v>
      </c>
      <c r="F833" t="str">
        <v>PATEC</v>
      </c>
      <c r="G833">
        <v>0</v>
      </c>
      <c r="H833">
        <v>0</v>
      </c>
      <c r="I833">
        <v>0</v>
      </c>
      <c r="J833" t="str">
        <v>NGUYEN DANG QUANG</v>
      </c>
      <c r="K833" t="str">
        <v>グエン　ダン　クアン</v>
      </c>
      <c r="L833" t="str">
        <v>男</v>
      </c>
      <c r="M833" t="str">
        <v>ﾍﾞﾄﾅﾑ</v>
      </c>
      <c r="N833" s="31">
        <v>35357</v>
      </c>
      <c r="O833">
        <v>29</v>
      </c>
      <c r="P833">
        <v>1400</v>
      </c>
      <c r="Q833">
        <v>0</v>
      </c>
      <c r="R833">
        <v>2000</v>
      </c>
      <c r="S833">
        <v>0</v>
      </c>
      <c r="T833">
        <v>600</v>
      </c>
      <c r="U833">
        <v>240000</v>
      </c>
      <c r="V833">
        <v>12036</v>
      </c>
      <c r="W833" t="str">
        <v>0</v>
      </c>
      <c r="X833">
        <v>21960</v>
      </c>
      <c r="Y833" s="31">
        <v>46282</v>
      </c>
      <c r="Z833" t="str">
        <v/>
      </c>
      <c r="AA833" t="str">
        <v>技術・人文知識・国際業務</v>
      </c>
      <c r="AB833" t="str">
        <v>747-0834</v>
      </c>
      <c r="AC833" t="str">
        <v>山口県防府市大字田島1969-1</v>
      </c>
      <c r="AD833" t="str">
        <v>ﾒｿﾞﾝ･ﾎﾟﾌﾟﾘｶ201</v>
      </c>
      <c r="AE833" s="31">
        <v>0</v>
      </c>
      <c r="AF833" s="31">
        <v>45541</v>
      </c>
      <c r="AG833" s="31">
        <v>45349</v>
      </c>
      <c r="AH833" s="31">
        <v>0</v>
      </c>
      <c r="AI833">
        <v>45541</v>
      </c>
      <c r="AJ833" t="str">
        <v>9/19林</v>
      </c>
      <c r="AK833">
        <v>0</v>
      </c>
      <c r="AL833">
        <v>45541</v>
      </c>
      <c r="AM833">
        <v>0</v>
      </c>
      <c r="AN833">
        <v>0</v>
      </c>
      <c r="AO833">
        <v>0</v>
      </c>
      <c r="AP833">
        <v>0</v>
      </c>
      <c r="AQ833">
        <v>0</v>
      </c>
      <c r="AR833">
        <v>0</v>
      </c>
    </row>
    <row r="834" spans="1:44">
      <c r="A834" t="str">
        <f>H834&amp;COUNTIF($H$2:H834,H834)</f>
        <v>0272</v>
      </c>
      <c r="B834" t="str">
        <f>F834&amp;COUNTIF($F$2:F834,F834)</f>
        <v>六甲電子25</v>
      </c>
      <c r="C834" t="str">
        <v>退社</v>
      </c>
      <c r="D834">
        <v>240909</v>
      </c>
      <c r="E834">
        <v>0</v>
      </c>
      <c r="F834" t="str">
        <v>六甲電子</v>
      </c>
      <c r="G834">
        <v>0</v>
      </c>
      <c r="H834">
        <v>0</v>
      </c>
      <c r="I834">
        <v>0</v>
      </c>
      <c r="J834" t="str">
        <v>LE VAN LUONG</v>
      </c>
      <c r="K834" t="str">
        <v>レ　ヴァン　ニュン</v>
      </c>
      <c r="L834" t="str">
        <v>男</v>
      </c>
      <c r="M834" t="str">
        <v>ﾍﾞﾄﾅﾑ</v>
      </c>
      <c r="N834" s="31">
        <v>33395</v>
      </c>
      <c r="O834">
        <v>34</v>
      </c>
      <c r="P834">
        <v>1400</v>
      </c>
      <c r="Q834">
        <v>0</v>
      </c>
      <c r="R834">
        <v>2000</v>
      </c>
      <c r="S834">
        <v>0</v>
      </c>
      <c r="T834">
        <v>600</v>
      </c>
      <c r="U834">
        <v>240000</v>
      </c>
      <c r="V834">
        <v>12036</v>
      </c>
      <c r="W834" t="str">
        <v>0</v>
      </c>
      <c r="X834">
        <v>21960</v>
      </c>
      <c r="Y834" s="31">
        <v>46233</v>
      </c>
      <c r="Z834" t="str">
        <v/>
      </c>
      <c r="AA834" t="str">
        <v>技術・人文知識・国際業務</v>
      </c>
      <c r="AB834" t="str">
        <v>747-0834</v>
      </c>
      <c r="AC834" t="str">
        <v>山口県防府市大字田島1969-1</v>
      </c>
      <c r="AD834" t="str">
        <v>ﾒｿﾞﾝ･ﾎﾟﾌﾟﾘｶ201</v>
      </c>
      <c r="AE834" s="31">
        <v>0</v>
      </c>
      <c r="AF834" s="31">
        <v>45541</v>
      </c>
      <c r="AG834" s="31">
        <v>45754</v>
      </c>
      <c r="AH834" s="31">
        <v>0</v>
      </c>
      <c r="AI834">
        <v>45541</v>
      </c>
      <c r="AJ834" t="str">
        <v>9/19林</v>
      </c>
      <c r="AK834" t="str">
        <v>2024/9/6～2025/3/26までPATEC　2025/3/27～六甲電子に異動</v>
      </c>
      <c r="AL834">
        <v>45541</v>
      </c>
      <c r="AM834">
        <v>0</v>
      </c>
      <c r="AN834">
        <v>0</v>
      </c>
      <c r="AO834">
        <v>0</v>
      </c>
      <c r="AP834">
        <v>0</v>
      </c>
      <c r="AQ834">
        <v>0</v>
      </c>
      <c r="AR834">
        <v>0</v>
      </c>
    </row>
    <row r="835" spans="1:44">
      <c r="A835" t="str">
        <f>H835&amp;COUNTIF($H$2:H835,H835)</f>
        <v>0273</v>
      </c>
      <c r="B835" t="str">
        <f>F835&amp;COUNTIF($F$2:F835,F835)</f>
        <v>PATEC45</v>
      </c>
      <c r="C835" t="str">
        <v>退社</v>
      </c>
      <c r="D835">
        <v>240910</v>
      </c>
      <c r="E835">
        <v>0</v>
      </c>
      <c r="F835" t="str">
        <v>PATEC</v>
      </c>
      <c r="G835">
        <v>0</v>
      </c>
      <c r="H835">
        <v>0</v>
      </c>
      <c r="I835">
        <v>0</v>
      </c>
      <c r="J835" t="str">
        <v>DANG THAI BAO</v>
      </c>
      <c r="K835" t="str">
        <v>ダン　タイ　バオ</v>
      </c>
      <c r="L835" t="str">
        <v>男</v>
      </c>
      <c r="M835" t="str">
        <v>ﾍﾞﾄﾅﾑ</v>
      </c>
      <c r="N835" s="31">
        <v>34208</v>
      </c>
      <c r="O835">
        <v>32</v>
      </c>
      <c r="P835">
        <v>1400</v>
      </c>
      <c r="Q835">
        <v>0</v>
      </c>
      <c r="R835">
        <v>2000</v>
      </c>
      <c r="S835">
        <v>0</v>
      </c>
      <c r="T835">
        <v>600</v>
      </c>
      <c r="U835">
        <v>240000</v>
      </c>
      <c r="V835">
        <v>12036</v>
      </c>
      <c r="W835" t="str">
        <v>0</v>
      </c>
      <c r="X835">
        <v>21960</v>
      </c>
      <c r="Y835" s="31">
        <v>46370</v>
      </c>
      <c r="Z835" t="str">
        <v/>
      </c>
      <c r="AA835" t="str">
        <v>技術・人文知識・国際業務</v>
      </c>
      <c r="AB835" t="str">
        <v>747-0834</v>
      </c>
      <c r="AC835" t="str">
        <v>山口県防府市大字田島1969-1</v>
      </c>
      <c r="AD835" t="str">
        <v>ﾒｿﾞﾝ･ﾎﾟﾌﾟﾘｶ201</v>
      </c>
      <c r="AE835" s="31">
        <v>0</v>
      </c>
      <c r="AF835" s="31">
        <v>45541</v>
      </c>
      <c r="AG835" s="31">
        <v>45596</v>
      </c>
      <c r="AH835" s="31">
        <v>0</v>
      </c>
      <c r="AI835">
        <v>45541</v>
      </c>
      <c r="AJ835" t="str">
        <v>9/19林</v>
      </c>
      <c r="AK835">
        <v>0</v>
      </c>
      <c r="AL835">
        <v>45541</v>
      </c>
      <c r="AM835">
        <v>0</v>
      </c>
      <c r="AN835">
        <v>0</v>
      </c>
      <c r="AO835">
        <v>0</v>
      </c>
      <c r="AP835">
        <v>0</v>
      </c>
      <c r="AQ835">
        <v>0</v>
      </c>
      <c r="AR835">
        <v>0</v>
      </c>
    </row>
    <row r="836" spans="1:44">
      <c r="A836" t="str">
        <f>H836&amp;COUNTIF($H$2:H836,H836)</f>
        <v>1次旋係65</v>
      </c>
      <c r="B836" t="str">
        <f>F836&amp;COUNTIF($F$2:F836,F836)</f>
        <v>高雄工業 岡山145</v>
      </c>
      <c r="C836" t="str">
        <v>在職中</v>
      </c>
      <c r="D836">
        <v>240911</v>
      </c>
      <c r="E836">
        <v>232147</v>
      </c>
      <c r="F836" t="str">
        <v>高雄工業 岡山</v>
      </c>
      <c r="G836" t="str">
        <v>高雄工業株式会社 岡山事業所HUB工場製作1課</v>
      </c>
      <c r="H836" t="str">
        <v>1次旋係</v>
      </c>
      <c r="I836" t="str">
        <v>ハブ加工 自動機の操作、ＮＣプログラム修正</v>
      </c>
      <c r="J836" t="str">
        <v>NGUYEN PHUONG NAM</v>
      </c>
      <c r="K836" t="str">
        <v>グエン　フォン　ナム</v>
      </c>
      <c r="L836" t="str">
        <v>男</v>
      </c>
      <c r="M836" t="str">
        <v>ﾍﾞﾄﾅﾑ</v>
      </c>
      <c r="N836" s="31">
        <v>35305</v>
      </c>
      <c r="O836">
        <v>29</v>
      </c>
      <c r="P836">
        <v>1300</v>
      </c>
      <c r="Q836">
        <v>0</v>
      </c>
      <c r="R836">
        <v>1660</v>
      </c>
      <c r="S836">
        <v>0</v>
      </c>
      <c r="T836">
        <v>360</v>
      </c>
      <c r="U836">
        <v>240000</v>
      </c>
      <c r="V836">
        <v>12036</v>
      </c>
      <c r="W836" t="str">
        <v>0</v>
      </c>
      <c r="X836">
        <v>21960</v>
      </c>
      <c r="Y836" s="31">
        <v>46282</v>
      </c>
      <c r="Z836" t="str">
        <v/>
      </c>
      <c r="AA836" t="str">
        <v>技術・人文知識・国際業務</v>
      </c>
      <c r="AB836" t="str">
        <v>709-2107</v>
      </c>
      <c r="AC836" t="str">
        <v>岡山県岡山市北区御津矢原294-1</v>
      </c>
      <c r="AD836" t="str">
        <v>成広矢原ｺｰﾎﾟⅢ105</v>
      </c>
      <c r="AE836" s="31">
        <v>0</v>
      </c>
      <c r="AF836" s="31">
        <v>45548</v>
      </c>
      <c r="AG836" s="31">
        <v>0</v>
      </c>
      <c r="AH836" s="31">
        <v>0</v>
      </c>
      <c r="AI836">
        <v>45548</v>
      </c>
      <c r="AJ836" t="str">
        <v>9/26林</v>
      </c>
      <c r="AK836">
        <v>0</v>
      </c>
      <c r="AL836">
        <v>45548</v>
      </c>
      <c r="AM836">
        <v>0</v>
      </c>
      <c r="AN836">
        <v>0</v>
      </c>
      <c r="AO836">
        <v>0</v>
      </c>
      <c r="AP836">
        <v>0</v>
      </c>
      <c r="AQ836">
        <v>0</v>
      </c>
      <c r="AR836">
        <v>0</v>
      </c>
    </row>
    <row r="837" spans="1:44">
      <c r="A837" t="str">
        <f>H837&amp;COUNTIF($H$2:H837,H837)</f>
        <v>1次旋係66</v>
      </c>
      <c r="B837" t="str">
        <f>F837&amp;COUNTIF($F$2:F837,F837)</f>
        <v>高雄工業 岡山146</v>
      </c>
      <c r="C837" t="str">
        <v>在職中</v>
      </c>
      <c r="D837">
        <v>240912</v>
      </c>
      <c r="E837">
        <v>232146</v>
      </c>
      <c r="F837" t="str">
        <v>高雄工業 岡山</v>
      </c>
      <c r="G837" t="str">
        <v>高雄工業株式会社 岡山事業所HUB工場製作1課</v>
      </c>
      <c r="H837" t="str">
        <v>1次旋係</v>
      </c>
      <c r="I837" t="str">
        <v>ハブ加工 自動機の操作、ＮＣプログラム修正</v>
      </c>
      <c r="J837" t="str">
        <v>VU DINH HIEU</v>
      </c>
      <c r="K837" t="str">
        <v>ヴー　ディン　ヒエウ</v>
      </c>
      <c r="L837" t="str">
        <v>男</v>
      </c>
      <c r="M837" t="str">
        <v>ﾍﾞﾄﾅﾑ</v>
      </c>
      <c r="N837" s="31">
        <v>37155</v>
      </c>
      <c r="O837">
        <v>24</v>
      </c>
      <c r="P837">
        <v>1300</v>
      </c>
      <c r="Q837">
        <v>0</v>
      </c>
      <c r="R837">
        <v>1670</v>
      </c>
      <c r="S837">
        <v>0</v>
      </c>
      <c r="T837">
        <v>370</v>
      </c>
      <c r="U837">
        <v>240000</v>
      </c>
      <c r="V837">
        <v>12036</v>
      </c>
      <c r="W837" t="str">
        <v>0</v>
      </c>
      <c r="X837">
        <v>21960</v>
      </c>
      <c r="Y837" s="31">
        <v>46282</v>
      </c>
      <c r="Z837" t="str">
        <v/>
      </c>
      <c r="AA837" t="str">
        <v>技術・人文知識・国際業務</v>
      </c>
      <c r="AB837" t="str">
        <v>709-2107</v>
      </c>
      <c r="AC837" t="str">
        <v>岡山県岡山市北区御津矢原298-1</v>
      </c>
      <c r="AD837" t="str">
        <v>成広矢原ｺｰﾎﾟⅥ203</v>
      </c>
      <c r="AE837" s="31">
        <v>0</v>
      </c>
      <c r="AF837" s="31">
        <v>45548</v>
      </c>
      <c r="AG837" s="31">
        <v>0</v>
      </c>
      <c r="AH837" s="31">
        <v>0</v>
      </c>
      <c r="AI837">
        <v>45548</v>
      </c>
      <c r="AJ837" t="str">
        <v>9/26林</v>
      </c>
      <c r="AK837">
        <v>0</v>
      </c>
      <c r="AL837">
        <v>45548</v>
      </c>
      <c r="AM837">
        <v>0</v>
      </c>
      <c r="AN837">
        <v>0</v>
      </c>
      <c r="AO837">
        <v>0</v>
      </c>
      <c r="AP837">
        <v>0</v>
      </c>
      <c r="AQ837">
        <v>0</v>
      </c>
      <c r="AR837">
        <v>0</v>
      </c>
    </row>
    <row r="838" spans="1:44">
      <c r="A838" t="str">
        <f>H838&amp;COUNTIF($H$2:H838,H838)</f>
        <v>H_2次旋21</v>
      </c>
      <c r="B838" t="str">
        <f>F838&amp;COUNTIF($F$2:F838,F838)</f>
        <v>高雄工業 海南第一63</v>
      </c>
      <c r="C838" t="str">
        <v>退社</v>
      </c>
      <c r="D838">
        <v>240913</v>
      </c>
      <c r="E838">
        <v>222074</v>
      </c>
      <c r="F838" t="str">
        <v>高雄工業 海南第一</v>
      </c>
      <c r="G838" t="str">
        <v>高雄工業株式会社 愛知事業所海南第一工場製作1課</v>
      </c>
      <c r="H838" t="str">
        <v>H_2次旋</v>
      </c>
      <c r="I838" t="str">
        <v>ハブ加工品の2次施削、手動機械オペレーターNCプログラム修正</v>
      </c>
      <c r="J838" t="str">
        <v>LE NHI KHANG</v>
      </c>
      <c r="K838" t="str">
        <v>レ－　ニィ　カン</v>
      </c>
      <c r="L838" t="str">
        <v>男</v>
      </c>
      <c r="M838" t="str">
        <v>ﾍﾞﾄﾅﾑ</v>
      </c>
      <c r="N838" s="31">
        <v>37369</v>
      </c>
      <c r="O838">
        <v>23</v>
      </c>
      <c r="P838">
        <v>1200</v>
      </c>
      <c r="Q838">
        <v>0</v>
      </c>
      <c r="R838">
        <v>1660</v>
      </c>
      <c r="S838">
        <v>0</v>
      </c>
      <c r="T838">
        <v>460</v>
      </c>
      <c r="U838">
        <v>200000</v>
      </c>
      <c r="V838">
        <v>10030</v>
      </c>
      <c r="W838" t="str">
        <v>0</v>
      </c>
      <c r="X838">
        <v>18300</v>
      </c>
      <c r="Y838" s="31">
        <v>45909</v>
      </c>
      <c r="Z838" t="str">
        <v/>
      </c>
      <c r="AA838" t="str">
        <v>技術・人文知識・国際業務</v>
      </c>
      <c r="AB838" t="str">
        <v>498-0026</v>
      </c>
      <c r="AC838" t="str">
        <v>愛知県弥富市鯏浦町西前新田119-1</v>
      </c>
      <c r="AD838" t="str">
        <v>ﾗｲﾌｺｱ119　301号</v>
      </c>
      <c r="AE838" s="31">
        <v>0</v>
      </c>
      <c r="AF838" s="31">
        <v>45551</v>
      </c>
      <c r="AG838" s="31">
        <v>45758</v>
      </c>
      <c r="AH838" s="31">
        <v>0</v>
      </c>
      <c r="AI838">
        <v>45551</v>
      </c>
      <c r="AJ838" t="str">
        <v>9/26林</v>
      </c>
      <c r="AK838">
        <v>0</v>
      </c>
      <c r="AL838">
        <v>45551</v>
      </c>
      <c r="AM838">
        <v>0</v>
      </c>
      <c r="AN838">
        <v>0</v>
      </c>
      <c r="AO838">
        <v>0</v>
      </c>
      <c r="AP838">
        <v>0</v>
      </c>
      <c r="AQ838" t="str">
        <v>JLPT-N3</v>
      </c>
      <c r="AR838">
        <v>0</v>
      </c>
    </row>
    <row r="839" spans="1:44">
      <c r="A839" t="str">
        <f>H839&amp;COUNTIF($H$2:H839,H839)</f>
        <v>0274</v>
      </c>
      <c r="B839" t="str">
        <f>F839&amp;COUNTIF($F$2:F839,F839)</f>
        <v>PATEC46</v>
      </c>
      <c r="C839" t="str">
        <v>退社</v>
      </c>
      <c r="D839">
        <v>240914</v>
      </c>
      <c r="E839">
        <v>0</v>
      </c>
      <c r="F839" t="str">
        <v>PATEC</v>
      </c>
      <c r="G839">
        <v>0</v>
      </c>
      <c r="H839">
        <v>0</v>
      </c>
      <c r="I839">
        <v>0</v>
      </c>
      <c r="J839" t="str">
        <v>VO HUY PHUONG</v>
      </c>
      <c r="K839" t="str">
        <v>ヴォ　フィ　フオン</v>
      </c>
      <c r="L839" t="str">
        <v>男</v>
      </c>
      <c r="M839" t="str">
        <v>ﾍﾞﾄﾅﾑ</v>
      </c>
      <c r="N839" s="31">
        <v>33256</v>
      </c>
      <c r="O839">
        <v>34</v>
      </c>
      <c r="P839">
        <v>1500</v>
      </c>
      <c r="Q839">
        <v>0</v>
      </c>
      <c r="R839">
        <v>2100</v>
      </c>
      <c r="S839">
        <v>0</v>
      </c>
      <c r="T839">
        <v>600</v>
      </c>
      <c r="U839">
        <v>260000</v>
      </c>
      <c r="V839">
        <v>13039</v>
      </c>
      <c r="W839" t="str">
        <v>0</v>
      </c>
      <c r="X839">
        <v>23790</v>
      </c>
      <c r="Y839" s="31">
        <v>46085</v>
      </c>
      <c r="Z839" t="str">
        <v/>
      </c>
      <c r="AA839" t="str">
        <v>技術・人文知識・国際業務</v>
      </c>
      <c r="AB839" t="str">
        <v>747-0825</v>
      </c>
      <c r="AC839" t="str">
        <v>山口県防府市大字新田1721-1</v>
      </c>
      <c r="AD839" t="str">
        <v>ﾃﾞｰｱｱｲⅠ　201号</v>
      </c>
      <c r="AE839" s="31">
        <v>0</v>
      </c>
      <c r="AF839" s="31">
        <v>45554</v>
      </c>
      <c r="AG839" s="31">
        <v>45639</v>
      </c>
      <c r="AH839" s="31">
        <v>0</v>
      </c>
      <c r="AI839">
        <v>45554</v>
      </c>
      <c r="AJ839" t="str">
        <v>10/2林</v>
      </c>
      <c r="AK839">
        <v>0</v>
      </c>
      <c r="AL839">
        <v>45554</v>
      </c>
      <c r="AM839">
        <v>0</v>
      </c>
      <c r="AN839">
        <v>0</v>
      </c>
      <c r="AO839">
        <v>0</v>
      </c>
      <c r="AP839">
        <v>0</v>
      </c>
      <c r="AQ839">
        <v>0</v>
      </c>
      <c r="AR839">
        <v>0</v>
      </c>
    </row>
    <row r="840" spans="1:44">
      <c r="A840" t="str">
        <f>H840&amp;COUNTIF($H$2:H840,H840)</f>
        <v>0275</v>
      </c>
      <c r="B840" t="str">
        <f>F840&amp;COUNTIF($F$2:F840,F840)</f>
        <v>PATEC47</v>
      </c>
      <c r="C840" t="str">
        <v>退社</v>
      </c>
      <c r="D840">
        <v>240915</v>
      </c>
      <c r="E840">
        <v>0</v>
      </c>
      <c r="F840" t="str">
        <v>PATEC</v>
      </c>
      <c r="G840">
        <v>0</v>
      </c>
      <c r="H840">
        <v>0</v>
      </c>
      <c r="I840">
        <v>0</v>
      </c>
      <c r="J840" t="str">
        <v>DO TIEN LEN</v>
      </c>
      <c r="K840" t="str">
        <v>ド　ティン　レン</v>
      </c>
      <c r="L840" t="str">
        <v>男</v>
      </c>
      <c r="M840" t="str">
        <v>ﾍﾞﾄﾅﾑ</v>
      </c>
      <c r="N840" s="31">
        <v>37619</v>
      </c>
      <c r="O840">
        <v>22</v>
      </c>
      <c r="P840">
        <v>1500</v>
      </c>
      <c r="Q840">
        <v>0</v>
      </c>
      <c r="R840">
        <v>2100</v>
      </c>
      <c r="S840">
        <v>0</v>
      </c>
      <c r="T840">
        <v>600</v>
      </c>
      <c r="U840">
        <v>240000</v>
      </c>
      <c r="V840">
        <v>12036</v>
      </c>
      <c r="W840" t="str">
        <v>0</v>
      </c>
      <c r="X840">
        <v>21960</v>
      </c>
      <c r="Y840" s="31">
        <v>47300</v>
      </c>
      <c r="Z840" t="str">
        <v/>
      </c>
      <c r="AA840" t="str">
        <v>技術・人文知識・国際業務</v>
      </c>
      <c r="AB840" t="str">
        <v>747-0825</v>
      </c>
      <c r="AC840" t="str">
        <v>山口県防府市大字新田1721-1</v>
      </c>
      <c r="AD840" t="str">
        <v>ﾃﾞｰｱｱｲⅠ　201号</v>
      </c>
      <c r="AE840" s="31">
        <v>0</v>
      </c>
      <c r="AF840" s="31">
        <v>45554</v>
      </c>
      <c r="AG840" s="31">
        <v>45819</v>
      </c>
      <c r="AH840" s="31">
        <v>0</v>
      </c>
      <c r="AI840">
        <v>45554</v>
      </c>
      <c r="AJ840" t="str">
        <v>10/2林</v>
      </c>
      <c r="AK840">
        <v>0</v>
      </c>
      <c r="AL840">
        <v>45554</v>
      </c>
      <c r="AM840">
        <v>0</v>
      </c>
      <c r="AN840">
        <v>0</v>
      </c>
      <c r="AO840">
        <v>0</v>
      </c>
      <c r="AP840">
        <v>0</v>
      </c>
      <c r="AQ840">
        <v>0</v>
      </c>
      <c r="AR840">
        <v>0</v>
      </c>
    </row>
    <row r="841" spans="1:44">
      <c r="A841" t="str">
        <f>H841&amp;COUNTIF($H$2:H841,H841)</f>
        <v>0276</v>
      </c>
      <c r="B841" t="str">
        <f>F841&amp;COUNTIF($F$2:F841,F841)</f>
        <v>PATEC48</v>
      </c>
      <c r="C841" t="str">
        <v>退社</v>
      </c>
      <c r="D841">
        <v>240916</v>
      </c>
      <c r="E841">
        <v>0</v>
      </c>
      <c r="F841" t="str">
        <v>PATEC</v>
      </c>
      <c r="G841">
        <v>0</v>
      </c>
      <c r="H841">
        <v>0</v>
      </c>
      <c r="I841">
        <v>0</v>
      </c>
      <c r="J841" t="str">
        <v>TRAN XUAN KHANH TRUNG</v>
      </c>
      <c r="K841" t="str">
        <v>チャン　スアン　カイン　チュン</v>
      </c>
      <c r="L841" t="str">
        <v>男</v>
      </c>
      <c r="M841" t="str">
        <v>ﾍﾞﾄﾅﾑ</v>
      </c>
      <c r="N841" s="31">
        <v>36912</v>
      </c>
      <c r="O841">
        <v>24</v>
      </c>
      <c r="P841">
        <v>1300</v>
      </c>
      <c r="Q841">
        <v>0</v>
      </c>
      <c r="R841">
        <v>2000</v>
      </c>
      <c r="S841">
        <v>0</v>
      </c>
      <c r="T841">
        <v>700</v>
      </c>
      <c r="U841">
        <v>220000</v>
      </c>
      <c r="V841">
        <v>11033</v>
      </c>
      <c r="W841" t="str">
        <v>0</v>
      </c>
      <c r="X841">
        <v>20130</v>
      </c>
      <c r="Y841" s="31">
        <v>46032</v>
      </c>
      <c r="Z841" t="str">
        <v/>
      </c>
      <c r="AA841" t="str">
        <v>技術・人文知識・国際業務</v>
      </c>
      <c r="AB841" t="str">
        <v>747-0825</v>
      </c>
      <c r="AC841" t="str">
        <v>山口県防府市大字新田1721-1</v>
      </c>
      <c r="AD841" t="str">
        <v>ﾃﾞｰｱｱｲⅠ　201号</v>
      </c>
      <c r="AE841" s="31">
        <v>0</v>
      </c>
      <c r="AF841" s="31">
        <v>45554</v>
      </c>
      <c r="AG841" s="31">
        <v>45723</v>
      </c>
      <c r="AH841" s="31">
        <v>0</v>
      </c>
      <c r="AI841">
        <v>45554</v>
      </c>
      <c r="AJ841" t="str">
        <v>10/2林</v>
      </c>
      <c r="AK841">
        <v>0</v>
      </c>
      <c r="AL841">
        <v>45554</v>
      </c>
      <c r="AM841">
        <v>0</v>
      </c>
      <c r="AN841">
        <v>0</v>
      </c>
      <c r="AO841">
        <v>0</v>
      </c>
      <c r="AP841">
        <v>0</v>
      </c>
      <c r="AQ841">
        <v>0</v>
      </c>
      <c r="AR841">
        <v>0</v>
      </c>
    </row>
    <row r="842" spans="1:44">
      <c r="A842" t="str">
        <f>H842&amp;COUNTIF($H$2:H842,H842)</f>
        <v>州の崎工場製造2課3工区1班1</v>
      </c>
      <c r="B842" t="str">
        <f>F842&amp;COUNTIF($F$2:F842,F842)</f>
        <v>コーリツ 州の崎37</v>
      </c>
      <c r="C842" t="str">
        <v>在職中</v>
      </c>
      <c r="D842">
        <v>241002</v>
      </c>
      <c r="E842">
        <v>8210106</v>
      </c>
      <c r="F842" t="str">
        <v>コーリツ 州の崎</v>
      </c>
      <c r="G842" t="str">
        <v>州の崎工場製造2課3工区1班</v>
      </c>
      <c r="H842" t="str">
        <v>州の崎工場製造2課3工区1班</v>
      </c>
      <c r="I842">
        <v>0</v>
      </c>
      <c r="J842" t="str">
        <v>NAKIRI FERREIRA VALDINEI</v>
      </c>
      <c r="K842" t="str">
        <v>ナキリ　フェレイラ</v>
      </c>
      <c r="L842" t="str">
        <v>男</v>
      </c>
      <c r="M842" t="str">
        <v>ﾌﾞﾗｼﾞﾙ</v>
      </c>
      <c r="N842" s="31">
        <v>27190</v>
      </c>
      <c r="O842">
        <v>51</v>
      </c>
      <c r="P842">
        <v>1500</v>
      </c>
      <c r="Q842">
        <v>0</v>
      </c>
      <c r="R842">
        <v>2150</v>
      </c>
      <c r="S842">
        <v>0</v>
      </c>
      <c r="T842">
        <v>650</v>
      </c>
      <c r="U842">
        <v>320000</v>
      </c>
      <c r="V842">
        <v>16048</v>
      </c>
      <c r="W842">
        <v>2544</v>
      </c>
      <c r="X842">
        <v>29280</v>
      </c>
      <c r="Y842" s="31">
        <v>46480</v>
      </c>
      <c r="Z842" t="str">
        <v/>
      </c>
      <c r="AA842" t="str">
        <v>永住者</v>
      </c>
      <c r="AB842" t="str">
        <v>447-0061</v>
      </c>
      <c r="AC842" t="str">
        <v>愛知県碧南市三度山町47番地</v>
      </c>
      <c r="AD842" t="str">
        <v>ﾚｵﾊﾟﾚｽｱﾝｿﾚｲｴ恵207号</v>
      </c>
      <c r="AE842" s="31" t="str">
        <v>個人</v>
      </c>
      <c r="AF842" s="31">
        <v>45566</v>
      </c>
      <c r="AG842" s="31">
        <v>0</v>
      </c>
      <c r="AH842" s="31">
        <v>0</v>
      </c>
      <c r="AI842">
        <v>45566</v>
      </c>
      <c r="AJ842" t="str">
        <v>10/16林</v>
      </c>
      <c r="AK842">
        <v>0</v>
      </c>
      <c r="AL842">
        <v>45566</v>
      </c>
      <c r="AM842">
        <v>0</v>
      </c>
      <c r="AN842">
        <v>0</v>
      </c>
      <c r="AO842">
        <v>0</v>
      </c>
      <c r="AP842">
        <v>0</v>
      </c>
      <c r="AQ842">
        <v>0</v>
      </c>
      <c r="AR842">
        <v>0</v>
      </c>
    </row>
    <row r="843" spans="1:44">
      <c r="A843" t="str">
        <f>H843&amp;COUNTIF($H$2:H843,H843)</f>
        <v>素材4</v>
      </c>
      <c r="B843" t="str">
        <f>F843&amp;COUNTIF($F$2:F843,F843)</f>
        <v>PATEC49</v>
      </c>
      <c r="C843" t="str">
        <v>在職中</v>
      </c>
      <c r="D843">
        <v>211109</v>
      </c>
      <c r="E843">
        <v>0</v>
      </c>
      <c r="F843" t="str">
        <v>PATEC</v>
      </c>
      <c r="G843" t="str">
        <v>製造部素材課</v>
      </c>
      <c r="H843" t="str">
        <v>素材</v>
      </c>
      <c r="I843" t="str">
        <v>原材料の受入・溶解、低圧鋳造機での成型、熱処理作業、金型整備等</v>
      </c>
      <c r="J843" t="str">
        <v>HOANG THE VINH</v>
      </c>
      <c r="K843" t="str">
        <v>ホアン　テー　ヴィン</v>
      </c>
      <c r="L843" t="str">
        <v>男</v>
      </c>
      <c r="M843" t="str">
        <v>ﾍﾞﾄﾅﾑ</v>
      </c>
      <c r="N843" s="31">
        <v>32051</v>
      </c>
      <c r="O843">
        <v>38</v>
      </c>
      <c r="P843">
        <v>1600</v>
      </c>
      <c r="Q843">
        <v>0</v>
      </c>
      <c r="R843">
        <v>2100</v>
      </c>
      <c r="S843">
        <v>0</v>
      </c>
      <c r="T843">
        <v>500</v>
      </c>
      <c r="U843">
        <v>360000</v>
      </c>
      <c r="V843">
        <v>18054</v>
      </c>
      <c r="W843" t="str">
        <v>0</v>
      </c>
      <c r="X843">
        <v>32940</v>
      </c>
      <c r="Y843" s="31">
        <v>46279</v>
      </c>
      <c r="Z843" t="str">
        <v/>
      </c>
      <c r="AA843" t="str">
        <v>技術・人文知識・国際業務</v>
      </c>
      <c r="AB843" t="str">
        <v>747-0833</v>
      </c>
      <c r="AC843" t="str">
        <v>山口県防府市大字浜方716-15</v>
      </c>
      <c r="AD843" t="str">
        <v>ｱﾙｿｰﾚD101</v>
      </c>
      <c r="AE843" s="31">
        <v>0</v>
      </c>
      <c r="AF843" s="31">
        <v>45566</v>
      </c>
      <c r="AG843" s="31">
        <v>0</v>
      </c>
      <c r="AH843" s="31">
        <v>0</v>
      </c>
      <c r="AI843">
        <v>45566</v>
      </c>
      <c r="AJ843" t="str">
        <v>10/16林</v>
      </c>
      <c r="AK843">
        <v>0</v>
      </c>
      <c r="AL843">
        <v>45566</v>
      </c>
      <c r="AM843">
        <v>0</v>
      </c>
      <c r="AN843">
        <v>0</v>
      </c>
      <c r="AO843">
        <v>0</v>
      </c>
      <c r="AP843">
        <v>0</v>
      </c>
      <c r="AQ843">
        <v>0</v>
      </c>
      <c r="AR843">
        <v>0</v>
      </c>
    </row>
    <row r="844" spans="1:44">
      <c r="A844" t="str">
        <f>H844&amp;COUNTIF($H$2:H844,H844)</f>
        <v>0277</v>
      </c>
      <c r="B844" t="str">
        <f>F844&amp;COUNTIF($F$2:F844,F844)</f>
        <v>ユアサ工機 御津5</v>
      </c>
      <c r="C844" t="str">
        <v>退社</v>
      </c>
      <c r="D844">
        <v>231120</v>
      </c>
      <c r="E844">
        <v>0</v>
      </c>
      <c r="F844" t="str">
        <v>ユアサ工機 御津</v>
      </c>
      <c r="G844">
        <v>0</v>
      </c>
      <c r="H844">
        <v>0</v>
      </c>
      <c r="I844">
        <v>0</v>
      </c>
      <c r="J844" t="str">
        <v>PHAN VAN QUY</v>
      </c>
      <c r="K844" t="str">
        <v>ファン　ヴァン　クイ</v>
      </c>
      <c r="L844" t="str">
        <v>男</v>
      </c>
      <c r="M844" t="str">
        <v>ﾍﾞﾄﾅﾑ</v>
      </c>
      <c r="N844" s="31">
        <v>34858</v>
      </c>
      <c r="O844">
        <v>30</v>
      </c>
      <c r="P844">
        <v>1300</v>
      </c>
      <c r="Q844">
        <v>0</v>
      </c>
      <c r="R844">
        <v>1900</v>
      </c>
      <c r="S844">
        <v>0</v>
      </c>
      <c r="T844">
        <v>600</v>
      </c>
      <c r="U844">
        <v>240000</v>
      </c>
      <c r="V844">
        <v>12036</v>
      </c>
      <c r="W844" t="str">
        <v>0</v>
      </c>
      <c r="X844">
        <v>21960</v>
      </c>
      <c r="Y844" s="31">
        <v>46420</v>
      </c>
      <c r="Z844" t="str">
        <v/>
      </c>
      <c r="AA844" t="str">
        <v>技術・人文知識・国際業務</v>
      </c>
      <c r="AB844" t="str">
        <v>709-2107</v>
      </c>
      <c r="AC844" t="str">
        <v>岡山県岡山市北区御津矢原312-1</v>
      </c>
      <c r="AD844" t="str">
        <v>中須賀ｺｰﾎﾟⅠ102</v>
      </c>
      <c r="AE844" s="31">
        <v>0</v>
      </c>
      <c r="AF844" s="31">
        <v>45566</v>
      </c>
      <c r="AG844" s="31">
        <v>45852</v>
      </c>
      <c r="AH844" s="31">
        <v>0</v>
      </c>
      <c r="AI844">
        <v>45566</v>
      </c>
      <c r="AJ844" t="str">
        <v>10/16林</v>
      </c>
      <c r="AK844">
        <v>0</v>
      </c>
      <c r="AL844">
        <v>45566</v>
      </c>
      <c r="AM844">
        <v>0</v>
      </c>
      <c r="AN844">
        <v>0</v>
      </c>
      <c r="AO844">
        <v>0</v>
      </c>
      <c r="AP844">
        <v>0</v>
      </c>
      <c r="AQ844">
        <v>0</v>
      </c>
      <c r="AR844">
        <v>0</v>
      </c>
    </row>
    <row r="845" spans="1:44">
      <c r="A845" t="str">
        <f>H845&amp;COUNTIF($H$2:H845,H845)</f>
        <v>0278</v>
      </c>
      <c r="B845" t="str">
        <f>F845&amp;COUNTIF($F$2:F845,F845)</f>
        <v>六甲電子26</v>
      </c>
      <c r="C845" t="str">
        <v>在職中</v>
      </c>
      <c r="D845">
        <v>241001</v>
      </c>
      <c r="E845">
        <v>0</v>
      </c>
      <c r="F845" t="str">
        <v>六甲電子</v>
      </c>
      <c r="G845">
        <v>0</v>
      </c>
      <c r="H845">
        <v>0</v>
      </c>
      <c r="I845">
        <v>0</v>
      </c>
      <c r="J845" t="str">
        <v>LE VAN MINH</v>
      </c>
      <c r="K845" t="str">
        <v>レ　ヴァン　ミン</v>
      </c>
      <c r="L845" t="str">
        <v>男</v>
      </c>
      <c r="M845" t="str">
        <v>ﾍﾞﾄﾅﾑ</v>
      </c>
      <c r="N845" s="31">
        <v>35097</v>
      </c>
      <c r="O845">
        <v>29</v>
      </c>
      <c r="P845">
        <v>1400</v>
      </c>
      <c r="Q845">
        <v>0</v>
      </c>
      <c r="R845">
        <v>2000</v>
      </c>
      <c r="S845">
        <v>0</v>
      </c>
      <c r="T845">
        <v>600</v>
      </c>
      <c r="U845">
        <v>300000</v>
      </c>
      <c r="V845">
        <v>15045</v>
      </c>
      <c r="W845" t="str">
        <v>0</v>
      </c>
      <c r="X845">
        <v>27450</v>
      </c>
      <c r="Y845" s="31">
        <v>46079</v>
      </c>
      <c r="Z845">
        <v>84</v>
      </c>
      <c r="AA845" t="str">
        <v>技術・人文知識・国際業務</v>
      </c>
      <c r="AB845" t="str">
        <v>663-8136</v>
      </c>
      <c r="AC845" t="str">
        <v>兵庫県西宮市笠屋町7番19</v>
      </c>
      <c r="AD845" t="str">
        <v>405号室</v>
      </c>
      <c r="AE845" s="31" t="str">
        <v>個人</v>
      </c>
      <c r="AF845" s="31">
        <v>45566</v>
      </c>
      <c r="AG845" s="31">
        <v>0</v>
      </c>
      <c r="AH845" s="31">
        <v>0</v>
      </c>
      <c r="AI845">
        <v>45566</v>
      </c>
      <c r="AJ845" t="str">
        <v>10/17林</v>
      </c>
      <c r="AK845">
        <v>0</v>
      </c>
      <c r="AL845">
        <v>45566</v>
      </c>
      <c r="AM845">
        <v>0</v>
      </c>
      <c r="AN845">
        <v>0</v>
      </c>
      <c r="AO845">
        <v>0</v>
      </c>
      <c r="AP845">
        <v>0</v>
      </c>
      <c r="AQ845">
        <v>0</v>
      </c>
      <c r="AR845">
        <v>0</v>
      </c>
    </row>
    <row r="846" spans="1:44">
      <c r="A846" t="str">
        <f>H846&amp;COUNTIF($H$2:H846,H846)</f>
        <v>ナット11</v>
      </c>
      <c r="B846" t="str">
        <f>F846&amp;COUNTIF($F$2:F846,F846)</f>
        <v>高雄工業 静岡91</v>
      </c>
      <c r="C846" t="str">
        <v>在職中</v>
      </c>
      <c r="D846">
        <v>240117</v>
      </c>
      <c r="E846">
        <v>242104</v>
      </c>
      <c r="F846" t="str">
        <v>高雄工業 静岡</v>
      </c>
      <c r="G846" t="str">
        <v>高雄工業株式会社 静岡事業所第二工場製作課</v>
      </c>
      <c r="H846" t="str">
        <v>ナット</v>
      </c>
      <c r="I846" t="str">
        <v>産業機械部品の研磨加工、NCプログラム修正</v>
      </c>
      <c r="J846" t="str">
        <v>DO XUAN LOI</v>
      </c>
      <c r="K846" t="str">
        <v>ド　スアン　ロイ</v>
      </c>
      <c r="L846" t="str">
        <v>男</v>
      </c>
      <c r="M846" t="str">
        <v>ﾍﾞﾄﾅﾑ</v>
      </c>
      <c r="N846" s="31">
        <v>37354</v>
      </c>
      <c r="O846">
        <v>23</v>
      </c>
      <c r="P846">
        <v>1200</v>
      </c>
      <c r="Q846">
        <v>0</v>
      </c>
      <c r="R846">
        <v>1700</v>
      </c>
      <c r="S846">
        <v>0</v>
      </c>
      <c r="T846">
        <v>500</v>
      </c>
      <c r="U846">
        <v>260000</v>
      </c>
      <c r="V846">
        <v>13039</v>
      </c>
      <c r="W846" t="str">
        <v>0</v>
      </c>
      <c r="X846">
        <v>23790</v>
      </c>
      <c r="Y846" s="31">
        <v>46058</v>
      </c>
      <c r="Z846">
        <v>63</v>
      </c>
      <c r="AA846" t="str">
        <v>技術・人文知識・国際業務</v>
      </c>
      <c r="AB846" t="str">
        <v>437-0066</v>
      </c>
      <c r="AC846" t="str">
        <v>静岡県袋井市山科2844-1</v>
      </c>
      <c r="AD846" t="str">
        <v>ｳﾞｨﾚﾁﾞﾌｫｰB101</v>
      </c>
      <c r="AE846" s="31">
        <v>45314</v>
      </c>
      <c r="AF846" s="31">
        <v>45316</v>
      </c>
      <c r="AG846" s="31">
        <v>0</v>
      </c>
      <c r="AH846" s="31">
        <v>0</v>
      </c>
      <c r="AI846" t="str">
        <v>24.1.25</v>
      </c>
      <c r="AJ846" t="str">
        <v>2/14林</v>
      </c>
      <c r="AK846">
        <v>0</v>
      </c>
      <c r="AL846">
        <v>45316</v>
      </c>
      <c r="AM846">
        <v>0</v>
      </c>
      <c r="AN846">
        <v>0</v>
      </c>
      <c r="AO846">
        <v>0</v>
      </c>
      <c r="AP846">
        <v>0</v>
      </c>
      <c r="AQ846" t="str">
        <v>JLPT-N4</v>
      </c>
      <c r="AR846">
        <v>0</v>
      </c>
    </row>
    <row r="847" spans="1:44">
      <c r="A847" t="str">
        <f>H847&amp;COUNTIF($H$2:H847,H847)</f>
        <v>等速ジョイント33</v>
      </c>
      <c r="B847" t="str">
        <f>F847&amp;COUNTIF($F$2:F847,F847)</f>
        <v>瑞陵精機48</v>
      </c>
      <c r="C847" t="str">
        <v>在職中</v>
      </c>
      <c r="D847">
        <v>241004</v>
      </c>
      <c r="E847">
        <v>0</v>
      </c>
      <c r="F847" t="str">
        <v>瑞陵精機</v>
      </c>
      <c r="G847" t="str">
        <v>製造課</v>
      </c>
      <c r="H847" t="str">
        <v>等速ジョイント</v>
      </c>
      <c r="I847" t="str">
        <v>ＮＣ旋盤、マシニングセンター等の工作機械を使いオペレーターとして製造ラインで製品を加工</v>
      </c>
      <c r="J847" t="str">
        <v>NGUYEN QUOC THAI</v>
      </c>
      <c r="K847" t="str">
        <v>グエン　クオック　タイ</v>
      </c>
      <c r="L847" t="str">
        <v>男</v>
      </c>
      <c r="M847" t="str">
        <v>ﾍﾞﾄﾅﾑ</v>
      </c>
      <c r="N847" s="31">
        <v>36903</v>
      </c>
      <c r="O847">
        <v>24</v>
      </c>
      <c r="P847">
        <v>1250</v>
      </c>
      <c r="Q847">
        <v>0</v>
      </c>
      <c r="R847">
        <v>1700</v>
      </c>
      <c r="S847">
        <v>0</v>
      </c>
      <c r="T847">
        <v>450</v>
      </c>
      <c r="U847">
        <v>260000</v>
      </c>
      <c r="V847">
        <v>13039</v>
      </c>
      <c r="W847" t="str">
        <v>0</v>
      </c>
      <c r="X847">
        <v>23790</v>
      </c>
      <c r="Y847" s="31">
        <v>46295</v>
      </c>
      <c r="Z847" t="str">
        <v/>
      </c>
      <c r="AA847" t="str">
        <v>技術・人文知識・国際業務</v>
      </c>
      <c r="AB847" t="str">
        <v>509-7205</v>
      </c>
      <c r="AC847" t="str">
        <v>岐阜県恵那市長島町中野480-6</v>
      </c>
      <c r="AD847">
        <v>0</v>
      </c>
      <c r="AE847" s="31">
        <v>0</v>
      </c>
      <c r="AF847" s="31">
        <v>45568</v>
      </c>
      <c r="AG847" s="31">
        <v>0</v>
      </c>
      <c r="AH847" s="31">
        <v>0</v>
      </c>
      <c r="AI847">
        <v>45568</v>
      </c>
      <c r="AJ847" t="str">
        <v>10/16林</v>
      </c>
      <c r="AK847">
        <v>0</v>
      </c>
      <c r="AL847">
        <v>45568</v>
      </c>
      <c r="AM847">
        <v>0</v>
      </c>
      <c r="AN847">
        <v>0</v>
      </c>
      <c r="AO847">
        <v>0</v>
      </c>
      <c r="AP847">
        <v>0</v>
      </c>
      <c r="AQ847">
        <v>0</v>
      </c>
      <c r="AR847">
        <v>0</v>
      </c>
    </row>
    <row r="848" spans="1:44">
      <c r="A848" t="str">
        <f>H848&amp;COUNTIF($H$2:H848,H848)</f>
        <v>1次旋係67</v>
      </c>
      <c r="B848" t="str">
        <f>F848&amp;COUNTIF($F$2:F848,F848)</f>
        <v>高雄工業 岡山147</v>
      </c>
      <c r="C848" t="str">
        <v>在職中</v>
      </c>
      <c r="D848">
        <v>241005</v>
      </c>
      <c r="E848">
        <v>232148</v>
      </c>
      <c r="F848" t="str">
        <v>高雄工業 岡山</v>
      </c>
      <c r="G848" t="str">
        <v>高雄工業株式会社 岡山事業所HUB工場製作1課</v>
      </c>
      <c r="H848" t="str">
        <v>1次旋係</v>
      </c>
      <c r="I848" t="str">
        <v>ハブ加工 自動機の操作、ＮＣプログラム修正</v>
      </c>
      <c r="J848" t="str">
        <v>NGUYEN DINH BAC</v>
      </c>
      <c r="K848" t="str">
        <v>グエン　ディン　バック</v>
      </c>
      <c r="L848" t="str">
        <v>男</v>
      </c>
      <c r="M848" t="str">
        <v>ﾍﾞﾄﾅﾑ</v>
      </c>
      <c r="N848" s="31">
        <v>37362</v>
      </c>
      <c r="O848">
        <v>23</v>
      </c>
      <c r="P848">
        <v>1250</v>
      </c>
      <c r="Q848">
        <v>0</v>
      </c>
      <c r="R848">
        <v>1670</v>
      </c>
      <c r="S848">
        <v>0</v>
      </c>
      <c r="T848">
        <v>420</v>
      </c>
      <c r="U848">
        <v>220000</v>
      </c>
      <c r="V848">
        <v>11033</v>
      </c>
      <c r="W848" t="str">
        <v>0</v>
      </c>
      <c r="X848">
        <v>20130</v>
      </c>
      <c r="Y848" s="31">
        <v>46295</v>
      </c>
      <c r="Z848" t="str">
        <v/>
      </c>
      <c r="AA848" t="str">
        <v>技術・人文知識・国際業務</v>
      </c>
      <c r="AB848" t="str">
        <v>709-2107</v>
      </c>
      <c r="AC848" t="str">
        <v>岡山県岡山市北区御津矢原294-1</v>
      </c>
      <c r="AD848" t="str">
        <v>成広矢原ｺｰﾎﾟⅢ103</v>
      </c>
      <c r="AE848" s="31">
        <v>0</v>
      </c>
      <c r="AF848" s="31">
        <v>45572</v>
      </c>
      <c r="AG848" s="31">
        <v>0</v>
      </c>
      <c r="AH848" s="31">
        <v>0</v>
      </c>
      <c r="AI848">
        <v>45572</v>
      </c>
      <c r="AJ848" t="str">
        <v>10/17林</v>
      </c>
      <c r="AK848">
        <v>0</v>
      </c>
      <c r="AL848">
        <v>45572</v>
      </c>
      <c r="AM848">
        <v>0</v>
      </c>
      <c r="AN848">
        <v>0</v>
      </c>
      <c r="AO848">
        <v>0</v>
      </c>
      <c r="AP848">
        <v>0</v>
      </c>
      <c r="AQ848">
        <v>0</v>
      </c>
      <c r="AR848">
        <v>0</v>
      </c>
    </row>
    <row r="849" spans="1:44">
      <c r="A849" t="str">
        <f>H849&amp;COUNTIF($H$2:H849,H849)</f>
        <v>0279</v>
      </c>
      <c r="B849" t="str">
        <f>F849&amp;COUNTIF($F$2:F849,F849)</f>
        <v>ワーク 岡山5</v>
      </c>
      <c r="C849" t="str">
        <v>退社</v>
      </c>
      <c r="D849">
        <v>241006</v>
      </c>
      <c r="E849">
        <v>0</v>
      </c>
      <c r="F849" t="str">
        <v>ワーク 岡山</v>
      </c>
      <c r="G849">
        <v>0</v>
      </c>
      <c r="H849">
        <v>0</v>
      </c>
      <c r="I849">
        <v>0</v>
      </c>
      <c r="J849" t="str">
        <v>TRAN THANH LAM</v>
      </c>
      <c r="K849" t="str">
        <v>チャン　タイン　ラム</v>
      </c>
      <c r="L849" t="str">
        <v>男</v>
      </c>
      <c r="M849" t="str">
        <v>ﾍﾞﾄﾅﾑ</v>
      </c>
      <c r="N849" s="31">
        <v>35000</v>
      </c>
      <c r="O849">
        <v>30</v>
      </c>
      <c r="P849">
        <v>1400</v>
      </c>
      <c r="Q849">
        <v>0</v>
      </c>
      <c r="R849">
        <v>1900</v>
      </c>
      <c r="S849">
        <v>0</v>
      </c>
      <c r="T849">
        <v>500</v>
      </c>
      <c r="U849">
        <v>260000</v>
      </c>
      <c r="V849">
        <v>13039</v>
      </c>
      <c r="W849" t="str">
        <v>0</v>
      </c>
      <c r="X849">
        <v>23790</v>
      </c>
      <c r="Y849" s="31">
        <v>45838</v>
      </c>
      <c r="Z849" t="str">
        <v/>
      </c>
      <c r="AA849" t="str">
        <v>技術・人文知識・国際業務</v>
      </c>
      <c r="AB849" t="str">
        <v>707-0434</v>
      </c>
      <c r="AC849" t="str">
        <v>岡山県美作市壬生148-3</v>
      </c>
      <c r="AD849" t="str">
        <v>ﾊｲﾂ165壬生B202</v>
      </c>
      <c r="AE849" s="31">
        <v>0</v>
      </c>
      <c r="AF849" s="31">
        <v>45582</v>
      </c>
      <c r="AG849" s="31">
        <v>45819</v>
      </c>
      <c r="AH849" s="31">
        <v>0</v>
      </c>
      <c r="AI849">
        <v>45582</v>
      </c>
      <c r="AJ849" t="str">
        <v>11/5林</v>
      </c>
      <c r="AK849">
        <v>0</v>
      </c>
      <c r="AL849">
        <v>45582</v>
      </c>
      <c r="AM849">
        <v>0</v>
      </c>
      <c r="AN849">
        <v>0</v>
      </c>
      <c r="AO849">
        <v>0</v>
      </c>
      <c r="AP849">
        <v>0</v>
      </c>
      <c r="AQ849">
        <v>0</v>
      </c>
      <c r="AR849">
        <v>0</v>
      </c>
    </row>
    <row r="850" spans="1:44">
      <c r="A850" t="str">
        <f>H850&amp;COUNTIF($H$2:H850,H850)</f>
        <v>リフト作業5</v>
      </c>
      <c r="B850" t="str">
        <f>F850&amp;COUNTIF($F$2:F850,F850)</f>
        <v>高雄工業 海南第一64</v>
      </c>
      <c r="C850" t="str">
        <v>在職中</v>
      </c>
      <c r="D850">
        <v>220907</v>
      </c>
      <c r="E850">
        <v>222053</v>
      </c>
      <c r="F850" t="str">
        <v>高雄工業 海南第一</v>
      </c>
      <c r="G850" t="str">
        <v>高雄工業株式会社 第二営業部海南HUB営業課</v>
      </c>
      <c r="H850" t="str">
        <v>リフト作業</v>
      </c>
      <c r="I850" t="str">
        <v>鋳造材料の工場内加工ラインへの供給</v>
      </c>
      <c r="J850" t="str">
        <v>保科　クラウジオ</v>
      </c>
      <c r="K850" t="str">
        <v>ホシナ　クラウジオ</v>
      </c>
      <c r="L850" t="str">
        <v>男</v>
      </c>
      <c r="M850" t="str">
        <v>ﾌﾞﾗｼﾞﾙ</v>
      </c>
      <c r="N850" s="31">
        <v>26057</v>
      </c>
      <c r="O850">
        <v>54</v>
      </c>
      <c r="P850">
        <v>1410</v>
      </c>
      <c r="Q850">
        <v>0</v>
      </c>
      <c r="R850">
        <v>1810</v>
      </c>
      <c r="S850">
        <v>0</v>
      </c>
      <c r="T850">
        <v>400</v>
      </c>
      <c r="U850">
        <v>340000</v>
      </c>
      <c r="V850">
        <v>17051</v>
      </c>
      <c r="W850">
        <v>2703</v>
      </c>
      <c r="X850">
        <v>31110</v>
      </c>
      <c r="Y850" s="31">
        <v>47404</v>
      </c>
      <c r="Z850" t="str">
        <v/>
      </c>
      <c r="AA850" t="str">
        <v>永住者</v>
      </c>
      <c r="AB850" t="str">
        <v>496-0026</v>
      </c>
      <c r="AC850" t="str">
        <v>愛知県津島市唐臼町西島69-2</v>
      </c>
      <c r="AD850">
        <v>0</v>
      </c>
      <c r="AE850" s="31" t="str">
        <v>個人</v>
      </c>
      <c r="AF850" s="31">
        <v>44816</v>
      </c>
      <c r="AG850" s="31">
        <v>0</v>
      </c>
      <c r="AH850" s="31">
        <v>0</v>
      </c>
      <c r="AI850" t="str">
        <v>22.10.01</v>
      </c>
      <c r="AJ850" t="str">
        <v>9/26林</v>
      </c>
      <c r="AK850">
        <v>0</v>
      </c>
      <c r="AL850">
        <v>44816</v>
      </c>
      <c r="AM850">
        <v>0</v>
      </c>
      <c r="AN850">
        <v>0</v>
      </c>
      <c r="AO850">
        <v>0</v>
      </c>
      <c r="AP850">
        <v>0</v>
      </c>
      <c r="AQ850">
        <v>0</v>
      </c>
      <c r="AR850">
        <v>0</v>
      </c>
    </row>
    <row r="851" spans="1:44">
      <c r="A851" t="str">
        <f>H851&amp;COUNTIF($H$2:H851,H851)</f>
        <v>1次旋係68</v>
      </c>
      <c r="B851" t="str">
        <f>F851&amp;COUNTIF($F$2:F851,F851)</f>
        <v>高雄工業 岡山148</v>
      </c>
      <c r="C851" t="str">
        <v>在職中</v>
      </c>
      <c r="D851">
        <v>241009</v>
      </c>
      <c r="E851">
        <v>232149</v>
      </c>
      <c r="F851" t="str">
        <v>高雄工業 岡山</v>
      </c>
      <c r="G851" t="str">
        <v>高雄工業株式会社 岡山事業所HUB工場製作1課</v>
      </c>
      <c r="H851" t="str">
        <v>1次旋係</v>
      </c>
      <c r="I851" t="str">
        <v>ハブ加工 自動機の操作、ＮＣプログラム修正</v>
      </c>
      <c r="J851" t="str">
        <v>LE MINH TUAN</v>
      </c>
      <c r="K851" t="str">
        <v>レー　ミン　トゥアン</v>
      </c>
      <c r="L851" t="str">
        <v>男</v>
      </c>
      <c r="M851" t="str">
        <v>ﾍﾞﾄﾅﾑ</v>
      </c>
      <c r="N851" s="31">
        <v>36903</v>
      </c>
      <c r="O851">
        <v>24</v>
      </c>
      <c r="P851">
        <v>1250</v>
      </c>
      <c r="Q851">
        <v>0</v>
      </c>
      <c r="R851">
        <v>1670</v>
      </c>
      <c r="S851">
        <v>0</v>
      </c>
      <c r="T851">
        <v>420</v>
      </c>
      <c r="U851">
        <v>240000</v>
      </c>
      <c r="V851">
        <v>12036</v>
      </c>
      <c r="W851" t="str">
        <v>0</v>
      </c>
      <c r="X851">
        <v>21960</v>
      </c>
      <c r="Y851" s="31">
        <v>46316</v>
      </c>
      <c r="Z851" t="str">
        <v/>
      </c>
      <c r="AA851" t="str">
        <v>技術・人文知識・国際業務</v>
      </c>
      <c r="AB851" t="str">
        <v>709-2134</v>
      </c>
      <c r="AC851" t="str">
        <v>岡山県岡山市北区御津下田77-3</v>
      </c>
      <c r="AD851" t="str">
        <v>ﾋﾞﾚｯｼﾞﾊｳｽ宇甘川2-402</v>
      </c>
      <c r="AE851" s="31" t="str">
        <v>個人</v>
      </c>
      <c r="AF851" s="31">
        <v>45586</v>
      </c>
      <c r="AG851" s="31">
        <v>0</v>
      </c>
      <c r="AH851" s="31">
        <v>0</v>
      </c>
      <c r="AI851">
        <v>45586</v>
      </c>
      <c r="AJ851" t="str">
        <v>11/21林</v>
      </c>
      <c r="AK851">
        <v>0</v>
      </c>
      <c r="AL851">
        <v>45586</v>
      </c>
      <c r="AM851">
        <v>0</v>
      </c>
      <c r="AN851">
        <v>0</v>
      </c>
      <c r="AO851">
        <v>0</v>
      </c>
      <c r="AP851">
        <v>0</v>
      </c>
      <c r="AQ851">
        <v>0</v>
      </c>
      <c r="AR851">
        <v>0</v>
      </c>
    </row>
    <row r="852" spans="1:44">
      <c r="A852" t="str">
        <f>H852&amp;COUNTIF($H$2:H852,H852)</f>
        <v>生産課8</v>
      </c>
      <c r="B852" t="str">
        <f>F852&amp;COUNTIF($F$2:F852,F852)</f>
        <v>加藤木材工業 本社38</v>
      </c>
      <c r="C852" t="str">
        <v>退社</v>
      </c>
      <c r="D852">
        <v>241008</v>
      </c>
      <c r="E852">
        <v>5650</v>
      </c>
      <c r="F852" t="str">
        <v>加藤木材工業 本社</v>
      </c>
      <c r="G852" t="str">
        <v>生産2部</v>
      </c>
      <c r="H852" t="str">
        <v>生産課</v>
      </c>
      <c r="I852" t="str">
        <v>機械オペレーター及び機械メンテナンス他付随する業務</v>
      </c>
      <c r="J852" t="str">
        <v>LE DUC ANH</v>
      </c>
      <c r="K852" t="str">
        <v>レ　ドゥク　アイン</v>
      </c>
      <c r="L852" t="str">
        <v>男</v>
      </c>
      <c r="M852" t="str">
        <v>ﾍﾞﾄﾅﾑ</v>
      </c>
      <c r="N852" s="31">
        <v>33287</v>
      </c>
      <c r="O852">
        <v>34</v>
      </c>
      <c r="P852">
        <v>1300</v>
      </c>
      <c r="Q852">
        <v>0</v>
      </c>
      <c r="R852">
        <v>1700</v>
      </c>
      <c r="S852">
        <v>0</v>
      </c>
      <c r="T852">
        <v>400</v>
      </c>
      <c r="U852">
        <v>240000</v>
      </c>
      <c r="V852">
        <v>12036</v>
      </c>
      <c r="W852" t="str">
        <v>0</v>
      </c>
      <c r="X852">
        <v>21960</v>
      </c>
      <c r="Y852" s="31">
        <v>46168</v>
      </c>
      <c r="Z852" t="str">
        <v/>
      </c>
      <c r="AA852" t="str">
        <v>技術・人文知識・国際業務</v>
      </c>
      <c r="AB852" t="str">
        <v>486-0906</v>
      </c>
      <c r="AC852" t="str">
        <v>愛知県春日市下屋敷町101-3</v>
      </c>
      <c r="AD852" t="str">
        <v>ｴｽﾎﾟﾜｰﾙ春日井302号</v>
      </c>
      <c r="AE852" s="31">
        <v>0</v>
      </c>
      <c r="AF852" s="31">
        <v>45586</v>
      </c>
      <c r="AG852" s="31">
        <v>45868</v>
      </c>
      <c r="AH852" s="31">
        <v>0</v>
      </c>
      <c r="AI852">
        <v>45586</v>
      </c>
      <c r="AJ852" t="str">
        <v>11/20林</v>
      </c>
      <c r="AK852">
        <v>0</v>
      </c>
      <c r="AL852">
        <v>45586</v>
      </c>
      <c r="AM852">
        <v>0</v>
      </c>
      <c r="AN852">
        <v>0</v>
      </c>
      <c r="AO852">
        <v>0</v>
      </c>
      <c r="AP852">
        <v>0</v>
      </c>
      <c r="AQ852">
        <v>0</v>
      </c>
      <c r="AR852">
        <v>0</v>
      </c>
    </row>
    <row r="853" spans="1:44">
      <c r="A853" t="str">
        <f>H853&amp;COUNTIF($H$2:H853,H853)</f>
        <v>HUB 検査課係.7</v>
      </c>
      <c r="B853" t="str">
        <f>F853&amp;COUNTIF($F$2:F853,F853)</f>
        <v>高雄工業 岡山149</v>
      </c>
      <c r="C853" t="str">
        <v>在職中</v>
      </c>
      <c r="D853">
        <v>241010</v>
      </c>
      <c r="E853">
        <v>232150</v>
      </c>
      <c r="F853" t="str">
        <v>高雄工業 岡山</v>
      </c>
      <c r="G853" t="str">
        <v>高雄工業株式会社 岡山品質保証部岡山HUB品証課</v>
      </c>
      <c r="H853" t="str">
        <v>HUB 検査課係.</v>
      </c>
      <c r="I853" t="str">
        <v>HUB旋削加工品の抜き取り検査</v>
      </c>
      <c r="J853" t="str">
        <v>TRAN THI LE QUYEN</v>
      </c>
      <c r="K853" t="str">
        <v>チャン　テイ　レー　クエン</v>
      </c>
      <c r="L853" t="str">
        <v>女</v>
      </c>
      <c r="M853" t="str">
        <v>ﾍﾞﾄﾅﾑ</v>
      </c>
      <c r="N853" s="31">
        <v>34817</v>
      </c>
      <c r="O853">
        <v>30</v>
      </c>
      <c r="P853">
        <v>1300</v>
      </c>
      <c r="Q853">
        <v>0</v>
      </c>
      <c r="R853">
        <v>1680</v>
      </c>
      <c r="S853">
        <v>0</v>
      </c>
      <c r="T853">
        <v>380</v>
      </c>
      <c r="U853">
        <v>200000</v>
      </c>
      <c r="V853">
        <v>10030</v>
      </c>
      <c r="W853" t="str">
        <v>0</v>
      </c>
      <c r="X853">
        <v>18300</v>
      </c>
      <c r="Y853" s="31">
        <v>46137</v>
      </c>
      <c r="Z853" t="str">
        <v/>
      </c>
      <c r="AA853" t="str">
        <v>技術・人文知識・国際業務</v>
      </c>
      <c r="AB853" t="str">
        <v>709-2107</v>
      </c>
      <c r="AC853" t="str">
        <v>岡山県岡山市北区御津矢原294-1</v>
      </c>
      <c r="AD853" t="str">
        <v>成広矢原ｺｰﾎⅥ105</v>
      </c>
      <c r="AE853" s="31">
        <v>0</v>
      </c>
      <c r="AF853" s="31">
        <v>45588</v>
      </c>
      <c r="AG853" s="31">
        <v>0</v>
      </c>
      <c r="AH853" s="31">
        <v>0</v>
      </c>
      <c r="AI853">
        <v>45588</v>
      </c>
      <c r="AJ853" t="str">
        <v>11/28林</v>
      </c>
      <c r="AK853">
        <v>0</v>
      </c>
      <c r="AL853">
        <v>45588</v>
      </c>
      <c r="AM853">
        <v>0</v>
      </c>
      <c r="AN853">
        <v>0</v>
      </c>
      <c r="AO853">
        <v>0</v>
      </c>
      <c r="AP853">
        <v>0</v>
      </c>
      <c r="AQ853">
        <v>0</v>
      </c>
      <c r="AR853">
        <v>0</v>
      </c>
    </row>
    <row r="854" spans="1:44">
      <c r="A854" t="str">
        <f>H854&amp;COUNTIF($H$2:H854,H854)</f>
        <v>0280</v>
      </c>
      <c r="B854" t="str">
        <f>F854&amp;COUNTIF($F$2:F854,F854)</f>
        <v>六甲電子27</v>
      </c>
      <c r="C854" t="str">
        <v>在職中</v>
      </c>
      <c r="D854">
        <v>211016</v>
      </c>
      <c r="E854">
        <v>60051</v>
      </c>
      <c r="F854" t="str">
        <v>六甲電子</v>
      </c>
      <c r="G854" t="str">
        <v>製造部　製造１課　バッチ</v>
      </c>
      <c r="H854">
        <v>0</v>
      </c>
      <c r="I854">
        <v>0</v>
      </c>
      <c r="J854" t="str">
        <v>HOANG NGOC BINH</v>
      </c>
      <c r="K854" t="str">
        <v>ホアン　ゴック　ビン</v>
      </c>
      <c r="L854" t="str">
        <v>男</v>
      </c>
      <c r="M854" t="str">
        <v>ﾍﾞﾄﾅﾑ</v>
      </c>
      <c r="N854" s="31">
        <v>34043</v>
      </c>
      <c r="O854">
        <v>32</v>
      </c>
      <c r="P854">
        <v>1450</v>
      </c>
      <c r="Q854">
        <v>0</v>
      </c>
      <c r="R854">
        <v>2000</v>
      </c>
      <c r="S854">
        <v>0</v>
      </c>
      <c r="T854">
        <v>550</v>
      </c>
      <c r="U854">
        <v>280000</v>
      </c>
      <c r="V854">
        <v>14042</v>
      </c>
      <c r="W854" t="str">
        <v>0</v>
      </c>
      <c r="X854">
        <v>25620</v>
      </c>
      <c r="Y854" s="31">
        <v>46805</v>
      </c>
      <c r="Z854" t="str">
        <v/>
      </c>
      <c r="AA854" t="str">
        <v>技術・人文知識・国際業務</v>
      </c>
      <c r="AB854" t="str">
        <v>663-8114</v>
      </c>
      <c r="AC854" t="str">
        <v>兵庫県西宮市上甲子園2丁目13-18</v>
      </c>
      <c r="AD854" t="str">
        <v>ﾙ･ｼｴｰﾙ上甲子園203</v>
      </c>
      <c r="AE854" s="31" t="str">
        <v>個人</v>
      </c>
      <c r="AF854" s="31">
        <v>45597</v>
      </c>
      <c r="AG854" s="31">
        <v>0</v>
      </c>
      <c r="AH854" s="31">
        <v>0</v>
      </c>
      <c r="AI854">
        <v>45597</v>
      </c>
      <c r="AJ854" t="str">
        <v>11/21林</v>
      </c>
      <c r="AK854">
        <v>0</v>
      </c>
      <c r="AL854">
        <v>45597</v>
      </c>
      <c r="AM854">
        <v>0</v>
      </c>
      <c r="AN854">
        <v>0</v>
      </c>
      <c r="AO854">
        <v>0</v>
      </c>
      <c r="AP854">
        <v>0</v>
      </c>
      <c r="AQ854">
        <v>0</v>
      </c>
      <c r="AR854">
        <v>0</v>
      </c>
    </row>
    <row r="855" spans="1:44">
      <c r="A855" t="str">
        <f>H855&amp;COUNTIF($H$2:H855,H855)</f>
        <v>外研4</v>
      </c>
      <c r="B855" t="str">
        <f>F855&amp;COUNTIF($F$2:F855,F855)</f>
        <v>ピーエムアイ31</v>
      </c>
      <c r="C855" t="str">
        <v>在職中</v>
      </c>
      <c r="D855">
        <v>231101</v>
      </c>
      <c r="E855">
        <v>0</v>
      </c>
      <c r="F855" t="str">
        <v>ピーエムアイ</v>
      </c>
      <c r="G855" t="str">
        <v>製造部</v>
      </c>
      <c r="H855" t="str">
        <v>外研</v>
      </c>
      <c r="I855" t="str">
        <v>自動車部品の研磨業務、オペレーターとして製造ラインで製品を加工</v>
      </c>
      <c r="J855" t="str">
        <v>PHAM DINH TUNG</v>
      </c>
      <c r="K855" t="str">
        <v>ファム　ディン　トゥン</v>
      </c>
      <c r="L855" t="str">
        <v>男</v>
      </c>
      <c r="M855" t="str">
        <v>ﾍﾞﾄﾅﾑ</v>
      </c>
      <c r="N855" s="31">
        <v>33417</v>
      </c>
      <c r="O855">
        <v>34</v>
      </c>
      <c r="P855">
        <v>1300</v>
      </c>
      <c r="Q855">
        <v>0</v>
      </c>
      <c r="R855">
        <v>1800</v>
      </c>
      <c r="S855">
        <v>0</v>
      </c>
      <c r="T855">
        <v>500</v>
      </c>
      <c r="U855">
        <v>240000</v>
      </c>
      <c r="V855">
        <v>12036</v>
      </c>
      <c r="W855" t="str">
        <v>0</v>
      </c>
      <c r="X855">
        <v>21960</v>
      </c>
      <c r="Y855" s="31">
        <v>46170</v>
      </c>
      <c r="Z855" t="str">
        <v/>
      </c>
      <c r="AA855" t="str">
        <v>技術・人文知識・国際業務</v>
      </c>
      <c r="AB855" t="str">
        <v>471-0805</v>
      </c>
      <c r="AC855" t="str">
        <v>愛知県豊田市美里1-14-18</v>
      </c>
      <c r="AD855" t="str">
        <v>ﾊｲﾂ長嶋201</v>
      </c>
      <c r="AE855" s="31">
        <v>0</v>
      </c>
      <c r="AF855" s="31">
        <v>45597</v>
      </c>
      <c r="AG855" s="31">
        <v>0</v>
      </c>
      <c r="AH855" s="31">
        <v>0</v>
      </c>
      <c r="AI855">
        <v>45597</v>
      </c>
      <c r="AJ855" t="str">
        <v>11/20林</v>
      </c>
      <c r="AK855">
        <v>0</v>
      </c>
      <c r="AL855">
        <v>45597</v>
      </c>
      <c r="AM855">
        <v>0</v>
      </c>
      <c r="AN855">
        <v>0</v>
      </c>
      <c r="AO855">
        <v>0</v>
      </c>
      <c r="AP855">
        <v>0</v>
      </c>
      <c r="AQ855">
        <v>0</v>
      </c>
      <c r="AR855" t="str">
        <v>2024/11/1～2025/1/10まで三幸技研配属　2025/1/13からPMIへ異動</v>
      </c>
    </row>
    <row r="856" spans="1:44">
      <c r="A856" t="str">
        <f>H856&amp;COUNTIF($H$2:H856,H856)</f>
        <v>乙川工場製造3課7工区9班4</v>
      </c>
      <c r="B856" t="str">
        <f>F856&amp;COUNTIF($F$2:F856,F856)</f>
        <v>コーリツ 乙川30</v>
      </c>
      <c r="C856" t="str">
        <v>在職中</v>
      </c>
      <c r="D856">
        <v>210422</v>
      </c>
      <c r="E856">
        <v>8210113</v>
      </c>
      <c r="F856" t="str">
        <v>コーリツ 乙川</v>
      </c>
      <c r="G856" t="str">
        <v>乙川工場製造3課7工区9班</v>
      </c>
      <c r="H856" t="str">
        <v>乙川工場製造3課7工区9班</v>
      </c>
      <c r="I856" t="str">
        <v>ATミッション部品をはじめとする、各種自動車部品の製造</v>
      </c>
      <c r="J856" t="str">
        <v>TRAN DINH VINH</v>
      </c>
      <c r="K856" t="str">
        <v>チャン　ディン　ヴィン</v>
      </c>
      <c r="L856" t="str">
        <v>男</v>
      </c>
      <c r="M856" t="str">
        <v>ﾍﾞﾄﾅﾑ</v>
      </c>
      <c r="N856" s="31">
        <v>32470</v>
      </c>
      <c r="O856">
        <v>37</v>
      </c>
      <c r="P856">
        <v>1500</v>
      </c>
      <c r="Q856">
        <v>0</v>
      </c>
      <c r="R856">
        <v>2150</v>
      </c>
      <c r="S856">
        <v>0</v>
      </c>
      <c r="T856">
        <v>650</v>
      </c>
      <c r="U856">
        <v>360000</v>
      </c>
      <c r="V856">
        <v>18054</v>
      </c>
      <c r="W856" t="str">
        <v>0</v>
      </c>
      <c r="X856">
        <v>32940</v>
      </c>
      <c r="Y856" s="31">
        <v>46161</v>
      </c>
      <c r="Z856" t="str">
        <v/>
      </c>
      <c r="AA856" t="str">
        <v>技術・人文知識・国際業務</v>
      </c>
      <c r="AB856" t="str">
        <v>475-0086</v>
      </c>
      <c r="AC856" t="str">
        <v>愛知県半田市庚申町2-6-7</v>
      </c>
      <c r="AD856" t="str">
        <v>ﾊｲﾂこうしんB棟101</v>
      </c>
      <c r="AE856" s="31" t="str">
        <v>個人</v>
      </c>
      <c r="AF856" s="31">
        <v>45597</v>
      </c>
      <c r="AG856" s="31">
        <v>0</v>
      </c>
      <c r="AH856" s="31">
        <v>0</v>
      </c>
      <c r="AI856">
        <v>45597</v>
      </c>
      <c r="AJ856" t="str">
        <v>11/20林</v>
      </c>
      <c r="AK856">
        <v>0</v>
      </c>
      <c r="AL856">
        <v>45597</v>
      </c>
      <c r="AM856">
        <v>0</v>
      </c>
      <c r="AN856">
        <v>0</v>
      </c>
      <c r="AO856">
        <v>0</v>
      </c>
      <c r="AP856">
        <v>0</v>
      </c>
      <c r="AQ856">
        <v>0</v>
      </c>
      <c r="AR856" t="str">
        <v>2024/11/1ピーエムアイ再入社　2024/12/13業務終了　2024/12/16～コーリツ乙川工場異動</v>
      </c>
    </row>
    <row r="857" spans="1:44">
      <c r="A857" t="str">
        <f>H857&amp;COUNTIF($H$2:H857,H857)</f>
        <v>リフト作業6</v>
      </c>
      <c r="B857" t="str">
        <f>F857&amp;COUNTIF($F$2:F857,F857)</f>
        <v>高雄工業 本社54</v>
      </c>
      <c r="C857" t="str">
        <v>在職中</v>
      </c>
      <c r="D857">
        <v>250604</v>
      </c>
      <c r="E857">
        <v>212056</v>
      </c>
      <c r="F857" t="str">
        <v>高雄工業 本社</v>
      </c>
      <c r="G857" t="str">
        <v>高雄工業株式会社第一営業部本社営業課</v>
      </c>
      <c r="H857" t="str">
        <v>リフト作業</v>
      </c>
      <c r="I857" t="str">
        <v>鋳造材料の工場内加工ラインへの供給</v>
      </c>
      <c r="J857" t="str">
        <v>阿波根　カロリーナ　サチコ</v>
      </c>
      <c r="K857" t="str">
        <v>アワコン　カロリーナ　サチコ</v>
      </c>
      <c r="L857" t="str">
        <v>女</v>
      </c>
      <c r="M857" t="str">
        <v>日本</v>
      </c>
      <c r="N857" s="31">
        <v>28403</v>
      </c>
      <c r="O857">
        <v>48</v>
      </c>
      <c r="P857">
        <v>1400</v>
      </c>
      <c r="Q857">
        <v>0</v>
      </c>
      <c r="R857">
        <v>1750</v>
      </c>
      <c r="S857">
        <v>0</v>
      </c>
      <c r="T857">
        <v>350</v>
      </c>
      <c r="U857">
        <v>240000</v>
      </c>
      <c r="V857">
        <v>12036</v>
      </c>
      <c r="W857">
        <v>1908</v>
      </c>
      <c r="X857">
        <v>21960</v>
      </c>
      <c r="Y857" s="31">
        <v>0</v>
      </c>
      <c r="Z857" t="str">
        <v/>
      </c>
      <c r="AA857">
        <v>0</v>
      </c>
      <c r="AB857" t="str">
        <v>498-0017</v>
      </c>
      <c r="AC857" t="str">
        <v>愛知県弥富市前ヶ須東勘助90-3</v>
      </c>
      <c r="AD857" t="str">
        <v>ｱｰﾙﾗｲﾌ302</v>
      </c>
      <c r="AE857" s="31" t="str">
        <v>個人</v>
      </c>
      <c r="AF857" s="31">
        <v>45812</v>
      </c>
      <c r="AG857" s="31">
        <v>0</v>
      </c>
      <c r="AH857" s="31">
        <v>0</v>
      </c>
      <c r="AI857">
        <v>45812</v>
      </c>
      <c r="AJ857" t="str">
        <v>6/25林</v>
      </c>
      <c r="AK857">
        <v>0</v>
      </c>
      <c r="AL857">
        <v>45812</v>
      </c>
      <c r="AM857">
        <v>0</v>
      </c>
      <c r="AN857">
        <v>0</v>
      </c>
      <c r="AO857">
        <v>0</v>
      </c>
      <c r="AP857">
        <v>0</v>
      </c>
      <c r="AQ857">
        <v>0</v>
      </c>
      <c r="AR857">
        <v>0</v>
      </c>
    </row>
    <row r="858" spans="1:44">
      <c r="A858" t="str">
        <f>H858&amp;COUNTIF($H$2:H858,H858)</f>
        <v>HUB 検査課係.8</v>
      </c>
      <c r="B858" t="str">
        <f>F858&amp;COUNTIF($F$2:F858,F858)</f>
        <v>高雄工業 岡山150</v>
      </c>
      <c r="C858" t="str">
        <v>在職中</v>
      </c>
      <c r="D858">
        <v>241102</v>
      </c>
      <c r="E858">
        <v>232153</v>
      </c>
      <c r="F858" t="str">
        <v>高雄工業 岡山</v>
      </c>
      <c r="G858" t="str">
        <v>高雄工業株式会社 岡山品質保証部岡山HUB品証課</v>
      </c>
      <c r="H858" t="str">
        <v>HUB 検査課係.</v>
      </c>
      <c r="I858" t="str">
        <v>HUB旋削加工品の抜き取り検査</v>
      </c>
      <c r="J858" t="str">
        <v>TRAN HUY HOANG</v>
      </c>
      <c r="K858" t="str">
        <v>チャン　フィ　ホアン</v>
      </c>
      <c r="L858" t="str">
        <v>男</v>
      </c>
      <c r="M858" t="str">
        <v>ﾍﾞﾄﾅﾑ</v>
      </c>
      <c r="N858" s="31">
        <v>36815</v>
      </c>
      <c r="O858">
        <v>25</v>
      </c>
      <c r="P858">
        <v>1260</v>
      </c>
      <c r="Q858">
        <v>0</v>
      </c>
      <c r="R858">
        <v>1670</v>
      </c>
      <c r="S858">
        <v>0</v>
      </c>
      <c r="T858">
        <v>410</v>
      </c>
      <c r="U858">
        <v>220000</v>
      </c>
      <c r="V858">
        <v>11033</v>
      </c>
      <c r="W858" t="str">
        <v>0</v>
      </c>
      <c r="X858">
        <v>20130</v>
      </c>
      <c r="Y858" s="31">
        <v>46325</v>
      </c>
      <c r="Z858" t="str">
        <v/>
      </c>
      <c r="AA858" t="str">
        <v>技術・人文知識・国際業務</v>
      </c>
      <c r="AB858" t="str">
        <v>709-2107</v>
      </c>
      <c r="AC858" t="str">
        <v>岡山県岡山市北区御津矢原311</v>
      </c>
      <c r="AD858" t="str">
        <v>中須賀ｺｰﾎﾟⅢ205</v>
      </c>
      <c r="AE858" s="31">
        <v>0</v>
      </c>
      <c r="AF858" s="31">
        <v>45602</v>
      </c>
      <c r="AG858" s="31">
        <v>0</v>
      </c>
      <c r="AH858" s="31">
        <v>0</v>
      </c>
      <c r="AI858">
        <v>45602</v>
      </c>
      <c r="AJ858" t="str">
        <v>11/20林</v>
      </c>
      <c r="AK858">
        <v>0</v>
      </c>
      <c r="AL858">
        <v>45602</v>
      </c>
      <c r="AM858">
        <v>0</v>
      </c>
      <c r="AN858">
        <v>0</v>
      </c>
      <c r="AO858">
        <v>0</v>
      </c>
      <c r="AP858">
        <v>0</v>
      </c>
      <c r="AQ858">
        <v>0</v>
      </c>
      <c r="AR858">
        <v>0</v>
      </c>
    </row>
    <row r="859" spans="1:44">
      <c r="A859" t="str">
        <f>H859&amp;COUNTIF($H$2:H859,H859)</f>
        <v>1次旋係69</v>
      </c>
      <c r="B859" t="str">
        <f>F859&amp;COUNTIF($F$2:F859,F859)</f>
        <v>高雄工業 岡山151</v>
      </c>
      <c r="C859" t="str">
        <v>在職中</v>
      </c>
      <c r="D859">
        <v>241103</v>
      </c>
      <c r="E859">
        <v>232152</v>
      </c>
      <c r="F859" t="str">
        <v>高雄工業 岡山</v>
      </c>
      <c r="G859" t="str">
        <v>高雄工業株式会社 岡山事業所HUB工場製作1課</v>
      </c>
      <c r="H859" t="str">
        <v>1次旋係</v>
      </c>
      <c r="I859" t="str">
        <v>ハブ加工 自動機の操作、ＮＣプログラム修正</v>
      </c>
      <c r="J859" t="str">
        <v>NGUYEN DUYEN LAM</v>
      </c>
      <c r="K859" t="str">
        <v>グエン　ズエン　ラム</v>
      </c>
      <c r="L859" t="str">
        <v>男</v>
      </c>
      <c r="M859" t="str">
        <v>ﾍﾞﾄﾅﾑ</v>
      </c>
      <c r="N859" s="31">
        <v>37216</v>
      </c>
      <c r="O859">
        <v>24</v>
      </c>
      <c r="P859">
        <v>1250</v>
      </c>
      <c r="Q859">
        <v>0</v>
      </c>
      <c r="R859">
        <v>1670</v>
      </c>
      <c r="S859">
        <v>0</v>
      </c>
      <c r="T859">
        <v>420</v>
      </c>
      <c r="U859">
        <v>240000</v>
      </c>
      <c r="V859">
        <v>12036</v>
      </c>
      <c r="W859" t="str">
        <v>0</v>
      </c>
      <c r="X859">
        <v>21960</v>
      </c>
      <c r="Y859" s="31">
        <v>46325</v>
      </c>
      <c r="Z859" t="str">
        <v/>
      </c>
      <c r="AA859" t="str">
        <v>技術・人文知識・国際業務</v>
      </c>
      <c r="AB859" t="str">
        <v>709-2107</v>
      </c>
      <c r="AC859" t="str">
        <v>岡山県岡山市北区御津矢原307-1</v>
      </c>
      <c r="AD859" t="str">
        <v>成広矢原ｺｰﾎﾟⅡ101</v>
      </c>
      <c r="AE859" s="31">
        <v>0</v>
      </c>
      <c r="AF859" s="31">
        <v>45602</v>
      </c>
      <c r="AG859" s="31">
        <v>0</v>
      </c>
      <c r="AH859" s="31">
        <v>0</v>
      </c>
      <c r="AI859">
        <v>45602</v>
      </c>
      <c r="AJ859" t="str">
        <v>11/20林</v>
      </c>
      <c r="AK859">
        <v>0</v>
      </c>
      <c r="AL859">
        <v>45602</v>
      </c>
      <c r="AM859">
        <v>0</v>
      </c>
      <c r="AN859">
        <v>0</v>
      </c>
      <c r="AO859">
        <v>0</v>
      </c>
      <c r="AP859">
        <v>0</v>
      </c>
      <c r="AQ859">
        <v>0</v>
      </c>
      <c r="AR859">
        <v>0</v>
      </c>
    </row>
    <row r="860" spans="1:44">
      <c r="A860" t="str">
        <f>H860&amp;COUNTIF($H$2:H860,H860)</f>
        <v>1次旋係70</v>
      </c>
      <c r="B860" t="str">
        <f>F860&amp;COUNTIF($F$2:F860,F860)</f>
        <v>高雄工業 岡山152</v>
      </c>
      <c r="C860" t="str">
        <v>在職中</v>
      </c>
      <c r="D860">
        <v>241104</v>
      </c>
      <c r="E860">
        <v>232154</v>
      </c>
      <c r="F860" t="str">
        <v>高雄工業 岡山</v>
      </c>
      <c r="G860" t="str">
        <v>高雄工業株式会社 岡山事業所HUB工場製作1課</v>
      </c>
      <c r="H860" t="str">
        <v>1次旋係</v>
      </c>
      <c r="I860" t="str">
        <v>ハブ加工 自動機の操作、ＮＣプログラム修正</v>
      </c>
      <c r="J860" t="str">
        <v>HOANG TUAN ANH</v>
      </c>
      <c r="K860" t="str">
        <v>ホアン　トゥアン　アイン</v>
      </c>
      <c r="L860" t="str">
        <v>男</v>
      </c>
      <c r="M860" t="str">
        <v>ﾍﾞﾄﾅﾑ</v>
      </c>
      <c r="N860" s="31">
        <v>37057</v>
      </c>
      <c r="O860">
        <v>24</v>
      </c>
      <c r="P860">
        <v>1250</v>
      </c>
      <c r="Q860">
        <v>0</v>
      </c>
      <c r="R860">
        <v>1660</v>
      </c>
      <c r="S860">
        <v>0</v>
      </c>
      <c r="T860">
        <v>410</v>
      </c>
      <c r="U860">
        <v>220000</v>
      </c>
      <c r="V860">
        <v>11033</v>
      </c>
      <c r="W860" t="str">
        <v>0</v>
      </c>
      <c r="X860">
        <v>20130</v>
      </c>
      <c r="Y860" s="31">
        <v>46325</v>
      </c>
      <c r="Z860" t="str">
        <v/>
      </c>
      <c r="AA860" t="str">
        <v>技術・人文知識・国際業務</v>
      </c>
      <c r="AB860" t="str">
        <v>709-2107</v>
      </c>
      <c r="AC860" t="str">
        <v>岡山県岡山市北区御津矢原311</v>
      </c>
      <c r="AD860" t="str">
        <v>中須賀ｺｰﾎﾟⅢ205</v>
      </c>
      <c r="AE860" s="31">
        <v>0</v>
      </c>
      <c r="AF860" s="31">
        <v>45602</v>
      </c>
      <c r="AG860" s="31">
        <v>0</v>
      </c>
      <c r="AH860" s="31">
        <v>0</v>
      </c>
      <c r="AI860">
        <v>45602</v>
      </c>
      <c r="AJ860" t="str">
        <v>11/20林</v>
      </c>
      <c r="AK860">
        <v>0</v>
      </c>
      <c r="AL860">
        <v>45602</v>
      </c>
      <c r="AM860">
        <v>0</v>
      </c>
      <c r="AN860">
        <v>0</v>
      </c>
      <c r="AO860">
        <v>0</v>
      </c>
      <c r="AP860">
        <v>0</v>
      </c>
      <c r="AQ860">
        <v>0</v>
      </c>
      <c r="AR860">
        <v>0</v>
      </c>
    </row>
    <row r="861" spans="1:44">
      <c r="A861" t="str">
        <f>H861&amp;COUNTIF($H$2:H861,H861)</f>
        <v>CVJ長軸旋盤係12</v>
      </c>
      <c r="B861" t="str">
        <f>F861&amp;COUNTIF($F$2:F861,F861)</f>
        <v>高雄工業 岡山153</v>
      </c>
      <c r="C861" t="str">
        <v>在職中</v>
      </c>
      <c r="D861">
        <v>241105</v>
      </c>
      <c r="E861">
        <v>232151</v>
      </c>
      <c r="F861" t="str">
        <v>高雄工業 岡山</v>
      </c>
      <c r="G861" t="str">
        <v>高雄工業株式会社 岡山事業所CVJ工場製作課</v>
      </c>
      <c r="H861" t="str">
        <v>CVJ長軸旋盤係</v>
      </c>
      <c r="I861" t="str">
        <v>ＣＶＪ長軸等速ジョイント旋削加工、ＮＣプログラム修正</v>
      </c>
      <c r="J861" t="str">
        <v>NGUYEN DUC MANH</v>
      </c>
      <c r="K861" t="str">
        <v>グエン　ドゥック　マイン</v>
      </c>
      <c r="L861" t="str">
        <v>男</v>
      </c>
      <c r="M861" t="str">
        <v>ﾍﾞﾄﾅﾑ</v>
      </c>
      <c r="N861" s="31">
        <v>37208</v>
      </c>
      <c r="O861">
        <v>24</v>
      </c>
      <c r="P861">
        <v>1250</v>
      </c>
      <c r="Q861">
        <v>0</v>
      </c>
      <c r="R861">
        <v>1670</v>
      </c>
      <c r="S861">
        <v>0</v>
      </c>
      <c r="T861">
        <v>420</v>
      </c>
      <c r="U861">
        <v>240000</v>
      </c>
      <c r="V861">
        <v>12036</v>
      </c>
      <c r="W861" t="str">
        <v>0</v>
      </c>
      <c r="X861">
        <v>21960</v>
      </c>
      <c r="Y861" s="31">
        <v>46325</v>
      </c>
      <c r="Z861" t="str">
        <v/>
      </c>
      <c r="AA861" t="str">
        <v>技術・人文知識・国際業務</v>
      </c>
      <c r="AB861" t="str">
        <v>709-2107</v>
      </c>
      <c r="AC861" t="str">
        <v>岡山県岡山市北区御津矢原307-1</v>
      </c>
      <c r="AD861" t="str">
        <v>成広矢原ｺｰﾎﾟⅡ101</v>
      </c>
      <c r="AE861" s="31">
        <v>0</v>
      </c>
      <c r="AF861" s="31">
        <v>45602</v>
      </c>
      <c r="AG861" s="31">
        <v>0</v>
      </c>
      <c r="AH861" s="31">
        <v>0</v>
      </c>
      <c r="AI861">
        <v>45602</v>
      </c>
      <c r="AJ861" t="str">
        <v>11/20林</v>
      </c>
      <c r="AK861">
        <v>0</v>
      </c>
      <c r="AL861">
        <v>45602</v>
      </c>
      <c r="AM861">
        <v>0</v>
      </c>
      <c r="AN861">
        <v>0</v>
      </c>
      <c r="AO861">
        <v>0</v>
      </c>
      <c r="AP861">
        <v>0</v>
      </c>
      <c r="AQ861">
        <v>0</v>
      </c>
      <c r="AR861">
        <v>0</v>
      </c>
    </row>
    <row r="862" spans="1:44">
      <c r="A862" t="str">
        <f>H862&amp;COUNTIF($H$2:H862,H862)</f>
        <v>1次旋係71</v>
      </c>
      <c r="B862" t="str">
        <f>F862&amp;COUNTIF($F$2:F862,F862)</f>
        <v>高雄工業 岡山154</v>
      </c>
      <c r="C862" t="str">
        <v>在職中</v>
      </c>
      <c r="D862">
        <v>241106</v>
      </c>
      <c r="E862">
        <v>232155</v>
      </c>
      <c r="F862" t="str">
        <v>高雄工業 岡山</v>
      </c>
      <c r="G862" t="str">
        <v>高雄工業株式会社 岡山事業所HUB工場製作1課</v>
      </c>
      <c r="H862" t="str">
        <v>1次旋係</v>
      </c>
      <c r="I862" t="str">
        <v>ハブ加工 自動機の操作、ＮＣプログラム修正</v>
      </c>
      <c r="J862" t="str">
        <v>HOANG TIEN LONG</v>
      </c>
      <c r="K862" t="str">
        <v>ホアン　ティエン　ロン</v>
      </c>
      <c r="L862" t="str">
        <v>男</v>
      </c>
      <c r="M862" t="str">
        <v>ﾍﾞﾄﾅﾑ</v>
      </c>
      <c r="N862" s="31">
        <v>36818</v>
      </c>
      <c r="O862">
        <v>25</v>
      </c>
      <c r="P862">
        <v>1250</v>
      </c>
      <c r="Q862">
        <v>0</v>
      </c>
      <c r="R862">
        <v>1660</v>
      </c>
      <c r="S862">
        <v>0</v>
      </c>
      <c r="T862">
        <v>410</v>
      </c>
      <c r="U862">
        <v>200000</v>
      </c>
      <c r="V862">
        <v>10030</v>
      </c>
      <c r="W862" t="str">
        <v>0</v>
      </c>
      <c r="X862">
        <v>18300</v>
      </c>
      <c r="Y862" s="31">
        <v>46344</v>
      </c>
      <c r="Z862" t="str">
        <v/>
      </c>
      <c r="AA862" t="str">
        <v>技術・人文知識・国際業務</v>
      </c>
      <c r="AB862" t="str">
        <v>709-2107</v>
      </c>
      <c r="AC862" t="str">
        <v>岡山県岡山市北区御津矢原307</v>
      </c>
      <c r="AD862" t="str">
        <v>成広矢原ｺｰﾎﾟⅠ102</v>
      </c>
      <c r="AE862" s="31">
        <v>0</v>
      </c>
      <c r="AF862" s="31">
        <v>45621</v>
      </c>
      <c r="AG862" s="31">
        <v>0</v>
      </c>
      <c r="AH862" s="31">
        <v>0</v>
      </c>
      <c r="AI862">
        <v>45621</v>
      </c>
      <c r="AJ862" t="str">
        <v>12/17林</v>
      </c>
      <c r="AK862">
        <v>0</v>
      </c>
      <c r="AL862">
        <v>45621</v>
      </c>
      <c r="AM862">
        <v>0</v>
      </c>
      <c r="AN862">
        <v>0</v>
      </c>
      <c r="AO862">
        <v>0</v>
      </c>
      <c r="AP862">
        <v>0</v>
      </c>
      <c r="AQ862">
        <v>0</v>
      </c>
      <c r="AR862">
        <v>0</v>
      </c>
    </row>
    <row r="863" spans="1:44">
      <c r="A863" t="str">
        <f>H863&amp;COUNTIF($H$2:H863,H863)</f>
        <v>0281</v>
      </c>
      <c r="B863" t="str">
        <f>F863&amp;COUNTIF($F$2:F863,F863)</f>
        <v>川原鉄工所38</v>
      </c>
      <c r="C863" t="str">
        <v>退社</v>
      </c>
      <c r="D863">
        <v>241201</v>
      </c>
      <c r="E863">
        <v>0</v>
      </c>
      <c r="F863" t="str">
        <v>川原鉄工所</v>
      </c>
      <c r="G863">
        <v>0</v>
      </c>
      <c r="H863">
        <v>0</v>
      </c>
      <c r="I863">
        <v>0</v>
      </c>
      <c r="J863" t="str">
        <v>NGUYEN HUU KHANG</v>
      </c>
      <c r="K863" t="str">
        <v>グエン　ヒュウ　カン</v>
      </c>
      <c r="L863" t="str">
        <v>男</v>
      </c>
      <c r="M863" t="str">
        <v>ﾍﾞﾄﾅﾑ</v>
      </c>
      <c r="N863" s="31">
        <v>36127</v>
      </c>
      <c r="O863">
        <v>27</v>
      </c>
      <c r="P863">
        <v>1300</v>
      </c>
      <c r="Q863">
        <v>0</v>
      </c>
      <c r="R863">
        <v>1650</v>
      </c>
      <c r="S863">
        <v>0</v>
      </c>
      <c r="T863">
        <v>350</v>
      </c>
      <c r="U863">
        <v>190000</v>
      </c>
      <c r="V863">
        <v>9528</v>
      </c>
      <c r="W863" t="str">
        <v>0</v>
      </c>
      <c r="X863">
        <v>17385</v>
      </c>
      <c r="Y863" s="31">
        <v>45801</v>
      </c>
      <c r="Z863" t="str">
        <v/>
      </c>
      <c r="AA863" t="str">
        <v>技術・人文知識・国際業務</v>
      </c>
      <c r="AB863" t="str">
        <v>455-0806</v>
      </c>
      <c r="AC863" t="str">
        <v>愛知県名古屋市港区明正2丁目176</v>
      </c>
      <c r="AD863" t="str">
        <v>飯田第二ｺｰﾎﾟ103</v>
      </c>
      <c r="AE863" s="31">
        <v>0</v>
      </c>
      <c r="AF863" s="31">
        <v>45629</v>
      </c>
      <c r="AG863" s="31">
        <v>45708</v>
      </c>
      <c r="AH863" s="31">
        <v>0</v>
      </c>
      <c r="AI863">
        <v>45629</v>
      </c>
      <c r="AJ863" t="str">
        <v>12/17林</v>
      </c>
      <c r="AK863">
        <v>0</v>
      </c>
      <c r="AL863">
        <v>45629</v>
      </c>
      <c r="AM863">
        <v>0</v>
      </c>
      <c r="AN863">
        <v>0</v>
      </c>
      <c r="AO863">
        <v>0</v>
      </c>
      <c r="AP863">
        <v>0</v>
      </c>
      <c r="AQ863">
        <v>0</v>
      </c>
      <c r="AR863">
        <v>0</v>
      </c>
    </row>
    <row r="864" spans="1:44">
      <c r="A864" t="str">
        <f>H864&amp;COUNTIF($H$2:H864,H864)</f>
        <v>リフト作業7</v>
      </c>
      <c r="B864" t="str">
        <f>F864&amp;COUNTIF($F$2:F864,F864)</f>
        <v>高雄工業 海南第一65</v>
      </c>
      <c r="C864" t="str">
        <v>在職中</v>
      </c>
      <c r="D864">
        <v>250703</v>
      </c>
      <c r="E864">
        <v>222089</v>
      </c>
      <c r="F864" t="str">
        <v>高雄工業 海南第一</v>
      </c>
      <c r="G864" t="str">
        <v>高雄工業株式会社 第二営業部海南HUB営業課</v>
      </c>
      <c r="H864" t="str">
        <v>リフト作業</v>
      </c>
      <c r="I864" t="str">
        <v>鋳造材料の工場内加工ラインへの供給</v>
      </c>
      <c r="J864" t="str">
        <v>DA COSTA MARCIO JOSE</v>
      </c>
      <c r="K864" t="str">
        <v>ダ　コスタ　マルシオ　ジョゼ</v>
      </c>
      <c r="L864" t="str">
        <v>男</v>
      </c>
      <c r="M864" t="str">
        <v>ﾌﾞﾗｼﾞﾙ</v>
      </c>
      <c r="N864" s="31">
        <v>30437</v>
      </c>
      <c r="O864">
        <v>42</v>
      </c>
      <c r="P864">
        <v>1400</v>
      </c>
      <c r="Q864">
        <v>0</v>
      </c>
      <c r="R864">
        <v>1750</v>
      </c>
      <c r="S864">
        <v>0</v>
      </c>
      <c r="T864">
        <v>350</v>
      </c>
      <c r="U864">
        <v>260000</v>
      </c>
      <c r="V864">
        <v>13039</v>
      </c>
      <c r="W864">
        <v>2067</v>
      </c>
      <c r="X864">
        <v>23790</v>
      </c>
      <c r="Y864" s="31">
        <v>46692</v>
      </c>
      <c r="Z864" t="str">
        <v/>
      </c>
      <c r="AA864" t="str">
        <v>定住者</v>
      </c>
      <c r="AB864" t="str">
        <v>496-0026</v>
      </c>
      <c r="AC864" t="str">
        <v>愛知県津島市唐臼町西島71-2</v>
      </c>
      <c r="AD864" t="str">
        <v>県営唐臼住宅3棟402号</v>
      </c>
      <c r="AE864" s="31" t="str">
        <v>個人</v>
      </c>
      <c r="AF864" s="31">
        <v>45845</v>
      </c>
      <c r="AG864" s="31">
        <v>0</v>
      </c>
      <c r="AH864" s="31">
        <v>0</v>
      </c>
      <c r="AI864">
        <v>45870</v>
      </c>
      <c r="AJ864" t="str">
        <v>7/28林</v>
      </c>
      <c r="AK864">
        <v>0</v>
      </c>
      <c r="AL864">
        <v>45845</v>
      </c>
      <c r="AM864">
        <v>0</v>
      </c>
      <c r="AN864">
        <v>0</v>
      </c>
      <c r="AO864">
        <v>0</v>
      </c>
      <c r="AP864">
        <v>0</v>
      </c>
      <c r="AQ864">
        <v>0</v>
      </c>
      <c r="AR864">
        <v>0</v>
      </c>
    </row>
    <row r="865" spans="1:44">
      <c r="A865" t="str">
        <f>H865&amp;COUNTIF($H$2:H865,H865)</f>
        <v>本社工場製造1課2工区2班9</v>
      </c>
      <c r="B865" t="str">
        <f>F865&amp;COUNTIF($F$2:F865,F865)</f>
        <v>コーリツ 本社36</v>
      </c>
      <c r="C865" t="str">
        <v>在職中</v>
      </c>
      <c r="D865">
        <v>211012</v>
      </c>
      <c r="E865">
        <v>8210108</v>
      </c>
      <c r="F865" t="str">
        <v>コーリツ 本社</v>
      </c>
      <c r="G865" t="str">
        <v>本社工場製造1課2工区2班</v>
      </c>
      <c r="H865" t="str">
        <v>本社工場製造1課2工区2班</v>
      </c>
      <c r="I865">
        <v>0</v>
      </c>
      <c r="J865" t="str">
        <v>LE QUI HAI</v>
      </c>
      <c r="K865" t="str">
        <v>レ　クイ　ハイ</v>
      </c>
      <c r="L865" t="str">
        <v>男</v>
      </c>
      <c r="M865" t="str">
        <v>ﾍﾞﾄﾅﾑ</v>
      </c>
      <c r="N865" s="31">
        <v>34946</v>
      </c>
      <c r="O865">
        <v>30</v>
      </c>
      <c r="P865">
        <v>1500</v>
      </c>
      <c r="Q865">
        <v>0</v>
      </c>
      <c r="R865">
        <v>2150</v>
      </c>
      <c r="S865">
        <v>0</v>
      </c>
      <c r="T865">
        <v>650</v>
      </c>
      <c r="U865">
        <v>340000</v>
      </c>
      <c r="V865">
        <v>17051</v>
      </c>
      <c r="W865" t="str">
        <v>0</v>
      </c>
      <c r="X865">
        <v>31110</v>
      </c>
      <c r="Y865" s="31">
        <v>46633</v>
      </c>
      <c r="Z865" t="str">
        <v/>
      </c>
      <c r="AA865" t="str">
        <v>技術・人文知識・国際業務</v>
      </c>
      <c r="AB865" t="str">
        <v>444-1314</v>
      </c>
      <c r="AC865" t="str">
        <v>愛知県高浜市論地町3-2-27</v>
      </c>
      <c r="AD865" t="str">
        <v>ｺｰﾎﾟｲｰｽﾄC205</v>
      </c>
      <c r="AE865" s="31" t="str">
        <v>個人</v>
      </c>
      <c r="AF865" s="31">
        <v>45635</v>
      </c>
      <c r="AG865" s="31">
        <v>0</v>
      </c>
      <c r="AH865" s="31">
        <v>0</v>
      </c>
      <c r="AI865">
        <v>45635</v>
      </c>
      <c r="AJ865" t="str">
        <v>12/23林</v>
      </c>
      <c r="AK865">
        <v>0</v>
      </c>
      <c r="AL865">
        <v>45635</v>
      </c>
      <c r="AM865" t="str">
        <v>普通免許</v>
      </c>
      <c r="AN865">
        <v>45934</v>
      </c>
      <c r="AO865" t="str">
        <v>車</v>
      </c>
      <c r="AP865">
        <v>46168</v>
      </c>
      <c r="AQ865">
        <v>0</v>
      </c>
      <c r="AR865">
        <v>0</v>
      </c>
    </row>
    <row r="866" spans="1:44">
      <c r="A866" t="str">
        <f>H866&amp;COUNTIF($H$2:H866,H866)</f>
        <v>乙川工場製造3課5工区7班12</v>
      </c>
      <c r="B866" t="str">
        <f>F866&amp;COUNTIF($F$2:F866,F866)</f>
        <v>コーリツ 乙川31</v>
      </c>
      <c r="C866" t="str">
        <v>在職中</v>
      </c>
      <c r="D866">
        <v>241203</v>
      </c>
      <c r="E866">
        <v>8210109</v>
      </c>
      <c r="F866" t="str">
        <v>コーリツ 乙川</v>
      </c>
      <c r="G866" t="str">
        <v>乙川工場製造3課5工区7班</v>
      </c>
      <c r="H866" t="str">
        <v>乙川工場製造3課5工区7班</v>
      </c>
      <c r="I866">
        <v>0</v>
      </c>
      <c r="J866" t="str">
        <v>DAU VAN TRONG</v>
      </c>
      <c r="K866" t="str">
        <v>ダウ　ヴァン　チョン</v>
      </c>
      <c r="L866" t="str">
        <v>男</v>
      </c>
      <c r="M866" t="str">
        <v>ﾍﾞﾄﾅﾑ</v>
      </c>
      <c r="N866" s="31">
        <v>33092</v>
      </c>
      <c r="O866">
        <v>35</v>
      </c>
      <c r="P866">
        <v>1500</v>
      </c>
      <c r="Q866">
        <v>0</v>
      </c>
      <c r="R866">
        <v>2150</v>
      </c>
      <c r="S866">
        <v>0</v>
      </c>
      <c r="T866">
        <v>650</v>
      </c>
      <c r="U866">
        <v>360000</v>
      </c>
      <c r="V866">
        <v>18054</v>
      </c>
      <c r="W866" t="str">
        <v>0</v>
      </c>
      <c r="X866">
        <v>32940</v>
      </c>
      <c r="Y866" s="31">
        <v>46124</v>
      </c>
      <c r="Z866" t="str">
        <v/>
      </c>
      <c r="AA866" t="str">
        <v>技術・人文知識・国際業務</v>
      </c>
      <c r="AB866" t="str">
        <v>475-0048</v>
      </c>
      <c r="AC866" t="str">
        <v>愛知県半田市乙川稗田町116　</v>
      </c>
      <c r="AD866" t="str">
        <v>NOVA PLUS 301</v>
      </c>
      <c r="AE866" s="31">
        <v>0</v>
      </c>
      <c r="AF866" s="31">
        <v>45635</v>
      </c>
      <c r="AG866" s="31">
        <v>0</v>
      </c>
      <c r="AH866" s="31">
        <v>0</v>
      </c>
      <c r="AI866">
        <v>45635</v>
      </c>
      <c r="AJ866" t="str">
        <v>12/26林</v>
      </c>
      <c r="AK866">
        <v>0</v>
      </c>
      <c r="AL866">
        <v>45635</v>
      </c>
      <c r="AM866">
        <v>0</v>
      </c>
      <c r="AN866">
        <v>0</v>
      </c>
      <c r="AO866">
        <v>0</v>
      </c>
      <c r="AP866">
        <v>0</v>
      </c>
      <c r="AQ866">
        <v>0</v>
      </c>
      <c r="AR866">
        <v>0</v>
      </c>
    </row>
    <row r="867" spans="1:44">
      <c r="A867" t="str">
        <f>H867&amp;COUNTIF($H$2:H867,H867)</f>
        <v>HUB 検査課係1</v>
      </c>
      <c r="B867" t="str">
        <f>F867&amp;COUNTIF($F$2:F867,F867)</f>
        <v>高雄工業 岡山155</v>
      </c>
      <c r="C867" t="str">
        <v>退社</v>
      </c>
      <c r="D867">
        <v>241207</v>
      </c>
      <c r="E867">
        <v>232157</v>
      </c>
      <c r="F867" t="str">
        <v>高雄工業 岡山</v>
      </c>
      <c r="G867" t="str">
        <v>高雄工業株式会社 岡山品質保証部岡山HUB品証課</v>
      </c>
      <c r="H867" t="str">
        <v>HUB 検査課係</v>
      </c>
      <c r="I867" t="str">
        <v>HUB旋削加工品の抜き取り検査</v>
      </c>
      <c r="J867" t="str">
        <v>PHAM MINH HUAN</v>
      </c>
      <c r="K867" t="str">
        <v>ファム　ミン　フアン</v>
      </c>
      <c r="L867" t="str">
        <v>男</v>
      </c>
      <c r="M867" t="str">
        <v>ﾍﾞﾄﾅﾑ</v>
      </c>
      <c r="N867" s="31">
        <v>34924</v>
      </c>
      <c r="O867">
        <v>30</v>
      </c>
      <c r="P867">
        <v>1300</v>
      </c>
      <c r="Q867">
        <v>0</v>
      </c>
      <c r="R867">
        <v>1660</v>
      </c>
      <c r="S867">
        <v>0</v>
      </c>
      <c r="T867">
        <v>360</v>
      </c>
      <c r="U867">
        <v>220000</v>
      </c>
      <c r="V867">
        <v>11033</v>
      </c>
      <c r="W867" t="str">
        <v>0</v>
      </c>
      <c r="X867">
        <v>20130</v>
      </c>
      <c r="Y867" s="31">
        <v>46151</v>
      </c>
      <c r="Z867" t="str">
        <v/>
      </c>
      <c r="AA867" t="str">
        <v>技術・人文知識・国際業務</v>
      </c>
      <c r="AB867" t="str">
        <v>700-0054</v>
      </c>
      <c r="AC867" t="str">
        <v>岡山県岡山市北区下伊福西町7-32</v>
      </c>
      <c r="AD867" t="str">
        <v>いわいｻﾝｺｰﾎﾟ107号</v>
      </c>
      <c r="AE867" s="31" t="str">
        <v>個人</v>
      </c>
      <c r="AF867" s="31">
        <v>45635</v>
      </c>
      <c r="AG867" s="31">
        <v>45834</v>
      </c>
      <c r="AH867" s="31">
        <v>0</v>
      </c>
      <c r="AI867">
        <v>45635</v>
      </c>
      <c r="AJ867" t="str">
        <v>12/23林</v>
      </c>
      <c r="AK867">
        <v>0</v>
      </c>
      <c r="AL867">
        <v>45635</v>
      </c>
      <c r="AM867">
        <v>0</v>
      </c>
      <c r="AN867">
        <v>0</v>
      </c>
      <c r="AO867">
        <v>0</v>
      </c>
      <c r="AP867">
        <v>0</v>
      </c>
      <c r="AQ867">
        <v>0</v>
      </c>
      <c r="AR867">
        <v>0</v>
      </c>
    </row>
    <row r="868" spans="1:44">
      <c r="A868" t="str">
        <f>H868&amp;COUNTIF($H$2:H868,H868)</f>
        <v>リフト作業8</v>
      </c>
      <c r="B868" t="str">
        <f>F868&amp;COUNTIF($F$2:F868,F868)</f>
        <v>高雄工業 海南第二21</v>
      </c>
      <c r="C868" t="str">
        <v>在職中</v>
      </c>
      <c r="D868">
        <v>250904</v>
      </c>
      <c r="E868">
        <v>222090</v>
      </c>
      <c r="F868" t="str">
        <v>高雄工業 海南第二</v>
      </c>
      <c r="G868" t="str">
        <v>高雄工業株式会社 愛知事業所 海南第二工場 第三営業部 海南産機営業課</v>
      </c>
      <c r="H868" t="str">
        <v>リフト作業</v>
      </c>
      <c r="I868" t="str">
        <v>鋳造材料の工場内加工ラインへの供給</v>
      </c>
      <c r="J868" t="str">
        <v>神山　龍也</v>
      </c>
      <c r="K868" t="str">
        <v>カミヤマ　リュウヤ</v>
      </c>
      <c r="L868" t="str">
        <v>男</v>
      </c>
      <c r="M868" t="str">
        <v>日本</v>
      </c>
      <c r="N868" s="31">
        <v>35541</v>
      </c>
      <c r="O868">
        <v>28</v>
      </c>
      <c r="P868">
        <v>1400</v>
      </c>
      <c r="Q868">
        <v>0</v>
      </c>
      <c r="R868">
        <v>1750</v>
      </c>
      <c r="S868">
        <v>0</v>
      </c>
      <c r="T868">
        <v>350</v>
      </c>
      <c r="U868">
        <v>240000</v>
      </c>
      <c r="V868">
        <v>12036</v>
      </c>
      <c r="W868" t="str">
        <v>0</v>
      </c>
      <c r="X868">
        <v>21960</v>
      </c>
      <c r="Y868" s="31">
        <v>0</v>
      </c>
      <c r="Z868" t="str">
        <v/>
      </c>
      <c r="AA868">
        <v>0</v>
      </c>
      <c r="AB868" t="str">
        <v>498-0031</v>
      </c>
      <c r="AC868" t="str">
        <v>愛知県弥富市平島町五反割63-14</v>
      </c>
      <c r="AD868">
        <v>0</v>
      </c>
      <c r="AE868" s="31" t="str">
        <v>個人</v>
      </c>
      <c r="AF868" s="31">
        <v>45916</v>
      </c>
      <c r="AG868" s="31">
        <v>0</v>
      </c>
      <c r="AH868" s="31">
        <v>0</v>
      </c>
      <c r="AI868">
        <v>45916</v>
      </c>
      <c r="AJ868" t="str">
        <v>9/30林</v>
      </c>
      <c r="AK868">
        <v>0</v>
      </c>
      <c r="AL868">
        <v>45916</v>
      </c>
      <c r="AM868">
        <v>0</v>
      </c>
      <c r="AN868">
        <v>0</v>
      </c>
      <c r="AO868">
        <v>0</v>
      </c>
      <c r="AP868">
        <v>0</v>
      </c>
      <c r="AQ868">
        <v>0</v>
      </c>
      <c r="AR868">
        <v>0</v>
      </c>
    </row>
    <row r="869" spans="1:44">
      <c r="A869" t="str">
        <f>H869&amp;COUNTIF($H$2:H869,H869)</f>
        <v>0282</v>
      </c>
      <c r="B869" t="str">
        <f>F869&amp;COUNTIF($F$2:F869,F869)</f>
        <v>瑞陵精機49</v>
      </c>
      <c r="C869" t="str">
        <v>退社</v>
      </c>
      <c r="D869">
        <v>241204</v>
      </c>
      <c r="E869">
        <v>0</v>
      </c>
      <c r="F869" t="str">
        <v>瑞陵精機</v>
      </c>
      <c r="G869">
        <v>0</v>
      </c>
      <c r="H869">
        <v>0</v>
      </c>
      <c r="I869">
        <v>0</v>
      </c>
      <c r="J869" t="str">
        <v>VO KIM THANH</v>
      </c>
      <c r="K869" t="str">
        <v>ヴォ　キム　タイン</v>
      </c>
      <c r="L869" t="str">
        <v>男</v>
      </c>
      <c r="M869" t="str">
        <v>ﾍﾞﾄﾅﾑ</v>
      </c>
      <c r="N869" s="31">
        <v>36689</v>
      </c>
      <c r="O869">
        <v>25</v>
      </c>
      <c r="P869">
        <v>1200</v>
      </c>
      <c r="Q869">
        <v>0</v>
      </c>
      <c r="R869">
        <v>1700</v>
      </c>
      <c r="S869">
        <v>0</v>
      </c>
      <c r="T869">
        <v>500</v>
      </c>
      <c r="U869">
        <v>200000</v>
      </c>
      <c r="V869">
        <v>10030</v>
      </c>
      <c r="W869" t="str">
        <v>0</v>
      </c>
      <c r="X869">
        <v>18300</v>
      </c>
      <c r="Y869" s="31">
        <v>45993</v>
      </c>
      <c r="Z869" t="str">
        <v/>
      </c>
      <c r="AA869" t="str">
        <v>技術・人文知識・国際業務</v>
      </c>
      <c r="AB869" t="str">
        <v>509-7205</v>
      </c>
      <c r="AC869" t="str">
        <v>岐阜県恵那市長島町中野480-6</v>
      </c>
      <c r="AD869">
        <v>0</v>
      </c>
      <c r="AE869" s="31">
        <v>0</v>
      </c>
      <c r="AF869" s="31">
        <v>45635</v>
      </c>
      <c r="AG869" s="31">
        <v>45803</v>
      </c>
      <c r="AH869" s="31">
        <v>0</v>
      </c>
      <c r="AI869">
        <v>45635</v>
      </c>
      <c r="AJ869" t="str">
        <v>12/23林</v>
      </c>
      <c r="AK869">
        <v>0</v>
      </c>
      <c r="AL869">
        <v>45635</v>
      </c>
      <c r="AM869">
        <v>0</v>
      </c>
      <c r="AN869">
        <v>0</v>
      </c>
      <c r="AO869">
        <v>0</v>
      </c>
      <c r="AP869">
        <v>0</v>
      </c>
      <c r="AQ869">
        <v>0</v>
      </c>
      <c r="AR869">
        <v>0</v>
      </c>
    </row>
    <row r="870" spans="1:44">
      <c r="A870" t="str">
        <f>H870&amp;COUNTIF($H$2:H870,H870)</f>
        <v>1次旋係72</v>
      </c>
      <c r="B870" t="str">
        <f>F870&amp;COUNTIF($F$2:F870,F870)</f>
        <v>高雄工業 岡山156</v>
      </c>
      <c r="C870" t="str">
        <v>在職中</v>
      </c>
      <c r="D870">
        <v>241206</v>
      </c>
      <c r="E870">
        <v>232156</v>
      </c>
      <c r="F870" t="str">
        <v>高雄工業 岡山</v>
      </c>
      <c r="G870" t="str">
        <v>高雄工業株式会社 岡山事業所HUB工場製作1課</v>
      </c>
      <c r="H870" t="str">
        <v>1次旋係</v>
      </c>
      <c r="I870" t="str">
        <v>ハブ加工 自動機の操作、ＮＣプログラム修正</v>
      </c>
      <c r="J870" t="str">
        <v>BUI MINH PHAP</v>
      </c>
      <c r="K870" t="str">
        <v>ブイ　ミン　ファップ</v>
      </c>
      <c r="L870" t="str">
        <v>男</v>
      </c>
      <c r="M870" t="str">
        <v>ﾍﾞﾄﾅﾑ</v>
      </c>
      <c r="N870" s="31">
        <v>36260</v>
      </c>
      <c r="O870">
        <v>26</v>
      </c>
      <c r="P870">
        <v>1250</v>
      </c>
      <c r="Q870">
        <v>0</v>
      </c>
      <c r="R870">
        <v>1660</v>
      </c>
      <c r="S870">
        <v>0</v>
      </c>
      <c r="T870">
        <v>410</v>
      </c>
      <c r="U870">
        <v>220000</v>
      </c>
      <c r="V870">
        <v>11033</v>
      </c>
      <c r="W870" t="str">
        <v>0</v>
      </c>
      <c r="X870">
        <v>20130</v>
      </c>
      <c r="Y870" s="31">
        <v>46358</v>
      </c>
      <c r="Z870" t="str">
        <v/>
      </c>
      <c r="AA870" t="str">
        <v>技術・人文知識・国際業務</v>
      </c>
      <c r="AB870" t="str">
        <v>709-2107</v>
      </c>
      <c r="AC870" t="str">
        <v>岡山県岡山市北区御津矢原311</v>
      </c>
      <c r="AD870" t="str">
        <v>中須賀ｺｰﾎﾟⅢ205</v>
      </c>
      <c r="AE870" s="31">
        <v>0</v>
      </c>
      <c r="AF870" s="31">
        <v>45636</v>
      </c>
      <c r="AG870" s="31">
        <v>0</v>
      </c>
      <c r="AH870" s="31">
        <v>0</v>
      </c>
      <c r="AI870">
        <v>45636</v>
      </c>
      <c r="AJ870" t="str">
        <v>12/23林</v>
      </c>
      <c r="AK870">
        <v>0</v>
      </c>
      <c r="AL870">
        <v>45636</v>
      </c>
      <c r="AM870">
        <v>0</v>
      </c>
      <c r="AN870">
        <v>0</v>
      </c>
      <c r="AO870">
        <v>0</v>
      </c>
      <c r="AP870">
        <v>0</v>
      </c>
      <c r="AQ870">
        <v>0</v>
      </c>
      <c r="AR870">
        <v>0</v>
      </c>
    </row>
    <row r="871" spans="1:44">
      <c r="A871" t="str">
        <f>H871&amp;COUNTIF($H$2:H871,H871)</f>
        <v>本社工場製造1課1工区1班13</v>
      </c>
      <c r="B871" t="str">
        <f>F871&amp;COUNTIF($F$2:F871,F871)</f>
        <v>コーリツ 本社37</v>
      </c>
      <c r="C871" t="str">
        <v>退社</v>
      </c>
      <c r="D871">
        <v>241209</v>
      </c>
      <c r="E871">
        <v>8210110</v>
      </c>
      <c r="F871" t="str">
        <v>コーリツ 本社</v>
      </c>
      <c r="G871" t="str">
        <v>本社工場製造1課1工区1班</v>
      </c>
      <c r="H871" t="str">
        <v>本社工場製造1課1工区1班</v>
      </c>
      <c r="I871">
        <v>0</v>
      </c>
      <c r="J871" t="str">
        <v>NGO DANG BANG</v>
      </c>
      <c r="K871" t="str">
        <v>ゴ　ダン　バン</v>
      </c>
      <c r="L871" t="str">
        <v>男</v>
      </c>
      <c r="M871" t="str">
        <v>ﾍﾞﾄﾅﾑ</v>
      </c>
      <c r="N871" s="31">
        <v>35613</v>
      </c>
      <c r="O871">
        <v>28</v>
      </c>
      <c r="P871">
        <v>1500</v>
      </c>
      <c r="Q871">
        <v>0</v>
      </c>
      <c r="R871">
        <v>2150</v>
      </c>
      <c r="S871">
        <v>0</v>
      </c>
      <c r="T871">
        <v>650</v>
      </c>
      <c r="U871">
        <v>220000</v>
      </c>
      <c r="V871">
        <v>11033</v>
      </c>
      <c r="W871" t="str">
        <v>0</v>
      </c>
      <c r="X871">
        <v>20130</v>
      </c>
      <c r="Y871" s="31">
        <v>46587</v>
      </c>
      <c r="Z871" t="str">
        <v/>
      </c>
      <c r="AA871" t="str">
        <v>技術・人文知識・国際業務</v>
      </c>
      <c r="AB871" t="str">
        <v>474-0011</v>
      </c>
      <c r="AC871" t="str">
        <v>愛知県大府市横根町平子74</v>
      </c>
      <c r="AD871" t="str">
        <v>ﾋﾞﾚｯｼﾞﾊｳｽ横根5号棟307</v>
      </c>
      <c r="AE871" s="31" t="str">
        <v>個人</v>
      </c>
      <c r="AF871" s="31">
        <v>45642</v>
      </c>
      <c r="AG871" s="31">
        <v>45905</v>
      </c>
      <c r="AH871" s="31">
        <v>0</v>
      </c>
      <c r="AI871">
        <v>45642</v>
      </c>
      <c r="AJ871" t="str">
        <v>12/26林</v>
      </c>
      <c r="AK871">
        <v>0</v>
      </c>
      <c r="AL871">
        <v>45642</v>
      </c>
      <c r="AM871">
        <v>0</v>
      </c>
      <c r="AN871">
        <v>0</v>
      </c>
      <c r="AO871">
        <v>0</v>
      </c>
      <c r="AP871">
        <v>0</v>
      </c>
      <c r="AQ871">
        <v>0</v>
      </c>
      <c r="AR871">
        <v>0</v>
      </c>
    </row>
    <row r="872" spans="1:44">
      <c r="A872" t="str">
        <f>H872&amp;COUNTIF($H$2:H872,H872)</f>
        <v>本社工場製造1課1工区1班14</v>
      </c>
      <c r="B872" t="str">
        <f>F872&amp;COUNTIF($F$2:F872,F872)</f>
        <v>コーリツ 本社38</v>
      </c>
      <c r="C872" t="str">
        <v>在職中</v>
      </c>
      <c r="D872">
        <v>241210</v>
      </c>
      <c r="E872">
        <v>8210111</v>
      </c>
      <c r="F872" t="str">
        <v>コーリツ 本社</v>
      </c>
      <c r="G872" t="str">
        <v>本社工場製造1課1工区1班</v>
      </c>
      <c r="H872" t="str">
        <v>本社工場製造1課1工区1班</v>
      </c>
      <c r="I872">
        <v>0</v>
      </c>
      <c r="J872" t="str">
        <v>NGUYEN QUANG TUNG</v>
      </c>
      <c r="K872" t="str">
        <v>グエン　クアン　トゥン</v>
      </c>
      <c r="L872" t="str">
        <v>男</v>
      </c>
      <c r="M872" t="str">
        <v>ﾍﾞﾄﾅﾑ</v>
      </c>
      <c r="N872" s="31">
        <v>33876</v>
      </c>
      <c r="O872">
        <v>33</v>
      </c>
      <c r="P872">
        <v>1500</v>
      </c>
      <c r="Q872">
        <v>0</v>
      </c>
      <c r="R872">
        <v>2150</v>
      </c>
      <c r="S872">
        <v>0</v>
      </c>
      <c r="T872">
        <v>650</v>
      </c>
      <c r="U872">
        <v>360000</v>
      </c>
      <c r="V872">
        <v>18054</v>
      </c>
      <c r="W872" t="str">
        <v>0</v>
      </c>
      <c r="X872">
        <v>32940</v>
      </c>
      <c r="Y872" s="31">
        <v>46683</v>
      </c>
      <c r="Z872" t="str">
        <v/>
      </c>
      <c r="AA872" t="str">
        <v>技術・人文知識・国際業務</v>
      </c>
      <c r="AB872" t="str">
        <v>470-1131</v>
      </c>
      <c r="AC872" t="str">
        <v>愛知県豊明市二村台3-3-1</v>
      </c>
      <c r="AD872" t="str">
        <v>豊明団地45-105</v>
      </c>
      <c r="AE872" s="31" t="str">
        <v>個人</v>
      </c>
      <c r="AF872" s="31">
        <v>45642</v>
      </c>
      <c r="AG872" s="31">
        <v>0</v>
      </c>
      <c r="AH872" s="31">
        <v>0</v>
      </c>
      <c r="AI872">
        <v>45642</v>
      </c>
      <c r="AJ872" t="str">
        <v>12/26林</v>
      </c>
      <c r="AK872">
        <v>0</v>
      </c>
      <c r="AL872">
        <v>45642</v>
      </c>
      <c r="AM872">
        <v>0</v>
      </c>
      <c r="AN872">
        <v>0</v>
      </c>
      <c r="AO872">
        <v>0</v>
      </c>
      <c r="AP872">
        <v>0</v>
      </c>
      <c r="AQ872">
        <v>0</v>
      </c>
      <c r="AR872">
        <v>0</v>
      </c>
    </row>
    <row r="873" spans="1:44">
      <c r="A873" t="str">
        <f>H873&amp;COUNTIF($H$2:H873,H873)</f>
        <v>1次旋係73</v>
      </c>
      <c r="B873" t="str">
        <f>F873&amp;COUNTIF($F$2:F873,F873)</f>
        <v>高雄工業 岡山157</v>
      </c>
      <c r="C873" t="str">
        <v>退社</v>
      </c>
      <c r="D873">
        <v>220206</v>
      </c>
      <c r="E873">
        <v>232045</v>
      </c>
      <c r="F873" t="str">
        <v>高雄工業 岡山</v>
      </c>
      <c r="G873" t="str">
        <v>高雄工業株式会社 岡山事業所HUB工場製作1課</v>
      </c>
      <c r="H873" t="str">
        <v>1次旋係</v>
      </c>
      <c r="I873" t="str">
        <v>ハブ加工 自動機の操作、ＮＣプログラム修正</v>
      </c>
      <c r="J873" t="str">
        <v>DANG DUY VINH</v>
      </c>
      <c r="K873" t="str">
        <v>ダン　ズイ　ビン</v>
      </c>
      <c r="L873" t="str">
        <v>男</v>
      </c>
      <c r="M873" t="str">
        <v>ﾍﾞﾄﾅﾑ</v>
      </c>
      <c r="N873" s="31">
        <v>33746</v>
      </c>
      <c r="O873">
        <v>33</v>
      </c>
      <c r="P873">
        <v>1410</v>
      </c>
      <c r="Q873">
        <v>0</v>
      </c>
      <c r="R873">
        <v>1820</v>
      </c>
      <c r="S873">
        <v>0</v>
      </c>
      <c r="T873">
        <v>410</v>
      </c>
      <c r="U873">
        <v>220000</v>
      </c>
      <c r="V873">
        <v>11033</v>
      </c>
      <c r="W873" t="str">
        <v>0</v>
      </c>
      <c r="X873">
        <v>20130</v>
      </c>
      <c r="Y873" s="31">
        <v>46600</v>
      </c>
      <c r="Z873" t="str">
        <v/>
      </c>
      <c r="AA873" t="str">
        <v>技術・人文知識・国際業務</v>
      </c>
      <c r="AB873" t="str">
        <v>709-2107</v>
      </c>
      <c r="AC873" t="str">
        <v>岡山県岡山市北区御津矢原335-16</v>
      </c>
      <c r="AD873" t="str">
        <v>ﾋﾞﾚｯｼﾞﾊｳｽ</v>
      </c>
      <c r="AE873" s="31" t="str">
        <v>個人</v>
      </c>
      <c r="AF873" s="31">
        <v>45642</v>
      </c>
      <c r="AG873" s="31">
        <v>45773</v>
      </c>
      <c r="AH873" s="31">
        <v>0</v>
      </c>
      <c r="AI873">
        <v>45642</v>
      </c>
      <c r="AJ873" t="str">
        <v>1/30林</v>
      </c>
      <c r="AK873">
        <v>0</v>
      </c>
      <c r="AL873">
        <v>45642</v>
      </c>
      <c r="AM873">
        <v>0</v>
      </c>
      <c r="AN873">
        <v>0</v>
      </c>
      <c r="AO873">
        <v>0</v>
      </c>
      <c r="AP873">
        <v>0</v>
      </c>
      <c r="AQ873">
        <v>0</v>
      </c>
      <c r="AR873">
        <v>0</v>
      </c>
    </row>
    <row r="874" spans="1:44">
      <c r="A874" t="str">
        <f>H874&amp;COUNTIF($H$2:H874,H874)</f>
        <v>0283</v>
      </c>
      <c r="B874" t="str">
        <f>F874&amp;COUNTIF($F$2:F874,F874)</f>
        <v>ピーエムアイ32</v>
      </c>
      <c r="C874" t="str">
        <v>退社</v>
      </c>
      <c r="D874">
        <v>241208</v>
      </c>
      <c r="E874">
        <v>0</v>
      </c>
      <c r="F874" t="str">
        <v>ピーエムアイ</v>
      </c>
      <c r="G874">
        <v>0</v>
      </c>
      <c r="H874">
        <v>0</v>
      </c>
      <c r="I874">
        <v>0</v>
      </c>
      <c r="J874" t="str">
        <v>LE VAN QUANG</v>
      </c>
      <c r="K874" t="str">
        <v>レ　ヴァン　クアン</v>
      </c>
      <c r="L874" t="str">
        <v>男</v>
      </c>
      <c r="M874" t="str">
        <v>ﾍﾞﾄﾅﾑ</v>
      </c>
      <c r="N874" s="31">
        <v>36315</v>
      </c>
      <c r="O874">
        <v>26</v>
      </c>
      <c r="P874">
        <v>1300</v>
      </c>
      <c r="Q874">
        <v>0</v>
      </c>
      <c r="R874">
        <v>1800</v>
      </c>
      <c r="S874">
        <v>0</v>
      </c>
      <c r="T874">
        <v>500</v>
      </c>
      <c r="U874">
        <v>220000</v>
      </c>
      <c r="V874">
        <v>11033</v>
      </c>
      <c r="W874" t="str">
        <v>0</v>
      </c>
      <c r="X874">
        <v>20130</v>
      </c>
      <c r="Y874" s="31">
        <v>45763</v>
      </c>
      <c r="Z874" t="str">
        <v/>
      </c>
      <c r="AA874" t="str">
        <v>技術・人文知識・国際業務</v>
      </c>
      <c r="AB874" t="str">
        <v>447-0064</v>
      </c>
      <c r="AC874" t="str">
        <v>愛知県碧南市西山町1-41</v>
      </c>
      <c r="AD874" t="str">
        <v>ﾊﾟｰｸﾊｲｱｯﾄ303</v>
      </c>
      <c r="AE874" s="31" t="str">
        <v>個人</v>
      </c>
      <c r="AF874" s="31">
        <v>45642</v>
      </c>
      <c r="AG874" s="31">
        <v>45730</v>
      </c>
      <c r="AH874" s="31">
        <v>0</v>
      </c>
      <c r="AI874">
        <v>45642</v>
      </c>
      <c r="AJ874" t="str">
        <v>12/26林</v>
      </c>
      <c r="AK874">
        <v>0</v>
      </c>
      <c r="AL874">
        <v>45642</v>
      </c>
      <c r="AM874">
        <v>0</v>
      </c>
      <c r="AN874">
        <v>0</v>
      </c>
      <c r="AO874">
        <v>0</v>
      </c>
      <c r="AP874">
        <v>0</v>
      </c>
      <c r="AQ874">
        <v>0</v>
      </c>
      <c r="AR874">
        <v>0</v>
      </c>
    </row>
    <row r="875" spans="1:44">
      <c r="A875" t="str">
        <f>H875&amp;COUNTIF($H$2:H875,H875)</f>
        <v>リフト作業9</v>
      </c>
      <c r="B875" t="str">
        <f>F875&amp;COUNTIF($F$2:F875,F875)</f>
        <v>高雄工業 海南第一66</v>
      </c>
      <c r="C875" t="str">
        <v>在職中</v>
      </c>
      <c r="D875">
        <v>251103</v>
      </c>
      <c r="E875">
        <v>222091</v>
      </c>
      <c r="F875" t="str">
        <v>高雄工業 海南第一</v>
      </c>
      <c r="G875" t="str">
        <v>高雄工業株式会社 第二営業部海南HUB営業課</v>
      </c>
      <c r="H875" t="str">
        <v>リフト作業</v>
      </c>
      <c r="I875" t="str">
        <v>鋳造材料の工場内加工ラインへの供給</v>
      </c>
      <c r="J875" t="str">
        <v>MATSUMOTO MAURILIO</v>
      </c>
      <c r="K875" t="str">
        <v>マツモト　マウリリオ</v>
      </c>
      <c r="L875" t="str">
        <v>男</v>
      </c>
      <c r="M875" t="str">
        <v>ﾌﾞﾗｼﾞﾙ</v>
      </c>
      <c r="N875" s="31">
        <v>23695</v>
      </c>
      <c r="O875">
        <v>61</v>
      </c>
      <c r="P875">
        <v>1400</v>
      </c>
      <c r="Q875">
        <v>0</v>
      </c>
      <c r="R875">
        <v>1750</v>
      </c>
      <c r="S875">
        <v>0</v>
      </c>
      <c r="T875">
        <v>350</v>
      </c>
      <c r="U875">
        <v>220000</v>
      </c>
      <c r="V875">
        <v>11033</v>
      </c>
      <c r="W875">
        <v>1749</v>
      </c>
      <c r="X875">
        <v>20130</v>
      </c>
      <c r="Y875" s="31">
        <v>46247</v>
      </c>
      <c r="Z875" t="str">
        <v/>
      </c>
      <c r="AA875" t="str">
        <v>永住者</v>
      </c>
      <c r="AB875" t="str">
        <v>497-0058</v>
      </c>
      <c r="AC875" t="str">
        <v>愛知県海部郡蟹江町富吉1丁目723番地</v>
      </c>
      <c r="AD875" t="str">
        <v>富吉公団住宅321号</v>
      </c>
      <c r="AE875" s="31" t="str">
        <v>個人</v>
      </c>
      <c r="AF875" s="31">
        <v>45964</v>
      </c>
      <c r="AG875" s="31">
        <v>0</v>
      </c>
      <c r="AH875" s="31">
        <v>0</v>
      </c>
      <c r="AI875">
        <v>45964</v>
      </c>
      <c r="AJ875" t="str">
        <v>12/1原</v>
      </c>
      <c r="AK875">
        <v>0</v>
      </c>
      <c r="AL875">
        <v>45964</v>
      </c>
      <c r="AM875">
        <v>0</v>
      </c>
      <c r="AN875">
        <v>0</v>
      </c>
      <c r="AO875">
        <v>0</v>
      </c>
      <c r="AP875">
        <v>0</v>
      </c>
      <c r="AQ875">
        <v>0</v>
      </c>
      <c r="AR875">
        <v>0</v>
      </c>
    </row>
    <row r="876" spans="1:44">
      <c r="A876" t="str">
        <f>H876&amp;COUNTIF($H$2:H876,H876)</f>
        <v>自動旋削9</v>
      </c>
      <c r="B876" t="str">
        <f>F876&amp;COUNTIF($F$2:F876,F876)</f>
        <v>高雄工業 静岡92</v>
      </c>
      <c r="C876" t="str">
        <v>在職中</v>
      </c>
      <c r="D876">
        <v>210207</v>
      </c>
      <c r="E876">
        <v>242008</v>
      </c>
      <c r="F876" t="str">
        <v>高雄工業 静岡</v>
      </c>
      <c r="G876" t="str">
        <v>高雄工業株式会社 静岡事業所第一工場製作課</v>
      </c>
      <c r="H876" t="str">
        <v>自動旋削</v>
      </c>
      <c r="I876" t="str">
        <v>CVJ部品短軸品の施削加工、NCプログラム修正</v>
      </c>
      <c r="J876" t="str">
        <v>MA VAN THUY</v>
      </c>
      <c r="K876" t="str">
        <v>マー　ヴァン　トゥイ</v>
      </c>
      <c r="L876" t="str">
        <v>男</v>
      </c>
      <c r="M876" t="str">
        <v>ﾍﾞﾄﾅﾑ</v>
      </c>
      <c r="N876" s="31">
        <v>33849</v>
      </c>
      <c r="O876">
        <v>33</v>
      </c>
      <c r="P876">
        <v>1420</v>
      </c>
      <c r="Q876" t="str">
        <v>6/16~ \1200⇒\1250</v>
      </c>
      <c r="R876">
        <v>1820</v>
      </c>
      <c r="S876" t="str">
        <v>9/16~ 1600円→1750円</v>
      </c>
      <c r="T876">
        <v>400</v>
      </c>
      <c r="U876">
        <v>280000</v>
      </c>
      <c r="V876">
        <v>14042</v>
      </c>
      <c r="W876" t="str">
        <v>0</v>
      </c>
      <c r="X876">
        <v>25620</v>
      </c>
      <c r="Y876" s="31">
        <v>46013</v>
      </c>
      <c r="Z876">
        <v>18</v>
      </c>
      <c r="AA876" t="str">
        <v>技術・人文知識・国際業務</v>
      </c>
      <c r="AB876" t="str">
        <v>437-0065</v>
      </c>
      <c r="AC876" t="str">
        <v>静岡県袋井市堀越3丁目19-2</v>
      </c>
      <c r="AD876" t="str">
        <v>ｴｸｾｰﾗ301号室</v>
      </c>
      <c r="AE876" s="31" t="str">
        <v>個人</v>
      </c>
      <c r="AF876" s="31">
        <v>44242</v>
      </c>
      <c r="AG876" s="31">
        <v>0</v>
      </c>
      <c r="AH876" s="31">
        <v>0</v>
      </c>
      <c r="AI876">
        <v>44287</v>
      </c>
      <c r="AJ876" t="str">
        <v>OK</v>
      </c>
      <c r="AK876">
        <v>0</v>
      </c>
      <c r="AL876">
        <v>44242</v>
      </c>
      <c r="AM876">
        <v>0</v>
      </c>
      <c r="AN876">
        <v>0</v>
      </c>
      <c r="AO876">
        <v>0</v>
      </c>
      <c r="AP876">
        <v>0</v>
      </c>
      <c r="AQ876" t="str">
        <v>JLPT-N3</v>
      </c>
      <c r="AR876">
        <v>0</v>
      </c>
    </row>
    <row r="877" spans="1:44">
      <c r="A877" t="str">
        <f>H877&amp;COUNTIF($H$2:H877,H877)</f>
        <v>等速ジョイント34</v>
      </c>
      <c r="B877" t="str">
        <f>F877&amp;COUNTIF($F$2:F877,F877)</f>
        <v>瑞陵精機50</v>
      </c>
      <c r="C877" t="str">
        <v>在職中</v>
      </c>
      <c r="D877">
        <v>241216</v>
      </c>
      <c r="E877">
        <v>0</v>
      </c>
      <c r="F877" t="str">
        <v>瑞陵精機</v>
      </c>
      <c r="G877" t="str">
        <v>製造課</v>
      </c>
      <c r="H877" t="str">
        <v>等速ジョイント</v>
      </c>
      <c r="I877" t="str">
        <v>ＮＣ旋盤、マシニングセンター等の工作機械を使いオペレーターとして製造ラインで製品を加工</v>
      </c>
      <c r="J877" t="str">
        <v>NGUYEN VAN THUAN</v>
      </c>
      <c r="K877" t="str">
        <v>グエン　ヴァン　トゥアン</v>
      </c>
      <c r="L877" t="str">
        <v>男</v>
      </c>
      <c r="M877" t="str">
        <v>ﾍﾞﾄﾅﾑ</v>
      </c>
      <c r="N877" s="31">
        <v>33044</v>
      </c>
      <c r="O877">
        <v>35</v>
      </c>
      <c r="P877">
        <v>1300</v>
      </c>
      <c r="Q877">
        <v>0</v>
      </c>
      <c r="R877">
        <v>1700</v>
      </c>
      <c r="S877">
        <v>0</v>
      </c>
      <c r="T877">
        <v>400</v>
      </c>
      <c r="U877">
        <v>240000</v>
      </c>
      <c r="V877">
        <v>12036</v>
      </c>
      <c r="W877" t="str">
        <v>0</v>
      </c>
      <c r="X877">
        <v>21960</v>
      </c>
      <c r="Y877" s="31">
        <v>46271</v>
      </c>
      <c r="Z877" t="str">
        <v/>
      </c>
      <c r="AA877" t="str">
        <v>技術・人文知識・国際業務</v>
      </c>
      <c r="AB877" t="str">
        <v>509-7201</v>
      </c>
      <c r="AC877" t="str">
        <v>岐阜県恵那市大井町1120-303</v>
      </c>
      <c r="AD877" t="str">
        <v>各務ﾊｲﾂ4E</v>
      </c>
      <c r="AE877" s="31">
        <v>45658</v>
      </c>
      <c r="AF877" s="31">
        <v>45643</v>
      </c>
      <c r="AG877" s="31">
        <v>0</v>
      </c>
      <c r="AH877" s="31">
        <v>0</v>
      </c>
      <c r="AI877">
        <v>45643</v>
      </c>
      <c r="AJ877" t="str">
        <v>12/26林</v>
      </c>
      <c r="AK877">
        <v>0</v>
      </c>
      <c r="AL877">
        <v>45643</v>
      </c>
      <c r="AM877">
        <v>0</v>
      </c>
      <c r="AN877">
        <v>0</v>
      </c>
      <c r="AO877">
        <v>0</v>
      </c>
      <c r="AP877">
        <v>0</v>
      </c>
      <c r="AQ877">
        <v>0</v>
      </c>
      <c r="AR877">
        <v>0</v>
      </c>
    </row>
    <row r="878" spans="1:44">
      <c r="A878" t="str">
        <f>H878&amp;COUNTIF($H$2:H878,H878)</f>
        <v>自動旋削10</v>
      </c>
      <c r="B878" t="str">
        <f>F878&amp;COUNTIF($F$2:F878,F878)</f>
        <v>高雄工業 静岡93</v>
      </c>
      <c r="C878" t="str">
        <v>在職中</v>
      </c>
      <c r="D878">
        <v>220210</v>
      </c>
      <c r="E878">
        <v>242032</v>
      </c>
      <c r="F878" t="str">
        <v>高雄工業 静岡</v>
      </c>
      <c r="G878" t="str">
        <v>高雄工業株式会社 静岡事業所第一工場製作課</v>
      </c>
      <c r="H878" t="str">
        <v>自動旋削</v>
      </c>
      <c r="I878" t="str">
        <v>CVJ部品短軸品の施削加工、NCプログラム修正</v>
      </c>
      <c r="J878" t="str">
        <v>HOANG ANH TUAN</v>
      </c>
      <c r="K878" t="str">
        <v>ホアン　アイン　トゥアン</v>
      </c>
      <c r="L878" t="str">
        <v>男</v>
      </c>
      <c r="M878" t="str">
        <v>ﾍﾞﾄﾅﾑ</v>
      </c>
      <c r="N878" s="31">
        <v>34992</v>
      </c>
      <c r="O878">
        <v>30</v>
      </c>
      <c r="P878">
        <v>1410</v>
      </c>
      <c r="Q878">
        <v>0</v>
      </c>
      <c r="R878">
        <v>1810</v>
      </c>
      <c r="S878">
        <v>0</v>
      </c>
      <c r="T878">
        <v>400</v>
      </c>
      <c r="U878">
        <v>280000</v>
      </c>
      <c r="V878">
        <v>14042</v>
      </c>
      <c r="W878" t="str">
        <v>0</v>
      </c>
      <c r="X878">
        <v>25620</v>
      </c>
      <c r="Y878" s="31">
        <v>46748</v>
      </c>
      <c r="Z878" t="str">
        <v/>
      </c>
      <c r="AA878" t="str">
        <v>技術・人文知識・国際業務</v>
      </c>
      <c r="AB878" t="str">
        <v>437-0065</v>
      </c>
      <c r="AC878" t="str">
        <v>静岡県袋井市堀越1402-3</v>
      </c>
      <c r="AD878" t="str">
        <v>ｼｬﾙﾏﾝA101</v>
      </c>
      <c r="AE878" s="31" t="str">
        <v>個人</v>
      </c>
      <c r="AF878" s="31">
        <v>44600</v>
      </c>
      <c r="AG878" s="31">
        <v>0</v>
      </c>
      <c r="AH878" s="31">
        <v>0</v>
      </c>
      <c r="AI878">
        <v>22.04</v>
      </c>
      <c r="AJ878" t="str">
        <v>OK</v>
      </c>
      <c r="AK878">
        <v>0</v>
      </c>
      <c r="AL878">
        <v>44600</v>
      </c>
      <c r="AM878">
        <v>0</v>
      </c>
      <c r="AN878">
        <v>0</v>
      </c>
      <c r="AO878">
        <v>0</v>
      </c>
      <c r="AP878">
        <v>0</v>
      </c>
      <c r="AQ878" t="str">
        <v>JLPT-N4</v>
      </c>
      <c r="AR878">
        <v>0</v>
      </c>
    </row>
    <row r="879" spans="1:44">
      <c r="A879" t="str">
        <f>H879&amp;COUNTIF($H$2:H879,H879)</f>
        <v>自動旋削11</v>
      </c>
      <c r="B879" t="str">
        <f>F879&amp;COUNTIF($F$2:F879,F879)</f>
        <v>高雄工業 静岡94</v>
      </c>
      <c r="C879" t="str">
        <v>在職中</v>
      </c>
      <c r="D879">
        <v>221207</v>
      </c>
      <c r="E879">
        <v>242057</v>
      </c>
      <c r="F879" t="str">
        <v>高雄工業 静岡</v>
      </c>
      <c r="G879" t="str">
        <v>高雄工業株式会社 静岡事業所第一工場製作課</v>
      </c>
      <c r="H879" t="str">
        <v>自動旋削</v>
      </c>
      <c r="I879" t="str">
        <v>CVJ部品短軸品の施削加工、NCプログラム修正</v>
      </c>
      <c r="J879" t="str">
        <v>PHAM TRUNG DUNG</v>
      </c>
      <c r="K879" t="str">
        <v>ファム　チュン　ズン</v>
      </c>
      <c r="L879" t="str">
        <v>男</v>
      </c>
      <c r="M879" t="str">
        <v>ﾍﾞﾄﾅﾑ</v>
      </c>
      <c r="N879" s="31">
        <v>35777</v>
      </c>
      <c r="O879">
        <v>27</v>
      </c>
      <c r="P879">
        <v>1320</v>
      </c>
      <c r="Q879">
        <v>0</v>
      </c>
      <c r="R879">
        <v>1700</v>
      </c>
      <c r="S879">
        <v>0</v>
      </c>
      <c r="T879">
        <v>380</v>
      </c>
      <c r="U879">
        <v>260000</v>
      </c>
      <c r="V879">
        <v>13039</v>
      </c>
      <c r="W879" t="str">
        <v>0</v>
      </c>
      <c r="X879">
        <v>23790</v>
      </c>
      <c r="Y879" s="31">
        <v>45993</v>
      </c>
      <c r="Z879" t="str">
        <v>期限過ぎてます! 2</v>
      </c>
      <c r="AA879" t="str">
        <v>技術・人文知識・国際業務</v>
      </c>
      <c r="AB879" t="str">
        <v>437-0016</v>
      </c>
      <c r="AC879" t="str">
        <v>静岡県袋井市葵町2丁目5番地1</v>
      </c>
      <c r="AD879" t="str">
        <v>ｼｬﾝﾄﾞﾌﾙｰﾙ103</v>
      </c>
      <c r="AE879" s="31">
        <v>44897</v>
      </c>
      <c r="AF879" s="31">
        <v>44903</v>
      </c>
      <c r="AG879" s="31">
        <v>0</v>
      </c>
      <c r="AH879" s="31">
        <v>0</v>
      </c>
      <c r="AI879" t="str">
        <v>23.1.1</v>
      </c>
      <c r="AJ879" t="str">
        <v>12/14林</v>
      </c>
      <c r="AK879">
        <v>0</v>
      </c>
      <c r="AL879">
        <v>44903</v>
      </c>
      <c r="AM879">
        <v>0</v>
      </c>
      <c r="AN879">
        <v>0</v>
      </c>
      <c r="AO879">
        <v>0</v>
      </c>
      <c r="AP879">
        <v>0</v>
      </c>
      <c r="AQ879" t="str">
        <v>JLPT-N4</v>
      </c>
      <c r="AR879">
        <v>0</v>
      </c>
    </row>
    <row r="880" spans="1:44">
      <c r="A880" t="str">
        <f>H880&amp;COUNTIF($H$2:H880,H880)</f>
        <v>自動旋削12</v>
      </c>
      <c r="B880" t="str">
        <f>F880&amp;COUNTIF($F$2:F880,F880)</f>
        <v>高雄工業 静岡95</v>
      </c>
      <c r="C880" t="str">
        <v>在職中</v>
      </c>
      <c r="D880">
        <v>230106</v>
      </c>
      <c r="E880">
        <v>242060</v>
      </c>
      <c r="F880" t="str">
        <v>高雄工業 静岡</v>
      </c>
      <c r="G880" t="str">
        <v>高雄工業株式会社 静岡事業所第一工場製作課</v>
      </c>
      <c r="H880" t="str">
        <v>自動旋削</v>
      </c>
      <c r="I880" t="str">
        <v>CVJ部品短軸品の施削加工、NCプログラム修正</v>
      </c>
      <c r="J880" t="str">
        <v>DAO TIEN KHANH</v>
      </c>
      <c r="K880" t="str">
        <v>ダオ　ティエン　カイン</v>
      </c>
      <c r="L880" t="str">
        <v>男</v>
      </c>
      <c r="M880" t="str">
        <v>ﾍﾞﾄﾅﾑ</v>
      </c>
      <c r="N880" s="31">
        <v>35192</v>
      </c>
      <c r="O880">
        <v>29</v>
      </c>
      <c r="P880">
        <v>1310</v>
      </c>
      <c r="Q880">
        <v>0</v>
      </c>
      <c r="R880">
        <v>1670</v>
      </c>
      <c r="S880">
        <v>0</v>
      </c>
      <c r="T880">
        <v>360</v>
      </c>
      <c r="U880">
        <v>280000</v>
      </c>
      <c r="V880">
        <v>14042</v>
      </c>
      <c r="W880" t="str">
        <v>0</v>
      </c>
      <c r="X880">
        <v>25620</v>
      </c>
      <c r="Y880" s="31">
        <v>46778</v>
      </c>
      <c r="Z880" t="str">
        <v/>
      </c>
      <c r="AA880" t="str">
        <v>技術・人文知識・国際業務</v>
      </c>
      <c r="AB880" t="str">
        <v>437-0061</v>
      </c>
      <c r="AC880" t="str">
        <v>静岡県袋井市久能2810番地1</v>
      </c>
      <c r="AD880" t="str">
        <v>ﾌｪﾘｽA103</v>
      </c>
      <c r="AE880" s="31">
        <v>0</v>
      </c>
      <c r="AF880" s="31">
        <v>44945</v>
      </c>
      <c r="AG880" s="31">
        <v>0</v>
      </c>
      <c r="AH880" s="31">
        <v>0</v>
      </c>
      <c r="AI880" t="str">
        <v>23.2.1</v>
      </c>
      <c r="AJ880" t="str">
        <v>1/25林</v>
      </c>
      <c r="AK880">
        <v>0</v>
      </c>
      <c r="AL880">
        <v>44945</v>
      </c>
      <c r="AM880">
        <v>0</v>
      </c>
      <c r="AN880">
        <v>0</v>
      </c>
      <c r="AO880">
        <v>0</v>
      </c>
      <c r="AP880">
        <v>0</v>
      </c>
      <c r="AQ880">
        <v>0</v>
      </c>
      <c r="AR880">
        <v>0</v>
      </c>
    </row>
    <row r="881" spans="1:44">
      <c r="A881" t="str">
        <f>H881&amp;COUNTIF($H$2:H881,H881)</f>
        <v>自動旋削13</v>
      </c>
      <c r="B881" t="str">
        <f>F881&amp;COUNTIF($F$2:F881,F881)</f>
        <v>高雄工業 静岡96</v>
      </c>
      <c r="C881" t="str">
        <v>在職中</v>
      </c>
      <c r="D881">
        <v>230613</v>
      </c>
      <c r="E881">
        <v>242067</v>
      </c>
      <c r="F881" t="str">
        <v>高雄工業 静岡</v>
      </c>
      <c r="G881" t="str">
        <v>高雄工業株式会社 静岡事業所第一工場製作課</v>
      </c>
      <c r="H881" t="str">
        <v>自動旋削</v>
      </c>
      <c r="I881" t="str">
        <v>CVJ部品短軸品の施削加工、NCプログラム修正</v>
      </c>
      <c r="J881" t="str">
        <v>TRAN DINH THANH</v>
      </c>
      <c r="K881" t="str">
        <v>チャン　ディン　タイン</v>
      </c>
      <c r="L881" t="str">
        <v>男</v>
      </c>
      <c r="M881" t="str">
        <v>ﾍﾞﾄﾅﾑ</v>
      </c>
      <c r="N881" s="31">
        <v>36403</v>
      </c>
      <c r="O881">
        <v>26</v>
      </c>
      <c r="P881">
        <v>1310</v>
      </c>
      <c r="Q881">
        <v>0</v>
      </c>
      <c r="R881">
        <v>1710</v>
      </c>
      <c r="S881">
        <v>0</v>
      </c>
      <c r="T881">
        <v>400</v>
      </c>
      <c r="U881">
        <v>260000</v>
      </c>
      <c r="V881">
        <v>13039</v>
      </c>
      <c r="W881" t="str">
        <v>0</v>
      </c>
      <c r="X881">
        <v>23790</v>
      </c>
      <c r="Y881" s="31">
        <v>47024</v>
      </c>
      <c r="Z881" t="str">
        <v/>
      </c>
      <c r="AA881" t="str">
        <v>技術・人文知識・国際業務</v>
      </c>
      <c r="AB881" t="str">
        <v>437-0066</v>
      </c>
      <c r="AC881" t="str">
        <v>静岡県袋井市山科3388-1</v>
      </c>
      <c r="AD881" t="str">
        <v>鶴松203</v>
      </c>
      <c r="AE881" s="31">
        <v>45097</v>
      </c>
      <c r="AF881" s="31">
        <v>45103</v>
      </c>
      <c r="AG881" s="31">
        <v>0</v>
      </c>
      <c r="AH881" s="31">
        <v>0</v>
      </c>
      <c r="AI881" t="str">
        <v>22.10.01</v>
      </c>
      <c r="AJ881" t="str">
        <v>7/18原</v>
      </c>
      <c r="AK881" t="str">
        <v>請負より異動(入社22/9/8）</v>
      </c>
      <c r="AL881">
        <v>45103</v>
      </c>
      <c r="AM881">
        <v>0</v>
      </c>
      <c r="AN881">
        <v>0</v>
      </c>
      <c r="AO881">
        <v>0</v>
      </c>
      <c r="AP881">
        <v>0</v>
      </c>
      <c r="AQ881">
        <v>0</v>
      </c>
      <c r="AR881">
        <v>0</v>
      </c>
    </row>
    <row r="882" spans="1:44">
      <c r="A882" t="str">
        <f>H882&amp;COUNTIF($H$2:H882,H882)</f>
        <v>0284</v>
      </c>
      <c r="B882" t="str">
        <f>F882&amp;COUNTIF($F$2:F882,F882)</f>
        <v>ユアサ工機 御津6</v>
      </c>
      <c r="C882" t="str">
        <v>在職中</v>
      </c>
      <c r="D882">
        <v>241218</v>
      </c>
      <c r="E882">
        <v>0</v>
      </c>
      <c r="F882" t="str">
        <v>ユアサ工機 御津</v>
      </c>
      <c r="G882">
        <v>0</v>
      </c>
      <c r="H882">
        <v>0</v>
      </c>
      <c r="I882">
        <v>0</v>
      </c>
      <c r="J882" t="str">
        <v>DAM KIEN LAP</v>
      </c>
      <c r="K882" t="str">
        <v>ダム　キエン　ラップ</v>
      </c>
      <c r="L882" t="str">
        <v>男</v>
      </c>
      <c r="M882" t="str">
        <v>ﾍﾞﾄﾅﾑ</v>
      </c>
      <c r="N882" s="31">
        <v>36805</v>
      </c>
      <c r="O882">
        <v>25</v>
      </c>
      <c r="P882">
        <v>1300</v>
      </c>
      <c r="Q882">
        <v>0</v>
      </c>
      <c r="R882">
        <v>1900</v>
      </c>
      <c r="S882">
        <v>0</v>
      </c>
      <c r="T882">
        <v>600</v>
      </c>
      <c r="U882">
        <v>280000</v>
      </c>
      <c r="V882">
        <v>14042</v>
      </c>
      <c r="W882" t="str">
        <v>0</v>
      </c>
      <c r="X882">
        <v>25620</v>
      </c>
      <c r="Y882" s="31">
        <v>46324</v>
      </c>
      <c r="Z882" t="str">
        <v/>
      </c>
      <c r="AA882" t="str">
        <v>技術・人文知識・国際業務</v>
      </c>
      <c r="AB882" t="str">
        <v>709-2107</v>
      </c>
      <c r="AC882" t="str">
        <v>岡山県岡山市北区御津矢原294-1</v>
      </c>
      <c r="AD882" t="str">
        <v>成広矢原ｺｰﾎﾟⅢ103</v>
      </c>
      <c r="AE882" s="31">
        <v>0</v>
      </c>
      <c r="AF882" s="31">
        <v>45645</v>
      </c>
      <c r="AG882" s="31">
        <v>0</v>
      </c>
      <c r="AH882" s="31">
        <v>0</v>
      </c>
      <c r="AI882">
        <v>45645</v>
      </c>
      <c r="AJ882" t="str">
        <v>1/15林</v>
      </c>
      <c r="AK882">
        <v>0</v>
      </c>
      <c r="AL882">
        <v>45645</v>
      </c>
      <c r="AM882">
        <v>0</v>
      </c>
      <c r="AN882">
        <v>0</v>
      </c>
      <c r="AO882">
        <v>0</v>
      </c>
      <c r="AP882">
        <v>0</v>
      </c>
      <c r="AQ882">
        <v>0</v>
      </c>
      <c r="AR882">
        <v>0</v>
      </c>
    </row>
    <row r="883" spans="1:44">
      <c r="A883" t="str">
        <f>H883&amp;COUNTIF($H$2:H883,H883)</f>
        <v>0285</v>
      </c>
      <c r="B883" t="str">
        <f>F883&amp;COUNTIF($F$2:F883,F883)</f>
        <v>PATEC50</v>
      </c>
      <c r="C883" t="str">
        <v>退社</v>
      </c>
      <c r="D883">
        <v>211031</v>
      </c>
      <c r="E883">
        <v>0</v>
      </c>
      <c r="F883" t="str">
        <v>PATEC</v>
      </c>
      <c r="G883" t="str">
        <v>製造部機械加工課</v>
      </c>
      <c r="H883">
        <v>0</v>
      </c>
      <c r="I883">
        <v>0</v>
      </c>
      <c r="J883" t="str">
        <v>NGUYEN SY DUC</v>
      </c>
      <c r="K883" t="str">
        <v>グエン　シー　ドウク</v>
      </c>
      <c r="L883" t="str">
        <v>男</v>
      </c>
      <c r="M883" t="str">
        <v>ﾍﾞﾄﾅﾑ</v>
      </c>
      <c r="N883" s="31">
        <v>31475</v>
      </c>
      <c r="O883">
        <v>39</v>
      </c>
      <c r="P883">
        <v>1400</v>
      </c>
      <c r="Q883">
        <v>0</v>
      </c>
      <c r="R883">
        <v>2000</v>
      </c>
      <c r="S883">
        <v>0</v>
      </c>
      <c r="T883">
        <v>600</v>
      </c>
      <c r="U883">
        <v>220000</v>
      </c>
      <c r="V883">
        <v>11033</v>
      </c>
      <c r="W883" t="str">
        <v>0</v>
      </c>
      <c r="X883">
        <v>20130</v>
      </c>
      <c r="Y883" s="31">
        <v>46109</v>
      </c>
      <c r="Z883" t="str">
        <v/>
      </c>
      <c r="AA883" t="str">
        <v>技術・人文知識・国際業務</v>
      </c>
      <c r="AB883" t="str">
        <v>747-0834</v>
      </c>
      <c r="AC883" t="str">
        <v>山口県防府市大字田島1510－5</v>
      </c>
      <c r="AD883" t="str">
        <v>ｱﾒﾆﾃｨﾊｲﾂ田島203</v>
      </c>
      <c r="AE883" s="31">
        <v>0</v>
      </c>
      <c r="AF883" s="31">
        <v>45649</v>
      </c>
      <c r="AG883" s="31">
        <v>45797</v>
      </c>
      <c r="AH883" s="31">
        <v>0</v>
      </c>
      <c r="AI883">
        <v>45649</v>
      </c>
      <c r="AJ883" t="str">
        <v>1/27林</v>
      </c>
      <c r="AK883">
        <v>0</v>
      </c>
      <c r="AL883">
        <v>45649</v>
      </c>
      <c r="AM883">
        <v>0</v>
      </c>
      <c r="AN883">
        <v>0</v>
      </c>
      <c r="AO883">
        <v>0</v>
      </c>
      <c r="AP883">
        <v>0</v>
      </c>
      <c r="AQ883">
        <v>0</v>
      </c>
      <c r="AR883">
        <v>0</v>
      </c>
    </row>
    <row r="884" spans="1:44">
      <c r="A884" t="str">
        <f>H884&amp;COUNTIF($H$2:H884,H884)</f>
        <v>1次旋係74</v>
      </c>
      <c r="B884" t="str">
        <f>F884&amp;COUNTIF($F$2:F884,F884)</f>
        <v>高雄工業 岡山158</v>
      </c>
      <c r="C884" t="str">
        <v>在職中</v>
      </c>
      <c r="D884">
        <v>241219</v>
      </c>
      <c r="E884">
        <v>232158</v>
      </c>
      <c r="F884" t="str">
        <v>高雄工業 岡山</v>
      </c>
      <c r="G884" t="str">
        <v>高雄工業株式会社 岡山事業所HUB工場製作1課</v>
      </c>
      <c r="H884" t="str">
        <v>1次旋係</v>
      </c>
      <c r="I884" t="str">
        <v>ハブ加工 自動機の操作、ＮＣプログラム修正</v>
      </c>
      <c r="J884" t="str">
        <v>NGUYEN CONG HAU</v>
      </c>
      <c r="K884" t="str">
        <v>グエン　コン　ハウ</v>
      </c>
      <c r="L884" t="str">
        <v>男</v>
      </c>
      <c r="M884" t="str">
        <v>ﾍﾞﾄﾅﾑ</v>
      </c>
      <c r="N884" s="31">
        <v>35206</v>
      </c>
      <c r="O884">
        <v>29</v>
      </c>
      <c r="P884">
        <v>1310</v>
      </c>
      <c r="Q884">
        <v>0</v>
      </c>
      <c r="R884">
        <v>1690</v>
      </c>
      <c r="S884">
        <v>0</v>
      </c>
      <c r="T884">
        <v>380</v>
      </c>
      <c r="U884">
        <v>280000</v>
      </c>
      <c r="V884">
        <v>14042</v>
      </c>
      <c r="W884" t="str">
        <v>0</v>
      </c>
      <c r="X884">
        <v>25620</v>
      </c>
      <c r="Y884" s="31">
        <v>46357</v>
      </c>
      <c r="Z884" t="str">
        <v/>
      </c>
      <c r="AA884" t="str">
        <v>技術・人文知識・国際業務</v>
      </c>
      <c r="AB884" t="str">
        <v>709-2132</v>
      </c>
      <c r="AC884" t="str">
        <v>岡山県岡山市北区御津矢原294-1</v>
      </c>
      <c r="AD884" t="str">
        <v>成広矢原ｺｰⅢ207</v>
      </c>
      <c r="AE884" s="31">
        <v>0</v>
      </c>
      <c r="AF884" s="31">
        <v>45649</v>
      </c>
      <c r="AG884" s="31">
        <v>0</v>
      </c>
      <c r="AH884" s="31">
        <v>0</v>
      </c>
      <c r="AI884">
        <v>45649</v>
      </c>
      <c r="AJ884" t="str">
        <v>1/28林</v>
      </c>
      <c r="AK884" t="str">
        <v>請負より異動</v>
      </c>
      <c r="AL884">
        <v>45649</v>
      </c>
      <c r="AM884">
        <v>0</v>
      </c>
      <c r="AN884">
        <v>0</v>
      </c>
      <c r="AO884">
        <v>0</v>
      </c>
      <c r="AP884">
        <v>0</v>
      </c>
      <c r="AQ884">
        <v>0</v>
      </c>
      <c r="AR884">
        <v>0</v>
      </c>
    </row>
    <row r="885" spans="1:44">
      <c r="A885" t="str">
        <f>H885&amp;COUNTIF($H$2:H885,H885)</f>
        <v>1次旋係75</v>
      </c>
      <c r="B885" t="str">
        <f>F885&amp;COUNTIF($F$2:F885,F885)</f>
        <v>高雄工業 岡山159</v>
      </c>
      <c r="C885" t="str">
        <v>在職中</v>
      </c>
      <c r="D885">
        <v>241220</v>
      </c>
      <c r="E885">
        <v>232159</v>
      </c>
      <c r="F885" t="str">
        <v>高雄工業 岡山</v>
      </c>
      <c r="G885" t="str">
        <v>高雄工業株式会社 岡山事業所HUB工場製作1課</v>
      </c>
      <c r="H885" t="str">
        <v>1次旋係</v>
      </c>
      <c r="I885" t="str">
        <v>ハブ加工 自動機の操作、ＮＣプログラム修正</v>
      </c>
      <c r="J885" t="str">
        <v>NGUYEN DUC HUY</v>
      </c>
      <c r="K885" t="str">
        <v>グエン　ドゥック　フィ</v>
      </c>
      <c r="L885" t="str">
        <v>男</v>
      </c>
      <c r="M885" t="str">
        <v>ﾍﾞﾄﾅﾑ</v>
      </c>
      <c r="N885" s="31">
        <v>36850</v>
      </c>
      <c r="O885">
        <v>25</v>
      </c>
      <c r="P885">
        <v>1300</v>
      </c>
      <c r="Q885">
        <v>0</v>
      </c>
      <c r="R885">
        <v>1660</v>
      </c>
      <c r="S885">
        <v>0</v>
      </c>
      <c r="T885">
        <v>360</v>
      </c>
      <c r="U885">
        <v>260000</v>
      </c>
      <c r="V885">
        <v>13039</v>
      </c>
      <c r="W885" t="str">
        <v>0</v>
      </c>
      <c r="X885">
        <v>23790</v>
      </c>
      <c r="Y885" s="31">
        <v>46499</v>
      </c>
      <c r="Z885" t="str">
        <v/>
      </c>
      <c r="AA885" t="str">
        <v>技術・人文知識・国際業務</v>
      </c>
      <c r="AB885" t="str">
        <v>709-2107</v>
      </c>
      <c r="AC885" t="str">
        <v>岡山県岡山市北区御津矢原370</v>
      </c>
      <c r="AD885" t="str">
        <v>成広ｺｰﾎﾟⅡ201</v>
      </c>
      <c r="AE885" s="31">
        <v>0</v>
      </c>
      <c r="AF885" s="31">
        <v>45649</v>
      </c>
      <c r="AG885" s="31">
        <v>0</v>
      </c>
      <c r="AH885" s="31">
        <v>0</v>
      </c>
      <c r="AI885">
        <v>45649</v>
      </c>
      <c r="AJ885" t="str">
        <v>1/28林</v>
      </c>
      <c r="AK885" t="str">
        <v>請負より異動</v>
      </c>
      <c r="AL885">
        <v>45649</v>
      </c>
      <c r="AM885">
        <v>0</v>
      </c>
      <c r="AN885">
        <v>0</v>
      </c>
      <c r="AO885">
        <v>0</v>
      </c>
      <c r="AP885">
        <v>0</v>
      </c>
      <c r="AQ885">
        <v>0</v>
      </c>
      <c r="AR885">
        <v>0</v>
      </c>
    </row>
    <row r="886" spans="1:44">
      <c r="A886" t="str">
        <f>H886&amp;COUNTIF($H$2:H886,H886)</f>
        <v>本社工場製造1課1工区1班15</v>
      </c>
      <c r="B886" t="str">
        <f>F886&amp;COUNTIF($F$2:F886,F886)</f>
        <v>コーリツ 本社39</v>
      </c>
      <c r="C886" t="str">
        <v>在職中</v>
      </c>
      <c r="D886">
        <v>210305</v>
      </c>
      <c r="E886">
        <v>8210114</v>
      </c>
      <c r="F886" t="str">
        <v>コーリツ 本社</v>
      </c>
      <c r="G886" t="str">
        <v>本社工場製造1課1工区1班</v>
      </c>
      <c r="H886" t="str">
        <v>本社工場製造1課1工区1班</v>
      </c>
      <c r="I886">
        <v>0</v>
      </c>
      <c r="J886" t="str">
        <v>NGUYEN HOA HOAN</v>
      </c>
      <c r="K886" t="str">
        <v>グエン　ホア　ホアン</v>
      </c>
      <c r="L886" t="str">
        <v>男</v>
      </c>
      <c r="M886" t="str">
        <v>ﾍﾞﾄﾅﾑ</v>
      </c>
      <c r="N886" s="31">
        <v>34554</v>
      </c>
      <c r="O886">
        <v>31</v>
      </c>
      <c r="P886">
        <v>1500</v>
      </c>
      <c r="Q886">
        <v>0</v>
      </c>
      <c r="R886">
        <v>2150</v>
      </c>
      <c r="S886">
        <v>0</v>
      </c>
      <c r="T886">
        <v>650</v>
      </c>
      <c r="U886">
        <v>320000</v>
      </c>
      <c r="V886">
        <v>16048</v>
      </c>
      <c r="W886" t="str">
        <v>0</v>
      </c>
      <c r="X886">
        <v>29280</v>
      </c>
      <c r="Y886" s="31">
        <v>46121</v>
      </c>
      <c r="Z886" t="str">
        <v/>
      </c>
      <c r="AA886" t="str">
        <v>技術・人文知識・国際業務</v>
      </c>
      <c r="AB886" t="str">
        <v>444-1305</v>
      </c>
      <c r="AC886" t="str">
        <v>愛知県高浜市神明町2-2-36</v>
      </c>
      <c r="AD886" t="str">
        <v>ﾄﾞﾐｰﾙ神明B-101</v>
      </c>
      <c r="AE886" s="31">
        <v>0</v>
      </c>
      <c r="AF886" s="31">
        <v>45663</v>
      </c>
      <c r="AG886" s="31">
        <v>0</v>
      </c>
      <c r="AH886" s="31">
        <v>0</v>
      </c>
      <c r="AI886">
        <v>45663</v>
      </c>
      <c r="AJ886" t="str">
        <v>1/27林</v>
      </c>
      <c r="AK886">
        <v>0</v>
      </c>
      <c r="AL886">
        <v>45663</v>
      </c>
      <c r="AM886">
        <v>0</v>
      </c>
      <c r="AN886">
        <v>0</v>
      </c>
      <c r="AO886">
        <v>0</v>
      </c>
      <c r="AP886">
        <v>0</v>
      </c>
      <c r="AQ886">
        <v>0</v>
      </c>
      <c r="AR886">
        <v>0</v>
      </c>
    </row>
    <row r="887" spans="1:44">
      <c r="A887" t="str">
        <f>H887&amp;COUNTIF($H$2:H887,H887)</f>
        <v>J加工2課6</v>
      </c>
      <c r="B887" t="str">
        <f>F887&amp;COUNTIF($F$2:F887,F887)</f>
        <v>加藤木材工業 本社39</v>
      </c>
      <c r="C887" t="str">
        <v>在職中</v>
      </c>
      <c r="D887">
        <v>250101</v>
      </c>
      <c r="E887">
        <v>5665</v>
      </c>
      <c r="F887" t="str">
        <v>加藤木材工業 本社</v>
      </c>
      <c r="G887" t="str">
        <v>生産2部</v>
      </c>
      <c r="H887" t="str">
        <v>J加工2課</v>
      </c>
      <c r="I887" t="str">
        <v>機械オペレーター及び機械メンテナンス他付随する業務</v>
      </c>
      <c r="J887" t="str">
        <v>NGO DUY LONG</v>
      </c>
      <c r="K887" t="str">
        <v>ゴ　ズイ　ロン</v>
      </c>
      <c r="L887" t="str">
        <v>男</v>
      </c>
      <c r="M887" t="str">
        <v>ﾍﾞﾄﾅﾑ</v>
      </c>
      <c r="N887" s="31">
        <v>33518</v>
      </c>
      <c r="O887">
        <v>34</v>
      </c>
      <c r="P887">
        <v>1300</v>
      </c>
      <c r="Q887">
        <v>0</v>
      </c>
      <c r="R887">
        <v>1700</v>
      </c>
      <c r="S887">
        <v>0</v>
      </c>
      <c r="T887">
        <v>400</v>
      </c>
      <c r="U887">
        <v>260000</v>
      </c>
      <c r="V887">
        <v>13039</v>
      </c>
      <c r="W887" t="str">
        <v>0</v>
      </c>
      <c r="X887">
        <v>23790</v>
      </c>
      <c r="Y887" s="31">
        <v>46008</v>
      </c>
      <c r="Z887">
        <v>13</v>
      </c>
      <c r="AA887" t="str">
        <v>技術・人文知識・国際業務</v>
      </c>
      <c r="AB887" t="str">
        <v>486-0913</v>
      </c>
      <c r="AC887" t="str">
        <v>愛知県春日井市柏原町5-225</v>
      </c>
      <c r="AD887" t="str">
        <v>ｽｶｲﾋﾞｰﾝｽﾞ柏原202号</v>
      </c>
      <c r="AE887" s="31">
        <v>0</v>
      </c>
      <c r="AF887" s="31">
        <v>45663</v>
      </c>
      <c r="AG887" s="31">
        <v>0</v>
      </c>
      <c r="AH887" s="31">
        <v>0</v>
      </c>
      <c r="AI887">
        <v>45663</v>
      </c>
      <c r="AJ887" t="str">
        <v>1/27林</v>
      </c>
      <c r="AK887">
        <v>0</v>
      </c>
      <c r="AL887">
        <v>45663</v>
      </c>
      <c r="AM887">
        <v>0</v>
      </c>
      <c r="AN887">
        <v>0</v>
      </c>
      <c r="AO887">
        <v>0</v>
      </c>
      <c r="AP887">
        <v>0</v>
      </c>
      <c r="AQ887">
        <v>0</v>
      </c>
      <c r="AR887">
        <v>0</v>
      </c>
    </row>
    <row r="888" spans="1:44">
      <c r="A888" t="str">
        <f>H888&amp;COUNTIF($H$2:H888,H888)</f>
        <v>本社工場製造2課3工区6班3</v>
      </c>
      <c r="B888" t="str">
        <f>F888&amp;COUNTIF($F$2:F888,F888)</f>
        <v>コーリツ 本社40</v>
      </c>
      <c r="C888" t="str">
        <v>在職中</v>
      </c>
      <c r="D888">
        <v>250102</v>
      </c>
      <c r="E888">
        <v>8210115</v>
      </c>
      <c r="F888" t="str">
        <v>コーリツ 本社</v>
      </c>
      <c r="G888" t="str">
        <v>本社工場製造2課3工区6班</v>
      </c>
      <c r="H888" t="str">
        <v>本社工場製造2課3工区6班</v>
      </c>
      <c r="I888">
        <v>0</v>
      </c>
      <c r="J888" t="str">
        <v>NGUYEN HOANG LAM</v>
      </c>
      <c r="K888" t="str">
        <v>グエン　ホアン　ラム</v>
      </c>
      <c r="L888" t="str">
        <v>男</v>
      </c>
      <c r="M888" t="str">
        <v>ﾍﾞﾄﾅﾑ</v>
      </c>
      <c r="N888" s="31">
        <v>33692</v>
      </c>
      <c r="O888">
        <v>33</v>
      </c>
      <c r="P888">
        <v>1500</v>
      </c>
      <c r="Q888">
        <v>0</v>
      </c>
      <c r="R888">
        <v>2150</v>
      </c>
      <c r="S888">
        <v>0</v>
      </c>
      <c r="T888">
        <v>650</v>
      </c>
      <c r="U888">
        <v>340000</v>
      </c>
      <c r="V888">
        <v>17051</v>
      </c>
      <c r="W888" t="str">
        <v>0</v>
      </c>
      <c r="X888">
        <v>31110</v>
      </c>
      <c r="Y888" s="31">
        <v>46669</v>
      </c>
      <c r="Z888" t="str">
        <v/>
      </c>
      <c r="AA888" t="str">
        <v>技術・人文知識・国際業務</v>
      </c>
      <c r="AB888" t="str">
        <v>444-1332</v>
      </c>
      <c r="AC888" t="str">
        <v>愛知県高浜市湯山町4-9-6</v>
      </c>
      <c r="AD888" t="str">
        <v>ﾋﾞﾚｯｼﾞﾊｳｽ高取2号棟304号</v>
      </c>
      <c r="AE888" s="31" t="str">
        <v>個人</v>
      </c>
      <c r="AF888" s="31">
        <v>45665</v>
      </c>
      <c r="AG888" s="31">
        <v>0</v>
      </c>
      <c r="AH888" s="31">
        <v>0</v>
      </c>
      <c r="AI888">
        <v>45665</v>
      </c>
      <c r="AJ888" t="str">
        <v>1/27林</v>
      </c>
      <c r="AK888">
        <v>0</v>
      </c>
      <c r="AL888">
        <v>45665</v>
      </c>
      <c r="AM888">
        <v>0</v>
      </c>
      <c r="AN888">
        <v>0</v>
      </c>
      <c r="AO888">
        <v>0</v>
      </c>
      <c r="AP888">
        <v>0</v>
      </c>
      <c r="AQ888">
        <v>0</v>
      </c>
      <c r="AR888">
        <v>0</v>
      </c>
    </row>
    <row r="889" spans="1:44">
      <c r="A889" t="str">
        <f>H889&amp;COUNTIF($H$2:H889,H889)</f>
        <v>1次旋係76</v>
      </c>
      <c r="B889" t="str">
        <f>F889&amp;COUNTIF($F$2:F889,F889)</f>
        <v>高雄工業 岡山160</v>
      </c>
      <c r="C889" t="str">
        <v>在職中</v>
      </c>
      <c r="D889">
        <v>210118</v>
      </c>
      <c r="E889">
        <v>232003</v>
      </c>
      <c r="F889" t="str">
        <v>高雄工業 岡山</v>
      </c>
      <c r="G889" t="str">
        <v>高雄工業株式会社 岡山事業所HUB工場製作1課</v>
      </c>
      <c r="H889" t="str">
        <v>1次旋係</v>
      </c>
      <c r="I889" t="str">
        <v>ハブ加工 自動機の操作、ＮＣプログラム修正</v>
      </c>
      <c r="J889" t="str">
        <v>PHAM CONG THANH</v>
      </c>
      <c r="K889" t="str">
        <v>ファム　コン　タイン</v>
      </c>
      <c r="L889" t="str">
        <v>男</v>
      </c>
      <c r="M889" t="str">
        <v>ﾍﾞﾄﾅﾑ</v>
      </c>
      <c r="N889" s="31">
        <v>33963</v>
      </c>
      <c r="O889">
        <v>32</v>
      </c>
      <c r="P889">
        <v>1410</v>
      </c>
      <c r="Q889" t="str">
        <v>6/16~ \1200⇒\1250</v>
      </c>
      <c r="R889">
        <v>1840</v>
      </c>
      <c r="S889" t="str">
        <v>9/16~ 1600円→1750円</v>
      </c>
      <c r="T889">
        <v>430</v>
      </c>
      <c r="U889">
        <v>280000</v>
      </c>
      <c r="V889">
        <v>14042</v>
      </c>
      <c r="W889" t="str">
        <v>0</v>
      </c>
      <c r="X889">
        <v>25620</v>
      </c>
      <c r="Y889" s="31">
        <v>46399</v>
      </c>
      <c r="Z889" t="str">
        <v/>
      </c>
      <c r="AA889" t="str">
        <v>技術・人文知識・国際業務</v>
      </c>
      <c r="AB889" t="str">
        <v>709-2134</v>
      </c>
      <c r="AC889" t="str">
        <v>岡山県岡山市北区御津下田77-3</v>
      </c>
      <c r="AD889" t="str">
        <v>ﾋﾞﾚｯｼﾞﾊｳｽ宇甘川　207号</v>
      </c>
      <c r="AE889" s="31">
        <v>0</v>
      </c>
      <c r="AF889" s="31">
        <v>45670</v>
      </c>
      <c r="AG889" s="31">
        <v>46007</v>
      </c>
      <c r="AH889" s="31">
        <v>0</v>
      </c>
      <c r="AI889">
        <v>45670</v>
      </c>
      <c r="AJ889" t="str">
        <v>1/27林</v>
      </c>
      <c r="AK889">
        <v>0</v>
      </c>
      <c r="AL889">
        <v>45670</v>
      </c>
      <c r="AM889">
        <v>0</v>
      </c>
      <c r="AN889">
        <v>0</v>
      </c>
      <c r="AO889">
        <v>0</v>
      </c>
      <c r="AP889">
        <v>0</v>
      </c>
      <c r="AQ889">
        <v>0</v>
      </c>
      <c r="AR889">
        <v>0</v>
      </c>
    </row>
    <row r="890" spans="1:44">
      <c r="A890" t="str">
        <f>H890&amp;COUNTIF($H$2:H890,H890)</f>
        <v>1次旋係77</v>
      </c>
      <c r="B890" t="str">
        <f>F890&amp;COUNTIF($F$2:F890,F890)</f>
        <v>高雄工業 岡山161</v>
      </c>
      <c r="C890" t="str">
        <v>在職中</v>
      </c>
      <c r="D890">
        <v>250103</v>
      </c>
      <c r="E890">
        <v>232160</v>
      </c>
      <c r="F890" t="str">
        <v>高雄工業 岡山</v>
      </c>
      <c r="G890" t="str">
        <v>高雄工業株式会社 岡山事業所HUB工場製作1課</v>
      </c>
      <c r="H890" t="str">
        <v>1次旋係</v>
      </c>
      <c r="I890" t="str">
        <v>ハブ加工 自動機の操作、ＮＣプログラム修正</v>
      </c>
      <c r="J890" t="str">
        <v>CAO KHAI DI</v>
      </c>
      <c r="K890" t="str">
        <v>カオ　カイ　ジー</v>
      </c>
      <c r="L890" t="str">
        <v>男</v>
      </c>
      <c r="M890" t="str">
        <v>ﾍﾞﾄﾅﾑ</v>
      </c>
      <c r="N890" s="31">
        <v>37610</v>
      </c>
      <c r="O890">
        <v>22</v>
      </c>
      <c r="P890">
        <v>1250</v>
      </c>
      <c r="Q890">
        <v>0</v>
      </c>
      <c r="R890">
        <v>1660</v>
      </c>
      <c r="S890">
        <v>0</v>
      </c>
      <c r="T890">
        <v>410</v>
      </c>
      <c r="U890">
        <v>200000</v>
      </c>
      <c r="V890">
        <v>10030</v>
      </c>
      <c r="W890" t="str">
        <v>0</v>
      </c>
      <c r="X890">
        <v>18300</v>
      </c>
      <c r="Y890" s="31">
        <v>46760</v>
      </c>
      <c r="Z890" t="str">
        <v/>
      </c>
      <c r="AA890" t="str">
        <v>技術・人文知識・国際業務</v>
      </c>
      <c r="AB890" t="str">
        <v>709-2107</v>
      </c>
      <c r="AC890" t="str">
        <v>岡山県岡山市北区御津矢原312番地１</v>
      </c>
      <c r="AD890" t="str">
        <v>中須賀ｺｰﾎﾟⅡ202</v>
      </c>
      <c r="AE890" s="31">
        <v>0</v>
      </c>
      <c r="AF890" s="31">
        <v>45671</v>
      </c>
      <c r="AG890" s="31">
        <v>0</v>
      </c>
      <c r="AH890" s="31">
        <v>0</v>
      </c>
      <c r="AI890">
        <v>45671</v>
      </c>
      <c r="AJ890" t="str">
        <v>1/27林</v>
      </c>
      <c r="AK890">
        <v>0</v>
      </c>
      <c r="AL890">
        <v>45671</v>
      </c>
      <c r="AM890">
        <v>0</v>
      </c>
      <c r="AN890">
        <v>0</v>
      </c>
      <c r="AO890">
        <v>0</v>
      </c>
      <c r="AP890">
        <v>0</v>
      </c>
      <c r="AQ890">
        <v>0</v>
      </c>
      <c r="AR890">
        <v>0</v>
      </c>
    </row>
    <row r="891" spans="1:44">
      <c r="A891" t="str">
        <f>H891&amp;COUNTIF($H$2:H891,H891)</f>
        <v>1次旋係78</v>
      </c>
      <c r="B891" t="str">
        <f>F891&amp;COUNTIF($F$2:F891,F891)</f>
        <v>高雄工業 岡山162</v>
      </c>
      <c r="C891" t="str">
        <v>在職中</v>
      </c>
      <c r="D891">
        <v>250104</v>
      </c>
      <c r="E891">
        <v>232161</v>
      </c>
      <c r="F891" t="str">
        <v>高雄工業 岡山</v>
      </c>
      <c r="G891" t="str">
        <v>高雄工業株式会社 岡山事業所HUB工場製作1課</v>
      </c>
      <c r="H891" t="str">
        <v>1次旋係</v>
      </c>
      <c r="I891" t="str">
        <v>ハブ加工 自動機の操作、ＮＣプログラム修正</v>
      </c>
      <c r="J891" t="str">
        <v>TRAN QUOC CHIEN</v>
      </c>
      <c r="K891" t="str">
        <v>チャン　クオック　チエン</v>
      </c>
      <c r="L891" t="str">
        <v>男</v>
      </c>
      <c r="M891" t="str">
        <v>ﾍﾞﾄﾅﾑ</v>
      </c>
      <c r="N891" s="31">
        <v>37275</v>
      </c>
      <c r="O891">
        <v>23</v>
      </c>
      <c r="P891">
        <v>1250</v>
      </c>
      <c r="Q891">
        <v>0</v>
      </c>
      <c r="R891">
        <v>1660</v>
      </c>
      <c r="S891">
        <v>0</v>
      </c>
      <c r="T891">
        <v>410</v>
      </c>
      <c r="U891">
        <v>220000</v>
      </c>
      <c r="V891">
        <v>11033</v>
      </c>
      <c r="W891" t="str">
        <v>0</v>
      </c>
      <c r="X891">
        <v>20130</v>
      </c>
      <c r="Y891" s="31">
        <v>46760</v>
      </c>
      <c r="Z891" t="str">
        <v/>
      </c>
      <c r="AA891" t="str">
        <v>技術・人文知識・国際業務</v>
      </c>
      <c r="AB891" t="str">
        <v>709-2107</v>
      </c>
      <c r="AC891" t="str">
        <v>岡山県岡山市北区御津矢原312番地１</v>
      </c>
      <c r="AD891" t="str">
        <v>中須賀ｺｰﾎﾟⅡ202</v>
      </c>
      <c r="AE891" s="31">
        <v>0</v>
      </c>
      <c r="AF891" s="31">
        <v>45671</v>
      </c>
      <c r="AG891" s="31">
        <v>0</v>
      </c>
      <c r="AH891" s="31">
        <v>0</v>
      </c>
      <c r="AI891">
        <v>45671</v>
      </c>
      <c r="AJ891" t="str">
        <v>1/27林</v>
      </c>
      <c r="AK891">
        <v>0</v>
      </c>
      <c r="AL891">
        <v>45671</v>
      </c>
      <c r="AM891">
        <v>0</v>
      </c>
      <c r="AN891">
        <v>0</v>
      </c>
      <c r="AO891">
        <v>0</v>
      </c>
      <c r="AP891">
        <v>0</v>
      </c>
      <c r="AQ891">
        <v>0</v>
      </c>
      <c r="AR891">
        <v>0</v>
      </c>
    </row>
    <row r="892" spans="1:44">
      <c r="A892" t="str">
        <f>H892&amp;COUNTIF($H$2:H892,H892)</f>
        <v>1次旋係79</v>
      </c>
      <c r="B892" t="str">
        <f>F892&amp;COUNTIF($F$2:F892,F892)</f>
        <v>高雄工業 岡山163</v>
      </c>
      <c r="C892" t="str">
        <v>在職中</v>
      </c>
      <c r="D892">
        <v>250105</v>
      </c>
      <c r="E892">
        <v>232162</v>
      </c>
      <c r="F892" t="str">
        <v>高雄工業 岡山</v>
      </c>
      <c r="G892" t="str">
        <v>高雄工業株式会社 岡山事業所HUB工場製作1課</v>
      </c>
      <c r="H892" t="str">
        <v>1次旋係</v>
      </c>
      <c r="I892" t="str">
        <v>ハブ加工 自動機の操作、ＮＣプログラム修正</v>
      </c>
      <c r="J892" t="str">
        <v>BUI TIEN DAT</v>
      </c>
      <c r="K892" t="str">
        <v>ブイ　テイエン　ダット</v>
      </c>
      <c r="L892" t="str">
        <v>男</v>
      </c>
      <c r="M892" t="str">
        <v>ﾍﾞﾄﾅﾑ</v>
      </c>
      <c r="N892" s="31">
        <v>36811</v>
      </c>
      <c r="O892">
        <v>25</v>
      </c>
      <c r="P892">
        <v>1250</v>
      </c>
      <c r="Q892">
        <v>0</v>
      </c>
      <c r="R892">
        <v>1660</v>
      </c>
      <c r="S892">
        <v>0</v>
      </c>
      <c r="T892">
        <v>410</v>
      </c>
      <c r="U892">
        <v>200000</v>
      </c>
      <c r="V892">
        <v>10030</v>
      </c>
      <c r="W892" t="str">
        <v>0</v>
      </c>
      <c r="X892">
        <v>18300</v>
      </c>
      <c r="Y892" s="31">
        <v>46760</v>
      </c>
      <c r="Z892" t="str">
        <v/>
      </c>
      <c r="AA892" t="str">
        <v>技術・人文知識・国際業務</v>
      </c>
      <c r="AB892" t="str">
        <v>709-2107</v>
      </c>
      <c r="AC892" t="str">
        <v>岡山県岡山市北区御津矢原312番地１</v>
      </c>
      <c r="AD892" t="str">
        <v>中須賀ｺｰﾎﾟⅡ202</v>
      </c>
      <c r="AE892" s="31">
        <v>0</v>
      </c>
      <c r="AF892" s="31">
        <v>45671</v>
      </c>
      <c r="AG892" s="31">
        <v>0</v>
      </c>
      <c r="AH892" s="31">
        <v>0</v>
      </c>
      <c r="AI892">
        <v>45671</v>
      </c>
      <c r="AJ892" t="str">
        <v>1/27林</v>
      </c>
      <c r="AK892">
        <v>0</v>
      </c>
      <c r="AL892">
        <v>45671</v>
      </c>
      <c r="AM892">
        <v>0</v>
      </c>
      <c r="AN892">
        <v>0</v>
      </c>
      <c r="AO892">
        <v>0</v>
      </c>
      <c r="AP892">
        <v>0</v>
      </c>
      <c r="AQ892">
        <v>0</v>
      </c>
      <c r="AR892">
        <v>0</v>
      </c>
    </row>
    <row r="893" spans="1:44">
      <c r="A893" t="str">
        <f>H893&amp;COUNTIF($H$2:H893,H893)</f>
        <v>2課6</v>
      </c>
      <c r="B893" t="str">
        <f>F893&amp;COUNTIF($F$2:F893,F893)</f>
        <v>加藤木材工業 本社40</v>
      </c>
      <c r="C893" t="str">
        <v>退社</v>
      </c>
      <c r="D893">
        <v>250106</v>
      </c>
      <c r="E893">
        <v>5677</v>
      </c>
      <c r="F893" t="str">
        <v>加藤木材工業 本社</v>
      </c>
      <c r="G893" t="str">
        <v>生産1部</v>
      </c>
      <c r="H893" t="str">
        <v>2課</v>
      </c>
      <c r="I893" t="str">
        <v>機械オペレーター及び機械メンテナンス他付随する業務</v>
      </c>
      <c r="J893" t="str">
        <v>HOANG BA THIEN</v>
      </c>
      <c r="K893" t="str">
        <v>ホアン　バー　ティエン</v>
      </c>
      <c r="L893" t="str">
        <v>男</v>
      </c>
      <c r="M893" t="str">
        <v>ﾍﾞﾄﾅﾑ</v>
      </c>
      <c r="N893" s="31">
        <v>36840</v>
      </c>
      <c r="O893">
        <v>25</v>
      </c>
      <c r="P893">
        <v>1300</v>
      </c>
      <c r="Q893">
        <v>0</v>
      </c>
      <c r="R893">
        <v>1700</v>
      </c>
      <c r="S893">
        <v>0</v>
      </c>
      <c r="T893">
        <v>400</v>
      </c>
      <c r="U893">
        <v>220000</v>
      </c>
      <c r="V893">
        <v>11033</v>
      </c>
      <c r="W893" t="str">
        <v>0</v>
      </c>
      <c r="X893">
        <v>20130</v>
      </c>
      <c r="Y893" s="31">
        <v>45879</v>
      </c>
      <c r="Z893" t="str">
        <v/>
      </c>
      <c r="AA893" t="str">
        <v>技術・人文知識・国際業務</v>
      </c>
      <c r="AB893" t="str">
        <v>509-7201</v>
      </c>
      <c r="AC893" t="str">
        <v>岐阜県恵那市大井町1120-303</v>
      </c>
      <c r="AD893" t="str">
        <v>各務ﾊｲﾂ3E</v>
      </c>
      <c r="AE893" s="31">
        <v>0</v>
      </c>
      <c r="AF893" s="31">
        <v>45672</v>
      </c>
      <c r="AG893" s="31">
        <v>45747</v>
      </c>
      <c r="AH893" s="31">
        <v>0</v>
      </c>
      <c r="AI893">
        <v>45672</v>
      </c>
      <c r="AJ893" t="str">
        <v>1/27林</v>
      </c>
      <c r="AK893" t="str">
        <v>2025/1/15瑞陵精機入社　⇒　2025/2/3加藤木材工業　本社に異動</v>
      </c>
      <c r="AL893">
        <v>45672</v>
      </c>
      <c r="AM893">
        <v>0</v>
      </c>
      <c r="AN893">
        <v>0</v>
      </c>
      <c r="AO893">
        <v>0</v>
      </c>
      <c r="AP893">
        <v>0</v>
      </c>
      <c r="AQ893">
        <v>0</v>
      </c>
      <c r="AR893">
        <v>0</v>
      </c>
    </row>
    <row r="894" spans="1:44">
      <c r="A894" t="str">
        <f>H894&amp;COUNTIF($H$2:H894,H894)</f>
        <v>1次旋係80</v>
      </c>
      <c r="B894" t="str">
        <f>F894&amp;COUNTIF($F$2:F894,F894)</f>
        <v>高雄工業 岡山164</v>
      </c>
      <c r="C894" t="str">
        <v>在職中</v>
      </c>
      <c r="D894">
        <v>250112</v>
      </c>
      <c r="E894">
        <v>232163</v>
      </c>
      <c r="F894" t="str">
        <v>高雄工業 岡山</v>
      </c>
      <c r="G894" t="str">
        <v>高雄工業株式会社 岡山事業所HUB工場製作1課</v>
      </c>
      <c r="H894" t="str">
        <v>1次旋係</v>
      </c>
      <c r="I894" t="str">
        <v>ハブ加工 自動機の操作、ＮＣプログラム修正</v>
      </c>
      <c r="J894" t="str">
        <v>NGUYEN NGOC HAI</v>
      </c>
      <c r="K894" t="str">
        <v>グエン　ゴック　ハイ</v>
      </c>
      <c r="L894" t="str">
        <v>男</v>
      </c>
      <c r="M894" t="str">
        <v>ﾍﾞﾄﾅﾑ</v>
      </c>
      <c r="N894" s="31">
        <v>36925</v>
      </c>
      <c r="O894">
        <v>24</v>
      </c>
      <c r="P894">
        <v>1250</v>
      </c>
      <c r="Q894">
        <v>0</v>
      </c>
      <c r="R894">
        <v>1660</v>
      </c>
      <c r="S894">
        <v>0</v>
      </c>
      <c r="T894">
        <v>410</v>
      </c>
      <c r="U894">
        <v>220000</v>
      </c>
      <c r="V894">
        <v>11033</v>
      </c>
      <c r="W894" t="str">
        <v>0</v>
      </c>
      <c r="X894">
        <v>20130</v>
      </c>
      <c r="Y894" s="31">
        <v>46762</v>
      </c>
      <c r="Z894" t="str">
        <v/>
      </c>
      <c r="AA894" t="str">
        <v>技術・人文知識・国際業務</v>
      </c>
      <c r="AB894" t="str">
        <v>709-2107</v>
      </c>
      <c r="AC894" t="str">
        <v>岡山県岡山市北区御津矢原299－2</v>
      </c>
      <c r="AD894" t="str">
        <v>成広矢原ｺｰﾎﾟⅦ205</v>
      </c>
      <c r="AE894" s="31">
        <v>0</v>
      </c>
      <c r="AF894" s="31">
        <v>45673</v>
      </c>
      <c r="AG894" s="31">
        <v>0</v>
      </c>
      <c r="AH894" s="31">
        <v>0</v>
      </c>
      <c r="AI894">
        <v>45673</v>
      </c>
      <c r="AJ894" t="str">
        <v>2/27林</v>
      </c>
      <c r="AK894">
        <v>0</v>
      </c>
      <c r="AL894">
        <v>45673</v>
      </c>
      <c r="AM894">
        <v>0</v>
      </c>
      <c r="AN894">
        <v>0</v>
      </c>
      <c r="AO894">
        <v>0</v>
      </c>
      <c r="AP894">
        <v>0</v>
      </c>
      <c r="AQ894">
        <v>0</v>
      </c>
      <c r="AR894">
        <v>0</v>
      </c>
    </row>
    <row r="895" spans="1:44">
      <c r="A895" t="str">
        <f>H895&amp;COUNTIF($H$2:H895,H895)</f>
        <v>1次旋係81</v>
      </c>
      <c r="B895" t="str">
        <f>F895&amp;COUNTIF($F$2:F895,F895)</f>
        <v>高雄工業 岡山165</v>
      </c>
      <c r="C895" t="str">
        <v>在職中</v>
      </c>
      <c r="D895">
        <v>250113</v>
      </c>
      <c r="E895">
        <v>232164</v>
      </c>
      <c r="F895" t="str">
        <v>高雄工業 岡山</v>
      </c>
      <c r="G895" t="str">
        <v>高雄工業株式会社 岡山事業所HUB工場製作1課</v>
      </c>
      <c r="H895" t="str">
        <v>1次旋係</v>
      </c>
      <c r="I895" t="str">
        <v>ハブ加工 自動機の操作、ＮＣプログラム修正</v>
      </c>
      <c r="J895" t="str">
        <v>PHAM KHANH DUY</v>
      </c>
      <c r="K895" t="str">
        <v>ファム　カン　ズイ</v>
      </c>
      <c r="L895" t="str">
        <v>男</v>
      </c>
      <c r="M895" t="str">
        <v>ﾍﾞﾄﾅﾑ</v>
      </c>
      <c r="N895" s="31">
        <v>37164</v>
      </c>
      <c r="O895">
        <v>24</v>
      </c>
      <c r="P895">
        <v>1250</v>
      </c>
      <c r="Q895">
        <v>0</v>
      </c>
      <c r="R895">
        <v>1660</v>
      </c>
      <c r="S895">
        <v>0</v>
      </c>
      <c r="T895">
        <v>410</v>
      </c>
      <c r="U895">
        <v>240000</v>
      </c>
      <c r="V895">
        <v>12036</v>
      </c>
      <c r="W895" t="str">
        <v>0</v>
      </c>
      <c r="X895">
        <v>21960</v>
      </c>
      <c r="Y895" s="31">
        <v>46762</v>
      </c>
      <c r="Z895" t="str">
        <v/>
      </c>
      <c r="AA895" t="str">
        <v>技術・人文知識・国際業務</v>
      </c>
      <c r="AB895" t="str">
        <v>709-2107</v>
      </c>
      <c r="AC895" t="str">
        <v>岡山県岡山市北区御津矢原299－2</v>
      </c>
      <c r="AD895" t="str">
        <v>成広矢原ｺｰﾎﾟⅦ205</v>
      </c>
      <c r="AE895" s="31">
        <v>0</v>
      </c>
      <c r="AF895" s="31">
        <v>45673</v>
      </c>
      <c r="AG895" s="31">
        <v>0</v>
      </c>
      <c r="AH895" s="31">
        <v>0</v>
      </c>
      <c r="AI895">
        <v>45673</v>
      </c>
      <c r="AJ895" t="str">
        <v>2/27林</v>
      </c>
      <c r="AK895">
        <v>0</v>
      </c>
      <c r="AL895">
        <v>45673</v>
      </c>
      <c r="AM895">
        <v>0</v>
      </c>
      <c r="AN895">
        <v>0</v>
      </c>
      <c r="AO895">
        <v>0</v>
      </c>
      <c r="AP895">
        <v>0</v>
      </c>
      <c r="AQ895">
        <v>0</v>
      </c>
      <c r="AR895">
        <v>0</v>
      </c>
    </row>
    <row r="896" spans="1:44">
      <c r="A896" t="str">
        <f>H896&amp;COUNTIF($H$2:H896,H896)</f>
        <v>自動旋削14</v>
      </c>
      <c r="B896" t="str">
        <f>F896&amp;COUNTIF($F$2:F896,F896)</f>
        <v>高雄工業 静岡97</v>
      </c>
      <c r="C896" t="str">
        <v>在職中</v>
      </c>
      <c r="D896">
        <v>230909</v>
      </c>
      <c r="E896">
        <v>242077</v>
      </c>
      <c r="F896" t="str">
        <v>高雄工業 静岡</v>
      </c>
      <c r="G896" t="str">
        <v>高雄工業株式会社 静岡事業所第一工場製作課</v>
      </c>
      <c r="H896" t="str">
        <v>自動旋削</v>
      </c>
      <c r="I896" t="str">
        <v>CVJ部品短軸品の施削加工、NCプログラム修正</v>
      </c>
      <c r="J896" t="str">
        <v>DANG VAN TAN</v>
      </c>
      <c r="K896" t="str">
        <v>ダン　バン　タン</v>
      </c>
      <c r="L896" t="str">
        <v>男</v>
      </c>
      <c r="M896" t="str">
        <v>ﾍﾞﾄﾅﾑ</v>
      </c>
      <c r="N896" s="31">
        <v>36992</v>
      </c>
      <c r="O896">
        <v>24</v>
      </c>
      <c r="P896">
        <v>1310</v>
      </c>
      <c r="Q896">
        <v>0</v>
      </c>
      <c r="R896">
        <v>1700</v>
      </c>
      <c r="S896">
        <v>0</v>
      </c>
      <c r="T896">
        <v>390</v>
      </c>
      <c r="U896">
        <v>260000</v>
      </c>
      <c r="V896">
        <v>13039</v>
      </c>
      <c r="W896" t="str">
        <v>0</v>
      </c>
      <c r="X896">
        <v>23790</v>
      </c>
      <c r="Y896" s="31">
        <v>47033</v>
      </c>
      <c r="Z896" t="str">
        <v/>
      </c>
      <c r="AA896" t="str">
        <v>技術・人文知識・国際業務</v>
      </c>
      <c r="AB896" t="str">
        <v>437-0065</v>
      </c>
      <c r="AC896" t="str">
        <v>静岡県袋井市堀越1548</v>
      </c>
      <c r="AD896" t="str">
        <v>ﾍﾞﾙｺｰﾎﾟ202</v>
      </c>
      <c r="AE896" s="31">
        <v>45181</v>
      </c>
      <c r="AF896" s="31">
        <v>45188</v>
      </c>
      <c r="AG896" s="31">
        <v>0</v>
      </c>
      <c r="AH896" s="31">
        <v>0</v>
      </c>
      <c r="AI896" t="str">
        <v>23.9.19</v>
      </c>
      <c r="AJ896" t="str">
        <v>9/29林</v>
      </c>
      <c r="AK896">
        <v>0</v>
      </c>
      <c r="AL896">
        <v>45188</v>
      </c>
      <c r="AM896">
        <v>0</v>
      </c>
      <c r="AN896">
        <v>0</v>
      </c>
      <c r="AO896">
        <v>0</v>
      </c>
      <c r="AP896">
        <v>0</v>
      </c>
      <c r="AQ896" t="str">
        <v>JLPT-N3</v>
      </c>
      <c r="AR896">
        <v>0</v>
      </c>
    </row>
    <row r="897" spans="1:44">
      <c r="A897" t="str">
        <f>H897&amp;COUNTIF($H$2:H897,H897)</f>
        <v>自動旋削15</v>
      </c>
      <c r="B897" t="str">
        <f>F897&amp;COUNTIF($F$2:F897,F897)</f>
        <v>高雄工業 静岡98</v>
      </c>
      <c r="C897" t="str">
        <v>在職中</v>
      </c>
      <c r="D897">
        <v>230913</v>
      </c>
      <c r="E897">
        <v>242078</v>
      </c>
      <c r="F897" t="str">
        <v>高雄工業 静岡</v>
      </c>
      <c r="G897" t="str">
        <v>高雄工業株式会社 静岡事業所第一工場製作課</v>
      </c>
      <c r="H897" t="str">
        <v>自動旋削</v>
      </c>
      <c r="I897" t="str">
        <v>CVJ部品短軸品の施削加工、NCプログラム修正</v>
      </c>
      <c r="J897" t="str">
        <v>TRAN DUC CUONG</v>
      </c>
      <c r="K897" t="str">
        <v>チャン　ドゥック　クオン</v>
      </c>
      <c r="L897" t="str">
        <v>男</v>
      </c>
      <c r="M897" t="str">
        <v>ﾍﾞﾄﾅﾑ</v>
      </c>
      <c r="N897" s="31">
        <v>37070</v>
      </c>
      <c r="O897">
        <v>24</v>
      </c>
      <c r="P897">
        <v>1300</v>
      </c>
      <c r="Q897">
        <v>0</v>
      </c>
      <c r="R897">
        <v>1690</v>
      </c>
      <c r="S897">
        <v>0</v>
      </c>
      <c r="T897">
        <v>390</v>
      </c>
      <c r="U897">
        <v>280000</v>
      </c>
      <c r="V897">
        <v>14042</v>
      </c>
      <c r="W897" t="str">
        <v>0</v>
      </c>
      <c r="X897">
        <v>25620</v>
      </c>
      <c r="Y897" s="31">
        <v>47023</v>
      </c>
      <c r="Z897" t="str">
        <v/>
      </c>
      <c r="AA897" t="str">
        <v>技術・人文知識・国際業務</v>
      </c>
      <c r="AB897" t="str">
        <v>437-0065</v>
      </c>
      <c r="AC897" t="str">
        <v>静岡県袋井市堀越1548</v>
      </c>
      <c r="AD897" t="str">
        <v>ﾍﾞﾙｺｰﾎﾟ202</v>
      </c>
      <c r="AE897" s="31">
        <v>45181</v>
      </c>
      <c r="AF897" s="31">
        <v>45188</v>
      </c>
      <c r="AG897" s="31">
        <v>0</v>
      </c>
      <c r="AH897" s="31">
        <v>0</v>
      </c>
      <c r="AI897" t="str">
        <v>23.9.19</v>
      </c>
      <c r="AJ897" t="str">
        <v>9/29林</v>
      </c>
      <c r="AK897">
        <v>0</v>
      </c>
      <c r="AL897">
        <v>45188</v>
      </c>
      <c r="AM897">
        <v>0</v>
      </c>
      <c r="AN897">
        <v>0</v>
      </c>
      <c r="AO897">
        <v>0</v>
      </c>
      <c r="AP897">
        <v>0</v>
      </c>
      <c r="AQ897">
        <v>0</v>
      </c>
      <c r="AR897">
        <v>0</v>
      </c>
    </row>
    <row r="898" spans="1:44">
      <c r="A898" t="str">
        <f>H898&amp;COUNTIF($H$2:H898,H898)</f>
        <v>自動旋削16</v>
      </c>
      <c r="B898" t="str">
        <f>F898&amp;COUNTIF($F$2:F898,F898)</f>
        <v>高雄工業 静岡99</v>
      </c>
      <c r="C898" t="str">
        <v>在職中</v>
      </c>
      <c r="D898">
        <v>231109</v>
      </c>
      <c r="E898">
        <v>242081</v>
      </c>
      <c r="F898" t="str">
        <v>高雄工業 静岡</v>
      </c>
      <c r="G898" t="str">
        <v>高雄工業株式会社 静岡事業所第一工場製作課</v>
      </c>
      <c r="H898" t="str">
        <v>自動旋削</v>
      </c>
      <c r="I898" t="str">
        <v>CVJ部品短軸品の施削加工、NCプログラム修正</v>
      </c>
      <c r="J898" t="str">
        <v>NGUYEN CONG DAT</v>
      </c>
      <c r="K898" t="str">
        <v>グエン　コン　ダット</v>
      </c>
      <c r="L898" t="str">
        <v>男</v>
      </c>
      <c r="M898" t="str">
        <v>ﾍﾞﾄﾅﾑ</v>
      </c>
      <c r="N898" s="31">
        <v>35962</v>
      </c>
      <c r="O898">
        <v>27</v>
      </c>
      <c r="P898">
        <v>1300</v>
      </c>
      <c r="Q898">
        <v>0</v>
      </c>
      <c r="R898">
        <v>1670</v>
      </c>
      <c r="S898">
        <v>0</v>
      </c>
      <c r="T898">
        <v>370</v>
      </c>
      <c r="U898">
        <v>280000</v>
      </c>
      <c r="V898">
        <v>14042</v>
      </c>
      <c r="W898" t="str">
        <v>0</v>
      </c>
      <c r="X898">
        <v>25620</v>
      </c>
      <c r="Y898" s="31">
        <v>47058</v>
      </c>
      <c r="Z898" t="str">
        <v/>
      </c>
      <c r="AA898" t="str">
        <v>技術・人文知識・国際業務</v>
      </c>
      <c r="AB898" t="str">
        <v>437-0015</v>
      </c>
      <c r="AC898" t="str">
        <v>静岡県袋井市旭町2-7-5</v>
      </c>
      <c r="AD898" t="str">
        <v>ﾌｨﾌﾃｨⅠ101</v>
      </c>
      <c r="AE898" s="31">
        <v>0</v>
      </c>
      <c r="AF898" s="31">
        <v>45232</v>
      </c>
      <c r="AG898" s="31">
        <v>0</v>
      </c>
      <c r="AH898" s="31">
        <v>0</v>
      </c>
      <c r="AI898" t="str">
        <v>23.11.2</v>
      </c>
      <c r="AJ898" t="str">
        <v>11/20林</v>
      </c>
      <c r="AK898">
        <v>0</v>
      </c>
      <c r="AL898">
        <v>45232</v>
      </c>
      <c r="AM898">
        <v>0</v>
      </c>
      <c r="AN898">
        <v>0</v>
      </c>
      <c r="AO898">
        <v>0</v>
      </c>
      <c r="AP898">
        <v>0</v>
      </c>
      <c r="AQ898">
        <v>0</v>
      </c>
      <c r="AR898">
        <v>0</v>
      </c>
    </row>
    <row r="899" spans="1:44">
      <c r="A899" t="str">
        <f>H899&amp;COUNTIF($H$2:H899,H899)</f>
        <v>自動旋削17</v>
      </c>
      <c r="B899" t="str">
        <f>F899&amp;COUNTIF($F$2:F899,F899)</f>
        <v>高雄工業 静岡100</v>
      </c>
      <c r="C899" t="str">
        <v>在職中</v>
      </c>
      <c r="D899">
        <v>240105</v>
      </c>
      <c r="E899">
        <v>242097</v>
      </c>
      <c r="F899" t="str">
        <v>高雄工業 静岡</v>
      </c>
      <c r="G899" t="str">
        <v>高雄工業株式会社 静岡事業所第一工場製作課</v>
      </c>
      <c r="H899" t="str">
        <v>自動旋削</v>
      </c>
      <c r="I899" t="str">
        <v>CVJ部品短軸品の施削加工、NCプログラム修正</v>
      </c>
      <c r="J899" t="str">
        <v>TRAN QUOC KIET</v>
      </c>
      <c r="K899" t="str">
        <v>チャン　コック　キエト</v>
      </c>
      <c r="L899" t="str">
        <v>男</v>
      </c>
      <c r="M899" t="str">
        <v>ﾍﾞﾄﾅﾑ</v>
      </c>
      <c r="N899" s="31">
        <v>37099</v>
      </c>
      <c r="O899">
        <v>24</v>
      </c>
      <c r="P899">
        <v>1320</v>
      </c>
      <c r="Q899">
        <v>0</v>
      </c>
      <c r="R899">
        <v>1680</v>
      </c>
      <c r="S899">
        <v>0</v>
      </c>
      <c r="T899">
        <v>360</v>
      </c>
      <c r="U899">
        <v>260000</v>
      </c>
      <c r="V899">
        <v>13039</v>
      </c>
      <c r="W899" t="str">
        <v>0</v>
      </c>
      <c r="X899">
        <v>23790</v>
      </c>
      <c r="Y899" s="31">
        <v>46058</v>
      </c>
      <c r="Z899">
        <v>63</v>
      </c>
      <c r="AA899" t="str">
        <v>技術・人文知識・国際業務</v>
      </c>
      <c r="AB899" t="str">
        <v>437-0065</v>
      </c>
      <c r="AC899" t="str">
        <v>静岡県袋井市堀越1丁目14-6</v>
      </c>
      <c r="AD899" t="str">
        <v>ﾊｰﾓﾆｰ201</v>
      </c>
      <c r="AE899" s="31">
        <v>45303</v>
      </c>
      <c r="AF899" s="31">
        <v>45309</v>
      </c>
      <c r="AG899" s="31">
        <v>0</v>
      </c>
      <c r="AH899" s="31">
        <v>0</v>
      </c>
      <c r="AI899" t="str">
        <v>24.1.18</v>
      </c>
      <c r="AJ899" t="str">
        <v>1/31林</v>
      </c>
      <c r="AK899">
        <v>0</v>
      </c>
      <c r="AL899">
        <v>45309</v>
      </c>
      <c r="AM899">
        <v>0</v>
      </c>
      <c r="AN899">
        <v>0</v>
      </c>
      <c r="AO899">
        <v>0</v>
      </c>
      <c r="AP899">
        <v>0</v>
      </c>
      <c r="AQ899" t="str">
        <v>JLPT-N3</v>
      </c>
      <c r="AR899">
        <v>0</v>
      </c>
    </row>
    <row r="900" spans="1:44">
      <c r="A900" t="str">
        <f>H900&amp;COUNTIF($H$2:H900,H900)</f>
        <v>自動旋削18</v>
      </c>
      <c r="B900" t="str">
        <f>F900&amp;COUNTIF($F$2:F900,F900)</f>
        <v>高雄工業 静岡101</v>
      </c>
      <c r="C900" t="str">
        <v>在職中</v>
      </c>
      <c r="D900">
        <v>240112</v>
      </c>
      <c r="E900">
        <v>242101</v>
      </c>
      <c r="F900" t="str">
        <v>高雄工業 静岡</v>
      </c>
      <c r="G900" t="str">
        <v>高雄工業株式会社 静岡事業所第一工場製作課</v>
      </c>
      <c r="H900" t="str">
        <v>自動旋削</v>
      </c>
      <c r="I900" t="str">
        <v>CVJ部品短軸品の施削加工、NCプログラム修正</v>
      </c>
      <c r="J900" t="str">
        <v>TRAN TRUNG KIEN</v>
      </c>
      <c r="K900" t="str">
        <v>チャン　チュン　キエン</v>
      </c>
      <c r="L900" t="str">
        <v>男</v>
      </c>
      <c r="M900" t="str">
        <v>ﾍﾞﾄﾅﾑ</v>
      </c>
      <c r="N900" s="31">
        <v>36787</v>
      </c>
      <c r="O900">
        <v>25</v>
      </c>
      <c r="P900">
        <v>1300</v>
      </c>
      <c r="Q900">
        <v>0</v>
      </c>
      <c r="R900">
        <v>1700</v>
      </c>
      <c r="S900">
        <v>0</v>
      </c>
      <c r="T900">
        <v>400</v>
      </c>
      <c r="U900">
        <v>280000</v>
      </c>
      <c r="V900">
        <v>14042</v>
      </c>
      <c r="W900" t="str">
        <v>0</v>
      </c>
      <c r="X900">
        <v>25620</v>
      </c>
      <c r="Y900" s="31">
        <v>46058</v>
      </c>
      <c r="Z900">
        <v>63</v>
      </c>
      <c r="AA900" t="str">
        <v>技術・人文知識・国際業務</v>
      </c>
      <c r="AB900" t="str">
        <v>437-0062</v>
      </c>
      <c r="AC900" t="str">
        <v>静岡県袋井市泉町1-5-3</v>
      </c>
      <c r="AD900" t="str">
        <v>BeehiveresidenceⅨ202</v>
      </c>
      <c r="AE900" s="31">
        <v>45308</v>
      </c>
      <c r="AF900" s="31">
        <v>45314</v>
      </c>
      <c r="AG900" s="31">
        <v>0</v>
      </c>
      <c r="AH900" s="31">
        <v>0</v>
      </c>
      <c r="AI900" t="str">
        <v>24.1.23</v>
      </c>
      <c r="AJ900" t="str">
        <v>2/14林</v>
      </c>
      <c r="AK900">
        <v>0</v>
      </c>
      <c r="AL900">
        <v>45314</v>
      </c>
      <c r="AM900">
        <v>0</v>
      </c>
      <c r="AN900">
        <v>0</v>
      </c>
      <c r="AO900">
        <v>0</v>
      </c>
      <c r="AP900">
        <v>0</v>
      </c>
      <c r="AQ900">
        <v>0</v>
      </c>
      <c r="AR900">
        <v>0</v>
      </c>
    </row>
    <row r="901" spans="1:44">
      <c r="A901" t="str">
        <f>H901&amp;COUNTIF($H$2:H901,H901)</f>
        <v>0286</v>
      </c>
      <c r="B901" t="str">
        <f>F901&amp;COUNTIF($F$2:F901,F901)</f>
        <v>ユアサ工機 御津7</v>
      </c>
      <c r="C901" t="str">
        <v>退社</v>
      </c>
      <c r="D901">
        <v>250114</v>
      </c>
      <c r="E901">
        <v>0</v>
      </c>
      <c r="F901" t="str">
        <v>ユアサ工機 御津</v>
      </c>
      <c r="G901">
        <v>0</v>
      </c>
      <c r="H901">
        <v>0</v>
      </c>
      <c r="I901">
        <v>0</v>
      </c>
      <c r="J901" t="str">
        <v>NGO TUAN PHONG</v>
      </c>
      <c r="K901" t="str">
        <v>ゴー　トウアン　フオン</v>
      </c>
      <c r="L901" t="str">
        <v>男</v>
      </c>
      <c r="M901" t="str">
        <v>ﾍﾞﾄﾅﾑ</v>
      </c>
      <c r="N901" s="31">
        <v>34973</v>
      </c>
      <c r="O901">
        <v>30</v>
      </c>
      <c r="P901">
        <v>1300</v>
      </c>
      <c r="Q901">
        <v>0</v>
      </c>
      <c r="R901">
        <v>1900</v>
      </c>
      <c r="S901">
        <v>0</v>
      </c>
      <c r="T901">
        <v>600</v>
      </c>
      <c r="U901">
        <v>200000</v>
      </c>
      <c r="V901">
        <v>10030</v>
      </c>
      <c r="W901" t="str">
        <v>0</v>
      </c>
      <c r="X901">
        <v>18300</v>
      </c>
      <c r="Y901" s="31">
        <v>46593</v>
      </c>
      <c r="Z901" t="str">
        <v/>
      </c>
      <c r="AA901" t="str">
        <v>技術・人文知識・国際業務</v>
      </c>
      <c r="AB901" t="str">
        <v>709-2134</v>
      </c>
      <c r="AC901" t="str">
        <v>岡山県岡山市北区御津下田77番地3</v>
      </c>
      <c r="AD901" t="str">
        <v>ﾋﾞﾚｯｼﾞﾊｳｽ宇甘川2号棟405</v>
      </c>
      <c r="AE901" s="31">
        <v>0</v>
      </c>
      <c r="AF901" s="31">
        <v>45674</v>
      </c>
      <c r="AG901" s="31">
        <v>45853</v>
      </c>
      <c r="AH901" s="31">
        <v>0</v>
      </c>
      <c r="AI901">
        <v>45674</v>
      </c>
      <c r="AJ901" t="str">
        <v>1/28林</v>
      </c>
      <c r="AK901">
        <v>0</v>
      </c>
      <c r="AL901">
        <v>45674</v>
      </c>
      <c r="AM901">
        <v>0</v>
      </c>
      <c r="AN901">
        <v>0</v>
      </c>
      <c r="AO901">
        <v>0</v>
      </c>
      <c r="AP901">
        <v>0</v>
      </c>
      <c r="AQ901">
        <v>0</v>
      </c>
      <c r="AR901">
        <v>0</v>
      </c>
    </row>
    <row r="902" spans="1:44">
      <c r="A902" t="str">
        <f>H902&amp;COUNTIF($H$2:H902,H902)</f>
        <v>検査4</v>
      </c>
      <c r="B902" t="str">
        <f>F902&amp;COUNTIF($F$2:F902,F902)</f>
        <v>PATEC51</v>
      </c>
      <c r="C902" t="str">
        <v>在職中</v>
      </c>
      <c r="D902">
        <v>230210</v>
      </c>
      <c r="E902">
        <v>0</v>
      </c>
      <c r="F902" t="str">
        <v>PATEC</v>
      </c>
      <c r="G902" t="str">
        <v>製造部検査課</v>
      </c>
      <c r="H902" t="str">
        <v>検査</v>
      </c>
      <c r="I902" t="str">
        <v>キズ・へこみ・塗装ムラ・異物混入などの不良を目視で確認</v>
      </c>
      <c r="J902" t="str">
        <v>TRAN NGOC DINH</v>
      </c>
      <c r="K902" t="str">
        <v>チャン　ノック　ディン</v>
      </c>
      <c r="L902" t="str">
        <v>男</v>
      </c>
      <c r="M902" t="str">
        <v>ﾍﾞﾄﾅﾑ</v>
      </c>
      <c r="N902" s="31">
        <v>32567</v>
      </c>
      <c r="O902">
        <v>36</v>
      </c>
      <c r="P902">
        <v>1500</v>
      </c>
      <c r="Q902">
        <v>0</v>
      </c>
      <c r="R902">
        <v>2000</v>
      </c>
      <c r="S902" t="str">
        <v>24/2/21～24/8/20まで請求単価50円下げ</v>
      </c>
      <c r="T902">
        <v>500</v>
      </c>
      <c r="U902">
        <v>360000</v>
      </c>
      <c r="V902">
        <v>18054</v>
      </c>
      <c r="W902" t="str">
        <v>0</v>
      </c>
      <c r="X902">
        <v>32940</v>
      </c>
      <c r="Y902" s="31">
        <v>46334</v>
      </c>
      <c r="Z902" t="str">
        <v/>
      </c>
      <c r="AA902" t="str">
        <v>技術・人文知識・国際業務</v>
      </c>
      <c r="AB902" t="str">
        <v>747-0834</v>
      </c>
      <c r="AC902" t="str">
        <v>山口県防府市大字田島545-2</v>
      </c>
      <c r="AD902" t="str">
        <v>ﾋﾞﾚｯｼﾞﾊｳｽ田島2棟404号</v>
      </c>
      <c r="AE902" s="31" t="str">
        <v>個人</v>
      </c>
      <c r="AF902" s="31">
        <v>45677</v>
      </c>
      <c r="AG902" s="31">
        <v>0</v>
      </c>
      <c r="AH902" s="31">
        <v>0</v>
      </c>
      <c r="AI902" t="str">
        <v>23.3.1</v>
      </c>
      <c r="AJ902" t="str">
        <v>2/13林</v>
      </c>
      <c r="AK902">
        <v>0</v>
      </c>
      <c r="AL902">
        <v>45677</v>
      </c>
      <c r="AM902">
        <v>0</v>
      </c>
      <c r="AN902">
        <v>0</v>
      </c>
      <c r="AO902">
        <v>0</v>
      </c>
      <c r="AP902">
        <v>0</v>
      </c>
      <c r="AQ902">
        <v>0</v>
      </c>
      <c r="AR902">
        <v>0</v>
      </c>
    </row>
    <row r="903" spans="1:44">
      <c r="A903" t="str">
        <f>H903&amp;COUNTIF($H$2:H903,H903)</f>
        <v>2課7</v>
      </c>
      <c r="B903" t="str">
        <f>F903&amp;COUNTIF($F$2:F903,F903)</f>
        <v>加藤木材工業 本社41</v>
      </c>
      <c r="C903" t="str">
        <v>在職中</v>
      </c>
      <c r="D903">
        <v>250115</v>
      </c>
      <c r="E903">
        <v>5671</v>
      </c>
      <c r="F903" t="str">
        <v>加藤木材工業 本社</v>
      </c>
      <c r="G903" t="str">
        <v>生産1部</v>
      </c>
      <c r="H903" t="str">
        <v>2課</v>
      </c>
      <c r="I903" t="str">
        <v>機械オペレーター及び機械メンテナンス他付随する業務</v>
      </c>
      <c r="J903" t="str">
        <v>TRAN VAN HOA</v>
      </c>
      <c r="K903" t="str">
        <v>チャン　ヴァン　ホア</v>
      </c>
      <c r="L903" t="str">
        <v>男</v>
      </c>
      <c r="M903" t="str">
        <v>ﾍﾞﾄﾅﾑ</v>
      </c>
      <c r="N903" s="31">
        <v>36385</v>
      </c>
      <c r="O903">
        <v>26</v>
      </c>
      <c r="P903">
        <v>1300</v>
      </c>
      <c r="Q903">
        <v>0</v>
      </c>
      <c r="R903">
        <v>1700</v>
      </c>
      <c r="S903">
        <v>0</v>
      </c>
      <c r="T903">
        <v>400</v>
      </c>
      <c r="U903">
        <v>280000</v>
      </c>
      <c r="V903">
        <v>14042</v>
      </c>
      <c r="W903" t="str">
        <v>0</v>
      </c>
      <c r="X903">
        <v>25620</v>
      </c>
      <c r="Y903" s="31">
        <v>46169</v>
      </c>
      <c r="Z903" t="str">
        <v/>
      </c>
      <c r="AA903" t="str">
        <v>技術・人文知識・国際業務</v>
      </c>
      <c r="AB903" t="str">
        <v>486-0912</v>
      </c>
      <c r="AC903" t="str">
        <v>愛知県春日井市高山町4-13-13</v>
      </c>
      <c r="AD903" t="str">
        <v>ﾒｿﾞﾝ辻山105</v>
      </c>
      <c r="AE903" s="31">
        <v>0</v>
      </c>
      <c r="AF903" s="31">
        <v>45678</v>
      </c>
      <c r="AG903" s="31">
        <v>0</v>
      </c>
      <c r="AH903" s="31">
        <v>0</v>
      </c>
      <c r="AI903">
        <v>45678</v>
      </c>
      <c r="AJ903" t="str">
        <v>2/20林</v>
      </c>
      <c r="AK903">
        <v>0</v>
      </c>
      <c r="AL903">
        <v>45678</v>
      </c>
      <c r="AM903">
        <v>0</v>
      </c>
      <c r="AN903">
        <v>0</v>
      </c>
      <c r="AO903">
        <v>0</v>
      </c>
      <c r="AP903">
        <v>0</v>
      </c>
      <c r="AQ903">
        <v>0</v>
      </c>
      <c r="AR903">
        <v>0</v>
      </c>
    </row>
    <row r="904" spans="1:44">
      <c r="A904" t="str">
        <f>H904&amp;COUNTIF($H$2:H904,H904)</f>
        <v>J加工2課7</v>
      </c>
      <c r="B904" t="str">
        <f>F904&amp;COUNTIF($F$2:F904,F904)</f>
        <v>加藤木材工業 本社42</v>
      </c>
      <c r="C904" t="str">
        <v>在職中</v>
      </c>
      <c r="D904">
        <v>250116</v>
      </c>
      <c r="E904">
        <v>5670</v>
      </c>
      <c r="F904" t="str">
        <v>加藤木材工業 本社</v>
      </c>
      <c r="G904" t="str">
        <v>生産2部</v>
      </c>
      <c r="H904" t="str">
        <v>J加工2課</v>
      </c>
      <c r="I904" t="str">
        <v>機械オペレーター及び機械メンテナンス他付随する業務</v>
      </c>
      <c r="J904" t="str">
        <v>DANG DINH DUC</v>
      </c>
      <c r="K904" t="str">
        <v>ダン　ディン　ドゥック</v>
      </c>
      <c r="L904" t="str">
        <v>男</v>
      </c>
      <c r="M904" t="str">
        <v>ﾍﾞﾄﾅﾑ</v>
      </c>
      <c r="N904" s="31">
        <v>31838</v>
      </c>
      <c r="O904">
        <v>38</v>
      </c>
      <c r="P904">
        <v>1300</v>
      </c>
      <c r="Q904">
        <v>0</v>
      </c>
      <c r="R904">
        <v>1700</v>
      </c>
      <c r="S904">
        <v>0</v>
      </c>
      <c r="T904">
        <v>400</v>
      </c>
      <c r="U904">
        <v>280000</v>
      </c>
      <c r="V904">
        <v>14042</v>
      </c>
      <c r="W904" t="str">
        <v>0</v>
      </c>
      <c r="X904">
        <v>25620</v>
      </c>
      <c r="Y904" s="31">
        <v>45973</v>
      </c>
      <c r="Z904" t="str">
        <v>期限過ぎてます! 22</v>
      </c>
      <c r="AA904" t="str">
        <v>技術・人文知識・国際業務</v>
      </c>
      <c r="AB904" t="str">
        <v>486-0913</v>
      </c>
      <c r="AC904" t="str">
        <v>愛知県春日井市柏原町5-225</v>
      </c>
      <c r="AD904" t="str">
        <v>ｽｶｲﾋﾞｰﾝｽﾞ柏原202号</v>
      </c>
      <c r="AE904" s="31">
        <v>0</v>
      </c>
      <c r="AF904" s="31">
        <v>45678</v>
      </c>
      <c r="AG904" s="31">
        <v>0</v>
      </c>
      <c r="AH904" s="31">
        <v>0</v>
      </c>
      <c r="AI904">
        <v>45678</v>
      </c>
      <c r="AJ904" t="str">
        <v>2/20林</v>
      </c>
      <c r="AK904">
        <v>0</v>
      </c>
      <c r="AL904">
        <v>45678</v>
      </c>
      <c r="AM904">
        <v>0</v>
      </c>
      <c r="AN904">
        <v>0</v>
      </c>
      <c r="AO904">
        <v>0</v>
      </c>
      <c r="AP904">
        <v>0</v>
      </c>
      <c r="AQ904">
        <v>0</v>
      </c>
      <c r="AR904">
        <v>0</v>
      </c>
    </row>
    <row r="905" spans="1:44">
      <c r="A905" t="str">
        <f>H905&amp;COUNTIF($H$2:H905,H905)</f>
        <v>自動旋削19</v>
      </c>
      <c r="B905" t="str">
        <f>F905&amp;COUNTIF($F$2:F905,F905)</f>
        <v>高雄工業 静岡102</v>
      </c>
      <c r="C905" t="str">
        <v>在職中</v>
      </c>
      <c r="D905">
        <v>240311</v>
      </c>
      <c r="E905">
        <v>242106</v>
      </c>
      <c r="F905" t="str">
        <v>高雄工業 静岡</v>
      </c>
      <c r="G905" t="str">
        <v>高雄工業株式会社 静岡事業所第一工場製作課</v>
      </c>
      <c r="H905" t="str">
        <v>自動旋削</v>
      </c>
      <c r="I905" t="str">
        <v>CVJ部品短軸品の施削加工、NCプログラム修正</v>
      </c>
      <c r="J905" t="str">
        <v>NGUYEN MINH HIEU</v>
      </c>
      <c r="K905" t="str">
        <v>グエン　ミン　ヒエウ</v>
      </c>
      <c r="L905" t="str">
        <v>男</v>
      </c>
      <c r="M905" t="str">
        <v>ﾍﾞﾄﾅﾑ</v>
      </c>
      <c r="N905" s="31">
        <v>36528</v>
      </c>
      <c r="O905">
        <v>25</v>
      </c>
      <c r="P905">
        <v>1300</v>
      </c>
      <c r="Q905">
        <v>0</v>
      </c>
      <c r="R905">
        <v>1670</v>
      </c>
      <c r="S905">
        <v>0</v>
      </c>
      <c r="T905">
        <v>370</v>
      </c>
      <c r="U905">
        <v>260000</v>
      </c>
      <c r="V905">
        <v>13039</v>
      </c>
      <c r="W905" t="str">
        <v>0</v>
      </c>
      <c r="X905">
        <v>23790</v>
      </c>
      <c r="Y905" s="31">
        <v>46106</v>
      </c>
      <c r="Z905" t="str">
        <v/>
      </c>
      <c r="AA905" t="str">
        <v>技術・人文知識・国際業務</v>
      </c>
      <c r="AB905" t="str">
        <v>437-0061</v>
      </c>
      <c r="AC905" t="str">
        <v>静岡県袋井市久能2807-1</v>
      </c>
      <c r="AD905" t="str">
        <v>ﾛｼﾞｭﾏﾝ久能A棟203号</v>
      </c>
      <c r="AE905" s="31">
        <v>0</v>
      </c>
      <c r="AF905" s="31">
        <v>45363</v>
      </c>
      <c r="AG905" s="31">
        <v>0</v>
      </c>
      <c r="AH905" s="31">
        <v>0</v>
      </c>
      <c r="AI905" t="str">
        <v>24.3.12</v>
      </c>
      <c r="AJ905" t="str">
        <v>3/27林</v>
      </c>
      <c r="AK905">
        <v>0</v>
      </c>
      <c r="AL905">
        <v>45363</v>
      </c>
      <c r="AM905">
        <v>0</v>
      </c>
      <c r="AN905">
        <v>0</v>
      </c>
      <c r="AO905">
        <v>0</v>
      </c>
      <c r="AP905">
        <v>0</v>
      </c>
      <c r="AQ905">
        <v>0</v>
      </c>
      <c r="AR905">
        <v>0</v>
      </c>
    </row>
    <row r="906" spans="1:44">
      <c r="A906" t="str">
        <f>H906&amp;COUNTIF($H$2:H906,H906)</f>
        <v>1次旋係82</v>
      </c>
      <c r="B906" t="str">
        <f>F906&amp;COUNTIF($F$2:F906,F906)</f>
        <v>高雄工業 岡山166</v>
      </c>
      <c r="C906" t="str">
        <v>在職中</v>
      </c>
      <c r="D906">
        <v>250118</v>
      </c>
      <c r="E906">
        <v>232165</v>
      </c>
      <c r="F906" t="str">
        <v>高雄工業 岡山</v>
      </c>
      <c r="G906" t="str">
        <v>高雄工業株式会社 岡山事業所HUB工場製作1課</v>
      </c>
      <c r="H906" t="str">
        <v>1次旋係</v>
      </c>
      <c r="I906" t="str">
        <v>ハブ加工 自動機の操作、ＮＣプログラム修正</v>
      </c>
      <c r="J906" t="str">
        <v>DUONG TUAN VIET</v>
      </c>
      <c r="K906" t="str">
        <v>ズオン　トゥアン　ヴィエット</v>
      </c>
      <c r="L906" t="str">
        <v>男</v>
      </c>
      <c r="M906" t="str">
        <v>ﾍﾞﾄﾅﾑ</v>
      </c>
      <c r="N906" s="31">
        <v>35824</v>
      </c>
      <c r="O906">
        <v>27</v>
      </c>
      <c r="P906">
        <v>1250</v>
      </c>
      <c r="Q906">
        <v>0</v>
      </c>
      <c r="R906">
        <v>1660</v>
      </c>
      <c r="S906">
        <v>0</v>
      </c>
      <c r="T906">
        <v>410</v>
      </c>
      <c r="U906">
        <v>200000</v>
      </c>
      <c r="V906">
        <v>10030</v>
      </c>
      <c r="W906" t="str">
        <v>0</v>
      </c>
      <c r="X906">
        <v>18300</v>
      </c>
      <c r="Y906" s="31">
        <v>46042</v>
      </c>
      <c r="Z906">
        <v>47</v>
      </c>
      <c r="AA906" t="str">
        <v>技術・人文知識・国際業務</v>
      </c>
      <c r="AB906" t="str">
        <v>709-2107</v>
      </c>
      <c r="AC906" t="str">
        <v>岡山県岡山市北区御津矢原298-1</v>
      </c>
      <c r="AD906" t="str">
        <v>成広矢原ｺｰﾎﾟⅥ102</v>
      </c>
      <c r="AE906" s="31">
        <v>0</v>
      </c>
      <c r="AF906" s="31">
        <v>45685</v>
      </c>
      <c r="AG906" s="31">
        <v>0</v>
      </c>
      <c r="AH906" s="31">
        <v>0</v>
      </c>
      <c r="AI906">
        <v>45685</v>
      </c>
      <c r="AJ906" t="str">
        <v>2/25林</v>
      </c>
      <c r="AK906">
        <v>0</v>
      </c>
      <c r="AL906">
        <v>45685</v>
      </c>
      <c r="AM906">
        <v>0</v>
      </c>
      <c r="AN906">
        <v>0</v>
      </c>
      <c r="AO906">
        <v>0</v>
      </c>
      <c r="AP906">
        <v>0</v>
      </c>
      <c r="AQ906">
        <v>0</v>
      </c>
      <c r="AR906">
        <v>0</v>
      </c>
    </row>
    <row r="907" spans="1:44">
      <c r="A907" t="str">
        <f>H907&amp;COUNTIF($H$2:H907,H907)</f>
        <v>1次旋係83</v>
      </c>
      <c r="B907" t="str">
        <f>F907&amp;COUNTIF($F$2:F907,F907)</f>
        <v>高雄工業 岡山167</v>
      </c>
      <c r="C907" t="str">
        <v>在職中</v>
      </c>
      <c r="D907">
        <v>250119</v>
      </c>
      <c r="E907">
        <v>232166</v>
      </c>
      <c r="F907" t="str">
        <v>高雄工業 岡山</v>
      </c>
      <c r="G907" t="str">
        <v>高雄工業株式会社 岡山事業所HUB工場製作1課</v>
      </c>
      <c r="H907" t="str">
        <v>1次旋係</v>
      </c>
      <c r="I907" t="str">
        <v>ハブ加工 自動機の操作、ＮＣプログラム修正</v>
      </c>
      <c r="J907" t="str">
        <v>LE VAN HIEU</v>
      </c>
      <c r="K907" t="str">
        <v>レ　ヴァン　ヒエウ</v>
      </c>
      <c r="L907" t="str">
        <v>男</v>
      </c>
      <c r="M907" t="str">
        <v>ﾍﾞﾄﾅﾑ</v>
      </c>
      <c r="N907" s="31">
        <v>36584</v>
      </c>
      <c r="O907">
        <v>25</v>
      </c>
      <c r="P907">
        <v>1250</v>
      </c>
      <c r="Q907">
        <v>0</v>
      </c>
      <c r="R907">
        <v>1660</v>
      </c>
      <c r="S907">
        <v>0</v>
      </c>
      <c r="T907">
        <v>410</v>
      </c>
      <c r="U907">
        <v>200000</v>
      </c>
      <c r="V907">
        <v>10030</v>
      </c>
      <c r="W907" t="str">
        <v>0</v>
      </c>
      <c r="X907">
        <v>18300</v>
      </c>
      <c r="Y907" s="31">
        <v>46042</v>
      </c>
      <c r="Z907">
        <v>47</v>
      </c>
      <c r="AA907" t="str">
        <v>技術・人文知識・国際業務</v>
      </c>
      <c r="AB907" t="str">
        <v>709-2107</v>
      </c>
      <c r="AC907" t="str">
        <v>岡山県岡山市北区御津矢原298-1</v>
      </c>
      <c r="AD907" t="str">
        <v>成広矢原ｺｰﾎﾟⅥ102</v>
      </c>
      <c r="AE907" s="31">
        <v>0</v>
      </c>
      <c r="AF907" s="31">
        <v>45685</v>
      </c>
      <c r="AG907" s="31">
        <v>0</v>
      </c>
      <c r="AH907" s="31">
        <v>0</v>
      </c>
      <c r="AI907">
        <v>45685</v>
      </c>
      <c r="AJ907" t="str">
        <v>2/25林</v>
      </c>
      <c r="AK907">
        <v>0</v>
      </c>
      <c r="AL907">
        <v>45685</v>
      </c>
      <c r="AM907">
        <v>0</v>
      </c>
      <c r="AN907">
        <v>0</v>
      </c>
      <c r="AO907">
        <v>0</v>
      </c>
      <c r="AP907">
        <v>0</v>
      </c>
      <c r="AQ907">
        <v>0</v>
      </c>
      <c r="AR907">
        <v>0</v>
      </c>
    </row>
    <row r="908" spans="1:44">
      <c r="A908" t="str">
        <f>H908&amp;COUNTIF($H$2:H908,H908)</f>
        <v>第5工場2</v>
      </c>
      <c r="B908" t="str">
        <f>F908&amp;COUNTIF($F$2:F908,F908)</f>
        <v>オーツカ9</v>
      </c>
      <c r="C908" t="str">
        <v>在職中</v>
      </c>
      <c r="D908">
        <v>250201</v>
      </c>
      <c r="E908">
        <v>9330009</v>
      </c>
      <c r="F908" t="str">
        <v>オーツカ</v>
      </c>
      <c r="G908" t="str">
        <v>製造部第3製造課</v>
      </c>
      <c r="H908" t="str">
        <v>第5工場</v>
      </c>
      <c r="I908" t="str">
        <v>製造及び検索、それに付随する業務。</v>
      </c>
      <c r="J908" t="str">
        <v>BARROS CORREA MARIANA</v>
      </c>
      <c r="K908" t="str">
        <v>バロス　コレア　マリアナ</v>
      </c>
      <c r="L908" t="str">
        <v>女</v>
      </c>
      <c r="M908" t="str">
        <v>ﾌﾞﾗｼﾞﾙ</v>
      </c>
      <c r="N908" s="31">
        <v>30509</v>
      </c>
      <c r="O908">
        <v>42</v>
      </c>
      <c r="P908">
        <v>1400</v>
      </c>
      <c r="Q908">
        <v>0</v>
      </c>
      <c r="R908">
        <v>1872</v>
      </c>
      <c r="S908">
        <v>0</v>
      </c>
      <c r="T908">
        <v>472</v>
      </c>
      <c r="U908">
        <v>320000</v>
      </c>
      <c r="V908">
        <v>16048</v>
      </c>
      <c r="W908">
        <v>2544</v>
      </c>
      <c r="X908">
        <v>29280</v>
      </c>
      <c r="Y908" s="31">
        <v>47648</v>
      </c>
      <c r="Z908" t="str">
        <v/>
      </c>
      <c r="AA908" t="str">
        <v>永住者</v>
      </c>
      <c r="AB908" t="str">
        <v>503-1543</v>
      </c>
      <c r="AC908" t="str">
        <v>岐阜県不破郡関ケ原今須3316</v>
      </c>
      <c r="AD908" t="str">
        <v>個人</v>
      </c>
      <c r="AE908" s="31">
        <v>0</v>
      </c>
      <c r="AF908" s="31">
        <v>45691</v>
      </c>
      <c r="AG908" s="31">
        <v>0</v>
      </c>
      <c r="AH908" s="31">
        <v>0</v>
      </c>
      <c r="AI908">
        <v>45691</v>
      </c>
      <c r="AJ908" t="str">
        <v>2/25林</v>
      </c>
      <c r="AK908">
        <v>0</v>
      </c>
      <c r="AL908">
        <v>45691</v>
      </c>
      <c r="AM908">
        <v>0</v>
      </c>
      <c r="AN908">
        <v>0</v>
      </c>
      <c r="AO908">
        <v>0</v>
      </c>
      <c r="AP908">
        <v>0</v>
      </c>
      <c r="AQ908">
        <v>0</v>
      </c>
      <c r="AR908">
        <v>0</v>
      </c>
    </row>
    <row r="909" spans="1:44">
      <c r="A909" t="str">
        <f>H909&amp;COUNTIF($H$2:H909,H909)</f>
        <v>1次旋係84</v>
      </c>
      <c r="B909" t="str">
        <f>F909&amp;COUNTIF($F$2:F909,F909)</f>
        <v>高雄工業 岡山168</v>
      </c>
      <c r="C909" t="str">
        <v>在職中</v>
      </c>
      <c r="D909">
        <v>250207</v>
      </c>
      <c r="E909">
        <v>232168</v>
      </c>
      <c r="F909" t="str">
        <v>高雄工業 岡山</v>
      </c>
      <c r="G909" t="str">
        <v>高雄工業株式会社 岡山事業所HUB工場製作1課</v>
      </c>
      <c r="H909" t="str">
        <v>1次旋係</v>
      </c>
      <c r="I909" t="str">
        <v>ハブ加工 自動機の操作、ＮＣプログラム修正</v>
      </c>
      <c r="J909" t="str">
        <v>HA GIA BAO</v>
      </c>
      <c r="K909" t="str">
        <v>ハ　ジャ　バオ</v>
      </c>
      <c r="L909" t="str">
        <v>男</v>
      </c>
      <c r="M909" t="str">
        <v>ﾍﾞﾄﾅﾑ</v>
      </c>
      <c r="N909" s="31">
        <v>36826</v>
      </c>
      <c r="O909">
        <v>25</v>
      </c>
      <c r="P909">
        <v>1250</v>
      </c>
      <c r="Q909">
        <v>0</v>
      </c>
      <c r="R909">
        <v>1660</v>
      </c>
      <c r="S909">
        <v>0</v>
      </c>
      <c r="T909">
        <v>410</v>
      </c>
      <c r="U909">
        <v>220000</v>
      </c>
      <c r="V909">
        <v>11033</v>
      </c>
      <c r="W909" t="str">
        <v>0</v>
      </c>
      <c r="X909">
        <v>20130</v>
      </c>
      <c r="Y909" s="31">
        <v>46787</v>
      </c>
      <c r="Z909" t="str">
        <v/>
      </c>
      <c r="AA909" t="str">
        <v>技術・人文知識・国際業務</v>
      </c>
      <c r="AB909" t="str">
        <v>709-2107</v>
      </c>
      <c r="AC909" t="str">
        <v>岡山県岡山市北区御津矢原307</v>
      </c>
      <c r="AD909" t="str">
        <v>成広矢原ｺｰﾎﾟⅠ203</v>
      </c>
      <c r="AE909" s="31">
        <v>0</v>
      </c>
      <c r="AF909" s="31">
        <v>45698</v>
      </c>
      <c r="AG909" s="31">
        <v>0</v>
      </c>
      <c r="AH909" s="31">
        <v>0</v>
      </c>
      <c r="AI909">
        <v>45698</v>
      </c>
      <c r="AJ909" t="str">
        <v>2/21林</v>
      </c>
      <c r="AK909">
        <v>0</v>
      </c>
      <c r="AL909">
        <v>45698</v>
      </c>
      <c r="AM909">
        <v>0</v>
      </c>
      <c r="AN909">
        <v>0</v>
      </c>
      <c r="AO909">
        <v>0</v>
      </c>
      <c r="AP909">
        <v>0</v>
      </c>
      <c r="AQ909">
        <v>0</v>
      </c>
      <c r="AR909">
        <v>0</v>
      </c>
    </row>
    <row r="910" spans="1:44">
      <c r="A910" t="str">
        <f>H910&amp;COUNTIF($H$2:H910,H910)</f>
        <v>1次旋係85</v>
      </c>
      <c r="B910" t="str">
        <f>F910&amp;COUNTIF($F$2:F910,F910)</f>
        <v>高雄工業 岡山169</v>
      </c>
      <c r="C910" t="str">
        <v>退社</v>
      </c>
      <c r="D910">
        <v>250208</v>
      </c>
      <c r="E910">
        <v>232171</v>
      </c>
      <c r="F910" t="str">
        <v>高雄工業 岡山</v>
      </c>
      <c r="G910" t="str">
        <v>高雄工業株式会社 岡山事業所HUB工場製作1課</v>
      </c>
      <c r="H910" t="str">
        <v>1次旋係</v>
      </c>
      <c r="I910" t="str">
        <v>ハブ加工 自動機の操作、ＮＣプログラム修正</v>
      </c>
      <c r="J910" t="str">
        <v>LE DINH NGHI</v>
      </c>
      <c r="K910" t="str">
        <v>レ　デイン　ギ</v>
      </c>
      <c r="L910" t="str">
        <v>男</v>
      </c>
      <c r="M910" t="str">
        <v>ﾍﾞﾄﾅﾑ</v>
      </c>
      <c r="N910" s="31">
        <v>37745</v>
      </c>
      <c r="O910">
        <v>22</v>
      </c>
      <c r="P910">
        <v>1250</v>
      </c>
      <c r="Q910">
        <v>0</v>
      </c>
      <c r="R910">
        <v>1660</v>
      </c>
      <c r="S910">
        <v>0</v>
      </c>
      <c r="T910">
        <v>410</v>
      </c>
      <c r="U910">
        <v>240000</v>
      </c>
      <c r="V910">
        <v>12036</v>
      </c>
      <c r="W910" t="str">
        <v>0</v>
      </c>
      <c r="X910">
        <v>21960</v>
      </c>
      <c r="Y910" s="31">
        <v>46787</v>
      </c>
      <c r="Z910" t="str">
        <v/>
      </c>
      <c r="AA910" t="str">
        <v>技術・人文知識・国際業務</v>
      </c>
      <c r="AB910" t="str">
        <v>709-2107</v>
      </c>
      <c r="AC910" t="str">
        <v>岡山県岡山市北区御津矢原307</v>
      </c>
      <c r="AD910" t="str">
        <v>成広矢原ｺｰﾎﾟⅠ203</v>
      </c>
      <c r="AE910" s="31">
        <v>0</v>
      </c>
      <c r="AF910" s="31">
        <v>45698</v>
      </c>
      <c r="AG910" s="31">
        <v>45894</v>
      </c>
      <c r="AH910" s="31">
        <v>0</v>
      </c>
      <c r="AI910">
        <v>45698</v>
      </c>
      <c r="AJ910" t="str">
        <v>2/21林</v>
      </c>
      <c r="AK910" t="str">
        <v>請負に異動2025/8/26から</v>
      </c>
      <c r="AL910">
        <v>45698</v>
      </c>
      <c r="AM910">
        <v>0</v>
      </c>
      <c r="AN910">
        <v>0</v>
      </c>
      <c r="AO910">
        <v>0</v>
      </c>
      <c r="AP910">
        <v>0</v>
      </c>
      <c r="AQ910">
        <v>0</v>
      </c>
      <c r="AR910">
        <v>0</v>
      </c>
    </row>
    <row r="911" spans="1:44">
      <c r="A911" t="str">
        <f>H911&amp;COUNTIF($H$2:H911,H911)</f>
        <v>1次旋係86</v>
      </c>
      <c r="B911" t="str">
        <f>F911&amp;COUNTIF($F$2:F911,F911)</f>
        <v>高雄工業 岡山170</v>
      </c>
      <c r="C911" t="str">
        <v>在職中</v>
      </c>
      <c r="D911">
        <v>250209</v>
      </c>
      <c r="E911">
        <v>232169</v>
      </c>
      <c r="F911" t="str">
        <v>高雄工業 岡山</v>
      </c>
      <c r="G911" t="str">
        <v>高雄工業株式会社 岡山事業所HUB工場製作1課</v>
      </c>
      <c r="H911" t="str">
        <v>1次旋係</v>
      </c>
      <c r="I911" t="str">
        <v>ハブ加工 自動機の操作、ＮＣプログラム修正</v>
      </c>
      <c r="J911" t="str">
        <v>LE VIET DUY CUONG</v>
      </c>
      <c r="K911" t="str">
        <v>レ　ヴィエット　ズイ　クオン</v>
      </c>
      <c r="L911" t="str">
        <v>男</v>
      </c>
      <c r="M911" t="str">
        <v>ﾍﾞﾄﾅﾑ</v>
      </c>
      <c r="N911" s="31">
        <v>37574</v>
      </c>
      <c r="O911">
        <v>23</v>
      </c>
      <c r="P911">
        <v>1250</v>
      </c>
      <c r="Q911">
        <v>0</v>
      </c>
      <c r="R911">
        <v>1660</v>
      </c>
      <c r="S911">
        <v>0</v>
      </c>
      <c r="T911">
        <v>410</v>
      </c>
      <c r="U911">
        <v>240000</v>
      </c>
      <c r="V911">
        <v>12036</v>
      </c>
      <c r="W911" t="str">
        <v>0</v>
      </c>
      <c r="X911">
        <v>21960</v>
      </c>
      <c r="Y911" s="31">
        <v>46787</v>
      </c>
      <c r="Z911" t="str">
        <v/>
      </c>
      <c r="AA911" t="str">
        <v>技術・人文知識・国際業務</v>
      </c>
      <c r="AB911" t="str">
        <v>709-2107</v>
      </c>
      <c r="AC911" t="str">
        <v>岡山県岡山市北区御津矢原294-1</v>
      </c>
      <c r="AD911" t="str">
        <v>成広矢原ｺｰﾎﾟⅢ106</v>
      </c>
      <c r="AE911" s="31">
        <v>0</v>
      </c>
      <c r="AF911" s="31">
        <v>45698</v>
      </c>
      <c r="AG911" s="31">
        <v>0</v>
      </c>
      <c r="AH911" s="31">
        <v>0</v>
      </c>
      <c r="AI911">
        <v>45698</v>
      </c>
      <c r="AJ911" t="str">
        <v>2/21林</v>
      </c>
      <c r="AK911">
        <v>0</v>
      </c>
      <c r="AL911">
        <v>45698</v>
      </c>
      <c r="AM911">
        <v>0</v>
      </c>
      <c r="AN911">
        <v>0</v>
      </c>
      <c r="AO911">
        <v>0</v>
      </c>
      <c r="AP911">
        <v>0</v>
      </c>
      <c r="AQ911">
        <v>0</v>
      </c>
      <c r="AR911">
        <v>0</v>
      </c>
    </row>
    <row r="912" spans="1:44">
      <c r="A912" t="str">
        <f>H912&amp;COUNTIF($H$2:H912,H912)</f>
        <v>1次旋係87</v>
      </c>
      <c r="B912" t="str">
        <f>F912&amp;COUNTIF($F$2:F912,F912)</f>
        <v>高雄工業 岡山171</v>
      </c>
      <c r="C912" t="str">
        <v>在職中</v>
      </c>
      <c r="D912">
        <v>250210</v>
      </c>
      <c r="E912">
        <v>232172</v>
      </c>
      <c r="F912" t="str">
        <v>高雄工業 岡山</v>
      </c>
      <c r="G912" t="str">
        <v>高雄工業株式会社 岡山事業所HUB工場製作1課</v>
      </c>
      <c r="H912" t="str">
        <v>1次旋係</v>
      </c>
      <c r="I912" t="str">
        <v>ハブ加工 自動機の操作、ＮＣプログラム修正</v>
      </c>
      <c r="J912" t="str">
        <v>LE MINH TRI</v>
      </c>
      <c r="K912" t="str">
        <v>レ　ミン　チー</v>
      </c>
      <c r="L912" t="str">
        <v>男</v>
      </c>
      <c r="M912" t="str">
        <v>ﾍﾞﾄﾅﾑ</v>
      </c>
      <c r="N912" s="31">
        <v>35980</v>
      </c>
      <c r="O912">
        <v>27</v>
      </c>
      <c r="P912">
        <v>1250</v>
      </c>
      <c r="Q912">
        <v>0</v>
      </c>
      <c r="R912">
        <v>1660</v>
      </c>
      <c r="S912">
        <v>0</v>
      </c>
      <c r="T912">
        <v>410</v>
      </c>
      <c r="U912">
        <v>220000</v>
      </c>
      <c r="V912">
        <v>11033</v>
      </c>
      <c r="W912" t="str">
        <v>0</v>
      </c>
      <c r="X912">
        <v>20130</v>
      </c>
      <c r="Y912" s="31">
        <v>46787</v>
      </c>
      <c r="Z912" t="str">
        <v/>
      </c>
      <c r="AA912" t="str">
        <v>技術・人文知識・国際業務</v>
      </c>
      <c r="AB912" t="str">
        <v>709-2107</v>
      </c>
      <c r="AC912" t="str">
        <v>岡山県岡山市北区御津矢原294-1</v>
      </c>
      <c r="AD912" t="str">
        <v>成広矢原ｺｰﾎﾟⅢ106</v>
      </c>
      <c r="AE912" s="31">
        <v>0</v>
      </c>
      <c r="AF912" s="31">
        <v>45698</v>
      </c>
      <c r="AG912" s="31">
        <v>0</v>
      </c>
      <c r="AH912" s="31">
        <v>0</v>
      </c>
      <c r="AI912">
        <v>45698</v>
      </c>
      <c r="AJ912" t="str">
        <v>2/21林</v>
      </c>
      <c r="AK912">
        <v>0</v>
      </c>
      <c r="AL912">
        <v>45698</v>
      </c>
      <c r="AM912">
        <v>0</v>
      </c>
      <c r="AN912">
        <v>0</v>
      </c>
      <c r="AO912">
        <v>0</v>
      </c>
      <c r="AP912">
        <v>0</v>
      </c>
      <c r="AQ912">
        <v>0</v>
      </c>
      <c r="AR912">
        <v>0</v>
      </c>
    </row>
    <row r="913" spans="1:44">
      <c r="A913" t="str">
        <f>H913&amp;COUNTIF($H$2:H913,H913)</f>
        <v>1次旋係88</v>
      </c>
      <c r="B913" t="str">
        <f>F913&amp;COUNTIF($F$2:F913,F913)</f>
        <v>高雄工業 岡山172</v>
      </c>
      <c r="C913" t="str">
        <v>在職中</v>
      </c>
      <c r="D913">
        <v>250211</v>
      </c>
      <c r="E913">
        <v>232170</v>
      </c>
      <c r="F913" t="str">
        <v>高雄工業 岡山</v>
      </c>
      <c r="G913" t="str">
        <v>高雄工業株式会社 岡山事業所HUB工場製作1課</v>
      </c>
      <c r="H913" t="str">
        <v>1次旋係</v>
      </c>
      <c r="I913" t="str">
        <v>ハブ加工 自動機の操作、ＮＣプログラム修正</v>
      </c>
      <c r="J913" t="str">
        <v>LE THANH SANG</v>
      </c>
      <c r="K913" t="str">
        <v>レ　タン　サン</v>
      </c>
      <c r="L913" t="str">
        <v>男</v>
      </c>
      <c r="M913" t="str">
        <v>ﾍﾞﾄﾅﾑ</v>
      </c>
      <c r="N913" s="31">
        <v>37160</v>
      </c>
      <c r="O913">
        <v>24</v>
      </c>
      <c r="P913">
        <v>1260</v>
      </c>
      <c r="Q913">
        <v>0</v>
      </c>
      <c r="R913">
        <v>1660</v>
      </c>
      <c r="S913">
        <v>0</v>
      </c>
      <c r="T913">
        <v>400</v>
      </c>
      <c r="U913">
        <v>200000</v>
      </c>
      <c r="V913">
        <v>10030</v>
      </c>
      <c r="W913" t="str">
        <v>0</v>
      </c>
      <c r="X913">
        <v>18300</v>
      </c>
      <c r="Y913" s="31">
        <v>46787</v>
      </c>
      <c r="Z913" t="str">
        <v/>
      </c>
      <c r="AA913" t="str">
        <v>技術・人文知識・国際業務</v>
      </c>
      <c r="AB913" t="str">
        <v>709-2107</v>
      </c>
      <c r="AC913" t="str">
        <v>岡山県岡山市北区御津矢原312番地１</v>
      </c>
      <c r="AD913" t="str">
        <v>中須賀ｺｰﾎﾟⅡ101</v>
      </c>
      <c r="AE913" s="31">
        <v>0</v>
      </c>
      <c r="AF913" s="31">
        <v>45698</v>
      </c>
      <c r="AG913" s="31">
        <v>0</v>
      </c>
      <c r="AH913" s="31">
        <v>0</v>
      </c>
      <c r="AI913">
        <v>45698</v>
      </c>
      <c r="AJ913" t="str">
        <v>2/21林</v>
      </c>
      <c r="AK913">
        <v>0</v>
      </c>
      <c r="AL913">
        <v>45698</v>
      </c>
      <c r="AM913">
        <v>0</v>
      </c>
      <c r="AN913">
        <v>0</v>
      </c>
      <c r="AO913">
        <v>0</v>
      </c>
      <c r="AP913">
        <v>0</v>
      </c>
      <c r="AQ913">
        <v>0</v>
      </c>
      <c r="AR913">
        <v>0</v>
      </c>
    </row>
    <row r="914" spans="1:44">
      <c r="A914" t="str">
        <f>H914&amp;COUNTIF($H$2:H914,H914)</f>
        <v>1次旋係89</v>
      </c>
      <c r="B914" t="str">
        <f>F914&amp;COUNTIF($F$2:F914,F914)</f>
        <v>高雄工業 岡山173</v>
      </c>
      <c r="C914" t="str">
        <v>在職中</v>
      </c>
      <c r="D914">
        <v>250212</v>
      </c>
      <c r="E914">
        <v>232167</v>
      </c>
      <c r="F914" t="str">
        <v>高雄工業 岡山</v>
      </c>
      <c r="G914" t="str">
        <v>高雄工業株式会社 岡山事業所HUB工場製作1課</v>
      </c>
      <c r="H914" t="str">
        <v>1次旋係</v>
      </c>
      <c r="I914" t="str">
        <v>ハブ加工 自動機の操作、ＮＣプログラム修正</v>
      </c>
      <c r="J914" t="str">
        <v>NGUYEN DUC LOC</v>
      </c>
      <c r="K914" t="str">
        <v>グエン　ドゥック　ロック</v>
      </c>
      <c r="L914" t="str">
        <v>男</v>
      </c>
      <c r="M914" t="str">
        <v>ﾍﾞﾄﾅﾑ</v>
      </c>
      <c r="N914" s="31">
        <v>37513</v>
      </c>
      <c r="O914">
        <v>23</v>
      </c>
      <c r="P914">
        <v>1250</v>
      </c>
      <c r="Q914">
        <v>0</v>
      </c>
      <c r="R914">
        <v>1660</v>
      </c>
      <c r="S914">
        <v>0</v>
      </c>
      <c r="T914">
        <v>410</v>
      </c>
      <c r="U914">
        <v>200000</v>
      </c>
      <c r="V914">
        <v>10030</v>
      </c>
      <c r="W914" t="str">
        <v>0</v>
      </c>
      <c r="X914">
        <v>18300</v>
      </c>
      <c r="Y914" s="31">
        <v>46787</v>
      </c>
      <c r="Z914" t="str">
        <v/>
      </c>
      <c r="AA914" t="str">
        <v>技術・人文知識・国際業務</v>
      </c>
      <c r="AB914" t="str">
        <v>709-2107</v>
      </c>
      <c r="AC914" t="str">
        <v>岡山県岡山市北区御津矢原312番地１</v>
      </c>
      <c r="AD914" t="str">
        <v>中須賀ｺｰﾎﾟⅡ101</v>
      </c>
      <c r="AE914" s="31">
        <v>0</v>
      </c>
      <c r="AF914" s="31">
        <v>45698</v>
      </c>
      <c r="AG914" s="31">
        <v>0</v>
      </c>
      <c r="AH914" s="31">
        <v>0</v>
      </c>
      <c r="AI914">
        <v>45698</v>
      </c>
      <c r="AJ914" t="str">
        <v>2/21林</v>
      </c>
      <c r="AK914">
        <v>0</v>
      </c>
      <c r="AL914">
        <v>45698</v>
      </c>
      <c r="AM914">
        <v>0</v>
      </c>
      <c r="AN914">
        <v>0</v>
      </c>
      <c r="AO914">
        <v>0</v>
      </c>
      <c r="AP914">
        <v>0</v>
      </c>
      <c r="AQ914">
        <v>0</v>
      </c>
      <c r="AR914">
        <v>0</v>
      </c>
    </row>
    <row r="915" spans="1:44">
      <c r="A915" t="str">
        <f>H915&amp;COUNTIF($H$2:H915,H915)</f>
        <v>自動旋削20</v>
      </c>
      <c r="B915" t="str">
        <f>F915&amp;COUNTIF($F$2:F915,F915)</f>
        <v>高雄工業 静岡103</v>
      </c>
      <c r="C915" t="str">
        <v>在職中</v>
      </c>
      <c r="D915">
        <v>240804</v>
      </c>
      <c r="E915">
        <v>242111</v>
      </c>
      <c r="F915" t="str">
        <v>高雄工業 静岡</v>
      </c>
      <c r="G915" t="str">
        <v>高雄工業株式会社 静岡事業所第一工場製作課</v>
      </c>
      <c r="H915" t="str">
        <v>自動旋削</v>
      </c>
      <c r="I915" t="str">
        <v>CVJ部品短軸品の施削加工、NCプログラム修正</v>
      </c>
      <c r="J915" t="str">
        <v>HOANG QUOC VIET</v>
      </c>
      <c r="K915" t="str">
        <v>ホアン　クォック　ベト</v>
      </c>
      <c r="L915" t="str">
        <v>男</v>
      </c>
      <c r="M915" t="str">
        <v>ﾍﾞﾄﾅﾑ</v>
      </c>
      <c r="N915" s="31">
        <v>36831</v>
      </c>
      <c r="O915">
        <v>25</v>
      </c>
      <c r="P915">
        <v>1300</v>
      </c>
      <c r="Q915">
        <v>0</v>
      </c>
      <c r="R915">
        <v>1660</v>
      </c>
      <c r="S915">
        <v>0</v>
      </c>
      <c r="T915">
        <v>360</v>
      </c>
      <c r="U915">
        <v>260000</v>
      </c>
      <c r="V915">
        <v>13039</v>
      </c>
      <c r="W915" t="str">
        <v>0</v>
      </c>
      <c r="X915">
        <v>23790</v>
      </c>
      <c r="Y915" s="31">
        <v>46232</v>
      </c>
      <c r="Z915" t="str">
        <v/>
      </c>
      <c r="AA915" t="str">
        <v>技術・人文知識・国際業務</v>
      </c>
      <c r="AB915" t="str">
        <v>437-0066</v>
      </c>
      <c r="AC915" t="str">
        <v>静岡県袋井市山科3539-6</v>
      </c>
      <c r="AD915" t="str">
        <v>ﾌﾟﾛﾑﾅｰﾄﾞⅡA102号</v>
      </c>
      <c r="AE915" s="31">
        <v>0</v>
      </c>
      <c r="AF915" s="31">
        <v>45506</v>
      </c>
      <c r="AG915" s="31">
        <v>0</v>
      </c>
      <c r="AH915" s="31">
        <v>0</v>
      </c>
      <c r="AI915">
        <v>45506</v>
      </c>
      <c r="AJ915" t="str">
        <v>8/22林</v>
      </c>
      <c r="AK915">
        <v>0</v>
      </c>
      <c r="AL915">
        <v>45506</v>
      </c>
      <c r="AM915">
        <v>0</v>
      </c>
      <c r="AN915">
        <v>0</v>
      </c>
      <c r="AO915">
        <v>0</v>
      </c>
      <c r="AP915">
        <v>0</v>
      </c>
      <c r="AQ915" t="str">
        <v>JLPT-N4</v>
      </c>
      <c r="AR915">
        <v>0</v>
      </c>
    </row>
    <row r="916" spans="1:44">
      <c r="A916" t="str">
        <f>H916&amp;COUNTIF($H$2:H916,H916)</f>
        <v>自動旋削21</v>
      </c>
      <c r="B916" t="str">
        <f>F916&amp;COUNTIF($F$2:F916,F916)</f>
        <v>高雄工業 静岡104</v>
      </c>
      <c r="C916" t="str">
        <v>在職中</v>
      </c>
      <c r="D916">
        <v>241211</v>
      </c>
      <c r="E916">
        <v>242116</v>
      </c>
      <c r="F916" t="str">
        <v>高雄工業 静岡</v>
      </c>
      <c r="G916" t="str">
        <v>高雄工業株式会社 静岡事業所第一工場製作課</v>
      </c>
      <c r="H916" t="str">
        <v>自動旋削</v>
      </c>
      <c r="I916" t="str">
        <v>CVJ部品短軸品の施削加工、NCプログラム修正</v>
      </c>
      <c r="J916" t="str">
        <v>DO BA HOANG</v>
      </c>
      <c r="K916" t="str">
        <v>ド　バ　ホアン</v>
      </c>
      <c r="L916" t="str">
        <v>男</v>
      </c>
      <c r="M916" t="str">
        <v>ﾍﾞﾄﾅﾑ</v>
      </c>
      <c r="N916" s="31">
        <v>37599</v>
      </c>
      <c r="O916">
        <v>22</v>
      </c>
      <c r="P916">
        <v>1250</v>
      </c>
      <c r="Q916">
        <v>0</v>
      </c>
      <c r="R916">
        <v>1660</v>
      </c>
      <c r="S916">
        <v>0</v>
      </c>
      <c r="T916">
        <v>410</v>
      </c>
      <c r="U916">
        <v>280000</v>
      </c>
      <c r="V916">
        <v>14042</v>
      </c>
      <c r="W916" t="str">
        <v>0</v>
      </c>
      <c r="X916">
        <v>25620</v>
      </c>
      <c r="Y916" s="31">
        <v>46002</v>
      </c>
      <c r="Z916">
        <v>7</v>
      </c>
      <c r="AA916" t="str">
        <v>技術・人文知識・国際業務</v>
      </c>
      <c r="AB916" t="str">
        <v>437-0061</v>
      </c>
      <c r="AC916" t="str">
        <v>静岡県袋井市久能1889-2</v>
      </c>
      <c r="AD916" t="str">
        <v>ﾗﾌｨｰﾈ久能303号</v>
      </c>
      <c r="AE916" s="31">
        <v>0</v>
      </c>
      <c r="AF916" s="31">
        <v>45643</v>
      </c>
      <c r="AG916" s="31">
        <v>0</v>
      </c>
      <c r="AH916" s="31">
        <v>0</v>
      </c>
      <c r="AI916">
        <v>45643</v>
      </c>
      <c r="AJ916" t="str">
        <v>12/26林</v>
      </c>
      <c r="AK916">
        <v>0</v>
      </c>
      <c r="AL916">
        <v>45643</v>
      </c>
      <c r="AM916">
        <v>0</v>
      </c>
      <c r="AN916">
        <v>0</v>
      </c>
      <c r="AO916">
        <v>0</v>
      </c>
      <c r="AP916">
        <v>0</v>
      </c>
      <c r="AQ916">
        <v>0</v>
      </c>
      <c r="AR916">
        <v>0</v>
      </c>
    </row>
    <row r="917" spans="1:44">
      <c r="A917" t="str">
        <f>H917&amp;COUNTIF($H$2:H917,H917)</f>
        <v>自動旋削22</v>
      </c>
      <c r="B917" t="str">
        <f>F917&amp;COUNTIF($F$2:F917,F917)</f>
        <v>高雄工業 静岡105</v>
      </c>
      <c r="C917" t="str">
        <v>在職中</v>
      </c>
      <c r="D917">
        <v>250216</v>
      </c>
      <c r="E917">
        <v>242124</v>
      </c>
      <c r="F917" t="str">
        <v>高雄工業 静岡</v>
      </c>
      <c r="G917" t="str">
        <v>高雄工業株式会社 静岡事業所第一工場製作課</v>
      </c>
      <c r="H917" t="str">
        <v>自動旋削</v>
      </c>
      <c r="I917" t="str">
        <v>CVJ部品短軸品の施削加工、NCプログラム修正</v>
      </c>
      <c r="J917" t="str">
        <v>VU VAN BAO</v>
      </c>
      <c r="K917" t="str">
        <v>ヴ　ヴァン　バオ</v>
      </c>
      <c r="L917" t="str">
        <v>男</v>
      </c>
      <c r="M917" t="str">
        <v>ﾍﾞﾄﾅﾑ</v>
      </c>
      <c r="N917" s="31">
        <v>37488</v>
      </c>
      <c r="O917">
        <v>23</v>
      </c>
      <c r="P917">
        <v>1250</v>
      </c>
      <c r="Q917">
        <v>0</v>
      </c>
      <c r="R917">
        <v>1650</v>
      </c>
      <c r="S917">
        <v>0</v>
      </c>
      <c r="T917">
        <v>400</v>
      </c>
      <c r="U917">
        <v>240000</v>
      </c>
      <c r="V917">
        <v>12036</v>
      </c>
      <c r="W917" t="str">
        <v>0</v>
      </c>
      <c r="X917">
        <v>21960</v>
      </c>
      <c r="Y917" s="31">
        <v>46789</v>
      </c>
      <c r="Z917" t="str">
        <v/>
      </c>
      <c r="AA917" t="str">
        <v>技術・人文知識・国際業務</v>
      </c>
      <c r="AB917" t="str">
        <v>437-0015</v>
      </c>
      <c r="AC917" t="str">
        <v>静岡県袋井市旭町2-7-5</v>
      </c>
      <c r="AD917" t="str">
        <v>ﾌｨﾌﾃｨⅠ101</v>
      </c>
      <c r="AE917" s="31">
        <v>0</v>
      </c>
      <c r="AF917" s="31">
        <v>45700</v>
      </c>
      <c r="AG917" s="31">
        <v>0</v>
      </c>
      <c r="AH917" s="31">
        <v>0</v>
      </c>
      <c r="AI917">
        <v>45700</v>
      </c>
      <c r="AJ917" t="str">
        <v>2/25林</v>
      </c>
      <c r="AK917">
        <v>0</v>
      </c>
      <c r="AL917">
        <v>45700</v>
      </c>
      <c r="AM917">
        <v>0</v>
      </c>
      <c r="AN917">
        <v>0</v>
      </c>
      <c r="AO917">
        <v>0</v>
      </c>
      <c r="AP917">
        <v>0</v>
      </c>
      <c r="AQ917">
        <v>0</v>
      </c>
      <c r="AR917">
        <v>0</v>
      </c>
    </row>
    <row r="918" spans="1:44">
      <c r="A918" t="str">
        <f>H918&amp;COUNTIF($H$2:H918,H918)</f>
        <v>転造13</v>
      </c>
      <c r="B918" t="str">
        <f>F918&amp;COUNTIF($F$2:F918,F918)</f>
        <v>高雄工業 静岡106</v>
      </c>
      <c r="C918" t="str">
        <v>退社</v>
      </c>
      <c r="D918">
        <v>250203</v>
      </c>
      <c r="E918">
        <v>242120</v>
      </c>
      <c r="F918" t="str">
        <v>高雄工業 静岡</v>
      </c>
      <c r="G918" t="str">
        <v>高雄工業株式会社 静岡事業所第一工場製作課</v>
      </c>
      <c r="H918" t="str">
        <v>転造</v>
      </c>
      <c r="I918" t="str">
        <v>ＣＶＪ短軸等速ジョイント旋削加工・ＮＣプログラム修正</v>
      </c>
      <c r="J918" t="str">
        <v>NGUYEN THAI HUNG</v>
      </c>
      <c r="K918" t="str">
        <v>グエン　タイ　フン</v>
      </c>
      <c r="L918" t="str">
        <v>男</v>
      </c>
      <c r="M918" t="str">
        <v>ﾍﾞﾄﾅﾑ</v>
      </c>
      <c r="N918" s="31">
        <v>36974</v>
      </c>
      <c r="O918">
        <v>24</v>
      </c>
      <c r="P918">
        <v>1200</v>
      </c>
      <c r="Q918">
        <v>0</v>
      </c>
      <c r="R918">
        <v>1650</v>
      </c>
      <c r="S918">
        <v>0</v>
      </c>
      <c r="T918">
        <v>450</v>
      </c>
      <c r="U918">
        <v>190000</v>
      </c>
      <c r="V918">
        <v>9528</v>
      </c>
      <c r="W918" t="str">
        <v>0</v>
      </c>
      <c r="X918">
        <v>17385</v>
      </c>
      <c r="Y918" s="31">
        <v>46786</v>
      </c>
      <c r="Z918" t="str">
        <v/>
      </c>
      <c r="AA918" t="str">
        <v>技術・人文知識・国際業務</v>
      </c>
      <c r="AB918" t="str">
        <v>437-0122</v>
      </c>
      <c r="AC918" t="str">
        <v>静岡県袋井市春岡1138番地2</v>
      </c>
      <c r="AD918" t="str">
        <v>ﾏｯｸｽﾋﾞｭｰﾃｨB-103</v>
      </c>
      <c r="AE918" s="31">
        <v>0</v>
      </c>
      <c r="AF918" s="31">
        <v>45698</v>
      </c>
      <c r="AG918" s="31">
        <v>45878</v>
      </c>
      <c r="AH918" s="31">
        <v>0</v>
      </c>
      <c r="AI918">
        <v>45698</v>
      </c>
      <c r="AJ918" t="str">
        <v>2/21林</v>
      </c>
      <c r="AK918">
        <v>0</v>
      </c>
      <c r="AL918">
        <v>45698</v>
      </c>
      <c r="AM918">
        <v>0</v>
      </c>
      <c r="AN918">
        <v>0</v>
      </c>
      <c r="AO918">
        <v>0</v>
      </c>
      <c r="AP918">
        <v>0</v>
      </c>
      <c r="AQ918">
        <v>0</v>
      </c>
      <c r="AR918">
        <v>0</v>
      </c>
    </row>
    <row r="919" spans="1:44">
      <c r="A919" t="str">
        <f>H919&amp;COUNTIF($H$2:H919,H919)</f>
        <v>自動旋削23</v>
      </c>
      <c r="B919" t="str">
        <f>F919&amp;COUNTIF($F$2:F919,F919)</f>
        <v>高雄工業 静岡107</v>
      </c>
      <c r="C919" t="str">
        <v>在職中</v>
      </c>
      <c r="D919">
        <v>250708</v>
      </c>
      <c r="E919">
        <v>242133</v>
      </c>
      <c r="F919" t="str">
        <v>高雄工業 静岡</v>
      </c>
      <c r="G919" t="str">
        <v>高雄工業株式会社 静岡事業所第一工場製作課</v>
      </c>
      <c r="H919" t="str">
        <v>自動旋削</v>
      </c>
      <c r="I919" t="str">
        <v>CVJ部品短軸品の施削加工、NCプログラム修正</v>
      </c>
      <c r="J919" t="str">
        <v>HUYNH HAI DANG</v>
      </c>
      <c r="K919" t="str">
        <v>フイン　ハイ　ダン</v>
      </c>
      <c r="L919" t="str">
        <v>男</v>
      </c>
      <c r="M919" t="str">
        <v>ﾍﾞﾄﾅﾑ</v>
      </c>
      <c r="N919" s="31">
        <v>37352</v>
      </c>
      <c r="O919">
        <v>23</v>
      </c>
      <c r="P919">
        <v>1200</v>
      </c>
      <c r="Q919">
        <v>0</v>
      </c>
      <c r="R919">
        <v>1650</v>
      </c>
      <c r="S919">
        <v>0</v>
      </c>
      <c r="T919">
        <v>450</v>
      </c>
      <c r="U919">
        <v>220000</v>
      </c>
      <c r="V919">
        <v>11033</v>
      </c>
      <c r="W919" t="str">
        <v>0</v>
      </c>
      <c r="X919">
        <v>20130</v>
      </c>
      <c r="Y919" s="31">
        <v>46950</v>
      </c>
      <c r="Z919" t="str">
        <v/>
      </c>
      <c r="AA919" t="str">
        <v>技術・人文知識・国際業務</v>
      </c>
      <c r="AB919" t="str">
        <v>437-0061</v>
      </c>
      <c r="AC919" t="str">
        <v>静岡県袋井市久能2807-1</v>
      </c>
      <c r="AD919" t="str">
        <v>ﾛｼﾞｭﾏﾝ久能A棟203号</v>
      </c>
      <c r="AE919" s="31">
        <v>45854</v>
      </c>
      <c r="AF919" s="31">
        <v>45861</v>
      </c>
      <c r="AG919" s="31">
        <v>0</v>
      </c>
      <c r="AH919" s="31">
        <v>0</v>
      </c>
      <c r="AI919">
        <v>45861</v>
      </c>
      <c r="AJ919" t="str">
        <v>8/20林</v>
      </c>
      <c r="AK919">
        <v>0</v>
      </c>
      <c r="AL919">
        <v>45861</v>
      </c>
      <c r="AM919">
        <v>0</v>
      </c>
      <c r="AN919">
        <v>0</v>
      </c>
      <c r="AO919">
        <v>0</v>
      </c>
      <c r="AP919">
        <v>0</v>
      </c>
      <c r="AQ919">
        <v>0</v>
      </c>
      <c r="AR919">
        <v>0</v>
      </c>
    </row>
    <row r="920" spans="1:44">
      <c r="A920" t="str">
        <f>H920&amp;COUNTIF($H$2:H920,H920)</f>
        <v>J加工2課8</v>
      </c>
      <c r="B920" t="str">
        <f>F920&amp;COUNTIF($F$2:F920,F920)</f>
        <v>加藤木材工業 本社43</v>
      </c>
      <c r="C920" t="str">
        <v>在職中</v>
      </c>
      <c r="D920">
        <v>250213</v>
      </c>
      <c r="E920">
        <v>5682</v>
      </c>
      <c r="F920" t="str">
        <v>加藤木材工業 本社</v>
      </c>
      <c r="G920" t="str">
        <v>生産2部</v>
      </c>
      <c r="H920" t="str">
        <v>J加工2課</v>
      </c>
      <c r="I920" t="str">
        <v>機械オペレーター及び機械メンテナンス他付随する業務</v>
      </c>
      <c r="J920" t="str">
        <v>BOLZAN DOS PASSOS DIEGO</v>
      </c>
      <c r="K920" t="str">
        <v>ボルザン　ジエゴ</v>
      </c>
      <c r="L920" t="str">
        <v>男</v>
      </c>
      <c r="M920" t="str">
        <v>ﾌﾞﾗｼﾞﾙ</v>
      </c>
      <c r="N920" s="31">
        <v>31182</v>
      </c>
      <c r="O920">
        <v>40</v>
      </c>
      <c r="P920">
        <v>1300</v>
      </c>
      <c r="Q920">
        <v>0</v>
      </c>
      <c r="R920">
        <v>1700</v>
      </c>
      <c r="S920">
        <v>0</v>
      </c>
      <c r="T920">
        <v>400</v>
      </c>
      <c r="U920">
        <v>280000</v>
      </c>
      <c r="V920">
        <v>14042</v>
      </c>
      <c r="W920">
        <v>2226</v>
      </c>
      <c r="X920">
        <v>25620</v>
      </c>
      <c r="Y920" s="31">
        <v>47112</v>
      </c>
      <c r="Z920" t="str">
        <v/>
      </c>
      <c r="AA920" t="str">
        <v>技術・人文知識・国際業務</v>
      </c>
      <c r="AB920" t="str">
        <v>492-8429</v>
      </c>
      <c r="AC920" t="str">
        <v>愛知県稲沢市増田西町144番地</v>
      </c>
      <c r="AD920" t="str">
        <v>ビレッジハウス増田2-105</v>
      </c>
      <c r="AE920" s="31">
        <v>0</v>
      </c>
      <c r="AF920" s="31">
        <v>45698</v>
      </c>
      <c r="AG920" s="31">
        <v>0</v>
      </c>
      <c r="AH920" s="31">
        <v>0</v>
      </c>
      <c r="AI920">
        <v>45698</v>
      </c>
      <c r="AJ920" t="str">
        <v>2/21林</v>
      </c>
      <c r="AK920">
        <v>0</v>
      </c>
      <c r="AL920">
        <v>45698</v>
      </c>
      <c r="AM920">
        <v>0</v>
      </c>
      <c r="AN920">
        <v>0</v>
      </c>
      <c r="AO920">
        <v>0</v>
      </c>
      <c r="AP920">
        <v>0</v>
      </c>
      <c r="AQ920">
        <v>0</v>
      </c>
      <c r="AR920">
        <v>0</v>
      </c>
    </row>
    <row r="921" spans="1:44">
      <c r="A921" t="str">
        <f>H921&amp;COUNTIF($H$2:H921,H921)</f>
        <v>生産課9</v>
      </c>
      <c r="B921" t="str">
        <f>F921&amp;COUNTIF($F$2:F921,F921)</f>
        <v>加藤木材工業 本社44</v>
      </c>
      <c r="C921" t="str">
        <v>在職中</v>
      </c>
      <c r="D921">
        <v>250214</v>
      </c>
      <c r="E921">
        <v>5683</v>
      </c>
      <c r="F921" t="str">
        <v>加藤木材工業 本社</v>
      </c>
      <c r="G921" t="str">
        <v>生産2部</v>
      </c>
      <c r="H921" t="str">
        <v>生産課</v>
      </c>
      <c r="I921" t="str">
        <v>機械オペレーター及び機械メンテナンス他付随する業務</v>
      </c>
      <c r="J921" t="str">
        <v>NGUYEN DINH THANG</v>
      </c>
      <c r="K921" t="str">
        <v>グエン　ディン　タン</v>
      </c>
      <c r="L921" t="str">
        <v>男</v>
      </c>
      <c r="M921" t="str">
        <v>ﾍﾞﾄﾅﾑ</v>
      </c>
      <c r="N921" s="31">
        <v>37415</v>
      </c>
      <c r="O921">
        <v>23</v>
      </c>
      <c r="P921">
        <v>1300</v>
      </c>
      <c r="Q921">
        <v>0</v>
      </c>
      <c r="R921">
        <v>1700</v>
      </c>
      <c r="S921">
        <v>0</v>
      </c>
      <c r="T921">
        <v>400</v>
      </c>
      <c r="U921">
        <v>260000</v>
      </c>
      <c r="V921">
        <v>13039</v>
      </c>
      <c r="W921" t="str">
        <v>0</v>
      </c>
      <c r="X921">
        <v>23790</v>
      </c>
      <c r="Y921" s="31">
        <v>45995</v>
      </c>
      <c r="Z921" t="str">
        <v>期限過ぎてます! 0</v>
      </c>
      <c r="AA921" t="str">
        <v>技術・人文知識・国際業務</v>
      </c>
      <c r="AB921" t="str">
        <v>486-0918</v>
      </c>
      <c r="AC921" t="str">
        <v>愛知県春日井市如意申町6-11-17</v>
      </c>
      <c r="AD921" t="str">
        <v>ﾌﾚｸﾞﾗﾝｽｳｼ202</v>
      </c>
      <c r="AE921" s="31">
        <v>0</v>
      </c>
      <c r="AF921" s="31">
        <v>45698</v>
      </c>
      <c r="AG921" s="31">
        <v>0</v>
      </c>
      <c r="AH921" s="31">
        <v>0</v>
      </c>
      <c r="AI921">
        <v>45698</v>
      </c>
      <c r="AJ921" t="str">
        <v>2/26林</v>
      </c>
      <c r="AK921">
        <v>0</v>
      </c>
      <c r="AL921">
        <v>45698</v>
      </c>
      <c r="AM921">
        <v>0</v>
      </c>
      <c r="AN921">
        <v>0</v>
      </c>
      <c r="AO921">
        <v>0</v>
      </c>
      <c r="AP921">
        <v>0</v>
      </c>
      <c r="AQ921">
        <v>0</v>
      </c>
      <c r="AR921">
        <v>0</v>
      </c>
    </row>
    <row r="922" spans="1:44">
      <c r="A922" t="str">
        <f>H922&amp;COUNTIF($H$2:H922,H922)</f>
        <v>自動旋削24</v>
      </c>
      <c r="B922" t="str">
        <f>F922&amp;COUNTIF($F$2:F922,F922)</f>
        <v>高雄工業 静岡108</v>
      </c>
      <c r="C922" t="str">
        <v>在職中</v>
      </c>
      <c r="D922">
        <v>250905</v>
      </c>
      <c r="E922">
        <v>242137</v>
      </c>
      <c r="F922" t="str">
        <v>高雄工業 静岡</v>
      </c>
      <c r="G922" t="str">
        <v>高雄工業株式会社 静岡事業所第一工場製作課</v>
      </c>
      <c r="H922" t="str">
        <v>自動旋削</v>
      </c>
      <c r="I922" t="str">
        <v>CVJ部品短軸品の施削加工、NCプログラム修正</v>
      </c>
      <c r="J922" t="str">
        <v>PHAM QUOC THINH</v>
      </c>
      <c r="K922" t="str">
        <v>ファム　クオック　ティン</v>
      </c>
      <c r="L922" t="str">
        <v>男</v>
      </c>
      <c r="M922" t="str">
        <v>ﾍﾞﾄﾅﾑ</v>
      </c>
      <c r="N922" s="31">
        <v>37232</v>
      </c>
      <c r="O922">
        <v>23</v>
      </c>
      <c r="P922">
        <v>1200</v>
      </c>
      <c r="Q922">
        <v>0</v>
      </c>
      <c r="R922">
        <v>1650</v>
      </c>
      <c r="S922">
        <v>0</v>
      </c>
      <c r="T922">
        <v>450</v>
      </c>
      <c r="U922">
        <v>200000</v>
      </c>
      <c r="V922">
        <v>10030</v>
      </c>
      <c r="W922" t="str">
        <v>0</v>
      </c>
      <c r="X922">
        <v>18300</v>
      </c>
      <c r="Y922" s="31">
        <v>47742</v>
      </c>
      <c r="Z922" t="str">
        <v/>
      </c>
      <c r="AA922" t="str">
        <v>技術・人文知識・国際業務</v>
      </c>
      <c r="AB922" t="str">
        <v>437-0061</v>
      </c>
      <c r="AC922" t="str">
        <v>静岡県袋井市久能1889-2</v>
      </c>
      <c r="AD922" t="str">
        <v>ﾗﾌｨｰﾈ久能402号</v>
      </c>
      <c r="AE922" s="31">
        <v>45918</v>
      </c>
      <c r="AF922" s="31">
        <v>45923</v>
      </c>
      <c r="AG922" s="31">
        <v>0</v>
      </c>
      <c r="AH922" s="31">
        <v>0</v>
      </c>
      <c r="AI922">
        <v>45923</v>
      </c>
      <c r="AJ922" t="str">
        <v>10/17林</v>
      </c>
      <c r="AK922">
        <v>0</v>
      </c>
      <c r="AL922">
        <v>45923</v>
      </c>
      <c r="AM922">
        <v>0</v>
      </c>
      <c r="AN922">
        <v>0</v>
      </c>
      <c r="AO922">
        <v>0</v>
      </c>
      <c r="AP922">
        <v>0</v>
      </c>
      <c r="AQ922">
        <v>0</v>
      </c>
      <c r="AR922">
        <v>0</v>
      </c>
    </row>
    <row r="923" spans="1:44">
      <c r="A923" t="str">
        <f>H923&amp;COUNTIF($H$2:H923,H923)</f>
        <v>手動旋削16</v>
      </c>
      <c r="B923" t="str">
        <f>F923&amp;COUNTIF($F$2:F923,F923)</f>
        <v>高雄工業 静岡109</v>
      </c>
      <c r="C923" t="str">
        <v>在職中</v>
      </c>
      <c r="D923">
        <v>220707</v>
      </c>
      <c r="E923">
        <v>242052</v>
      </c>
      <c r="F923" t="str">
        <v>高雄工業 静岡</v>
      </c>
      <c r="G923" t="str">
        <v>高雄工業株式会社 静岡事業所第一工場製作課</v>
      </c>
      <c r="H923" t="str">
        <v>手動旋削</v>
      </c>
      <c r="I923" t="str">
        <v>CVJ部品短軸品の施削加工、NCプログラム修正</v>
      </c>
      <c r="J923" t="str">
        <v>NGUYEN VAN SANG</v>
      </c>
      <c r="K923" t="str">
        <v>グエン　ヴァン　サン</v>
      </c>
      <c r="L923" t="str">
        <v>男</v>
      </c>
      <c r="M923" t="str">
        <v>ﾍﾞﾄﾅﾑ</v>
      </c>
      <c r="N923" s="31">
        <v>33771</v>
      </c>
      <c r="O923">
        <v>33</v>
      </c>
      <c r="P923">
        <v>1310</v>
      </c>
      <c r="Q923">
        <v>0</v>
      </c>
      <c r="R923">
        <v>1730</v>
      </c>
      <c r="S923">
        <v>0</v>
      </c>
      <c r="T923">
        <v>420</v>
      </c>
      <c r="U923">
        <v>260000</v>
      </c>
      <c r="V923">
        <v>13039</v>
      </c>
      <c r="W923" t="str">
        <v>0</v>
      </c>
      <c r="X923">
        <v>23790</v>
      </c>
      <c r="Y923" s="31">
        <v>46558</v>
      </c>
      <c r="Z923" t="str">
        <v/>
      </c>
      <c r="AA923" t="str">
        <v>技術・人文知識・国際業務</v>
      </c>
      <c r="AB923" t="str">
        <v>437-0065</v>
      </c>
      <c r="AC923" t="str">
        <v>静岡県袋井市堀越1丁目21-9</v>
      </c>
      <c r="AD923" t="str">
        <v>ﾌﾟﾁｾｿﾞﾝ203号</v>
      </c>
      <c r="AE923" s="31">
        <v>44756</v>
      </c>
      <c r="AF923" s="31">
        <v>44762</v>
      </c>
      <c r="AG923" s="31">
        <v>0</v>
      </c>
      <c r="AH923" s="31">
        <v>0</v>
      </c>
      <c r="AI923" t="str">
        <v>22.08.01</v>
      </c>
      <c r="AJ923" t="str">
        <v>8/8原</v>
      </c>
      <c r="AK923" t="str">
        <v>請負より異動</v>
      </c>
      <c r="AL923">
        <v>44762</v>
      </c>
      <c r="AM923">
        <v>0</v>
      </c>
      <c r="AN923">
        <v>0</v>
      </c>
      <c r="AO923">
        <v>0</v>
      </c>
      <c r="AP923">
        <v>0</v>
      </c>
      <c r="AQ923" t="str">
        <v>JLPT-N4</v>
      </c>
      <c r="AR923">
        <v>0</v>
      </c>
    </row>
    <row r="924" spans="1:44">
      <c r="A924" t="str">
        <f>H924&amp;COUNTIF($H$2:H924,H924)</f>
        <v>手動旋削17</v>
      </c>
      <c r="B924" t="str">
        <f>F924&amp;COUNTIF($F$2:F924,F924)</f>
        <v>高雄工業 静岡110</v>
      </c>
      <c r="C924" t="str">
        <v>在職中</v>
      </c>
      <c r="D924">
        <v>230912</v>
      </c>
      <c r="E924">
        <v>242074</v>
      </c>
      <c r="F924" t="str">
        <v>高雄工業 静岡</v>
      </c>
      <c r="G924" t="str">
        <v>高雄工業株式会社 静岡事業所第一工場製作課</v>
      </c>
      <c r="H924" t="str">
        <v>手動旋削</v>
      </c>
      <c r="I924" t="str">
        <v>CVJ部品短軸品の施削加工、NCプログラム修正</v>
      </c>
      <c r="J924" t="str">
        <v>NGUYEN SY PHUC</v>
      </c>
      <c r="K924" t="str">
        <v>グエン　シ　フック</v>
      </c>
      <c r="L924" t="str">
        <v>男</v>
      </c>
      <c r="M924" t="str">
        <v>ﾍﾞﾄﾅﾑ</v>
      </c>
      <c r="N924" s="31">
        <v>35415</v>
      </c>
      <c r="O924">
        <v>28</v>
      </c>
      <c r="P924">
        <v>1300</v>
      </c>
      <c r="Q924">
        <v>0</v>
      </c>
      <c r="R924">
        <v>1700</v>
      </c>
      <c r="S924">
        <v>0</v>
      </c>
      <c r="T924">
        <v>400</v>
      </c>
      <c r="U924">
        <v>260000</v>
      </c>
      <c r="V924">
        <v>13039</v>
      </c>
      <c r="W924" t="str">
        <v>0</v>
      </c>
      <c r="X924">
        <v>23790</v>
      </c>
      <c r="Y924" s="31">
        <v>47023</v>
      </c>
      <c r="Z924" t="str">
        <v/>
      </c>
      <c r="AA924" t="str">
        <v>技術・人文知識・国際業務</v>
      </c>
      <c r="AB924" t="str">
        <v>437-0065</v>
      </c>
      <c r="AC924" t="str">
        <v>静岡県袋井市堀越1548</v>
      </c>
      <c r="AD924" t="str">
        <v>ﾍﾞﾙｺｰﾎﾟ202</v>
      </c>
      <c r="AE924" s="31">
        <v>45181</v>
      </c>
      <c r="AF924" s="31">
        <v>45188</v>
      </c>
      <c r="AG924" s="31">
        <v>0</v>
      </c>
      <c r="AH924" s="31">
        <v>0</v>
      </c>
      <c r="AI924" t="str">
        <v>23.9.19</v>
      </c>
      <c r="AJ924" t="str">
        <v>9/29林</v>
      </c>
      <c r="AK924">
        <v>0</v>
      </c>
      <c r="AL924">
        <v>45188</v>
      </c>
      <c r="AM924">
        <v>0</v>
      </c>
      <c r="AN924">
        <v>0</v>
      </c>
      <c r="AO924">
        <v>0</v>
      </c>
      <c r="AP924">
        <v>0</v>
      </c>
      <c r="AQ924">
        <v>0</v>
      </c>
      <c r="AR924">
        <v>0</v>
      </c>
    </row>
    <row r="925" spans="1:44">
      <c r="A925" t="str">
        <f>H925&amp;COUNTIF($H$2:H925,H925)</f>
        <v>手動旋削18</v>
      </c>
      <c r="B925" t="str">
        <f>F925&amp;COUNTIF($F$2:F925,F925)</f>
        <v>高雄工業 静岡111</v>
      </c>
      <c r="C925" t="str">
        <v>在職中</v>
      </c>
      <c r="D925">
        <v>231209</v>
      </c>
      <c r="E925">
        <v>242090</v>
      </c>
      <c r="F925" t="str">
        <v>高雄工業 静岡</v>
      </c>
      <c r="G925" t="str">
        <v>高雄工業株式会社 静岡事業所第一工場製作課</v>
      </c>
      <c r="H925" t="str">
        <v>手動旋削</v>
      </c>
      <c r="I925" t="str">
        <v>CVJ部品短軸品の施削加工、NCプログラム修正</v>
      </c>
      <c r="J925" t="str">
        <v>NGUYEN DUY TAN</v>
      </c>
      <c r="K925" t="str">
        <v>グエン　ズイ　タン</v>
      </c>
      <c r="L925" t="str">
        <v>男</v>
      </c>
      <c r="M925" t="str">
        <v>ﾍﾞﾄﾅﾑ</v>
      </c>
      <c r="N925" s="31">
        <v>37138</v>
      </c>
      <c r="O925">
        <v>24</v>
      </c>
      <c r="P925">
        <v>1300</v>
      </c>
      <c r="Q925">
        <v>0</v>
      </c>
      <c r="R925">
        <v>1700</v>
      </c>
      <c r="S925">
        <v>0</v>
      </c>
      <c r="T925">
        <v>400</v>
      </c>
      <c r="U925">
        <v>260000</v>
      </c>
      <c r="V925">
        <v>13039</v>
      </c>
      <c r="W925" t="str">
        <v>0</v>
      </c>
      <c r="X925">
        <v>23790</v>
      </c>
      <c r="Y925" s="31">
        <v>47084</v>
      </c>
      <c r="Z925" t="str">
        <v/>
      </c>
      <c r="AA925" t="str">
        <v>技術・人文知識・国際業務</v>
      </c>
      <c r="AB925" t="str">
        <v>437-0123</v>
      </c>
      <c r="AC925" t="str">
        <v>静岡県袋井市下山梨1603-2</v>
      </c>
      <c r="AD925" t="str">
        <v>ﾎｰﾌﾟｼﾃｨHIRO202</v>
      </c>
      <c r="AE925" s="31">
        <v>45257</v>
      </c>
      <c r="AF925" s="31">
        <v>45264</v>
      </c>
      <c r="AG925" s="31">
        <v>0</v>
      </c>
      <c r="AH925" s="31">
        <v>0</v>
      </c>
      <c r="AI925" t="str">
        <v>23.12.4</v>
      </c>
      <c r="AJ925" t="str">
        <v>12/18林</v>
      </c>
      <c r="AK925">
        <v>0</v>
      </c>
      <c r="AL925">
        <v>45264</v>
      </c>
      <c r="AM925">
        <v>0</v>
      </c>
      <c r="AN925">
        <v>0</v>
      </c>
      <c r="AO925">
        <v>0</v>
      </c>
      <c r="AP925">
        <v>0</v>
      </c>
      <c r="AQ925" t="str">
        <v>JLPT-N4</v>
      </c>
      <c r="AR925">
        <v>0</v>
      </c>
    </row>
    <row r="926" spans="1:44">
      <c r="A926" t="str">
        <f>H926&amp;COUNTIF($H$2:H926,H926)</f>
        <v>手動旋削19</v>
      </c>
      <c r="B926" t="str">
        <f>F926&amp;COUNTIF($F$2:F926,F926)</f>
        <v>高雄工業 静岡112</v>
      </c>
      <c r="C926" t="str">
        <v>在職中</v>
      </c>
      <c r="D926">
        <v>240104</v>
      </c>
      <c r="E926">
        <v>242096</v>
      </c>
      <c r="F926" t="str">
        <v>高雄工業 静岡</v>
      </c>
      <c r="G926" t="str">
        <v>高雄工業株式会社 静岡事業所第一工場製作課</v>
      </c>
      <c r="H926" t="str">
        <v>手動旋削</v>
      </c>
      <c r="I926" t="str">
        <v>CVJ部品短軸品の施削加工、NCプログラム修正</v>
      </c>
      <c r="J926" t="str">
        <v>NGUYEN THE HUY</v>
      </c>
      <c r="K926" t="str">
        <v>グエン　テ　フィ</v>
      </c>
      <c r="L926" t="str">
        <v>男</v>
      </c>
      <c r="M926" t="str">
        <v>ﾍﾞﾄﾅﾑ</v>
      </c>
      <c r="N926" s="31">
        <v>36697</v>
      </c>
      <c r="O926">
        <v>25</v>
      </c>
      <c r="P926">
        <v>1300</v>
      </c>
      <c r="Q926">
        <v>0</v>
      </c>
      <c r="R926">
        <v>1690</v>
      </c>
      <c r="S926">
        <v>0</v>
      </c>
      <c r="T926">
        <v>390</v>
      </c>
      <c r="U926">
        <v>260000</v>
      </c>
      <c r="V926">
        <v>13039</v>
      </c>
      <c r="W926" t="str">
        <v>0</v>
      </c>
      <c r="X926">
        <v>23790</v>
      </c>
      <c r="Y926" s="31">
        <v>46058</v>
      </c>
      <c r="Z926">
        <v>63</v>
      </c>
      <c r="AA926" t="str">
        <v>技術・人文知識・国際業務</v>
      </c>
      <c r="AB926" t="str">
        <v>437-0016</v>
      </c>
      <c r="AC926" t="str">
        <v>静岡県袋井市葵町3丁目3-3</v>
      </c>
      <c r="AD926" t="str">
        <v>BeehiveresidenceⅢ201</v>
      </c>
      <c r="AE926" s="31">
        <v>45303</v>
      </c>
      <c r="AF926" s="31">
        <v>45309</v>
      </c>
      <c r="AG926" s="31">
        <v>0</v>
      </c>
      <c r="AH926" s="31">
        <v>0</v>
      </c>
      <c r="AI926" t="str">
        <v>24.1.18</v>
      </c>
      <c r="AJ926" t="str">
        <v>1/31林</v>
      </c>
      <c r="AK926">
        <v>0</v>
      </c>
      <c r="AL926">
        <v>45309</v>
      </c>
      <c r="AM926">
        <v>0</v>
      </c>
      <c r="AN926">
        <v>0</v>
      </c>
      <c r="AO926">
        <v>0</v>
      </c>
      <c r="AP926">
        <v>0</v>
      </c>
      <c r="AQ926" t="str">
        <v>JLPT-N4</v>
      </c>
      <c r="AR926">
        <v>0</v>
      </c>
    </row>
    <row r="927" spans="1:44">
      <c r="A927" t="str">
        <f>H927&amp;COUNTIF($H$2:H927,H927)</f>
        <v>J加工2課9</v>
      </c>
      <c r="B927" t="str">
        <f>F927&amp;COUNTIF($F$2:F927,F927)</f>
        <v>加藤木材工業 本社45</v>
      </c>
      <c r="C927" t="str">
        <v>退社</v>
      </c>
      <c r="D927">
        <v>250220</v>
      </c>
      <c r="E927">
        <v>5691</v>
      </c>
      <c r="F927" t="str">
        <v>加藤木材工業 本社</v>
      </c>
      <c r="G927" t="str">
        <v>生産2部</v>
      </c>
      <c r="H927" t="str">
        <v>J加工2課</v>
      </c>
      <c r="I927" t="str">
        <v>機械オペレーター及び機械メンテナンス他付随する業務</v>
      </c>
      <c r="J927" t="str">
        <v>NGUYEN DINH NHAT</v>
      </c>
      <c r="K927" t="str">
        <v>グエン　ディン　ニャット</v>
      </c>
      <c r="L927" t="str">
        <v>男</v>
      </c>
      <c r="M927" t="str">
        <v>ﾍﾞﾄﾅﾑ</v>
      </c>
      <c r="N927" s="31">
        <v>35087</v>
      </c>
      <c r="O927">
        <v>29</v>
      </c>
      <c r="P927">
        <v>1300</v>
      </c>
      <c r="Q927">
        <v>0</v>
      </c>
      <c r="R927">
        <v>1700</v>
      </c>
      <c r="S927">
        <v>0</v>
      </c>
      <c r="T927">
        <v>400</v>
      </c>
      <c r="U927">
        <v>280000</v>
      </c>
      <c r="V927">
        <v>14042</v>
      </c>
      <c r="W927" t="str">
        <v>0</v>
      </c>
      <c r="X927">
        <v>25620</v>
      </c>
      <c r="Y927" s="31">
        <v>47122</v>
      </c>
      <c r="Z927" t="str">
        <v/>
      </c>
      <c r="AA927" t="str">
        <v>技術・人文知識・国際業務</v>
      </c>
      <c r="AB927" t="str">
        <v>485-0041</v>
      </c>
      <c r="AC927" t="str">
        <v>愛知県小牧市大字小牧3522</v>
      </c>
      <c r="AD927" t="str">
        <v>ﾋﾞﾚｯｼﾞﾊｳｽ山北5 304号</v>
      </c>
      <c r="AE927" s="31" t="str">
        <v>個人</v>
      </c>
      <c r="AF927" s="31">
        <v>45701</v>
      </c>
      <c r="AG927" s="31">
        <v>45933</v>
      </c>
      <c r="AH927" s="31">
        <v>0</v>
      </c>
      <c r="AI927">
        <v>45701</v>
      </c>
      <c r="AJ927" t="str">
        <v>2/25林</v>
      </c>
      <c r="AK927">
        <v>0</v>
      </c>
      <c r="AL927">
        <v>45701</v>
      </c>
      <c r="AM927">
        <v>0</v>
      </c>
      <c r="AN927">
        <v>0</v>
      </c>
      <c r="AO927">
        <v>0</v>
      </c>
      <c r="AP927">
        <v>0</v>
      </c>
      <c r="AQ927">
        <v>0</v>
      </c>
      <c r="AR927">
        <v>0</v>
      </c>
    </row>
    <row r="928" spans="1:44">
      <c r="A928" t="str">
        <f>H928&amp;COUNTIF($H$2:H928,H928)</f>
        <v>2課8</v>
      </c>
      <c r="B928" t="str">
        <f>F928&amp;COUNTIF($F$2:F928,F928)</f>
        <v>加藤木材工業 本社46</v>
      </c>
      <c r="C928" t="str">
        <v>退社</v>
      </c>
      <c r="D928">
        <v>250221</v>
      </c>
      <c r="E928">
        <v>5689</v>
      </c>
      <c r="F928" t="str">
        <v>加藤木材工業 本社</v>
      </c>
      <c r="G928" t="str">
        <v>生産1部</v>
      </c>
      <c r="H928" t="str">
        <v>2課</v>
      </c>
      <c r="I928" t="str">
        <v>機械オペレーター及び機械メンテナンス他付随する業務</v>
      </c>
      <c r="J928" t="str">
        <v>NGUYEN VANG DANG</v>
      </c>
      <c r="K928" t="str">
        <v>グエン　ヴァン　ダン</v>
      </c>
      <c r="L928" t="str">
        <v>男</v>
      </c>
      <c r="M928" t="str">
        <v>ﾍﾞﾄﾅﾑ</v>
      </c>
      <c r="N928" s="31">
        <v>34226</v>
      </c>
      <c r="O928">
        <v>32</v>
      </c>
      <c r="P928">
        <v>1300</v>
      </c>
      <c r="Q928">
        <v>0</v>
      </c>
      <c r="R928">
        <v>1700</v>
      </c>
      <c r="S928">
        <v>0</v>
      </c>
      <c r="T928">
        <v>400</v>
      </c>
      <c r="U928">
        <v>300000</v>
      </c>
      <c r="V928">
        <v>15045</v>
      </c>
      <c r="W928" t="str">
        <v>0</v>
      </c>
      <c r="X928">
        <v>27450</v>
      </c>
      <c r="Y928" s="31">
        <v>46487</v>
      </c>
      <c r="Z928" t="str">
        <v/>
      </c>
      <c r="AA928" t="str">
        <v>技術・人文知識・国際業務</v>
      </c>
      <c r="AB928" t="str">
        <v>486-0918</v>
      </c>
      <c r="AC928" t="str">
        <v>愛知県春日井市如意申町6-11-17</v>
      </c>
      <c r="AD928" t="str">
        <v>ﾌﾚｸﾞﾗﾝｽｳｼ202</v>
      </c>
      <c r="AE928" s="31">
        <v>0</v>
      </c>
      <c r="AF928" s="31">
        <v>45701</v>
      </c>
      <c r="AG928" s="31">
        <v>45960</v>
      </c>
      <c r="AH928" s="31">
        <v>0</v>
      </c>
      <c r="AI928">
        <v>45701</v>
      </c>
      <c r="AJ928" t="str">
        <v>2/25林</v>
      </c>
      <c r="AK928">
        <v>0</v>
      </c>
      <c r="AL928">
        <v>45701</v>
      </c>
      <c r="AM928">
        <v>0</v>
      </c>
      <c r="AN928">
        <v>0</v>
      </c>
      <c r="AO928">
        <v>0</v>
      </c>
      <c r="AP928">
        <v>0</v>
      </c>
      <c r="AQ928">
        <v>0</v>
      </c>
      <c r="AR928">
        <v>0</v>
      </c>
    </row>
    <row r="929" spans="1:44">
      <c r="A929" t="str">
        <f>H929&amp;COUNTIF($H$2:H929,H929)</f>
        <v>本社工場製造1課2工区3班7</v>
      </c>
      <c r="B929" t="str">
        <f>F929&amp;COUNTIF($F$2:F929,F929)</f>
        <v>コーリツ 本社41</v>
      </c>
      <c r="C929" t="str">
        <v>退社</v>
      </c>
      <c r="D929">
        <v>230603</v>
      </c>
      <c r="E929">
        <v>8210116</v>
      </c>
      <c r="F929" t="str">
        <v>コーリツ 本社</v>
      </c>
      <c r="G929" t="str">
        <v>本社工場製造1課2工区3班</v>
      </c>
      <c r="H929" t="str">
        <v>本社工場製造1課2工区3班</v>
      </c>
      <c r="I929">
        <v>0</v>
      </c>
      <c r="J929" t="str">
        <v>NGUYEN VAN TUYEN</v>
      </c>
      <c r="K929" t="str">
        <v>グエン　バン　トゥエン</v>
      </c>
      <c r="L929" t="str">
        <v>男</v>
      </c>
      <c r="M929" t="str">
        <v>ﾍﾞﾄﾅﾑ</v>
      </c>
      <c r="N929" s="31">
        <v>34115</v>
      </c>
      <c r="O929">
        <v>32</v>
      </c>
      <c r="P929">
        <v>1500</v>
      </c>
      <c r="Q929">
        <v>0</v>
      </c>
      <c r="R929">
        <v>2150</v>
      </c>
      <c r="S929">
        <v>0</v>
      </c>
      <c r="T929">
        <v>650</v>
      </c>
      <c r="U929">
        <v>240000</v>
      </c>
      <c r="V929">
        <v>12036</v>
      </c>
      <c r="W929" t="str">
        <v>0</v>
      </c>
      <c r="X929">
        <v>21960</v>
      </c>
      <c r="Y929" s="31">
        <v>46622</v>
      </c>
      <c r="Z929" t="str">
        <v/>
      </c>
      <c r="AA929" t="str">
        <v>技術・人文知識・国際業務</v>
      </c>
      <c r="AB929" t="str">
        <v>448-0855</v>
      </c>
      <c r="AC929" t="str">
        <v>愛知県刈谷市大正町7丁目401-1</v>
      </c>
      <c r="AD929" t="str">
        <v>ﾆｭｰﾊﾋﾟﾈｽ201</v>
      </c>
      <c r="AE929" s="31">
        <v>0</v>
      </c>
      <c r="AF929" s="31">
        <v>45705</v>
      </c>
      <c r="AG929" s="31">
        <v>45728</v>
      </c>
      <c r="AH929" s="31">
        <v>0</v>
      </c>
      <c r="AI929">
        <v>45705</v>
      </c>
      <c r="AJ929" t="str">
        <v>3/12林</v>
      </c>
      <c r="AK929">
        <v>0</v>
      </c>
      <c r="AL929">
        <v>45705</v>
      </c>
      <c r="AM929">
        <v>0</v>
      </c>
      <c r="AN929">
        <v>0</v>
      </c>
      <c r="AO929">
        <v>0</v>
      </c>
      <c r="AP929">
        <v>0</v>
      </c>
      <c r="AQ929">
        <v>0</v>
      </c>
      <c r="AR929">
        <v>0</v>
      </c>
    </row>
    <row r="930" spans="1:44">
      <c r="A930" t="str">
        <f>H930&amp;COUNTIF($H$2:H930,H930)</f>
        <v>手動旋削20</v>
      </c>
      <c r="B930" t="str">
        <f>F930&amp;COUNTIF($F$2:F930,F930)</f>
        <v>高雄工業 静岡113</v>
      </c>
      <c r="C930" t="str">
        <v>在職中</v>
      </c>
      <c r="D930">
        <v>240106</v>
      </c>
      <c r="E930">
        <v>242094</v>
      </c>
      <c r="F930" t="str">
        <v>高雄工業 静岡</v>
      </c>
      <c r="G930" t="str">
        <v>高雄工業株式会社 静岡事業所第一工場製作課</v>
      </c>
      <c r="H930" t="str">
        <v>手動旋削</v>
      </c>
      <c r="I930" t="str">
        <v>CVJ部品短軸品の施削加工、NCプログラム修正</v>
      </c>
      <c r="J930" t="str">
        <v>TRAN VAN TOAN</v>
      </c>
      <c r="K930" t="str">
        <v>チャン　バン　トアン</v>
      </c>
      <c r="L930" t="str">
        <v>男</v>
      </c>
      <c r="M930" t="str">
        <v>ﾍﾞﾄﾅﾑ</v>
      </c>
      <c r="N930" s="31">
        <v>35186</v>
      </c>
      <c r="O930">
        <v>29</v>
      </c>
      <c r="P930">
        <v>1300</v>
      </c>
      <c r="Q930">
        <v>0</v>
      </c>
      <c r="R930">
        <v>1670</v>
      </c>
      <c r="S930">
        <v>0</v>
      </c>
      <c r="T930">
        <v>370</v>
      </c>
      <c r="U930">
        <v>260000</v>
      </c>
      <c r="V930">
        <v>13039</v>
      </c>
      <c r="W930" t="str">
        <v>0</v>
      </c>
      <c r="X930">
        <v>23790</v>
      </c>
      <c r="Y930" s="31">
        <v>46058</v>
      </c>
      <c r="Z930">
        <v>63</v>
      </c>
      <c r="AA930" t="str">
        <v>技術・人文知識・国際業務</v>
      </c>
      <c r="AB930" t="str">
        <v>437-0015</v>
      </c>
      <c r="AC930" t="str">
        <v>静岡県袋井市旭町1-1-17</v>
      </c>
      <c r="AD930" t="str">
        <v>ｱｻﾋﾒｲﾄ202</v>
      </c>
      <c r="AE930" s="31">
        <v>45303</v>
      </c>
      <c r="AF930" s="31">
        <v>45309</v>
      </c>
      <c r="AG930" s="31">
        <v>0</v>
      </c>
      <c r="AH930" s="31">
        <v>0</v>
      </c>
      <c r="AI930" t="str">
        <v>24.1.18</v>
      </c>
      <c r="AJ930" t="str">
        <v>1/31林</v>
      </c>
      <c r="AK930">
        <v>0</v>
      </c>
      <c r="AL930">
        <v>45309</v>
      </c>
      <c r="AM930">
        <v>0</v>
      </c>
      <c r="AN930">
        <v>0</v>
      </c>
      <c r="AO930">
        <v>0</v>
      </c>
      <c r="AP930">
        <v>0</v>
      </c>
      <c r="AQ930">
        <v>0</v>
      </c>
      <c r="AR930">
        <v>0</v>
      </c>
    </row>
    <row r="931" spans="1:44">
      <c r="A931" t="str">
        <f>H931&amp;COUNTIF($H$2:H931,H931)</f>
        <v>2課9</v>
      </c>
      <c r="B931" t="str">
        <f>F931&amp;COUNTIF($F$2:F931,F931)</f>
        <v>加藤木材工業 本社47</v>
      </c>
      <c r="C931" t="str">
        <v>在職中</v>
      </c>
      <c r="D931">
        <v>250222</v>
      </c>
      <c r="E931">
        <v>5690</v>
      </c>
      <c r="F931" t="str">
        <v>加藤木材工業 本社</v>
      </c>
      <c r="G931" t="str">
        <v>生産1部</v>
      </c>
      <c r="H931" t="str">
        <v>2課</v>
      </c>
      <c r="I931" t="str">
        <v>機械オペレーター及び機械メンテナンス他付随する業務</v>
      </c>
      <c r="J931" t="str">
        <v>NGUYEN DINH THUAN</v>
      </c>
      <c r="K931" t="str">
        <v>グエン　ディン　トゥアン</v>
      </c>
      <c r="L931" t="str">
        <v>男</v>
      </c>
      <c r="M931" t="str">
        <v>ﾍﾞﾄﾅﾑ</v>
      </c>
      <c r="N931" s="31">
        <v>36747</v>
      </c>
      <c r="O931">
        <v>25</v>
      </c>
      <c r="P931">
        <v>1300</v>
      </c>
      <c r="Q931">
        <v>0</v>
      </c>
      <c r="R931">
        <v>1700</v>
      </c>
      <c r="S931">
        <v>0</v>
      </c>
      <c r="T931">
        <v>400</v>
      </c>
      <c r="U931">
        <v>260000</v>
      </c>
      <c r="V931">
        <v>13039</v>
      </c>
      <c r="W931" t="str">
        <v>0</v>
      </c>
      <c r="X931">
        <v>23790</v>
      </c>
      <c r="Y931" s="31">
        <v>46014</v>
      </c>
      <c r="Z931">
        <v>19</v>
      </c>
      <c r="AA931" t="str">
        <v>技術・人文知識・国際業務</v>
      </c>
      <c r="AB931" t="str">
        <v>486-0918</v>
      </c>
      <c r="AC931" t="str">
        <v>愛知県春日井市如意申町6-11-17</v>
      </c>
      <c r="AD931" t="str">
        <v>ﾌﾚｸﾞﾗﾝｽｳｼ202</v>
      </c>
      <c r="AE931" s="31">
        <v>0</v>
      </c>
      <c r="AF931" s="31">
        <v>45705</v>
      </c>
      <c r="AG931" s="31">
        <v>0</v>
      </c>
      <c r="AH931" s="31">
        <v>0</v>
      </c>
      <c r="AI931">
        <v>45705</v>
      </c>
      <c r="AJ931" t="str">
        <v>2/25林</v>
      </c>
      <c r="AK931">
        <v>0</v>
      </c>
      <c r="AL931">
        <v>45705</v>
      </c>
      <c r="AM931">
        <v>0</v>
      </c>
      <c r="AN931">
        <v>0</v>
      </c>
      <c r="AO931">
        <v>0</v>
      </c>
      <c r="AP931">
        <v>0</v>
      </c>
      <c r="AQ931">
        <v>0</v>
      </c>
      <c r="AR931">
        <v>0</v>
      </c>
    </row>
    <row r="932" spans="1:44">
      <c r="A932" t="str">
        <f>H932&amp;COUNTIF($H$2:H932,H932)</f>
        <v>手動旋削21</v>
      </c>
      <c r="B932" t="str">
        <f>F932&amp;COUNTIF($F$2:F932,F932)</f>
        <v>高雄工業 静岡114</v>
      </c>
      <c r="C932" t="str">
        <v>在職中</v>
      </c>
      <c r="D932">
        <v>240107</v>
      </c>
      <c r="E932">
        <v>242095</v>
      </c>
      <c r="F932" t="str">
        <v>高雄工業 静岡</v>
      </c>
      <c r="G932" t="str">
        <v>高雄工業株式会社 静岡事業所第一工場製作課</v>
      </c>
      <c r="H932" t="str">
        <v>手動旋削</v>
      </c>
      <c r="I932" t="str">
        <v>CVJ部品短軸品の施削加工、NCプログラム修正</v>
      </c>
      <c r="J932" t="str">
        <v>LUU MINH HIEU</v>
      </c>
      <c r="K932" t="str">
        <v>リュ　ミン　ヒエウ</v>
      </c>
      <c r="L932" t="str">
        <v>男</v>
      </c>
      <c r="M932" t="str">
        <v>ﾍﾞﾄﾅﾑ</v>
      </c>
      <c r="N932" s="31">
        <v>36560</v>
      </c>
      <c r="O932">
        <v>25</v>
      </c>
      <c r="P932">
        <v>1300</v>
      </c>
      <c r="Q932">
        <v>0</v>
      </c>
      <c r="R932">
        <v>1700</v>
      </c>
      <c r="S932">
        <v>0</v>
      </c>
      <c r="T932">
        <v>400</v>
      </c>
      <c r="U932">
        <v>260000</v>
      </c>
      <c r="V932">
        <v>13039</v>
      </c>
      <c r="W932" t="str">
        <v>0</v>
      </c>
      <c r="X932">
        <v>23790</v>
      </c>
      <c r="Y932" s="31">
        <v>46058</v>
      </c>
      <c r="Z932">
        <v>63</v>
      </c>
      <c r="AA932" t="str">
        <v>技術・人文知識・国際業務</v>
      </c>
      <c r="AB932" t="str">
        <v>437-0015</v>
      </c>
      <c r="AC932" t="str">
        <v>静岡県袋井市旭町2-7-5</v>
      </c>
      <c r="AD932" t="str">
        <v>ﾌｨﾌﾃｨｰⅡ102</v>
      </c>
      <c r="AE932" s="31">
        <v>45303</v>
      </c>
      <c r="AF932" s="31">
        <v>45309</v>
      </c>
      <c r="AG932" s="31">
        <v>0</v>
      </c>
      <c r="AH932" s="31">
        <v>0</v>
      </c>
      <c r="AI932" t="str">
        <v>24.1.18</v>
      </c>
      <c r="AJ932" t="str">
        <v>1/31林</v>
      </c>
      <c r="AK932">
        <v>0</v>
      </c>
      <c r="AL932">
        <v>45309</v>
      </c>
      <c r="AM932">
        <v>0</v>
      </c>
      <c r="AN932">
        <v>0</v>
      </c>
      <c r="AO932">
        <v>0</v>
      </c>
      <c r="AP932">
        <v>0</v>
      </c>
      <c r="AQ932" t="str">
        <v>JLPT-N4</v>
      </c>
      <c r="AR932">
        <v>0</v>
      </c>
    </row>
    <row r="933" spans="1:44">
      <c r="A933" t="str">
        <f>H933&amp;COUNTIF($H$2:H933,H933)</f>
        <v>手動旋削22</v>
      </c>
      <c r="B933" t="str">
        <f>F933&amp;COUNTIF($F$2:F933,F933)</f>
        <v>高雄工業 静岡115</v>
      </c>
      <c r="C933" t="str">
        <v>在職中</v>
      </c>
      <c r="D933">
        <v>240113</v>
      </c>
      <c r="E933">
        <v>242099</v>
      </c>
      <c r="F933" t="str">
        <v>高雄工業 静岡</v>
      </c>
      <c r="G933" t="str">
        <v>高雄工業株式会社 静岡事業所第一工場製作課</v>
      </c>
      <c r="H933" t="str">
        <v>手動旋削</v>
      </c>
      <c r="I933" t="str">
        <v>CVJ部品短軸品の施削加工、NCプログラム修正</v>
      </c>
      <c r="J933" t="str">
        <v>NGUYEN PHUONG NAM</v>
      </c>
      <c r="K933" t="str">
        <v>グエン　フォン　ナム</v>
      </c>
      <c r="L933" t="str">
        <v>男</v>
      </c>
      <c r="M933" t="str">
        <v>ﾍﾞﾄﾅﾑ</v>
      </c>
      <c r="N933" s="31">
        <v>35877</v>
      </c>
      <c r="O933">
        <v>27</v>
      </c>
      <c r="P933">
        <v>1300</v>
      </c>
      <c r="Q933">
        <v>0</v>
      </c>
      <c r="R933">
        <v>1680</v>
      </c>
      <c r="S933">
        <v>0</v>
      </c>
      <c r="T933">
        <v>380</v>
      </c>
      <c r="U933">
        <v>260000</v>
      </c>
      <c r="V933">
        <v>13039</v>
      </c>
      <c r="W933" t="str">
        <v>0</v>
      </c>
      <c r="X933">
        <v>23790</v>
      </c>
      <c r="Y933" s="31">
        <v>46058</v>
      </c>
      <c r="Z933">
        <v>63</v>
      </c>
      <c r="AA933" t="str">
        <v>技術・人文知識・国際業務</v>
      </c>
      <c r="AB933" t="str">
        <v>437-0065</v>
      </c>
      <c r="AC933" t="str">
        <v>静岡県袋井市堀越1-21-9</v>
      </c>
      <c r="AD933" t="str">
        <v>ﾌﾟﾁｾｿﾞﾝ101号</v>
      </c>
      <c r="AE933" s="31">
        <v>45308</v>
      </c>
      <c r="AF933" s="31">
        <v>45314</v>
      </c>
      <c r="AG933" s="31">
        <v>0</v>
      </c>
      <c r="AH933" s="31">
        <v>0</v>
      </c>
      <c r="AI933" t="str">
        <v>24.1.23</v>
      </c>
      <c r="AJ933" t="str">
        <v>2/14林</v>
      </c>
      <c r="AK933">
        <v>0</v>
      </c>
      <c r="AL933">
        <v>45314</v>
      </c>
      <c r="AM933">
        <v>0</v>
      </c>
      <c r="AN933">
        <v>0</v>
      </c>
      <c r="AO933">
        <v>0</v>
      </c>
      <c r="AP933">
        <v>0</v>
      </c>
      <c r="AQ933">
        <v>0</v>
      </c>
      <c r="AR933">
        <v>0</v>
      </c>
    </row>
    <row r="934" spans="1:44">
      <c r="A934" t="str">
        <f>H934&amp;COUNTIF($H$2:H934,H934)</f>
        <v>手動旋削23</v>
      </c>
      <c r="B934" t="str">
        <f>F934&amp;COUNTIF($F$2:F934,F934)</f>
        <v>高雄工業 静岡116</v>
      </c>
      <c r="C934" t="str">
        <v>在職中</v>
      </c>
      <c r="D934">
        <v>240803</v>
      </c>
      <c r="E934">
        <v>242110</v>
      </c>
      <c r="F934" t="str">
        <v>高雄工業 静岡</v>
      </c>
      <c r="G934" t="str">
        <v>高雄工業株式会社 静岡事業所第一工場製作課</v>
      </c>
      <c r="H934" t="str">
        <v>手動旋削</v>
      </c>
      <c r="I934" t="str">
        <v>CVJ部品短軸品の施削加工、NCプログラム修正</v>
      </c>
      <c r="J934" t="str">
        <v>NGUYEN VAN TUYEN</v>
      </c>
      <c r="K934" t="str">
        <v>グエン　バン　トゥエン</v>
      </c>
      <c r="L934" t="str">
        <v>男</v>
      </c>
      <c r="M934" t="str">
        <v>ﾍﾞﾄﾅﾑ</v>
      </c>
      <c r="N934" s="31">
        <v>36213</v>
      </c>
      <c r="O934">
        <v>26</v>
      </c>
      <c r="P934">
        <v>1300</v>
      </c>
      <c r="Q934">
        <v>0</v>
      </c>
      <c r="R934">
        <v>1660</v>
      </c>
      <c r="S934">
        <v>0</v>
      </c>
      <c r="T934">
        <v>360</v>
      </c>
      <c r="U934">
        <v>260000</v>
      </c>
      <c r="V934">
        <v>13039</v>
      </c>
      <c r="W934" t="str">
        <v>0</v>
      </c>
      <c r="X934">
        <v>23790</v>
      </c>
      <c r="Y934" s="31">
        <v>46232</v>
      </c>
      <c r="Z934" t="str">
        <v/>
      </c>
      <c r="AA934" t="str">
        <v>技術・人文知識・国際業務</v>
      </c>
      <c r="AB934" t="str">
        <v>437-0016</v>
      </c>
      <c r="AC934" t="str">
        <v>静岡県袋井市葵町3丁目3番地3</v>
      </c>
      <c r="AD934" t="str">
        <v>BeehiveresidenceⅣ101</v>
      </c>
      <c r="AE934" s="31">
        <v>0</v>
      </c>
      <c r="AF934" s="31">
        <v>45506</v>
      </c>
      <c r="AG934" s="31">
        <v>0</v>
      </c>
      <c r="AH934" s="31">
        <v>0</v>
      </c>
      <c r="AI934">
        <v>45506</v>
      </c>
      <c r="AJ934" t="str">
        <v>8/22林</v>
      </c>
      <c r="AK934">
        <v>0</v>
      </c>
      <c r="AL934">
        <v>45506</v>
      </c>
      <c r="AM934">
        <v>0</v>
      </c>
      <c r="AN934">
        <v>0</v>
      </c>
      <c r="AO934">
        <v>0</v>
      </c>
      <c r="AP934">
        <v>0</v>
      </c>
      <c r="AQ934">
        <v>0</v>
      </c>
      <c r="AR934">
        <v>0</v>
      </c>
    </row>
    <row r="935" spans="1:44">
      <c r="A935" t="str">
        <f>H935&amp;COUNTIF($H$2:H935,H935)</f>
        <v>1次旋係90</v>
      </c>
      <c r="B935" t="str">
        <f>F935&amp;COUNTIF($F$2:F935,F935)</f>
        <v>高雄工業 岡山174</v>
      </c>
      <c r="C935" t="str">
        <v>在職中</v>
      </c>
      <c r="D935">
        <v>250225</v>
      </c>
      <c r="E935">
        <v>232173</v>
      </c>
      <c r="F935" t="str">
        <v>高雄工業 岡山</v>
      </c>
      <c r="G935" t="str">
        <v>高雄工業株式会社 岡山事業所HUB工場製作1課</v>
      </c>
      <c r="H935" t="str">
        <v>1次旋係</v>
      </c>
      <c r="I935" t="str">
        <v>ハブ加工 自動機の操作、ＮＣプログラム修正</v>
      </c>
      <c r="J935" t="str">
        <v>DAO NGOC DUY</v>
      </c>
      <c r="K935" t="str">
        <v>ダオ　ゴック　ズイ</v>
      </c>
      <c r="L935" t="str">
        <v>男</v>
      </c>
      <c r="M935" t="str">
        <v>ﾍﾞﾄﾅﾑ</v>
      </c>
      <c r="N935" s="31">
        <v>32772</v>
      </c>
      <c r="O935">
        <v>36</v>
      </c>
      <c r="P935">
        <v>1400</v>
      </c>
      <c r="Q935">
        <v>0</v>
      </c>
      <c r="R935">
        <v>1790</v>
      </c>
      <c r="S935">
        <v>0</v>
      </c>
      <c r="T935">
        <v>390</v>
      </c>
      <c r="U935">
        <v>340000</v>
      </c>
      <c r="V935">
        <v>17051</v>
      </c>
      <c r="W935" t="str">
        <v>0</v>
      </c>
      <c r="X935">
        <v>31110</v>
      </c>
      <c r="Y935" s="31">
        <v>47051</v>
      </c>
      <c r="Z935" t="str">
        <v/>
      </c>
      <c r="AA935" t="str">
        <v>技術・人文知識・国際業務</v>
      </c>
      <c r="AB935" t="str">
        <v>709-2134</v>
      </c>
      <c r="AC935" t="str">
        <v>岡山市北区御津下田77-3</v>
      </c>
      <c r="AD935" t="str">
        <v>ビレッジハウス宇甘川2号棟301</v>
      </c>
      <c r="AE935" s="31">
        <v>0</v>
      </c>
      <c r="AF935" s="31">
        <v>45709</v>
      </c>
      <c r="AG935" s="31">
        <v>0</v>
      </c>
      <c r="AH935" s="31">
        <v>0</v>
      </c>
      <c r="AI935">
        <v>45709</v>
      </c>
      <c r="AJ935" t="str">
        <v>3/18林</v>
      </c>
      <c r="AK935">
        <v>0</v>
      </c>
      <c r="AL935">
        <v>45709</v>
      </c>
      <c r="AM935">
        <v>0</v>
      </c>
      <c r="AN935">
        <v>0</v>
      </c>
      <c r="AO935">
        <v>0</v>
      </c>
      <c r="AP935">
        <v>0</v>
      </c>
      <c r="AQ935">
        <v>0</v>
      </c>
      <c r="AR935">
        <v>0</v>
      </c>
    </row>
    <row r="936" spans="1:44">
      <c r="A936" t="str">
        <f>H936&amp;COUNTIF($H$2:H936,H936)</f>
        <v>乙川工場製造3課5工区7班13</v>
      </c>
      <c r="B936" t="str">
        <f>F936&amp;COUNTIF($F$2:F936,F936)</f>
        <v>コーリツ 乙川32</v>
      </c>
      <c r="C936" t="str">
        <v>退社</v>
      </c>
      <c r="D936">
        <v>220303</v>
      </c>
      <c r="E936">
        <v>8210117</v>
      </c>
      <c r="F936" t="str">
        <v>コーリツ 乙川</v>
      </c>
      <c r="G936" t="str">
        <v>乙川工場製造3課5工区7班</v>
      </c>
      <c r="H936" t="str">
        <v>乙川工場製造3課5工区7班</v>
      </c>
      <c r="I936">
        <v>0</v>
      </c>
      <c r="J936" t="str">
        <v>BUI VAN DOAN</v>
      </c>
      <c r="K936" t="str">
        <v>ブイ　ヴァン　ドアン</v>
      </c>
      <c r="L936" t="str">
        <v>男</v>
      </c>
      <c r="M936" t="str">
        <v>ﾍﾞﾄﾅﾑ</v>
      </c>
      <c r="N936" s="31">
        <v>33068</v>
      </c>
      <c r="O936">
        <v>35</v>
      </c>
      <c r="P936">
        <v>1500</v>
      </c>
      <c r="Q936">
        <v>0</v>
      </c>
      <c r="R936">
        <v>2150</v>
      </c>
      <c r="S936">
        <v>0</v>
      </c>
      <c r="T936">
        <v>650</v>
      </c>
      <c r="U936">
        <v>300000</v>
      </c>
      <c r="V936">
        <v>15045</v>
      </c>
      <c r="W936" t="str">
        <v>0</v>
      </c>
      <c r="X936">
        <v>27450</v>
      </c>
      <c r="Y936" s="31">
        <v>46261</v>
      </c>
      <c r="Z936" t="str">
        <v/>
      </c>
      <c r="AA936" t="str">
        <v>技術・人文知識・国際業務</v>
      </c>
      <c r="AB936" t="str">
        <v>475-0086</v>
      </c>
      <c r="AC936" t="str">
        <v>愛知県半田市庚申町2-6-7</v>
      </c>
      <c r="AD936" t="str">
        <v>ﾊｲﾂこうしんA棟1</v>
      </c>
      <c r="AE936" s="31" t="str">
        <v>個人</v>
      </c>
      <c r="AF936" s="31">
        <v>45712</v>
      </c>
      <c r="AG936" s="31">
        <v>45919</v>
      </c>
      <c r="AH936" s="31">
        <v>0</v>
      </c>
      <c r="AI936">
        <v>45712</v>
      </c>
      <c r="AJ936" t="str">
        <v>3/18林</v>
      </c>
      <c r="AK936">
        <v>0</v>
      </c>
      <c r="AL936">
        <v>45712</v>
      </c>
      <c r="AM936">
        <v>0</v>
      </c>
      <c r="AN936">
        <v>0</v>
      </c>
      <c r="AO936">
        <v>0</v>
      </c>
      <c r="AP936">
        <v>0</v>
      </c>
      <c r="AQ936">
        <v>0</v>
      </c>
      <c r="AR936">
        <v>0</v>
      </c>
    </row>
    <row r="937" spans="1:44">
      <c r="A937" t="str">
        <f>H937&amp;COUNTIF($H$2:H937,H937)</f>
        <v>乙川工場製造3課5工区7班14</v>
      </c>
      <c r="B937" t="str">
        <f>F937&amp;COUNTIF($F$2:F937,F937)</f>
        <v>コーリツ 乙川33</v>
      </c>
      <c r="C937" t="str">
        <v>在職中</v>
      </c>
      <c r="D937">
        <v>210301</v>
      </c>
      <c r="E937">
        <v>8210118</v>
      </c>
      <c r="F937" t="str">
        <v>コーリツ 乙川</v>
      </c>
      <c r="G937" t="str">
        <v>乙川工場製造3課5工区7班</v>
      </c>
      <c r="H937" t="str">
        <v>乙川工場製造3課5工区7班</v>
      </c>
      <c r="I937">
        <v>0</v>
      </c>
      <c r="J937" t="str">
        <v>BUI VAN DUY</v>
      </c>
      <c r="K937" t="str">
        <v>ブイ　ヴァン　ズイ</v>
      </c>
      <c r="L937" t="str">
        <v>男</v>
      </c>
      <c r="M937" t="str">
        <v>ﾍﾞﾄﾅﾑ</v>
      </c>
      <c r="N937" s="31">
        <v>34922</v>
      </c>
      <c r="O937">
        <v>30</v>
      </c>
      <c r="P937">
        <v>1500</v>
      </c>
      <c r="Q937">
        <v>0</v>
      </c>
      <c r="R937">
        <v>2150</v>
      </c>
      <c r="S937">
        <v>0</v>
      </c>
      <c r="T937">
        <v>650</v>
      </c>
      <c r="U937">
        <v>320000</v>
      </c>
      <c r="V937">
        <v>16048</v>
      </c>
      <c r="W937" t="str">
        <v>0</v>
      </c>
      <c r="X937">
        <v>29280</v>
      </c>
      <c r="Y937" s="31">
        <v>46650</v>
      </c>
      <c r="Z937" t="str">
        <v/>
      </c>
      <c r="AA937" t="str">
        <v>技術・人文知識・国際業務</v>
      </c>
      <c r="AB937" t="str">
        <v>475-0074</v>
      </c>
      <c r="AC937" t="str">
        <v>愛知県半田市長根町3-1</v>
      </c>
      <c r="AD937" t="str">
        <v>県営長根住宅12棟304号</v>
      </c>
      <c r="AE937" s="31" t="str">
        <v>個人</v>
      </c>
      <c r="AF937" s="31">
        <v>45719</v>
      </c>
      <c r="AG937" s="31">
        <v>0</v>
      </c>
      <c r="AH937" s="31">
        <v>0</v>
      </c>
      <c r="AI937">
        <v>45719</v>
      </c>
      <c r="AJ937" t="str">
        <v>3/24林</v>
      </c>
      <c r="AK937">
        <v>0</v>
      </c>
      <c r="AL937">
        <v>45719</v>
      </c>
      <c r="AM937">
        <v>0</v>
      </c>
      <c r="AN937">
        <v>0</v>
      </c>
      <c r="AO937">
        <v>0</v>
      </c>
      <c r="AP937">
        <v>0</v>
      </c>
      <c r="AQ937">
        <v>0</v>
      </c>
      <c r="AR937">
        <v>0</v>
      </c>
    </row>
    <row r="938" spans="1:44">
      <c r="A938" t="str">
        <f>H938&amp;COUNTIF($H$2:H938,H938)</f>
        <v>生産課10</v>
      </c>
      <c r="B938" t="str">
        <f>F938&amp;COUNTIF($F$2:F938,F938)</f>
        <v>加藤木材工業 本社48</v>
      </c>
      <c r="C938" t="str">
        <v>在職中</v>
      </c>
      <c r="D938">
        <v>230910</v>
      </c>
      <c r="E938">
        <v>5400</v>
      </c>
      <c r="F938" t="str">
        <v>加藤木材工業 本社</v>
      </c>
      <c r="G938" t="str">
        <v>生産2部</v>
      </c>
      <c r="H938" t="str">
        <v>生産課</v>
      </c>
      <c r="I938" t="str">
        <v>機械オペレーター及び機械メンテナンス他付随する業務</v>
      </c>
      <c r="J938" t="str">
        <v>TRAN THANH VAN</v>
      </c>
      <c r="K938" t="str">
        <v>チャン　タン　バン</v>
      </c>
      <c r="L938" t="str">
        <v>男</v>
      </c>
      <c r="M938" t="str">
        <v>ﾍﾞﾄﾅﾑ</v>
      </c>
      <c r="N938" s="31">
        <v>36274</v>
      </c>
      <c r="O938">
        <v>26</v>
      </c>
      <c r="P938">
        <v>1300</v>
      </c>
      <c r="Q938">
        <v>0</v>
      </c>
      <c r="R938">
        <v>1700</v>
      </c>
      <c r="S938">
        <v>0</v>
      </c>
      <c r="T938">
        <v>400</v>
      </c>
      <c r="U938">
        <v>260000</v>
      </c>
      <c r="V938">
        <v>13039</v>
      </c>
      <c r="W938" t="str">
        <v>0</v>
      </c>
      <c r="X938">
        <v>23790</v>
      </c>
      <c r="Y938" s="31">
        <v>47048</v>
      </c>
      <c r="Z938" t="str">
        <v/>
      </c>
      <c r="AA938" t="str">
        <v>技術・人文知識・国際業務</v>
      </c>
      <c r="AB938" t="str">
        <v>437-0015</v>
      </c>
      <c r="AC938" t="str">
        <v>静岡県袋井市旭町2-7-5</v>
      </c>
      <c r="AD938" t="str">
        <v>ﾌｨﾌﾃｨⅡ102</v>
      </c>
      <c r="AE938" s="31">
        <v>0</v>
      </c>
      <c r="AF938" s="31">
        <v>45719</v>
      </c>
      <c r="AG938" s="31">
        <v>0</v>
      </c>
      <c r="AH938" s="31">
        <v>0</v>
      </c>
      <c r="AI938">
        <v>45719</v>
      </c>
      <c r="AJ938" t="str">
        <v>3/18林</v>
      </c>
      <c r="AK938">
        <v>0</v>
      </c>
      <c r="AL938">
        <v>45719</v>
      </c>
      <c r="AM938">
        <v>0</v>
      </c>
      <c r="AN938">
        <v>0</v>
      </c>
      <c r="AO938">
        <v>0</v>
      </c>
      <c r="AP938">
        <v>0</v>
      </c>
      <c r="AQ938">
        <v>0</v>
      </c>
      <c r="AR938">
        <v>0</v>
      </c>
    </row>
    <row r="939" spans="1:44">
      <c r="A939" t="str">
        <f>H939&amp;COUNTIF($H$2:H939,H939)</f>
        <v>乙川工場製造3課7工区9班5</v>
      </c>
      <c r="B939" t="str">
        <f>F939&amp;COUNTIF($F$2:F939,F939)</f>
        <v>コーリツ 乙川34</v>
      </c>
      <c r="C939" t="str">
        <v>在職中</v>
      </c>
      <c r="D939">
        <v>210108</v>
      </c>
      <c r="E939">
        <v>8210119</v>
      </c>
      <c r="F939" t="str">
        <v>コーリツ 乙川</v>
      </c>
      <c r="G939" t="str">
        <v>乙川工場製造3課7工区9班</v>
      </c>
      <c r="H939" t="str">
        <v>乙川工場製造3課7工区9班</v>
      </c>
      <c r="I939">
        <v>0</v>
      </c>
      <c r="J939" t="str">
        <v>NGUYEN DINH TRONG</v>
      </c>
      <c r="K939" t="str">
        <v>グェン　ヂィン　チョン</v>
      </c>
      <c r="L939" t="str">
        <v>男</v>
      </c>
      <c r="M939" t="str">
        <v>ﾍﾞﾄﾅﾑ</v>
      </c>
      <c r="N939" s="31">
        <v>33896</v>
      </c>
      <c r="O939">
        <v>33</v>
      </c>
      <c r="P939">
        <v>1555</v>
      </c>
      <c r="Q939">
        <v>0</v>
      </c>
      <c r="R939">
        <v>2225</v>
      </c>
      <c r="S939">
        <v>0</v>
      </c>
      <c r="T939">
        <v>670</v>
      </c>
      <c r="U939">
        <v>360000</v>
      </c>
      <c r="V939">
        <v>18054</v>
      </c>
      <c r="W939" t="str">
        <v>0</v>
      </c>
      <c r="X939">
        <v>32940</v>
      </c>
      <c r="Y939" s="31">
        <v>47267</v>
      </c>
      <c r="Z939" t="str">
        <v/>
      </c>
      <c r="AA939" t="str">
        <v>技術・人文知識・国際業務</v>
      </c>
      <c r="AB939" t="str">
        <v>475-0074</v>
      </c>
      <c r="AC939" t="str">
        <v>愛知県半田市長根町3-1</v>
      </c>
      <c r="AD939" t="str">
        <v>県営長根住宅6棟301号</v>
      </c>
      <c r="AE939" s="31" t="str">
        <v>個人</v>
      </c>
      <c r="AF939" s="31">
        <v>45721</v>
      </c>
      <c r="AG939" s="31">
        <v>0</v>
      </c>
      <c r="AH939" s="31">
        <v>0</v>
      </c>
      <c r="AI939">
        <v>45721</v>
      </c>
      <c r="AJ939" t="str">
        <v>3/18林</v>
      </c>
      <c r="AK939">
        <v>0</v>
      </c>
      <c r="AL939">
        <v>45721</v>
      </c>
      <c r="AM939">
        <v>0</v>
      </c>
      <c r="AN939">
        <v>0</v>
      </c>
      <c r="AO939">
        <v>0</v>
      </c>
      <c r="AP939">
        <v>0</v>
      </c>
      <c r="AQ939">
        <v>0</v>
      </c>
      <c r="AR939">
        <v>0</v>
      </c>
    </row>
    <row r="940" spans="1:44">
      <c r="A940" t="str">
        <f>H940&amp;COUNTIF($H$2:H940,H940)</f>
        <v>本社工場製造1課1工区1班16</v>
      </c>
      <c r="B940" t="str">
        <f>F940&amp;COUNTIF($F$2:F940,F940)</f>
        <v>コーリツ 本社42</v>
      </c>
      <c r="C940" t="str">
        <v>在職中</v>
      </c>
      <c r="D940">
        <v>210404</v>
      </c>
      <c r="E940">
        <v>8210120</v>
      </c>
      <c r="F940" t="str">
        <v>コーリツ 本社</v>
      </c>
      <c r="G940" t="str">
        <v>本社工場製造1課1工区1班</v>
      </c>
      <c r="H940" t="str">
        <v>本社工場製造1課1工区1班</v>
      </c>
      <c r="I940">
        <v>0</v>
      </c>
      <c r="J940" t="str">
        <v>NGUYEN KHAC TRUNG</v>
      </c>
      <c r="K940" t="str">
        <v>グエン　カック　チュン</v>
      </c>
      <c r="L940" t="str">
        <v>男</v>
      </c>
      <c r="M940" t="str">
        <v>ﾍﾞﾄﾅﾑ</v>
      </c>
      <c r="N940" s="31">
        <v>34845</v>
      </c>
      <c r="O940">
        <v>30</v>
      </c>
      <c r="P940">
        <v>1550</v>
      </c>
      <c r="Q940">
        <v>0</v>
      </c>
      <c r="R940">
        <v>2150</v>
      </c>
      <c r="S940">
        <v>0</v>
      </c>
      <c r="T940">
        <v>600</v>
      </c>
      <c r="U940">
        <v>340000</v>
      </c>
      <c r="V940">
        <v>17051</v>
      </c>
      <c r="W940" t="str">
        <v>0</v>
      </c>
      <c r="X940">
        <v>31110</v>
      </c>
      <c r="Y940" s="31">
        <v>47353</v>
      </c>
      <c r="Z940" t="str">
        <v/>
      </c>
      <c r="AA940" t="str">
        <v>技術・人文知識・国際業務</v>
      </c>
      <c r="AB940" t="str">
        <v>475-0061</v>
      </c>
      <c r="AC940" t="str">
        <v>愛知県半田市一ノ草町201-11</v>
      </c>
      <c r="AD940" t="str">
        <v>ﾒｿﾞﾝﾊﾟｰｸｱﾍﾞﾆｭｰ103</v>
      </c>
      <c r="AE940" s="31">
        <v>0</v>
      </c>
      <c r="AF940" s="31">
        <v>45726</v>
      </c>
      <c r="AG940" s="31">
        <v>0</v>
      </c>
      <c r="AH940" s="31">
        <v>0</v>
      </c>
      <c r="AI940">
        <v>45726</v>
      </c>
      <c r="AJ940" t="str">
        <v>3/18林</v>
      </c>
      <c r="AK940">
        <v>0</v>
      </c>
      <c r="AL940">
        <v>45726</v>
      </c>
      <c r="AM940">
        <v>0</v>
      </c>
      <c r="AN940">
        <v>0</v>
      </c>
      <c r="AO940">
        <v>0</v>
      </c>
      <c r="AP940">
        <v>0</v>
      </c>
      <c r="AQ940">
        <v>0</v>
      </c>
      <c r="AR940">
        <v>0</v>
      </c>
    </row>
    <row r="941" spans="1:44">
      <c r="A941" t="str">
        <f>H941&amp;COUNTIF($H$2:H941,H941)</f>
        <v>CVJ長軸旋盤係13</v>
      </c>
      <c r="B941" t="str">
        <f>F941&amp;COUNTIF($F$2:F941,F941)</f>
        <v>高雄工業 岡山175</v>
      </c>
      <c r="C941" t="str">
        <v>在職中</v>
      </c>
      <c r="D941">
        <v>250301</v>
      </c>
      <c r="E941">
        <v>232175</v>
      </c>
      <c r="F941" t="str">
        <v>高雄工業 岡山</v>
      </c>
      <c r="G941" t="str">
        <v>高雄工業株式会社 静岡事業所第一工場製作課</v>
      </c>
      <c r="H941" t="str">
        <v>CVJ長軸旋盤係</v>
      </c>
      <c r="I941" t="str">
        <v>ＣＶＪ長軸等速ジョイント旋削加工、ＮＣプログラム修正</v>
      </c>
      <c r="J941" t="str">
        <v>HOANG VAN CHUONG</v>
      </c>
      <c r="K941" t="str">
        <v>ホアン　ヴァン　チュオン</v>
      </c>
      <c r="L941" t="str">
        <v>男</v>
      </c>
      <c r="M941" t="str">
        <v>ﾍﾞﾄﾅﾑ</v>
      </c>
      <c r="N941" s="31">
        <v>37267</v>
      </c>
      <c r="O941">
        <v>23</v>
      </c>
      <c r="P941">
        <v>1250</v>
      </c>
      <c r="Q941">
        <v>0</v>
      </c>
      <c r="R941">
        <v>1660</v>
      </c>
      <c r="S941">
        <v>0</v>
      </c>
      <c r="T941">
        <v>410</v>
      </c>
      <c r="U941">
        <v>260000</v>
      </c>
      <c r="V941">
        <v>13039</v>
      </c>
      <c r="W941" t="str">
        <v>0</v>
      </c>
      <c r="X941">
        <v>23790</v>
      </c>
      <c r="Y941" s="31">
        <v>46325</v>
      </c>
      <c r="Z941" t="str">
        <v/>
      </c>
      <c r="AA941" t="str">
        <v>技術・人文知識・国際業務</v>
      </c>
      <c r="AB941" t="str">
        <v>709-2107</v>
      </c>
      <c r="AC941" t="str">
        <v>岡山県岡山市北区御津矢原311</v>
      </c>
      <c r="AD941" t="str">
        <v>中須賀ｺｰﾎﾟⅢ205</v>
      </c>
      <c r="AE941" s="31">
        <v>0</v>
      </c>
      <c r="AF941" s="31">
        <v>45726</v>
      </c>
      <c r="AG941" s="31">
        <v>0</v>
      </c>
      <c r="AH941" s="31">
        <v>0</v>
      </c>
      <c r="AI941">
        <v>45726</v>
      </c>
      <c r="AJ941" t="str">
        <v>3/17原</v>
      </c>
      <c r="AK941" t="str">
        <v>2024/11/4～2025/3/7まで請負配属　2025/3/10～高雄工業岡山で派遣に切替</v>
      </c>
      <c r="AL941">
        <v>45726</v>
      </c>
      <c r="AM941">
        <v>0</v>
      </c>
      <c r="AN941">
        <v>0</v>
      </c>
      <c r="AO941">
        <v>0</v>
      </c>
      <c r="AP941">
        <v>0</v>
      </c>
      <c r="AQ941">
        <v>0</v>
      </c>
      <c r="AR941">
        <v>0</v>
      </c>
    </row>
    <row r="942" spans="1:44">
      <c r="A942" t="str">
        <f>H942&amp;COUNTIF($H$2:H942,H942)</f>
        <v>CVJ長軸旋盤係14</v>
      </c>
      <c r="B942" t="str">
        <f>F942&amp;COUNTIF($F$2:F942,F942)</f>
        <v>高雄工業 岡山176</v>
      </c>
      <c r="C942" t="str">
        <v>在職中</v>
      </c>
      <c r="D942">
        <v>250302</v>
      </c>
      <c r="E942">
        <v>232174</v>
      </c>
      <c r="F942" t="str">
        <v>高雄工業 岡山</v>
      </c>
      <c r="G942" t="str">
        <v>高雄工業株式会社 静岡事業所第一工場製作課</v>
      </c>
      <c r="H942" t="str">
        <v>CVJ長軸旋盤係</v>
      </c>
      <c r="I942" t="str">
        <v>ＣＶＪ長軸等速ジョイント旋削加工、ＮＣプログラム修正</v>
      </c>
      <c r="J942" t="str">
        <v>NGO VAN TOAN</v>
      </c>
      <c r="K942" t="str">
        <v>ゴー　ヴァン　トアン</v>
      </c>
      <c r="L942" t="str">
        <v>男</v>
      </c>
      <c r="M942" t="str">
        <v>ﾍﾞﾄﾅﾑ</v>
      </c>
      <c r="N942" s="31">
        <v>36925</v>
      </c>
      <c r="O942">
        <v>24</v>
      </c>
      <c r="P942">
        <v>1250</v>
      </c>
      <c r="Q942">
        <v>0</v>
      </c>
      <c r="R942">
        <v>1660</v>
      </c>
      <c r="S942">
        <v>0</v>
      </c>
      <c r="T942">
        <v>410</v>
      </c>
      <c r="U942">
        <v>200000</v>
      </c>
      <c r="V942">
        <v>10030</v>
      </c>
      <c r="W942" t="str">
        <v>0</v>
      </c>
      <c r="X942">
        <v>18300</v>
      </c>
      <c r="Y942" s="31">
        <v>46344</v>
      </c>
      <c r="Z942" t="str">
        <v/>
      </c>
      <c r="AA942" t="str">
        <v>技術・人文知識・国際業務</v>
      </c>
      <c r="AB942" t="str">
        <v>709-2107</v>
      </c>
      <c r="AC942" t="str">
        <v>岡山県岡山市北区御津矢原307</v>
      </c>
      <c r="AD942" t="str">
        <v>成広矢原ｺｰﾎﾟⅠ102</v>
      </c>
      <c r="AE942" s="31">
        <v>0</v>
      </c>
      <c r="AF942" s="31">
        <v>45726</v>
      </c>
      <c r="AG942" s="31">
        <v>0</v>
      </c>
      <c r="AH942" s="31">
        <v>0</v>
      </c>
      <c r="AI942">
        <v>45726</v>
      </c>
      <c r="AJ942" t="str">
        <v>3/17原</v>
      </c>
      <c r="AK942" t="str">
        <v>2024/11/21～2025/3/7まで請負配属　2025/3/10～高雄工業岡山で派遣に切替</v>
      </c>
      <c r="AL942">
        <v>45726</v>
      </c>
      <c r="AM942">
        <v>0</v>
      </c>
      <c r="AN942">
        <v>0</v>
      </c>
      <c r="AO942">
        <v>0</v>
      </c>
      <c r="AP942">
        <v>0</v>
      </c>
      <c r="AQ942">
        <v>0</v>
      </c>
      <c r="AR942">
        <v>0</v>
      </c>
    </row>
    <row r="943" spans="1:44">
      <c r="A943" t="str">
        <f>H943&amp;COUNTIF($H$2:H943,H943)</f>
        <v>0287</v>
      </c>
      <c r="B943" t="str">
        <f>F943&amp;COUNTIF($F$2:F943,F943)</f>
        <v>川原鉄工所39</v>
      </c>
      <c r="C943" t="str">
        <v>退社</v>
      </c>
      <c r="D943">
        <v>250303</v>
      </c>
      <c r="E943">
        <v>0</v>
      </c>
      <c r="F943" t="str">
        <v>川原鉄工所</v>
      </c>
      <c r="G943">
        <v>0</v>
      </c>
      <c r="H943">
        <v>0</v>
      </c>
      <c r="I943">
        <v>0</v>
      </c>
      <c r="J943" t="str">
        <v xml:space="preserve">HARDIANTO </v>
      </c>
      <c r="K943" t="str">
        <v>ハルディアント</v>
      </c>
      <c r="L943" t="str">
        <v>男</v>
      </c>
      <c r="M943" t="str">
        <v>ｲﾝﾄﾞﾈｼｱ</v>
      </c>
      <c r="N943" s="31">
        <v>31478</v>
      </c>
      <c r="O943">
        <v>39</v>
      </c>
      <c r="P943">
        <v>1300</v>
      </c>
      <c r="Q943">
        <v>0</v>
      </c>
      <c r="R943">
        <v>1650</v>
      </c>
      <c r="S943">
        <v>0</v>
      </c>
      <c r="T943">
        <v>350</v>
      </c>
      <c r="U943">
        <v>320000</v>
      </c>
      <c r="V943">
        <v>16048</v>
      </c>
      <c r="W943" t="str">
        <v>0</v>
      </c>
      <c r="X943">
        <v>29280</v>
      </c>
      <c r="Y943" s="31">
        <v>46187</v>
      </c>
      <c r="Z943" t="str">
        <v/>
      </c>
      <c r="AA943" t="str">
        <v>技術・人文知識・国際業務</v>
      </c>
      <c r="AB943" t="str">
        <v>455-0042</v>
      </c>
      <c r="AC943" t="str">
        <v>愛知県名古屋市港区佐野町3-33</v>
      </c>
      <c r="AD943" t="str">
        <v>ﾘｳﾞｪｰﾙ築地口102号</v>
      </c>
      <c r="AE943" s="31">
        <v>45731</v>
      </c>
      <c r="AF943" s="31">
        <v>45733</v>
      </c>
      <c r="AG943" s="31">
        <v>45952</v>
      </c>
      <c r="AH943" s="31">
        <v>0</v>
      </c>
      <c r="AI943">
        <v>45733</v>
      </c>
      <c r="AJ943" t="str">
        <v>3/24林</v>
      </c>
      <c r="AK943">
        <v>0</v>
      </c>
      <c r="AL943">
        <v>45733</v>
      </c>
      <c r="AM943">
        <v>0</v>
      </c>
      <c r="AN943">
        <v>0</v>
      </c>
      <c r="AO943">
        <v>0</v>
      </c>
      <c r="AP943">
        <v>0</v>
      </c>
      <c r="AQ943">
        <v>0</v>
      </c>
      <c r="AR943">
        <v>0</v>
      </c>
    </row>
    <row r="944" spans="1:44">
      <c r="A944" t="str">
        <f>H944&amp;COUNTIF($H$2:H944,H944)</f>
        <v>本社工場製造1課2工区3班8</v>
      </c>
      <c r="B944" t="str">
        <f>F944&amp;COUNTIF($F$2:F944,F944)</f>
        <v>コーリツ 本社43</v>
      </c>
      <c r="C944" t="str">
        <v>在職中</v>
      </c>
      <c r="D944">
        <v>250304</v>
      </c>
      <c r="E944">
        <v>8210122</v>
      </c>
      <c r="F944" t="str">
        <v>コーリツ 本社</v>
      </c>
      <c r="G944" t="str">
        <v>本社工場製造1課2工区3班</v>
      </c>
      <c r="H944" t="str">
        <v>本社工場製造1課2工区3班</v>
      </c>
      <c r="I944">
        <v>0</v>
      </c>
      <c r="J944" t="str">
        <v>TRAN TUAN CUONG</v>
      </c>
      <c r="K944" t="str">
        <v>チャン　トアン　クオン</v>
      </c>
      <c r="L944" t="str">
        <v>男</v>
      </c>
      <c r="M944" t="str">
        <v>ﾍﾞﾄﾅﾑ</v>
      </c>
      <c r="N944" s="31">
        <v>33560</v>
      </c>
      <c r="O944">
        <v>34</v>
      </c>
      <c r="P944">
        <v>1500</v>
      </c>
      <c r="Q944">
        <v>0</v>
      </c>
      <c r="R944">
        <v>2150</v>
      </c>
      <c r="S944">
        <v>0</v>
      </c>
      <c r="T944">
        <v>650</v>
      </c>
      <c r="U944">
        <v>360000</v>
      </c>
      <c r="V944">
        <v>18054</v>
      </c>
      <c r="W944" t="str">
        <v>0</v>
      </c>
      <c r="X944">
        <v>32940</v>
      </c>
      <c r="Y944" s="31">
        <v>46248</v>
      </c>
      <c r="Z944" t="str">
        <v/>
      </c>
      <c r="AA944" t="str">
        <v>技術・人文知識・国際業務</v>
      </c>
      <c r="AB944" t="str">
        <v>470-1131</v>
      </c>
      <c r="AC944" t="str">
        <v>愛知県豊明市二村台3-3-1</v>
      </c>
      <c r="AD944" t="str">
        <v>豊明団地48-305</v>
      </c>
      <c r="AE944" s="31" t="str">
        <v>個人</v>
      </c>
      <c r="AF944" s="31">
        <v>45735</v>
      </c>
      <c r="AG944" s="31">
        <v>0</v>
      </c>
      <c r="AH944" s="31">
        <v>0</v>
      </c>
      <c r="AI944">
        <v>45735</v>
      </c>
      <c r="AJ944" t="str">
        <v>3/26林</v>
      </c>
      <c r="AK944">
        <v>0</v>
      </c>
      <c r="AL944">
        <v>45735</v>
      </c>
      <c r="AM944">
        <v>0</v>
      </c>
      <c r="AN944">
        <v>0</v>
      </c>
      <c r="AO944">
        <v>0</v>
      </c>
      <c r="AP944">
        <v>0</v>
      </c>
      <c r="AQ944">
        <v>0</v>
      </c>
      <c r="AR944">
        <v>0</v>
      </c>
    </row>
    <row r="945" spans="1:44">
      <c r="A945" t="str">
        <f>H945&amp;COUNTIF($H$2:H945,H945)</f>
        <v>本社工場製造1課1工区1班17</v>
      </c>
      <c r="B945" t="str">
        <f>F945&amp;COUNTIF($F$2:F945,F945)</f>
        <v>コーリツ 本社44</v>
      </c>
      <c r="C945" t="str">
        <v>退社</v>
      </c>
      <c r="D945">
        <v>250305</v>
      </c>
      <c r="E945">
        <v>8210121</v>
      </c>
      <c r="F945" t="str">
        <v>コーリツ 本社</v>
      </c>
      <c r="G945" t="str">
        <v>本社工場製造1課1工区1班</v>
      </c>
      <c r="H945" t="str">
        <v>本社工場製造1課1工区1班</v>
      </c>
      <c r="I945">
        <v>0</v>
      </c>
      <c r="J945" t="str">
        <v>NGUYEN DUC KIEN</v>
      </c>
      <c r="K945" t="str">
        <v>グエン　ドウク　キエン</v>
      </c>
      <c r="L945" t="str">
        <v>男</v>
      </c>
      <c r="M945" t="str">
        <v>ﾍﾞﾄﾅﾑ</v>
      </c>
      <c r="N945" s="31">
        <v>34957</v>
      </c>
      <c r="O945">
        <v>30</v>
      </c>
      <c r="P945">
        <v>1500</v>
      </c>
      <c r="Q945">
        <v>0</v>
      </c>
      <c r="R945">
        <v>2150</v>
      </c>
      <c r="S945">
        <v>0</v>
      </c>
      <c r="T945">
        <v>650</v>
      </c>
      <c r="U945">
        <v>260000</v>
      </c>
      <c r="V945">
        <v>13039</v>
      </c>
      <c r="W945" t="str">
        <v>0</v>
      </c>
      <c r="X945">
        <v>23790</v>
      </c>
      <c r="Y945" s="31">
        <v>45962</v>
      </c>
      <c r="Z945" t="str">
        <v/>
      </c>
      <c r="AA945" t="str">
        <v>技術・人文知識・国際業務</v>
      </c>
      <c r="AB945" t="str">
        <v>447-0011</v>
      </c>
      <c r="AC945" t="str">
        <v>愛知県碧南市平山町3丁目16番地</v>
      </c>
      <c r="AD945" t="str">
        <v>ﾋﾞﾚｯｼﾞﾊｳｽ西秦4-501</v>
      </c>
      <c r="AE945" s="31" t="str">
        <v>個人</v>
      </c>
      <c r="AF945" s="31">
        <v>45735</v>
      </c>
      <c r="AG945" s="31">
        <v>45769</v>
      </c>
      <c r="AH945" s="31">
        <v>0</v>
      </c>
      <c r="AI945">
        <v>45735</v>
      </c>
      <c r="AJ945" t="str">
        <v>3/26林</v>
      </c>
      <c r="AK945">
        <v>0</v>
      </c>
      <c r="AL945">
        <v>45735</v>
      </c>
      <c r="AM945">
        <v>0</v>
      </c>
      <c r="AN945">
        <v>0</v>
      </c>
      <c r="AO945">
        <v>0</v>
      </c>
      <c r="AP945">
        <v>0</v>
      </c>
      <c r="AQ945">
        <v>0</v>
      </c>
      <c r="AR945">
        <v>0</v>
      </c>
    </row>
    <row r="946" spans="1:44">
      <c r="A946" t="str">
        <f>H946&amp;COUNTIF($H$2:H946,H946)</f>
        <v>本社工場製造1課2工区2班10</v>
      </c>
      <c r="B946" t="str">
        <f>F946&amp;COUNTIF($F$2:F946,F946)</f>
        <v>コーリツ 本社45</v>
      </c>
      <c r="C946" t="str">
        <v>退社</v>
      </c>
      <c r="D946">
        <v>250306</v>
      </c>
      <c r="E946">
        <v>8210123</v>
      </c>
      <c r="F946" t="str">
        <v>コーリツ 本社</v>
      </c>
      <c r="G946" t="str">
        <v>本社工場製造1課2工区2班</v>
      </c>
      <c r="H946" t="str">
        <v>本社工場製造1課2工区2班</v>
      </c>
      <c r="I946">
        <v>0</v>
      </c>
      <c r="J946" t="str">
        <v>LE VAN THAI BINH</v>
      </c>
      <c r="K946" t="str">
        <v>レ　バン　タイ　ビン</v>
      </c>
      <c r="L946" t="str">
        <v>男</v>
      </c>
      <c r="M946" t="str">
        <v>ﾍﾞﾄﾅﾑ</v>
      </c>
      <c r="N946" s="31">
        <v>34805</v>
      </c>
      <c r="O946">
        <v>30</v>
      </c>
      <c r="P946">
        <v>1500</v>
      </c>
      <c r="Q946">
        <v>0</v>
      </c>
      <c r="R946">
        <v>2150</v>
      </c>
      <c r="S946">
        <v>0</v>
      </c>
      <c r="T946">
        <v>650</v>
      </c>
      <c r="U946">
        <v>260000</v>
      </c>
      <c r="V946">
        <v>13039</v>
      </c>
      <c r="W946" t="str">
        <v>0</v>
      </c>
      <c r="X946">
        <v>23790</v>
      </c>
      <c r="Y946" s="31">
        <v>46905</v>
      </c>
      <c r="Z946" t="str">
        <v/>
      </c>
      <c r="AA946" t="str">
        <v>技術・人文知識・国際業務</v>
      </c>
      <c r="AB946" t="str">
        <v>448-0855</v>
      </c>
      <c r="AC946" t="str">
        <v>愛知県刈谷市大正町7丁目401-1</v>
      </c>
      <c r="AD946" t="str">
        <v>ﾆｭｰﾊﾋﾟﾈｽ201</v>
      </c>
      <c r="AE946" s="31">
        <v>0</v>
      </c>
      <c r="AF946" s="31">
        <v>45735</v>
      </c>
      <c r="AG946" s="31">
        <v>45800</v>
      </c>
      <c r="AH946" s="31">
        <v>0</v>
      </c>
      <c r="AI946">
        <v>45735</v>
      </c>
      <c r="AJ946" t="str">
        <v>3/26林</v>
      </c>
      <c r="AK946">
        <v>0</v>
      </c>
      <c r="AL946">
        <v>45735</v>
      </c>
      <c r="AM946">
        <v>0</v>
      </c>
      <c r="AN946">
        <v>0</v>
      </c>
      <c r="AO946">
        <v>0</v>
      </c>
      <c r="AP946">
        <v>0</v>
      </c>
      <c r="AQ946">
        <v>0</v>
      </c>
      <c r="AR946">
        <v>0</v>
      </c>
    </row>
    <row r="947" spans="1:44">
      <c r="A947" t="str">
        <f>H947&amp;COUNTIF($H$2:H947,H947)</f>
        <v>手動旋削24</v>
      </c>
      <c r="B947" t="str">
        <f>F947&amp;COUNTIF($F$2:F947,F947)</f>
        <v>高雄工業 静岡117</v>
      </c>
      <c r="C947" t="str">
        <v>在職中</v>
      </c>
      <c r="D947">
        <v>241212</v>
      </c>
      <c r="E947">
        <v>242114</v>
      </c>
      <c r="F947" t="str">
        <v>高雄工業 静岡</v>
      </c>
      <c r="G947" t="str">
        <v>高雄工業株式会社 静岡事業所第一工場製作課</v>
      </c>
      <c r="H947" t="str">
        <v>手動旋削</v>
      </c>
      <c r="I947" t="str">
        <v>CVJ部品短軸品の施削加工、NCプログラム修正</v>
      </c>
      <c r="J947" t="str">
        <v>DINH VAN LONG</v>
      </c>
      <c r="K947" t="str">
        <v>ディン　バン　ロン</v>
      </c>
      <c r="L947" t="str">
        <v>男</v>
      </c>
      <c r="M947" t="str">
        <v>ﾍﾞﾄﾅﾑ</v>
      </c>
      <c r="N947" s="31">
        <v>37544</v>
      </c>
      <c r="O947">
        <v>23</v>
      </c>
      <c r="P947">
        <v>1250</v>
      </c>
      <c r="Q947">
        <v>0</v>
      </c>
      <c r="R947">
        <v>1660</v>
      </c>
      <c r="S947">
        <v>0</v>
      </c>
      <c r="T947">
        <v>410</v>
      </c>
      <c r="U947">
        <v>240000</v>
      </c>
      <c r="V947">
        <v>12036</v>
      </c>
      <c r="W947" t="str">
        <v>0</v>
      </c>
      <c r="X947">
        <v>21960</v>
      </c>
      <c r="Y947" s="31">
        <v>46002</v>
      </c>
      <c r="Z947">
        <v>7</v>
      </c>
      <c r="AA947" t="str">
        <v>技術・人文知識・国際業務</v>
      </c>
      <c r="AB947" t="str">
        <v>437-0063</v>
      </c>
      <c r="AC947" t="str">
        <v>静岡県袋井市田町2丁目6-10</v>
      </c>
      <c r="AD947" t="str">
        <v>SuperiorⅠ201</v>
      </c>
      <c r="AE947" s="31">
        <v>0</v>
      </c>
      <c r="AF947" s="31">
        <v>45643</v>
      </c>
      <c r="AG947" s="31">
        <v>0</v>
      </c>
      <c r="AH947" s="31">
        <v>0</v>
      </c>
      <c r="AI947">
        <v>45643</v>
      </c>
      <c r="AJ947" t="str">
        <v>12/26林</v>
      </c>
      <c r="AK947">
        <v>0</v>
      </c>
      <c r="AL947">
        <v>45643</v>
      </c>
      <c r="AM947">
        <v>0</v>
      </c>
      <c r="AN947">
        <v>0</v>
      </c>
      <c r="AO947">
        <v>0</v>
      </c>
      <c r="AP947">
        <v>0</v>
      </c>
      <c r="AQ947">
        <v>0</v>
      </c>
      <c r="AR947">
        <v>0</v>
      </c>
    </row>
    <row r="948" spans="1:44">
      <c r="A948" t="str">
        <f>H948&amp;COUNTIF($H$2:H948,H948)</f>
        <v>手動旋削25</v>
      </c>
      <c r="B948" t="str">
        <f>F948&amp;COUNTIF($F$2:F948,F948)</f>
        <v>高雄工業 静岡118</v>
      </c>
      <c r="C948" t="str">
        <v>在職中</v>
      </c>
      <c r="D948">
        <v>241214</v>
      </c>
      <c r="E948">
        <v>242113</v>
      </c>
      <c r="F948" t="str">
        <v>高雄工業 静岡</v>
      </c>
      <c r="G948" t="str">
        <v>高雄工業株式会社 静岡事業所第一工場製作課</v>
      </c>
      <c r="H948" t="str">
        <v>手動旋削</v>
      </c>
      <c r="I948" t="str">
        <v>CVJ部品短軸品の施削加工、NCプログラム修正</v>
      </c>
      <c r="J948" t="str">
        <v>PHAM VAN NGHIA</v>
      </c>
      <c r="K948" t="str">
        <v>ファム　バン　ギア</v>
      </c>
      <c r="L948" t="str">
        <v>男</v>
      </c>
      <c r="M948" t="str">
        <v>ﾍﾞﾄﾅﾑ</v>
      </c>
      <c r="N948" s="31">
        <v>37309</v>
      </c>
      <c r="O948">
        <v>23</v>
      </c>
      <c r="P948">
        <v>1250</v>
      </c>
      <c r="Q948">
        <v>0</v>
      </c>
      <c r="R948">
        <v>1660</v>
      </c>
      <c r="S948">
        <v>0</v>
      </c>
      <c r="T948">
        <v>410</v>
      </c>
      <c r="U948">
        <v>240000</v>
      </c>
      <c r="V948">
        <v>12036</v>
      </c>
      <c r="W948" t="str">
        <v>0</v>
      </c>
      <c r="X948">
        <v>21960</v>
      </c>
      <c r="Y948" s="31">
        <v>46002</v>
      </c>
      <c r="Z948">
        <v>7</v>
      </c>
      <c r="AA948" t="str">
        <v>技術・人文知識・国際業務</v>
      </c>
      <c r="AB948" t="str">
        <v>437-0061</v>
      </c>
      <c r="AC948" t="str">
        <v>静岡県袋井市久能1889-2</v>
      </c>
      <c r="AD948" t="str">
        <v>ﾗﾌｨｰﾈ久能303号</v>
      </c>
      <c r="AE948" s="31">
        <v>0</v>
      </c>
      <c r="AF948" s="31">
        <v>45643</v>
      </c>
      <c r="AG948" s="31">
        <v>0</v>
      </c>
      <c r="AH948" s="31">
        <v>0</v>
      </c>
      <c r="AI948">
        <v>45643</v>
      </c>
      <c r="AJ948" t="str">
        <v>12/26林</v>
      </c>
      <c r="AK948">
        <v>0</v>
      </c>
      <c r="AL948">
        <v>45643</v>
      </c>
      <c r="AM948">
        <v>0</v>
      </c>
      <c r="AN948">
        <v>0</v>
      </c>
      <c r="AO948">
        <v>0</v>
      </c>
      <c r="AP948">
        <v>0</v>
      </c>
      <c r="AQ948">
        <v>0</v>
      </c>
      <c r="AR948">
        <v>0</v>
      </c>
    </row>
    <row r="949" spans="1:44">
      <c r="A949" t="str">
        <f>H949&amp;COUNTIF($H$2:H949,H949)</f>
        <v>手動旋削26</v>
      </c>
      <c r="B949" t="str">
        <f>F949&amp;COUNTIF($F$2:F949,F949)</f>
        <v>高雄工業 静岡119</v>
      </c>
      <c r="C949" t="str">
        <v>在職中</v>
      </c>
      <c r="D949">
        <v>250202</v>
      </c>
      <c r="E949">
        <v>242119</v>
      </c>
      <c r="F949" t="str">
        <v>高雄工業 静岡</v>
      </c>
      <c r="G949" t="str">
        <v>高雄工業株式会社 静岡事業所第一工場製作課</v>
      </c>
      <c r="H949" t="str">
        <v>手動旋削</v>
      </c>
      <c r="I949" t="str">
        <v>CVJ部品短軸品の施削加工、NCプログラム修正</v>
      </c>
      <c r="J949" t="str">
        <v>NONG VAN TINH</v>
      </c>
      <c r="K949" t="str">
        <v>ノン　ヴァン　ティン</v>
      </c>
      <c r="L949" t="str">
        <v>男</v>
      </c>
      <c r="M949" t="str">
        <v>ﾍﾞﾄﾅﾑ</v>
      </c>
      <c r="N949" s="31">
        <v>36533</v>
      </c>
      <c r="O949">
        <v>25</v>
      </c>
      <c r="P949">
        <v>1250</v>
      </c>
      <c r="Q949">
        <v>0</v>
      </c>
      <c r="R949">
        <v>1650</v>
      </c>
      <c r="S949">
        <v>0</v>
      </c>
      <c r="T949">
        <v>400</v>
      </c>
      <c r="U949">
        <v>240000</v>
      </c>
      <c r="V949">
        <v>12036</v>
      </c>
      <c r="W949" t="str">
        <v>0</v>
      </c>
      <c r="X949">
        <v>21960</v>
      </c>
      <c r="Y949" s="31">
        <v>46056</v>
      </c>
      <c r="Z949">
        <v>61</v>
      </c>
      <c r="AA949" t="str">
        <v>技術・人文知識・国際業務</v>
      </c>
      <c r="AB949" t="str">
        <v>437-0122</v>
      </c>
      <c r="AC949" t="str">
        <v>静岡県袋井市春岡1138番地2</v>
      </c>
      <c r="AD949" t="str">
        <v>ﾏｯｸｽﾋﾞｭｰﾃｨA-102</v>
      </c>
      <c r="AE949" s="31">
        <v>0</v>
      </c>
      <c r="AF949" s="31">
        <v>45698</v>
      </c>
      <c r="AG949" s="31">
        <v>0</v>
      </c>
      <c r="AH949" s="31">
        <v>0</v>
      </c>
      <c r="AI949">
        <v>45698</v>
      </c>
      <c r="AJ949" t="str">
        <v>2/25林</v>
      </c>
      <c r="AK949">
        <v>0</v>
      </c>
      <c r="AL949">
        <v>45698</v>
      </c>
      <c r="AM949">
        <v>0</v>
      </c>
      <c r="AN949">
        <v>0</v>
      </c>
      <c r="AO949">
        <v>0</v>
      </c>
      <c r="AP949">
        <v>0</v>
      </c>
      <c r="AQ949">
        <v>0</v>
      </c>
      <c r="AR949">
        <v>0</v>
      </c>
    </row>
    <row r="950" spans="1:44">
      <c r="A950" t="str">
        <f>H950&amp;COUNTIF($H$2:H950,H950)</f>
        <v>手動旋削27</v>
      </c>
      <c r="B950" t="str">
        <f>F950&amp;COUNTIF($F$2:F950,F950)</f>
        <v>高雄工業 静岡120</v>
      </c>
      <c r="C950" t="str">
        <v>在職中</v>
      </c>
      <c r="D950">
        <v>250204</v>
      </c>
      <c r="E950">
        <v>242121</v>
      </c>
      <c r="F950" t="str">
        <v>高雄工業 静岡</v>
      </c>
      <c r="G950" t="str">
        <v>高雄工業株式会社 静岡事業所第一工場製作課</v>
      </c>
      <c r="H950" t="str">
        <v>手動旋削</v>
      </c>
      <c r="I950" t="str">
        <v>CVJ部品短軸品の施削加工、NCプログラム修正</v>
      </c>
      <c r="J950" t="str">
        <v>TRINH LUONG QUANG</v>
      </c>
      <c r="K950" t="str">
        <v>チン　ルオン　クアン</v>
      </c>
      <c r="L950" t="str">
        <v>男</v>
      </c>
      <c r="M950" t="str">
        <v>ﾍﾞﾄﾅﾑ</v>
      </c>
      <c r="N950" s="31">
        <v>37055</v>
      </c>
      <c r="O950">
        <v>24</v>
      </c>
      <c r="P950">
        <v>1250</v>
      </c>
      <c r="Q950">
        <v>0</v>
      </c>
      <c r="R950">
        <v>1650</v>
      </c>
      <c r="S950">
        <v>0</v>
      </c>
      <c r="T950">
        <v>400</v>
      </c>
      <c r="U950">
        <v>220000</v>
      </c>
      <c r="V950">
        <v>11033</v>
      </c>
      <c r="W950" t="str">
        <v>0</v>
      </c>
      <c r="X950">
        <v>20130</v>
      </c>
      <c r="Y950" s="31">
        <v>46786</v>
      </c>
      <c r="Z950" t="str">
        <v/>
      </c>
      <c r="AA950" t="str">
        <v>技術・人文知識・国際業務</v>
      </c>
      <c r="AB950" t="str">
        <v>437-0122</v>
      </c>
      <c r="AC950" t="str">
        <v>静岡県袋井市春岡1138番地2</v>
      </c>
      <c r="AD950" t="str">
        <v>ﾏｯｸｽﾋﾞｭｰﾃｨB-103</v>
      </c>
      <c r="AE950" s="31">
        <v>0</v>
      </c>
      <c r="AF950" s="31">
        <v>45698</v>
      </c>
      <c r="AG950" s="31">
        <v>0</v>
      </c>
      <c r="AH950" s="31">
        <v>0</v>
      </c>
      <c r="AI950">
        <v>45698</v>
      </c>
      <c r="AJ950" t="str">
        <v>2/21林</v>
      </c>
      <c r="AK950">
        <v>0</v>
      </c>
      <c r="AL950">
        <v>45698</v>
      </c>
      <c r="AM950">
        <v>0</v>
      </c>
      <c r="AN950">
        <v>0</v>
      </c>
      <c r="AO950">
        <v>0</v>
      </c>
      <c r="AP950">
        <v>0</v>
      </c>
      <c r="AQ950">
        <v>0</v>
      </c>
      <c r="AR950">
        <v>0</v>
      </c>
    </row>
    <row r="951" spans="1:44">
      <c r="A951" t="str">
        <f>H951&amp;COUNTIF($H$2:H951,H951)</f>
        <v>乙川工場製造3課7工区9班6</v>
      </c>
      <c r="B951" t="str">
        <f>F951&amp;COUNTIF($F$2:F951,F951)</f>
        <v>コーリツ 乙川35</v>
      </c>
      <c r="C951" t="str">
        <v>在職中</v>
      </c>
      <c r="D951">
        <v>201202</v>
      </c>
      <c r="E951">
        <v>8210124</v>
      </c>
      <c r="F951" t="str">
        <v>コーリツ 乙川</v>
      </c>
      <c r="G951" t="str">
        <v>乙川工場製造3課7工区9班</v>
      </c>
      <c r="H951" t="str">
        <v>乙川工場製造3課7工区9班</v>
      </c>
      <c r="I951">
        <v>0</v>
      </c>
      <c r="J951" t="str">
        <v>BUI VIET THANH</v>
      </c>
      <c r="K951" t="str">
        <v>ブイ　ヴィエット　タイン</v>
      </c>
      <c r="L951" t="str">
        <v>男</v>
      </c>
      <c r="M951" t="str">
        <v>ﾍﾞﾄﾅﾑ</v>
      </c>
      <c r="N951" s="31">
        <v>35115</v>
      </c>
      <c r="O951">
        <v>29</v>
      </c>
      <c r="P951">
        <v>1500</v>
      </c>
      <c r="Q951">
        <v>0</v>
      </c>
      <c r="R951">
        <v>2150</v>
      </c>
      <c r="S951">
        <v>0</v>
      </c>
      <c r="T951">
        <v>650</v>
      </c>
      <c r="U951">
        <v>240000</v>
      </c>
      <c r="V951">
        <v>12036</v>
      </c>
      <c r="W951" t="str">
        <v>0</v>
      </c>
      <c r="X951">
        <v>21960</v>
      </c>
      <c r="Y951" s="31">
        <v>46659</v>
      </c>
      <c r="Z951" t="str">
        <v/>
      </c>
      <c r="AA951" t="str">
        <v>技術・人文知識・国際業務</v>
      </c>
      <c r="AB951" t="str">
        <v>475-0817</v>
      </c>
      <c r="AC951" t="str">
        <v>愛知県半田市東洋町2丁目46番地</v>
      </c>
      <c r="AD951" t="str">
        <v>県営半田住宅3棟301号</v>
      </c>
      <c r="AE951" s="31" t="str">
        <v>個人</v>
      </c>
      <c r="AF951" s="31">
        <v>45748</v>
      </c>
      <c r="AG951" s="31">
        <v>0</v>
      </c>
      <c r="AH951" s="31">
        <v>0</v>
      </c>
      <c r="AI951">
        <v>45748</v>
      </c>
      <c r="AJ951" t="str">
        <v>4/18林</v>
      </c>
      <c r="AK951">
        <v>0</v>
      </c>
      <c r="AL951">
        <v>45748</v>
      </c>
      <c r="AM951">
        <v>0</v>
      </c>
      <c r="AN951">
        <v>0</v>
      </c>
      <c r="AO951">
        <v>0</v>
      </c>
      <c r="AP951">
        <v>0</v>
      </c>
      <c r="AQ951">
        <v>0</v>
      </c>
      <c r="AR951">
        <v>0</v>
      </c>
    </row>
    <row r="952" spans="1:44">
      <c r="A952" t="str">
        <f>H952&amp;COUNTIF($H$2:H952,H952)</f>
        <v>本社工場製造1課2工区2班11</v>
      </c>
      <c r="B952" t="str">
        <f>F952&amp;COUNTIF($F$2:F952,F952)</f>
        <v>コーリツ 本社46</v>
      </c>
      <c r="C952" t="str">
        <v>在職中</v>
      </c>
      <c r="D952">
        <v>250402</v>
      </c>
      <c r="E952">
        <v>8210125</v>
      </c>
      <c r="F952" t="str">
        <v>コーリツ 本社</v>
      </c>
      <c r="G952" t="str">
        <v>本社工場製造1課2工区2班</v>
      </c>
      <c r="H952" t="str">
        <v>本社工場製造1課2工区2班</v>
      </c>
      <c r="I952">
        <v>0</v>
      </c>
      <c r="J952" t="str">
        <v>PHAM VAN BANG</v>
      </c>
      <c r="K952" t="str">
        <v>ファム　ヴァン　バン</v>
      </c>
      <c r="L952" t="str">
        <v>男</v>
      </c>
      <c r="M952" t="str">
        <v>ﾍﾞﾄﾅﾑ</v>
      </c>
      <c r="N952" s="31">
        <v>33161</v>
      </c>
      <c r="O952">
        <v>35</v>
      </c>
      <c r="P952">
        <v>1500</v>
      </c>
      <c r="Q952">
        <v>0</v>
      </c>
      <c r="R952">
        <v>2150</v>
      </c>
      <c r="S952">
        <v>0</v>
      </c>
      <c r="T952">
        <v>650</v>
      </c>
      <c r="U952">
        <v>240000</v>
      </c>
      <c r="V952">
        <v>12036</v>
      </c>
      <c r="W952" t="str">
        <v>0</v>
      </c>
      <c r="X952">
        <v>21960</v>
      </c>
      <c r="Y952" s="31">
        <v>46676</v>
      </c>
      <c r="Z952" t="str">
        <v/>
      </c>
      <c r="AA952" t="str">
        <v>技術・人文知識・国際業務</v>
      </c>
      <c r="AB952" t="str">
        <v>448-0807</v>
      </c>
      <c r="AC952" t="str">
        <v>愛知県刈谷市刈谷町1-2-8</v>
      </c>
      <c r="AD952" t="str">
        <v>こもがみﾊｲﾂ408</v>
      </c>
      <c r="AE952" s="31" t="str">
        <v>個人</v>
      </c>
      <c r="AF952" s="31">
        <v>45748</v>
      </c>
      <c r="AG952" s="31">
        <v>0</v>
      </c>
      <c r="AH952" s="31">
        <v>0</v>
      </c>
      <c r="AI952">
        <v>45748</v>
      </c>
      <c r="AJ952" t="str">
        <v>4/18林</v>
      </c>
      <c r="AK952">
        <v>0</v>
      </c>
      <c r="AL952">
        <v>45748</v>
      </c>
      <c r="AM952">
        <v>0</v>
      </c>
      <c r="AN952">
        <v>0</v>
      </c>
      <c r="AO952">
        <v>0</v>
      </c>
      <c r="AP952">
        <v>0</v>
      </c>
      <c r="AQ952">
        <v>0</v>
      </c>
      <c r="AR952">
        <v>0</v>
      </c>
    </row>
    <row r="953" spans="1:44">
      <c r="A953" t="str">
        <f>H953&amp;COUNTIF($H$2:H953,H953)</f>
        <v>手動旋削28</v>
      </c>
      <c r="B953" t="str">
        <f>F953&amp;COUNTIF($F$2:F953,F953)</f>
        <v>高雄工業 静岡121</v>
      </c>
      <c r="C953" t="str">
        <v>在職中</v>
      </c>
      <c r="D953">
        <v>250215</v>
      </c>
      <c r="E953">
        <v>242126</v>
      </c>
      <c r="F953" t="str">
        <v>高雄工業 静岡</v>
      </c>
      <c r="G953" t="str">
        <v>高雄工業株式会社 静岡事業所第一工場製作課</v>
      </c>
      <c r="H953" t="str">
        <v>手動旋削</v>
      </c>
      <c r="I953" t="str">
        <v>CVJ部品短軸品の施削加工、NCプログラム修正</v>
      </c>
      <c r="J953" t="str">
        <v>NGUYEN DUY THANH</v>
      </c>
      <c r="K953" t="str">
        <v>グエン　ズイ　タイン</v>
      </c>
      <c r="L953" t="str">
        <v>男</v>
      </c>
      <c r="M953" t="str">
        <v>ﾍﾞﾄﾅﾑ</v>
      </c>
      <c r="N953" s="31">
        <v>37614</v>
      </c>
      <c r="O953">
        <v>22</v>
      </c>
      <c r="P953">
        <v>1250</v>
      </c>
      <c r="Q953">
        <v>0</v>
      </c>
      <c r="R953">
        <v>1650</v>
      </c>
      <c r="S953">
        <v>0</v>
      </c>
      <c r="T953">
        <v>400</v>
      </c>
      <c r="U953">
        <v>220000</v>
      </c>
      <c r="V953">
        <v>11033</v>
      </c>
      <c r="W953" t="str">
        <v>0</v>
      </c>
      <c r="X953">
        <v>20130</v>
      </c>
      <c r="Y953" s="31">
        <v>46789</v>
      </c>
      <c r="Z953" t="str">
        <v/>
      </c>
      <c r="AA953" t="str">
        <v>技術・人文知識・国際業務</v>
      </c>
      <c r="AB953" t="str">
        <v>437-0016</v>
      </c>
      <c r="AC953" t="str">
        <v>静岡県袋井市葵町2丁目5番地1</v>
      </c>
      <c r="AD953" t="str">
        <v>ｼｬﾝﾄﾞﾌﾙｰﾙ101</v>
      </c>
      <c r="AE953" s="31">
        <v>0</v>
      </c>
      <c r="AF953" s="31">
        <v>45700</v>
      </c>
      <c r="AG953" s="31">
        <v>0</v>
      </c>
      <c r="AH953" s="31">
        <v>0</v>
      </c>
      <c r="AI953">
        <v>45700</v>
      </c>
      <c r="AJ953" t="str">
        <v>2/25林</v>
      </c>
      <c r="AK953">
        <v>0</v>
      </c>
      <c r="AL953">
        <v>45700</v>
      </c>
      <c r="AM953">
        <v>0</v>
      </c>
      <c r="AN953">
        <v>0</v>
      </c>
      <c r="AO953">
        <v>0</v>
      </c>
      <c r="AP953">
        <v>0</v>
      </c>
      <c r="AQ953">
        <v>0</v>
      </c>
      <c r="AR953">
        <v>0</v>
      </c>
    </row>
    <row r="954" spans="1:44">
      <c r="A954" t="str">
        <f>H954&amp;COUNTIF($H$2:H954,H954)</f>
        <v>リフト作業10</v>
      </c>
      <c r="B954" t="str">
        <f>F954&amp;COUNTIF($F$2:F954,F954)</f>
        <v>高雄工業 海南第一67</v>
      </c>
      <c r="C954" t="str">
        <v>退社</v>
      </c>
      <c r="D954">
        <v>250405</v>
      </c>
      <c r="E954">
        <v>0</v>
      </c>
      <c r="F954" t="str">
        <v>高雄工業 海南第一</v>
      </c>
      <c r="G954" t="str">
        <v>高雄工業株式会社 第二営業部海南HUB営業課</v>
      </c>
      <c r="H954" t="str">
        <v>リフト作業</v>
      </c>
      <c r="I954" t="str">
        <v>鋳造材料の工場内加工ラインへの供給</v>
      </c>
      <c r="J954" t="str">
        <v>SATO MARCELO YUUJI</v>
      </c>
      <c r="K954" t="str">
        <v>サトウ　マルセロ　ユウジ</v>
      </c>
      <c r="L954" t="str">
        <v>男</v>
      </c>
      <c r="M954" t="str">
        <v>ﾌﾞﾗｼﾞﾙ</v>
      </c>
      <c r="N954" s="31">
        <v>39243</v>
      </c>
      <c r="O954">
        <v>18</v>
      </c>
      <c r="P954">
        <v>1400</v>
      </c>
      <c r="Q954">
        <v>0</v>
      </c>
      <c r="R954">
        <v>1750</v>
      </c>
      <c r="S954">
        <v>0</v>
      </c>
      <c r="T954">
        <v>350</v>
      </c>
      <c r="U954">
        <v>220000</v>
      </c>
      <c r="V954">
        <v>11033</v>
      </c>
      <c r="W954" t="str">
        <v>0</v>
      </c>
      <c r="X954">
        <v>20130</v>
      </c>
      <c r="Y954" s="31">
        <v>46675</v>
      </c>
      <c r="Z954" t="str">
        <v/>
      </c>
      <c r="AA954" t="str">
        <v>定住者</v>
      </c>
      <c r="AB954" t="str">
        <v>498-0021</v>
      </c>
      <c r="AC954" t="str">
        <v>愛知県弥富市鯏浦町東気開51番地1</v>
      </c>
      <c r="AD954" t="str">
        <v>ﾌｨﾚﾝﾂｪ弥冨2-406</v>
      </c>
      <c r="AE954" s="31" t="str">
        <v>個人</v>
      </c>
      <c r="AF954" s="31">
        <v>45748</v>
      </c>
      <c r="AG954" s="31">
        <v>45915</v>
      </c>
      <c r="AH954" s="31">
        <v>0</v>
      </c>
      <c r="AI954">
        <v>45748</v>
      </c>
      <c r="AJ954" t="str">
        <v>4/18林</v>
      </c>
      <c r="AK954">
        <v>0</v>
      </c>
      <c r="AL954">
        <v>45748</v>
      </c>
      <c r="AM954">
        <v>0</v>
      </c>
      <c r="AN954">
        <v>0</v>
      </c>
      <c r="AO954">
        <v>0</v>
      </c>
      <c r="AP954">
        <v>0</v>
      </c>
      <c r="AQ954">
        <v>0</v>
      </c>
      <c r="AR954">
        <v>0</v>
      </c>
    </row>
    <row r="955" spans="1:44">
      <c r="A955" t="str">
        <f>H955&amp;COUNTIF($H$2:H955,H955)</f>
        <v>0288</v>
      </c>
      <c r="B955" t="str">
        <f>F955&amp;COUNTIF($F$2:F955,F955)</f>
        <v>プレテック7</v>
      </c>
      <c r="C955" t="str">
        <v>在職中</v>
      </c>
      <c r="D955">
        <v>250401</v>
      </c>
      <c r="E955">
        <v>0</v>
      </c>
      <c r="F955" t="str">
        <v>プレテック</v>
      </c>
      <c r="G955">
        <v>0</v>
      </c>
      <c r="H955">
        <v>0</v>
      </c>
      <c r="I955">
        <v>0</v>
      </c>
      <c r="J955" t="str">
        <v>VU VAN BINH</v>
      </c>
      <c r="K955" t="str">
        <v>ヴー　ヴァン　ビン</v>
      </c>
      <c r="L955" t="str">
        <v>男</v>
      </c>
      <c r="M955" t="str">
        <v>ﾍﾞﾄﾅﾑ</v>
      </c>
      <c r="N955" s="31">
        <v>36421</v>
      </c>
      <c r="O955">
        <v>26</v>
      </c>
      <c r="P955">
        <v>1400</v>
      </c>
      <c r="Q955">
        <v>0</v>
      </c>
      <c r="R955">
        <v>1900</v>
      </c>
      <c r="S955">
        <v>0</v>
      </c>
      <c r="T955">
        <v>500</v>
      </c>
      <c r="U955">
        <v>280000</v>
      </c>
      <c r="V955">
        <v>14042</v>
      </c>
      <c r="W955" t="str">
        <v>0</v>
      </c>
      <c r="X955">
        <v>25620</v>
      </c>
      <c r="Y955" s="31">
        <v>47099</v>
      </c>
      <c r="Z955" t="str">
        <v/>
      </c>
      <c r="AA955" t="str">
        <v>技術・人文知識・国際業務</v>
      </c>
      <c r="AB955" t="str">
        <v>715-0014</v>
      </c>
      <c r="AC955" t="str">
        <v>岡山県井原市七日市町696-2</v>
      </c>
      <c r="AD955" t="str">
        <v>Florence1997 203</v>
      </c>
      <c r="AE955" s="31">
        <v>0</v>
      </c>
      <c r="AF955" s="31">
        <v>45748</v>
      </c>
      <c r="AG955" s="31">
        <v>0</v>
      </c>
      <c r="AH955" s="31">
        <v>0</v>
      </c>
      <c r="AI955">
        <v>45748</v>
      </c>
      <c r="AJ955" t="str">
        <v>4/18林</v>
      </c>
      <c r="AK955">
        <v>0</v>
      </c>
      <c r="AL955">
        <v>45748</v>
      </c>
      <c r="AM955">
        <v>0</v>
      </c>
      <c r="AN955">
        <v>0</v>
      </c>
      <c r="AO955">
        <v>0</v>
      </c>
      <c r="AP955">
        <v>0</v>
      </c>
      <c r="AQ955">
        <v>0</v>
      </c>
      <c r="AR955">
        <v>0</v>
      </c>
    </row>
    <row r="956" spans="1:44">
      <c r="A956" t="str">
        <f>H956&amp;COUNTIF($H$2:H956,H956)</f>
        <v>本社工場製造1課2工区3班9</v>
      </c>
      <c r="B956" t="str">
        <f>F956&amp;COUNTIF($F$2:F956,F956)</f>
        <v>コーリツ 本社47</v>
      </c>
      <c r="C956" t="str">
        <v>退社</v>
      </c>
      <c r="D956">
        <v>250403</v>
      </c>
      <c r="E956">
        <v>8210126</v>
      </c>
      <c r="F956" t="str">
        <v>コーリツ 本社</v>
      </c>
      <c r="G956" t="str">
        <v>本社工場製造1課2工区3班</v>
      </c>
      <c r="H956" t="str">
        <v>本社工場製造1課2工区3班</v>
      </c>
      <c r="I956">
        <v>0</v>
      </c>
      <c r="J956" t="str">
        <v>TRAN DINH GIANG</v>
      </c>
      <c r="K956" t="str">
        <v>チャン　ディン　ザン</v>
      </c>
      <c r="L956" t="str">
        <v>男</v>
      </c>
      <c r="M956" t="str">
        <v>ﾍﾞﾄﾅﾑ</v>
      </c>
      <c r="N956" s="31">
        <v>34905</v>
      </c>
      <c r="O956">
        <v>30</v>
      </c>
      <c r="P956">
        <v>1500</v>
      </c>
      <c r="Q956">
        <v>0</v>
      </c>
      <c r="R956">
        <v>2150</v>
      </c>
      <c r="S956">
        <v>0</v>
      </c>
      <c r="T956">
        <v>650</v>
      </c>
      <c r="U956">
        <v>240000</v>
      </c>
      <c r="V956">
        <v>12036</v>
      </c>
      <c r="W956" t="str">
        <v>0</v>
      </c>
      <c r="X956">
        <v>21960</v>
      </c>
      <c r="Y956" s="31">
        <v>46717</v>
      </c>
      <c r="Z956" t="str">
        <v/>
      </c>
      <c r="AA956" t="str">
        <v>技術・人文知識・国際業務</v>
      </c>
      <c r="AB956" t="str">
        <v>474-0052</v>
      </c>
      <c r="AC956" t="str">
        <v>愛知県大府市長草町新池8</v>
      </c>
      <c r="AD956" t="str">
        <v>ﾋﾞﾚｯｼﾞﾊｳｽ長草3号棟202</v>
      </c>
      <c r="AE956" s="31">
        <v>0</v>
      </c>
      <c r="AF956" s="31">
        <v>45748</v>
      </c>
      <c r="AG956" s="31">
        <v>45869</v>
      </c>
      <c r="AH956" s="31">
        <v>0</v>
      </c>
      <c r="AI956">
        <v>45748</v>
      </c>
      <c r="AJ956" t="str">
        <v>4/18林</v>
      </c>
      <c r="AK956">
        <v>0</v>
      </c>
      <c r="AL956">
        <v>45748</v>
      </c>
      <c r="AM956">
        <v>0</v>
      </c>
      <c r="AN956">
        <v>0</v>
      </c>
      <c r="AO956">
        <v>0</v>
      </c>
      <c r="AP956">
        <v>0</v>
      </c>
      <c r="AQ956">
        <v>0</v>
      </c>
      <c r="AR956">
        <v>0</v>
      </c>
    </row>
    <row r="957" spans="1:44">
      <c r="A957" t="str">
        <f>H957&amp;COUNTIF($H$2:H957,H957)</f>
        <v>手動旋削29</v>
      </c>
      <c r="B957" t="str">
        <f>F957&amp;COUNTIF($F$2:F957,F957)</f>
        <v>高雄工業 静岡122</v>
      </c>
      <c r="C957" t="str">
        <v>在職中</v>
      </c>
      <c r="D957">
        <v>210416</v>
      </c>
      <c r="E957">
        <v>242016</v>
      </c>
      <c r="F957" t="str">
        <v>高雄工業 静岡</v>
      </c>
      <c r="G957" t="str">
        <v>高雄工業株式会社 静岡事業所第一工場製作課</v>
      </c>
      <c r="H957" t="str">
        <v>手動旋削</v>
      </c>
      <c r="I957" t="str">
        <v>CVJ部品短軸品の施削加工、NCプログラム修正</v>
      </c>
      <c r="J957" t="str">
        <v>NGUYEN XUAN DUY</v>
      </c>
      <c r="K957" t="str">
        <v>グエン　スアン　ズイ</v>
      </c>
      <c r="L957" t="str">
        <v>男</v>
      </c>
      <c r="M957" t="str">
        <v>ﾍﾞﾄﾅﾑ</v>
      </c>
      <c r="N957" s="31">
        <v>33527</v>
      </c>
      <c r="O957">
        <v>34</v>
      </c>
      <c r="P957">
        <v>1410</v>
      </c>
      <c r="Q957">
        <v>0</v>
      </c>
      <c r="R957">
        <v>1850</v>
      </c>
      <c r="S957">
        <v>0</v>
      </c>
      <c r="T957">
        <v>440</v>
      </c>
      <c r="U957">
        <v>300000</v>
      </c>
      <c r="V957">
        <v>15045</v>
      </c>
      <c r="W957" t="str">
        <v>0</v>
      </c>
      <c r="X957">
        <v>27450</v>
      </c>
      <c r="Y957" s="31">
        <v>46529</v>
      </c>
      <c r="Z957" t="str">
        <v/>
      </c>
      <c r="AA957" t="str">
        <v>技術・人文知識・国際業務</v>
      </c>
      <c r="AB957" t="str">
        <v>437-0065</v>
      </c>
      <c r="AC957" t="str">
        <v>静岡県袋井市久能1744番地1</v>
      </c>
      <c r="AD957" t="str">
        <v>ｱﾙｺ･ﾊﾞﾚｰﾉ205</v>
      </c>
      <c r="AE957" s="31">
        <v>0</v>
      </c>
      <c r="AF957" s="31">
        <v>45707</v>
      </c>
      <c r="AG957" s="31">
        <v>0</v>
      </c>
      <c r="AH957" s="31">
        <v>0</v>
      </c>
      <c r="AI957">
        <v>45707</v>
      </c>
      <c r="AJ957" t="str">
        <v>3/18林</v>
      </c>
      <c r="AK957">
        <v>0</v>
      </c>
      <c r="AL957">
        <v>45707</v>
      </c>
      <c r="AM957">
        <v>0</v>
      </c>
      <c r="AN957">
        <v>0</v>
      </c>
      <c r="AO957">
        <v>0</v>
      </c>
      <c r="AP957">
        <v>0</v>
      </c>
      <c r="AQ957" t="str">
        <v>JLPT-N4</v>
      </c>
      <c r="AR957">
        <v>0</v>
      </c>
    </row>
    <row r="958" spans="1:44">
      <c r="A958" t="str">
        <f>H958&amp;COUNTIF($H$2:H958,H958)</f>
        <v>材料管理係4</v>
      </c>
      <c r="B958" t="str">
        <f>F958&amp;COUNTIF($F$2:F958,F958)</f>
        <v>高雄工業 岡山177</v>
      </c>
      <c r="C958" t="str">
        <v>在職中</v>
      </c>
      <c r="D958">
        <v>250407</v>
      </c>
      <c r="E958">
        <v>232176</v>
      </c>
      <c r="F958" t="str">
        <v>高雄工業 岡山</v>
      </c>
      <c r="G958" t="str">
        <v>高雄工業株式会社第一営業部岡山営業課</v>
      </c>
      <c r="H958" t="str">
        <v>材料管理係</v>
      </c>
      <c r="I958" t="str">
        <v>鋳造材料の工場内加工ラインへの供給</v>
      </c>
      <c r="J958" t="str">
        <v>DINH HOANG THANG</v>
      </c>
      <c r="K958" t="str">
        <v>デイン　ホアン　タン</v>
      </c>
      <c r="L958" t="str">
        <v>男</v>
      </c>
      <c r="M958" t="str">
        <v>ﾍﾞﾄﾅﾑ</v>
      </c>
      <c r="N958" s="31">
        <v>37275</v>
      </c>
      <c r="O958">
        <v>23</v>
      </c>
      <c r="P958">
        <v>1200</v>
      </c>
      <c r="Q958">
        <v>0</v>
      </c>
      <c r="R958">
        <v>1650</v>
      </c>
      <c r="S958">
        <v>0</v>
      </c>
      <c r="T958">
        <v>450</v>
      </c>
      <c r="U958">
        <v>160000</v>
      </c>
      <c r="V958">
        <v>8024</v>
      </c>
      <c r="W958" t="str">
        <v>0</v>
      </c>
      <c r="X958">
        <v>14640</v>
      </c>
      <c r="Y958" s="31">
        <v>46845</v>
      </c>
      <c r="Z958">
        <v>0</v>
      </c>
      <c r="AA958" t="str">
        <v>技術・人文知識・国際業務</v>
      </c>
      <c r="AB958" t="str">
        <v>709-2133</v>
      </c>
      <c r="AC958" t="str">
        <v>岡山県岡山市北区御津金川373-1</v>
      </c>
      <c r="AD958" t="str">
        <v>ﾆｭｰｴﾙﾃﾞｨﾑ小西A202</v>
      </c>
      <c r="AE958" s="31">
        <v>0</v>
      </c>
      <c r="AF958" s="31">
        <v>45755</v>
      </c>
      <c r="AG958" s="31">
        <v>0</v>
      </c>
      <c r="AH958" s="31">
        <v>0</v>
      </c>
      <c r="AI958">
        <v>45755</v>
      </c>
      <c r="AJ958" t="str">
        <v>4/18林</v>
      </c>
      <c r="AK958">
        <v>0</v>
      </c>
      <c r="AL958">
        <v>45755</v>
      </c>
      <c r="AM958">
        <v>0</v>
      </c>
      <c r="AN958">
        <v>0</v>
      </c>
      <c r="AO958">
        <v>0</v>
      </c>
      <c r="AP958">
        <v>0</v>
      </c>
      <c r="AQ958">
        <v>0</v>
      </c>
      <c r="AR958">
        <v>0</v>
      </c>
    </row>
    <row r="959" spans="1:44">
      <c r="A959" t="str">
        <f>H959&amp;COUNTIF($H$2:H959,H959)</f>
        <v>0289</v>
      </c>
      <c r="B959" t="str">
        <f>F959&amp;COUNTIF($F$2:F959,F959)</f>
        <v>ワーク 堺13</v>
      </c>
      <c r="C959" t="str">
        <v>退社</v>
      </c>
      <c r="D959">
        <v>250408</v>
      </c>
      <c r="E959">
        <v>0</v>
      </c>
      <c r="F959" t="str">
        <v>ワーク 堺</v>
      </c>
      <c r="G959">
        <v>0</v>
      </c>
      <c r="H959">
        <v>0</v>
      </c>
      <c r="I959">
        <v>0</v>
      </c>
      <c r="J959" t="str">
        <v>NGUYEN NHU QUANG</v>
      </c>
      <c r="K959" t="str">
        <v>グエン　ヌ　クアン</v>
      </c>
      <c r="L959" t="str">
        <v>男</v>
      </c>
      <c r="M959" t="str">
        <v>ﾍﾞﾄﾅﾑ</v>
      </c>
      <c r="N959" s="31">
        <v>36005</v>
      </c>
      <c r="O959">
        <v>27</v>
      </c>
      <c r="P959">
        <v>1400</v>
      </c>
      <c r="Q959">
        <v>0</v>
      </c>
      <c r="R959">
        <v>1900</v>
      </c>
      <c r="S959">
        <v>0</v>
      </c>
      <c r="T959">
        <v>500</v>
      </c>
      <c r="U959">
        <v>260000</v>
      </c>
      <c r="V959">
        <v>13039</v>
      </c>
      <c r="W959" t="str">
        <v>0</v>
      </c>
      <c r="X959">
        <v>23790</v>
      </c>
      <c r="Y959" s="31">
        <v>46743</v>
      </c>
      <c r="Z959" t="str">
        <v/>
      </c>
      <c r="AA959" t="str">
        <v>技術・人文知識・国際業務</v>
      </c>
      <c r="AB959" t="str">
        <v>543-0043</v>
      </c>
      <c r="AC959" t="str">
        <v>大阪府大阪市天王寺区勝山1-1-16</v>
      </c>
      <c r="AD959" t="str">
        <v>IZONE506号</v>
      </c>
      <c r="AE959" s="31" t="str">
        <v>個人</v>
      </c>
      <c r="AF959" s="31">
        <v>45758</v>
      </c>
      <c r="AG959" s="31">
        <v>45876</v>
      </c>
      <c r="AH959" s="31">
        <v>0</v>
      </c>
      <c r="AI959">
        <v>45758</v>
      </c>
      <c r="AJ959" t="str">
        <v>4/25林</v>
      </c>
      <c r="AK959">
        <v>0</v>
      </c>
      <c r="AL959">
        <v>45758</v>
      </c>
      <c r="AM959">
        <v>0</v>
      </c>
      <c r="AN959">
        <v>0</v>
      </c>
      <c r="AO959">
        <v>0</v>
      </c>
      <c r="AP959">
        <v>0</v>
      </c>
      <c r="AQ959">
        <v>0</v>
      </c>
      <c r="AR959">
        <v>0</v>
      </c>
    </row>
    <row r="960" spans="1:44">
      <c r="A960" t="str">
        <f>H960&amp;COUNTIF($H$2:H960,H960)</f>
        <v>亀崎工場製造5課6工区8班3</v>
      </c>
      <c r="B960" t="str">
        <f>F960&amp;COUNTIF($F$2:F960,F960)</f>
        <v>コーリツ 亀崎11</v>
      </c>
      <c r="C960" t="str">
        <v>在職中</v>
      </c>
      <c r="D960">
        <v>250409</v>
      </c>
      <c r="E960">
        <v>8210127</v>
      </c>
      <c r="F960" t="str">
        <v>コーリツ 亀崎</v>
      </c>
      <c r="G960" t="str">
        <v>亀崎工場製造5課6工区8班</v>
      </c>
      <c r="H960" t="str">
        <v>亀崎工場製造5課6工区8班</v>
      </c>
      <c r="I960">
        <v>0</v>
      </c>
      <c r="J960" t="str">
        <v>NGUYEN NGOC MANH</v>
      </c>
      <c r="K960" t="str">
        <v>グエン　ゴック　マン</v>
      </c>
      <c r="L960" t="str">
        <v>男</v>
      </c>
      <c r="M960" t="str">
        <v>ﾍﾞﾄﾅﾑ</v>
      </c>
      <c r="N960" s="31">
        <v>35971</v>
      </c>
      <c r="O960">
        <v>27</v>
      </c>
      <c r="P960">
        <v>1500</v>
      </c>
      <c r="Q960">
        <v>0</v>
      </c>
      <c r="R960">
        <v>2150</v>
      </c>
      <c r="S960">
        <v>0</v>
      </c>
      <c r="T960">
        <v>650</v>
      </c>
      <c r="U960">
        <v>300000</v>
      </c>
      <c r="V960">
        <v>15045</v>
      </c>
      <c r="W960" t="str">
        <v>0</v>
      </c>
      <c r="X960">
        <v>27450</v>
      </c>
      <c r="Y960" s="31">
        <v>47057</v>
      </c>
      <c r="Z960" t="str">
        <v/>
      </c>
      <c r="AA960" t="str">
        <v>技術・人文知識・国際業務</v>
      </c>
      <c r="AB960" t="str">
        <v>475-0061</v>
      </c>
      <c r="AC960" t="str">
        <v>愛知県半田市一ノ草町201-11</v>
      </c>
      <c r="AD960" t="str">
        <v>ﾒｿﾞﾝﾊﾟｰｸｱﾍﾞﾆｭｰ103</v>
      </c>
      <c r="AE960" s="31">
        <v>0</v>
      </c>
      <c r="AF960" s="31">
        <v>45759</v>
      </c>
      <c r="AG960" s="31">
        <v>0</v>
      </c>
      <c r="AH960" s="31">
        <v>0</v>
      </c>
      <c r="AI960">
        <v>45759</v>
      </c>
      <c r="AJ960" t="str">
        <v>4/25林</v>
      </c>
      <c r="AK960">
        <v>0</v>
      </c>
      <c r="AL960">
        <v>45759</v>
      </c>
      <c r="AM960">
        <v>0</v>
      </c>
      <c r="AN960">
        <v>0</v>
      </c>
      <c r="AO960">
        <v>0</v>
      </c>
      <c r="AP960">
        <v>0</v>
      </c>
      <c r="AQ960">
        <v>0</v>
      </c>
      <c r="AR960">
        <v>0</v>
      </c>
    </row>
    <row r="961" spans="1:44">
      <c r="A961" t="str">
        <f>H961&amp;COUNTIF($H$2:H961,H961)</f>
        <v>0290</v>
      </c>
      <c r="B961" t="str">
        <f>F961&amp;COUNTIF($F$2:F961,F961)</f>
        <v>ユアサ工機 御津8</v>
      </c>
      <c r="C961" t="str">
        <v>在職中</v>
      </c>
      <c r="D961">
        <v>250410</v>
      </c>
      <c r="E961">
        <v>0</v>
      </c>
      <c r="F961" t="str">
        <v>ユアサ工機 御津</v>
      </c>
      <c r="G961">
        <v>0</v>
      </c>
      <c r="H961">
        <v>0</v>
      </c>
      <c r="I961">
        <v>0</v>
      </c>
      <c r="J961" t="str">
        <v>LE MINH TIEN</v>
      </c>
      <c r="K961" t="str">
        <v>レ　ミン　テイエン</v>
      </c>
      <c r="L961" t="str">
        <v>男</v>
      </c>
      <c r="M961" t="str">
        <v>ﾍﾞﾄﾅﾑ</v>
      </c>
      <c r="N961" s="31">
        <v>37770</v>
      </c>
      <c r="O961">
        <v>22</v>
      </c>
      <c r="P961">
        <v>1200</v>
      </c>
      <c r="Q961">
        <v>0</v>
      </c>
      <c r="R961">
        <v>1900</v>
      </c>
      <c r="S961">
        <v>0</v>
      </c>
      <c r="T961">
        <v>700</v>
      </c>
      <c r="U961">
        <v>240000</v>
      </c>
      <c r="V961">
        <v>12036</v>
      </c>
      <c r="W961" t="str">
        <v>0</v>
      </c>
      <c r="X961">
        <v>21960</v>
      </c>
      <c r="Y961" s="31">
        <v>46852</v>
      </c>
      <c r="Z961" t="str">
        <v/>
      </c>
      <c r="AA961" t="str">
        <v>技術・人文知識・国際業務</v>
      </c>
      <c r="AB961" t="str">
        <v>709-2107</v>
      </c>
      <c r="AC961" t="str">
        <v>岡山県岡山市北区御津矢原297-1</v>
      </c>
      <c r="AD961" t="str">
        <v>成広矢原ｺｰﾎﾟⅤ103</v>
      </c>
      <c r="AE961" s="31">
        <v>0</v>
      </c>
      <c r="AF961" s="31">
        <v>45762</v>
      </c>
      <c r="AG961" s="31">
        <v>0</v>
      </c>
      <c r="AH961" s="31">
        <v>0</v>
      </c>
      <c r="AI961">
        <v>45762</v>
      </c>
      <c r="AJ961" t="str">
        <v>4/25林</v>
      </c>
      <c r="AK961">
        <v>0</v>
      </c>
      <c r="AL961">
        <v>45762</v>
      </c>
      <c r="AM961">
        <v>0</v>
      </c>
      <c r="AN961">
        <v>0</v>
      </c>
      <c r="AO961">
        <v>0</v>
      </c>
      <c r="AP961">
        <v>0</v>
      </c>
      <c r="AQ961">
        <v>0</v>
      </c>
      <c r="AR961">
        <v>0</v>
      </c>
    </row>
    <row r="962" spans="1:44">
      <c r="A962" t="str">
        <f>H962&amp;COUNTIF($H$2:H962,H962)</f>
        <v>手動旋削30</v>
      </c>
      <c r="B962" t="str">
        <f>F962&amp;COUNTIF($F$2:F962,F962)</f>
        <v>高雄工業 静岡123</v>
      </c>
      <c r="C962" t="str">
        <v>在職中</v>
      </c>
      <c r="D962">
        <v>250804</v>
      </c>
      <c r="E962">
        <v>242136</v>
      </c>
      <c r="F962" t="str">
        <v>高雄工業 静岡</v>
      </c>
      <c r="G962" t="str">
        <v>高雄工業株式会社 静岡事業所第一工場製作課</v>
      </c>
      <c r="H962" t="str">
        <v>手動旋削</v>
      </c>
      <c r="I962" t="str">
        <v>CVJ部品短軸品の施削加工、NCプログラム修正</v>
      </c>
      <c r="J962" t="str">
        <v>NGUYEN THANH PHONG</v>
      </c>
      <c r="K962" t="str">
        <v>グエン　タイン　フォン</v>
      </c>
      <c r="L962" t="str">
        <v>男</v>
      </c>
      <c r="M962" t="str">
        <v>ﾍﾞﾄﾅﾑ</v>
      </c>
      <c r="N962" s="31">
        <v>37538</v>
      </c>
      <c r="O962">
        <v>23</v>
      </c>
      <c r="P962">
        <v>1200</v>
      </c>
      <c r="Q962">
        <v>0</v>
      </c>
      <c r="R962">
        <v>1650</v>
      </c>
      <c r="S962">
        <v>0</v>
      </c>
      <c r="T962">
        <v>450</v>
      </c>
      <c r="U962">
        <v>160000</v>
      </c>
      <c r="V962">
        <v>8024</v>
      </c>
      <c r="W962" t="str">
        <v>0</v>
      </c>
      <c r="X962">
        <v>14640</v>
      </c>
      <c r="Y962" s="31">
        <v>47694</v>
      </c>
      <c r="Z962" t="str">
        <v/>
      </c>
      <c r="AA962" t="str">
        <v>技術・人文知識・国際業務</v>
      </c>
      <c r="AB962" t="str">
        <v>437-0122</v>
      </c>
      <c r="AC962" t="str">
        <v>静岡県袋井市春岡1138番地2</v>
      </c>
      <c r="AD962" t="str">
        <v>ﾏｯｸｽﾋﾞｭｰﾃｨB-103</v>
      </c>
      <c r="AE962" s="31">
        <v>0</v>
      </c>
      <c r="AF962" s="31">
        <v>45873</v>
      </c>
      <c r="AG962" s="31">
        <v>0</v>
      </c>
      <c r="AH962" s="31">
        <v>0</v>
      </c>
      <c r="AI962">
        <v>45873</v>
      </c>
      <c r="AJ962" t="str">
        <v>8/25林</v>
      </c>
      <c r="AK962">
        <v>0</v>
      </c>
      <c r="AL962">
        <v>45873</v>
      </c>
      <c r="AM962">
        <v>0</v>
      </c>
      <c r="AN962">
        <v>0</v>
      </c>
      <c r="AO962">
        <v>0</v>
      </c>
      <c r="AP962">
        <v>0</v>
      </c>
      <c r="AQ962">
        <v>0</v>
      </c>
      <c r="AR962">
        <v>0</v>
      </c>
    </row>
    <row r="963" spans="1:44">
      <c r="A963" t="str">
        <f>H963&amp;COUNTIF($H$2:H963,H963)</f>
        <v>0291</v>
      </c>
      <c r="B963" t="str">
        <f>F963&amp;COUNTIF($F$2:F963,F963)</f>
        <v>六甲電子28</v>
      </c>
      <c r="C963" t="str">
        <v>在職中</v>
      </c>
      <c r="D963">
        <v>250411</v>
      </c>
      <c r="E963">
        <v>0</v>
      </c>
      <c r="F963" t="str">
        <v>六甲電子</v>
      </c>
      <c r="G963">
        <v>0</v>
      </c>
      <c r="H963">
        <v>0</v>
      </c>
      <c r="I963">
        <v>0</v>
      </c>
      <c r="J963" t="str">
        <v>NGUYEN THI HONG</v>
      </c>
      <c r="K963" t="str">
        <v>グエン　ティ　ホン</v>
      </c>
      <c r="L963" t="str">
        <v>女</v>
      </c>
      <c r="M963" t="str">
        <v>ﾍﾞﾄﾅﾑ</v>
      </c>
      <c r="N963" s="31">
        <v>33417</v>
      </c>
      <c r="O963">
        <v>34</v>
      </c>
      <c r="P963">
        <v>1400</v>
      </c>
      <c r="Q963">
        <v>0</v>
      </c>
      <c r="R963">
        <v>2000</v>
      </c>
      <c r="S963">
        <v>0</v>
      </c>
      <c r="T963">
        <v>600</v>
      </c>
      <c r="U963">
        <v>220000</v>
      </c>
      <c r="V963">
        <v>11033</v>
      </c>
      <c r="W963" t="str">
        <v>0</v>
      </c>
      <c r="X963">
        <v>20130</v>
      </c>
      <c r="Y963" s="31">
        <v>46623</v>
      </c>
      <c r="Z963" t="str">
        <v/>
      </c>
      <c r="AA963" t="str">
        <v>技術・人文知識・国際業務</v>
      </c>
      <c r="AB963" t="str">
        <v>663-8214</v>
      </c>
      <c r="AC963" t="str">
        <v>兵庫県西宮市今津曙町7-4</v>
      </c>
      <c r="AD963" t="str">
        <v>ﾀﾞｲﾜﾋﾞﾙ202</v>
      </c>
      <c r="AE963" s="31">
        <v>45764</v>
      </c>
      <c r="AF963" s="31">
        <v>45769</v>
      </c>
      <c r="AG963" s="31">
        <v>0</v>
      </c>
      <c r="AH963" s="31">
        <v>0</v>
      </c>
      <c r="AI963">
        <v>45769</v>
      </c>
      <c r="AJ963" t="str">
        <v>5/21林</v>
      </c>
      <c r="AK963">
        <v>0</v>
      </c>
      <c r="AL963">
        <v>45769</v>
      </c>
      <c r="AM963">
        <v>0</v>
      </c>
      <c r="AN963">
        <v>0</v>
      </c>
      <c r="AO963">
        <v>0</v>
      </c>
      <c r="AP963">
        <v>0</v>
      </c>
      <c r="AQ963">
        <v>0</v>
      </c>
      <c r="AR963">
        <v>0</v>
      </c>
    </row>
    <row r="964" spans="1:44">
      <c r="A964" t="str">
        <f>H964&amp;COUNTIF($H$2:H964,H964)</f>
        <v>1次旋係91</v>
      </c>
      <c r="B964" t="str">
        <f>F964&amp;COUNTIF($F$2:F964,F964)</f>
        <v>高雄工業 岡山178</v>
      </c>
      <c r="C964" t="str">
        <v>在職中</v>
      </c>
      <c r="D964">
        <v>250501</v>
      </c>
      <c r="E964">
        <v>232177</v>
      </c>
      <c r="F964" t="str">
        <v>高雄工業 岡山</v>
      </c>
      <c r="G964" t="str">
        <v>高雄工業株式会社 岡山事業所HUB工場製作1課</v>
      </c>
      <c r="H964" t="str">
        <v>1次旋係</v>
      </c>
      <c r="I964" t="str">
        <v>ハブ加工 自動機の操作、ＮＣプログラム修正</v>
      </c>
      <c r="J964" t="str">
        <v>HUYNH TAN PHAT</v>
      </c>
      <c r="K964" t="str">
        <v>フィン　タン　ファット</v>
      </c>
      <c r="L964" t="str">
        <v>男</v>
      </c>
      <c r="M964" t="str">
        <v>ﾍﾞﾄﾅﾑ</v>
      </c>
      <c r="N964" s="31">
        <v>37573</v>
      </c>
      <c r="O964">
        <v>23</v>
      </c>
      <c r="P964">
        <v>1200</v>
      </c>
      <c r="Q964">
        <v>0</v>
      </c>
      <c r="R964">
        <v>1650</v>
      </c>
      <c r="S964">
        <v>0</v>
      </c>
      <c r="T964">
        <v>450</v>
      </c>
      <c r="U964">
        <v>190000</v>
      </c>
      <c r="V964">
        <v>9528</v>
      </c>
      <c r="W964" t="str">
        <v>0</v>
      </c>
      <c r="X964">
        <v>17385</v>
      </c>
      <c r="Y964" s="31">
        <v>47070</v>
      </c>
      <c r="Z964" t="str">
        <v/>
      </c>
      <c r="AA964" t="str">
        <v>技術・人文知識・国際業務</v>
      </c>
      <c r="AB964" t="str">
        <v>709-2107</v>
      </c>
      <c r="AC964" t="str">
        <v>岡山県岡山市北区御津矢原307－1</v>
      </c>
      <c r="AD964" t="str">
        <v>成広矢原ｺｰﾎﾟⅡ103</v>
      </c>
      <c r="AE964" s="31">
        <v>0</v>
      </c>
      <c r="AF964" s="31">
        <v>45782</v>
      </c>
      <c r="AG964" s="31">
        <v>0</v>
      </c>
      <c r="AH964" s="31">
        <v>0</v>
      </c>
      <c r="AI964">
        <v>45782</v>
      </c>
      <c r="AJ964" t="str">
        <v>5/20林</v>
      </c>
      <c r="AK964">
        <v>0</v>
      </c>
      <c r="AL964">
        <v>45782</v>
      </c>
      <c r="AM964">
        <v>0</v>
      </c>
      <c r="AN964">
        <v>0</v>
      </c>
      <c r="AO964">
        <v>0</v>
      </c>
      <c r="AP964">
        <v>0</v>
      </c>
      <c r="AQ964">
        <v>0</v>
      </c>
      <c r="AR964">
        <v>0</v>
      </c>
    </row>
    <row r="965" spans="1:44">
      <c r="A965" t="str">
        <f>H965&amp;COUNTIF($H$2:H965,H965)</f>
        <v>乙川工場製造3課6工区8班2</v>
      </c>
      <c r="B965" t="str">
        <f>F965&amp;COUNTIF($F$2:F965,F965)</f>
        <v>コーリツ 乙川36</v>
      </c>
      <c r="C965" t="str">
        <v>在職中</v>
      </c>
      <c r="D965">
        <v>220125</v>
      </c>
      <c r="E965">
        <v>8210128</v>
      </c>
      <c r="F965" t="str">
        <v>コーリツ 乙川</v>
      </c>
      <c r="G965" t="str">
        <v>乙川工場製造3課6工区8班</v>
      </c>
      <c r="H965" t="str">
        <v>乙川工場製造3課6工区8班</v>
      </c>
      <c r="I965">
        <v>0</v>
      </c>
      <c r="J965" t="str">
        <v>BUI DUC THANG</v>
      </c>
      <c r="K965" t="str">
        <v>ブイ　ドック　タン</v>
      </c>
      <c r="L965" t="str">
        <v>男</v>
      </c>
      <c r="M965" t="str">
        <v>ﾍﾞﾄﾅﾑ</v>
      </c>
      <c r="N965" s="31">
        <v>35389</v>
      </c>
      <c r="O965">
        <v>29</v>
      </c>
      <c r="P965">
        <v>1500</v>
      </c>
      <c r="Q965">
        <v>0</v>
      </c>
      <c r="R965">
        <v>2150</v>
      </c>
      <c r="S965">
        <v>0</v>
      </c>
      <c r="T965">
        <v>650</v>
      </c>
      <c r="U965">
        <v>220000</v>
      </c>
      <c r="V965">
        <v>11033</v>
      </c>
      <c r="W965" t="str">
        <v>0</v>
      </c>
      <c r="X965">
        <v>20130</v>
      </c>
      <c r="Y965" s="31">
        <v>46720</v>
      </c>
      <c r="Z965" t="str">
        <v/>
      </c>
      <c r="AA965" t="str">
        <v>技術・人文知識・国際業務</v>
      </c>
      <c r="AB965" t="str">
        <v>475-0061</v>
      </c>
      <c r="AC965" t="str">
        <v>愛知県半田市一ノ草町201-11</v>
      </c>
      <c r="AD965" t="str">
        <v>ﾒｿﾞﾝﾊﾟｰｸｱﾍﾞﾆｭｰ201</v>
      </c>
      <c r="AE965" s="31">
        <v>0</v>
      </c>
      <c r="AF965" s="31">
        <v>45783</v>
      </c>
      <c r="AG965" s="31">
        <v>0</v>
      </c>
      <c r="AH965" s="31">
        <v>0</v>
      </c>
      <c r="AI965">
        <v>45783</v>
      </c>
      <c r="AJ965" t="str">
        <v>5/21林</v>
      </c>
      <c r="AK965">
        <v>0</v>
      </c>
      <c r="AL965">
        <v>45783</v>
      </c>
      <c r="AM965">
        <v>0</v>
      </c>
      <c r="AN965">
        <v>0</v>
      </c>
      <c r="AO965">
        <v>0</v>
      </c>
      <c r="AP965">
        <v>0</v>
      </c>
      <c r="AQ965">
        <v>0</v>
      </c>
      <c r="AR965">
        <v>0</v>
      </c>
    </row>
    <row r="966" spans="1:44">
      <c r="A966" t="str">
        <f>H966&amp;COUNTIF($H$2:H966,H966)</f>
        <v>亀崎工場製造5課6工区8班4</v>
      </c>
      <c r="B966" t="str">
        <f>F966&amp;COUNTIF($F$2:F966,F966)</f>
        <v>コーリツ 亀崎12</v>
      </c>
      <c r="C966" t="str">
        <v>在職中</v>
      </c>
      <c r="D966">
        <v>250505</v>
      </c>
      <c r="E966">
        <v>8210129</v>
      </c>
      <c r="F966" t="str">
        <v>コーリツ 亀崎</v>
      </c>
      <c r="G966" t="str">
        <v>亀崎工場製造5課6工区8班</v>
      </c>
      <c r="H966" t="str">
        <v>亀崎工場製造5課6工区8班</v>
      </c>
      <c r="I966">
        <v>0</v>
      </c>
      <c r="J966" t="str">
        <v>NGUYEN BA TIEN</v>
      </c>
      <c r="K966" t="str">
        <v>グエン　バー　ティエン</v>
      </c>
      <c r="L966" t="str">
        <v>男</v>
      </c>
      <c r="M966" t="str">
        <v>ﾍﾞﾄﾅﾑ</v>
      </c>
      <c r="N966" s="31">
        <v>32921</v>
      </c>
      <c r="O966">
        <v>35</v>
      </c>
      <c r="P966">
        <v>1500</v>
      </c>
      <c r="Q966">
        <v>0</v>
      </c>
      <c r="R966">
        <v>2150</v>
      </c>
      <c r="S966">
        <v>0</v>
      </c>
      <c r="T966">
        <v>650</v>
      </c>
      <c r="U966">
        <v>220000</v>
      </c>
      <c r="V966">
        <v>11033</v>
      </c>
      <c r="W966" t="str">
        <v>0</v>
      </c>
      <c r="X966">
        <v>20130</v>
      </c>
      <c r="Y966" s="31">
        <v>46356</v>
      </c>
      <c r="Z966" t="str">
        <v/>
      </c>
      <c r="AA966" t="str">
        <v>技術・人文知識・国際業務</v>
      </c>
      <c r="AB966" t="str">
        <v>475-0004</v>
      </c>
      <c r="AC966" t="str">
        <v>愛知県半田市上池町5丁目37-1</v>
      </c>
      <c r="AD966" t="str">
        <v>ﾙﾐｴｰﾙ上池203</v>
      </c>
      <c r="AE966" s="31">
        <v>0</v>
      </c>
      <c r="AF966" s="31">
        <v>45783</v>
      </c>
      <c r="AG966" s="31">
        <v>0</v>
      </c>
      <c r="AH966" s="31">
        <v>0</v>
      </c>
      <c r="AI966">
        <v>45783</v>
      </c>
      <c r="AJ966" t="str">
        <v>5/29林</v>
      </c>
      <c r="AK966">
        <v>0</v>
      </c>
      <c r="AL966">
        <v>45783</v>
      </c>
      <c r="AM966">
        <v>0</v>
      </c>
      <c r="AN966">
        <v>0</v>
      </c>
      <c r="AO966">
        <v>0</v>
      </c>
      <c r="AP966">
        <v>0</v>
      </c>
      <c r="AQ966">
        <v>0</v>
      </c>
      <c r="AR966">
        <v>0</v>
      </c>
    </row>
    <row r="967" spans="1:44">
      <c r="A967" t="str">
        <f>H967&amp;COUNTIF($H$2:H967,H967)</f>
        <v>亀崎工場製造5課6工区8班5</v>
      </c>
      <c r="B967" t="str">
        <f>F967&amp;COUNTIF($F$2:F967,F967)</f>
        <v>コーリツ 亀崎13</v>
      </c>
      <c r="C967" t="str">
        <v>在職中</v>
      </c>
      <c r="D967">
        <v>250504</v>
      </c>
      <c r="E967">
        <v>8210130</v>
      </c>
      <c r="F967" t="str">
        <v>コーリツ 亀崎</v>
      </c>
      <c r="G967" t="str">
        <v>亀崎工場製造5課6工区8班</v>
      </c>
      <c r="H967" t="str">
        <v>亀崎工場製造5課6工区8班</v>
      </c>
      <c r="I967">
        <v>0</v>
      </c>
      <c r="J967" t="str">
        <v>LE TRUNG DUNG</v>
      </c>
      <c r="K967" t="str">
        <v>レ　チュン　ズン</v>
      </c>
      <c r="L967" t="str">
        <v>男</v>
      </c>
      <c r="M967" t="str">
        <v>ﾍﾞﾄﾅﾑ</v>
      </c>
      <c r="N967" s="31">
        <v>35423</v>
      </c>
      <c r="O967">
        <v>28</v>
      </c>
      <c r="P967">
        <v>1500</v>
      </c>
      <c r="Q967">
        <v>0</v>
      </c>
      <c r="R967">
        <v>2150</v>
      </c>
      <c r="S967">
        <v>0</v>
      </c>
      <c r="T967">
        <v>650</v>
      </c>
      <c r="U967">
        <v>220000</v>
      </c>
      <c r="V967">
        <v>11033</v>
      </c>
      <c r="W967" t="str">
        <v>0</v>
      </c>
      <c r="X967">
        <v>20130</v>
      </c>
      <c r="Y967" s="31">
        <v>46805</v>
      </c>
      <c r="Z967" t="str">
        <v/>
      </c>
      <c r="AA967" t="str">
        <v>技術・人文知識・国際業務</v>
      </c>
      <c r="AB967" t="str">
        <v>475-0024</v>
      </c>
      <c r="AC967" t="str">
        <v>愛知県半田市亀崎高根町2丁目20-7</v>
      </c>
      <c r="AD967" t="str">
        <v>ﾋﾞﾚｯｼﾞﾊｳｽ亀崎2号棟301</v>
      </c>
      <c r="AE967" s="31">
        <v>0</v>
      </c>
      <c r="AF967" s="31">
        <v>45783</v>
      </c>
      <c r="AG967" s="31">
        <v>0</v>
      </c>
      <c r="AH967" s="31">
        <v>0</v>
      </c>
      <c r="AI967">
        <v>45783</v>
      </c>
      <c r="AJ967" t="str">
        <v>5/20林</v>
      </c>
      <c r="AK967">
        <v>0</v>
      </c>
      <c r="AL967">
        <v>45783</v>
      </c>
      <c r="AM967">
        <v>0</v>
      </c>
      <c r="AN967">
        <v>0</v>
      </c>
      <c r="AO967">
        <v>0</v>
      </c>
      <c r="AP967">
        <v>0</v>
      </c>
      <c r="AQ967">
        <v>0</v>
      </c>
      <c r="AR967">
        <v>0</v>
      </c>
    </row>
    <row r="968" spans="1:44">
      <c r="A968" t="str">
        <f>H968&amp;COUNTIF($H$2:H968,H968)</f>
        <v>本社工場製造1課1工区1班18</v>
      </c>
      <c r="B968" t="str">
        <f>F968&amp;COUNTIF($F$2:F968,F968)</f>
        <v>コーリツ 乙川37</v>
      </c>
      <c r="C968" t="str">
        <v>在職中</v>
      </c>
      <c r="D968">
        <v>250502</v>
      </c>
      <c r="E968">
        <v>8210131</v>
      </c>
      <c r="F968" t="str">
        <v>コーリツ 乙川</v>
      </c>
      <c r="G968" t="str">
        <v>本社工場製造1課1工区1班</v>
      </c>
      <c r="H968" t="str">
        <v>本社工場製造1課1工区1班</v>
      </c>
      <c r="I968">
        <v>0</v>
      </c>
      <c r="J968" t="str">
        <v>NGUYEN QUANG HUY</v>
      </c>
      <c r="K968" t="str">
        <v>グエン　クアン　フィ</v>
      </c>
      <c r="L968" t="str">
        <v>男</v>
      </c>
      <c r="M968" t="str">
        <v>ﾍﾞﾄﾅﾑ</v>
      </c>
      <c r="N968" s="31">
        <v>36441</v>
      </c>
      <c r="O968">
        <v>26</v>
      </c>
      <c r="P968">
        <v>1500</v>
      </c>
      <c r="Q968">
        <v>0</v>
      </c>
      <c r="R968">
        <v>2150</v>
      </c>
      <c r="S968">
        <v>0</v>
      </c>
      <c r="T968">
        <v>650</v>
      </c>
      <c r="U968">
        <v>220000</v>
      </c>
      <c r="V968">
        <v>11033</v>
      </c>
      <c r="W968" t="str">
        <v>0</v>
      </c>
      <c r="X968">
        <v>20130</v>
      </c>
      <c r="Y968" s="31">
        <v>46351</v>
      </c>
      <c r="Z968" t="str">
        <v/>
      </c>
      <c r="AA968" t="str">
        <v>技術・人文知識・国際業務</v>
      </c>
      <c r="AB968" t="str">
        <v>444-1302</v>
      </c>
      <c r="AC968" t="str">
        <v>愛知県高浜市八幡町6-1-9</v>
      </c>
      <c r="AD968" t="str">
        <v>ﾙﾐｴｰﾙ KATO201</v>
      </c>
      <c r="AE968" s="31">
        <v>0</v>
      </c>
      <c r="AF968" s="31">
        <v>45783</v>
      </c>
      <c r="AG968" s="31">
        <v>0</v>
      </c>
      <c r="AH968" s="31">
        <v>0</v>
      </c>
      <c r="AI968">
        <v>45783</v>
      </c>
      <c r="AJ968" t="str">
        <v>5/20林</v>
      </c>
      <c r="AK968">
        <v>0</v>
      </c>
      <c r="AL968">
        <v>45783</v>
      </c>
      <c r="AM968">
        <v>0</v>
      </c>
      <c r="AN968">
        <v>0</v>
      </c>
      <c r="AO968">
        <v>0</v>
      </c>
      <c r="AP968">
        <v>0</v>
      </c>
      <c r="AQ968">
        <v>0</v>
      </c>
      <c r="AR968">
        <v>0</v>
      </c>
    </row>
    <row r="969" spans="1:44">
      <c r="A969" t="str">
        <f>H969&amp;COUNTIF($H$2:H969,H969)</f>
        <v>本社工場製造1課2工区2班12</v>
      </c>
      <c r="B969" t="str">
        <f>F969&amp;COUNTIF($F$2:F969,F969)</f>
        <v>コーリツ 本社48</v>
      </c>
      <c r="C969" t="str">
        <v>在職中</v>
      </c>
      <c r="D969">
        <v>231112</v>
      </c>
      <c r="E969">
        <v>8210132</v>
      </c>
      <c r="F969" t="str">
        <v>コーリツ 本社</v>
      </c>
      <c r="G969" t="str">
        <v>本社工場製造1課2工区2班</v>
      </c>
      <c r="H969" t="str">
        <v>本社工場製造1課2工区2班</v>
      </c>
      <c r="I969">
        <v>0</v>
      </c>
      <c r="J969" t="str">
        <v>NGUYEN VAN TRINH</v>
      </c>
      <c r="K969" t="str">
        <v>グエン　ヴァン　チン</v>
      </c>
      <c r="L969" t="str">
        <v>男</v>
      </c>
      <c r="M969" t="str">
        <v>ﾍﾞﾄﾅﾑ</v>
      </c>
      <c r="N969" s="31">
        <v>33293</v>
      </c>
      <c r="O969">
        <v>34</v>
      </c>
      <c r="P969">
        <v>1500</v>
      </c>
      <c r="Q969">
        <v>0</v>
      </c>
      <c r="R969">
        <v>2150</v>
      </c>
      <c r="S969">
        <v>0</v>
      </c>
      <c r="T969">
        <v>650</v>
      </c>
      <c r="U969">
        <v>220000</v>
      </c>
      <c r="V969">
        <v>11033</v>
      </c>
      <c r="W969" t="str">
        <v>0</v>
      </c>
      <c r="X969">
        <v>20130</v>
      </c>
      <c r="Y969" s="31">
        <v>46948</v>
      </c>
      <c r="Z969" t="str">
        <v/>
      </c>
      <c r="AA969" t="str">
        <v>技術・人文知識・国際業務</v>
      </c>
      <c r="AB969" t="str">
        <v>448-0813</v>
      </c>
      <c r="AC969" t="str">
        <v>愛知県刈谷市小垣江町石ノ戸86-3</v>
      </c>
      <c r="AD969" t="str">
        <v>ｳﾞｨﾗｺｰﾄ田園403</v>
      </c>
      <c r="AE969" s="31">
        <v>0</v>
      </c>
      <c r="AF969" s="31">
        <v>45783</v>
      </c>
      <c r="AG969" s="31">
        <v>0</v>
      </c>
      <c r="AH969" s="31">
        <v>0</v>
      </c>
      <c r="AI969">
        <v>45783</v>
      </c>
      <c r="AJ969" t="str">
        <v>5/20林</v>
      </c>
      <c r="AK969">
        <v>0</v>
      </c>
      <c r="AL969">
        <v>45783</v>
      </c>
      <c r="AM969">
        <v>0</v>
      </c>
      <c r="AN969">
        <v>0</v>
      </c>
      <c r="AO969">
        <v>0</v>
      </c>
      <c r="AP969">
        <v>0</v>
      </c>
      <c r="AQ969">
        <v>0</v>
      </c>
      <c r="AR969">
        <v>0</v>
      </c>
    </row>
    <row r="970" spans="1:44">
      <c r="A970" t="str">
        <f>H970&amp;COUNTIF($H$2:H970,H970)</f>
        <v>本社工場製造1課1工区1班19</v>
      </c>
      <c r="B970" t="str">
        <f>F970&amp;COUNTIF($F$2:F970,F970)</f>
        <v>コーリツ 本社49</v>
      </c>
      <c r="C970" t="str">
        <v>在職中</v>
      </c>
      <c r="D970">
        <v>250503</v>
      </c>
      <c r="E970">
        <v>8210133</v>
      </c>
      <c r="F970" t="str">
        <v>コーリツ 本社</v>
      </c>
      <c r="G970" t="str">
        <v>本社工場製造1課1工区1班</v>
      </c>
      <c r="H970" t="str">
        <v>本社工場製造1課1工区1班</v>
      </c>
      <c r="I970">
        <v>0</v>
      </c>
      <c r="J970" t="str">
        <v>HOANG VAN QUYEN</v>
      </c>
      <c r="K970" t="str">
        <v>ホアン　バン　クエン</v>
      </c>
      <c r="L970" t="str">
        <v>男</v>
      </c>
      <c r="M970" t="str">
        <v>ﾍﾞﾄﾅﾑ</v>
      </c>
      <c r="N970" s="31">
        <v>34459</v>
      </c>
      <c r="O970">
        <v>31</v>
      </c>
      <c r="P970">
        <v>1500</v>
      </c>
      <c r="Q970">
        <v>0</v>
      </c>
      <c r="R970">
        <v>2150</v>
      </c>
      <c r="S970">
        <v>0</v>
      </c>
      <c r="T970">
        <v>650</v>
      </c>
      <c r="U970">
        <v>220000</v>
      </c>
      <c r="V970">
        <v>11033</v>
      </c>
      <c r="W970" t="str">
        <v>0</v>
      </c>
      <c r="X970">
        <v>20130</v>
      </c>
      <c r="Y970" s="31">
        <v>46803</v>
      </c>
      <c r="Z970" t="str">
        <v/>
      </c>
      <c r="AA970" t="str">
        <v>技術・人文知識・国際業務</v>
      </c>
      <c r="AB970" t="str">
        <v>444-1302</v>
      </c>
      <c r="AC970" t="str">
        <v>愛知県高浜市八幡町6-1-9</v>
      </c>
      <c r="AD970" t="str">
        <v>ﾙﾐｴｰﾙ KATO105</v>
      </c>
      <c r="AE970" s="31">
        <v>0</v>
      </c>
      <c r="AF970" s="31">
        <v>45783</v>
      </c>
      <c r="AG970" s="31">
        <v>0</v>
      </c>
      <c r="AH970" s="31">
        <v>0</v>
      </c>
      <c r="AI970">
        <v>45783</v>
      </c>
      <c r="AJ970" t="str">
        <v>5/20林</v>
      </c>
      <c r="AK970">
        <v>0</v>
      </c>
      <c r="AL970">
        <v>45783</v>
      </c>
      <c r="AM970">
        <v>0</v>
      </c>
      <c r="AN970">
        <v>0</v>
      </c>
      <c r="AO970">
        <v>0</v>
      </c>
      <c r="AP970">
        <v>0</v>
      </c>
      <c r="AQ970">
        <v>0</v>
      </c>
      <c r="AR970">
        <v>0</v>
      </c>
    </row>
    <row r="971" spans="1:44">
      <c r="A971" t="str">
        <f>H971&amp;COUNTIF($H$2:H971,H971)</f>
        <v>手動旋削31</v>
      </c>
      <c r="B971" t="str">
        <f>F971&amp;COUNTIF($F$2:F971,F971)</f>
        <v>高雄工業 静岡124</v>
      </c>
      <c r="C971" t="str">
        <v>在職中</v>
      </c>
      <c r="D971">
        <v>251105</v>
      </c>
      <c r="E971">
        <v>242142</v>
      </c>
      <c r="F971" t="str">
        <v>高雄工業 静岡</v>
      </c>
      <c r="G971" t="str">
        <v>高雄工業株式会社 静岡事業所第一工場製作課</v>
      </c>
      <c r="H971" t="str">
        <v>手動旋削</v>
      </c>
      <c r="I971" t="str">
        <v>CVJ部品短軸品の施削加工、NCプログラム修正</v>
      </c>
      <c r="J971" t="str">
        <v>DOAN NGOC THANG</v>
      </c>
      <c r="K971" t="str">
        <v>ドアン　ゴック　タン</v>
      </c>
      <c r="L971" t="str">
        <v>男</v>
      </c>
      <c r="M971" t="str">
        <v>ﾍﾞﾄﾅﾑ</v>
      </c>
      <c r="N971" s="31">
        <v>37187</v>
      </c>
      <c r="O971">
        <v>24</v>
      </c>
      <c r="P971">
        <v>1200</v>
      </c>
      <c r="Q971">
        <v>0</v>
      </c>
      <c r="R971">
        <v>1650</v>
      </c>
      <c r="S971">
        <v>0</v>
      </c>
      <c r="T971">
        <v>450</v>
      </c>
      <c r="U971">
        <v>190000</v>
      </c>
      <c r="V971">
        <v>9528</v>
      </c>
      <c r="W971" t="str">
        <v>0</v>
      </c>
      <c r="X971">
        <v>17385</v>
      </c>
      <c r="Y971" s="31">
        <v>47052</v>
      </c>
      <c r="Z971" t="str">
        <v/>
      </c>
      <c r="AA971" t="str">
        <v>技術・人文知識・国際業務</v>
      </c>
      <c r="AB971" t="str">
        <v>437-0066</v>
      </c>
      <c r="AC971" t="str">
        <v>静岡県袋井市山科3388-1</v>
      </c>
      <c r="AD971" t="str">
        <v>鶴松102</v>
      </c>
      <c r="AE971" s="31">
        <v>0</v>
      </c>
      <c r="AF971" s="31">
        <v>45973</v>
      </c>
      <c r="AG971" s="31">
        <v>0</v>
      </c>
      <c r="AH971" s="31">
        <v>0</v>
      </c>
      <c r="AI971">
        <v>45973</v>
      </c>
      <c r="AJ971" t="str">
        <v>11/20林</v>
      </c>
      <c r="AK971">
        <v>0</v>
      </c>
      <c r="AL971">
        <v>45973</v>
      </c>
      <c r="AM971">
        <v>0</v>
      </c>
      <c r="AN971">
        <v>0</v>
      </c>
      <c r="AO971">
        <v>0</v>
      </c>
      <c r="AP971">
        <v>0</v>
      </c>
      <c r="AQ971">
        <v>0</v>
      </c>
      <c r="AR971">
        <v>0</v>
      </c>
    </row>
    <row r="972" spans="1:44">
      <c r="A972" t="str">
        <f>H972&amp;COUNTIF($H$2:H972,H972)</f>
        <v>等速ジョイント35</v>
      </c>
      <c r="B972" t="str">
        <f>F972&amp;COUNTIF($F$2:F972,F972)</f>
        <v>瑞陵精機51</v>
      </c>
      <c r="C972" t="str">
        <v>在職中</v>
      </c>
      <c r="D972">
        <v>250506</v>
      </c>
      <c r="E972">
        <v>0</v>
      </c>
      <c r="F972" t="str">
        <v>瑞陵精機</v>
      </c>
      <c r="G972" t="str">
        <v>製造課</v>
      </c>
      <c r="H972" t="str">
        <v>等速ジョイント</v>
      </c>
      <c r="I972" t="str">
        <v>ＮＣ旋盤、マシニングセンター等の工作機械を使いオペレーターとして製造ラインで製品を加工</v>
      </c>
      <c r="J972" t="str">
        <v>NGUYEN ANH HAO</v>
      </c>
      <c r="K972" t="str">
        <v>グエン　アイン　ハオ</v>
      </c>
      <c r="L972" t="str">
        <v>男</v>
      </c>
      <c r="M972" t="str">
        <v>ﾍﾞﾄﾅﾑ</v>
      </c>
      <c r="N972" s="31">
        <v>36286</v>
      </c>
      <c r="O972">
        <v>26</v>
      </c>
      <c r="P972">
        <v>1250</v>
      </c>
      <c r="Q972">
        <v>0</v>
      </c>
      <c r="R972">
        <v>1700</v>
      </c>
      <c r="S972">
        <v>0</v>
      </c>
      <c r="T972">
        <v>450</v>
      </c>
      <c r="U972">
        <v>200000</v>
      </c>
      <c r="V972">
        <v>10030</v>
      </c>
      <c r="W972" t="str">
        <v>0</v>
      </c>
      <c r="X972">
        <v>18300</v>
      </c>
      <c r="Y972" s="31">
        <v>47133</v>
      </c>
      <c r="Z972" t="str">
        <v/>
      </c>
      <c r="AA972" t="str">
        <v>技術・人文知識・国際業務</v>
      </c>
      <c r="AB972" t="str">
        <v>508-0006</v>
      </c>
      <c r="AC972" t="str">
        <v>岐阜県中津川市落合959-9</v>
      </c>
      <c r="AD972">
        <v>0</v>
      </c>
      <c r="AE972" s="31" t="str">
        <v>個人</v>
      </c>
      <c r="AF972" s="31">
        <v>45789</v>
      </c>
      <c r="AG972" s="31">
        <v>0</v>
      </c>
      <c r="AH972" s="31">
        <v>0</v>
      </c>
      <c r="AI972">
        <v>45789</v>
      </c>
      <c r="AJ972" t="str">
        <v>5/26林</v>
      </c>
      <c r="AK972">
        <v>0</v>
      </c>
      <c r="AL972">
        <v>45789</v>
      </c>
      <c r="AM972">
        <v>0</v>
      </c>
      <c r="AN972">
        <v>0</v>
      </c>
      <c r="AO972">
        <v>0</v>
      </c>
      <c r="AP972">
        <v>0</v>
      </c>
      <c r="AQ972">
        <v>0</v>
      </c>
      <c r="AR972">
        <v>0</v>
      </c>
    </row>
    <row r="973" spans="1:44">
      <c r="A973" t="str">
        <f>H973&amp;COUNTIF($H$2:H973,H973)</f>
        <v>等速ジョイント36</v>
      </c>
      <c r="B973" t="str">
        <f>F973&amp;COUNTIF($F$2:F973,F973)</f>
        <v>瑞陵精機52</v>
      </c>
      <c r="C973" t="str">
        <v>在職中</v>
      </c>
      <c r="D973">
        <v>250507</v>
      </c>
      <c r="E973">
        <v>0</v>
      </c>
      <c r="F973" t="str">
        <v>瑞陵精機</v>
      </c>
      <c r="G973" t="str">
        <v>製造課</v>
      </c>
      <c r="H973" t="str">
        <v>等速ジョイント</v>
      </c>
      <c r="I973" t="str">
        <v>ＮＣ旋盤、マシニングセンター等の工作機械を使いオペレーターとして製造ラインで製品を加工</v>
      </c>
      <c r="J973" t="str">
        <v>NGUYEN MINH DIEN</v>
      </c>
      <c r="K973" t="str">
        <v>グエン　ミン　ディエン</v>
      </c>
      <c r="L973" t="str">
        <v>男</v>
      </c>
      <c r="M973" t="str">
        <v>ﾍﾞﾄﾅﾑ</v>
      </c>
      <c r="N973" s="31">
        <v>37215</v>
      </c>
      <c r="O973">
        <v>24</v>
      </c>
      <c r="P973">
        <v>1250</v>
      </c>
      <c r="Q973">
        <v>0</v>
      </c>
      <c r="R973">
        <v>1700</v>
      </c>
      <c r="S973">
        <v>0</v>
      </c>
      <c r="T973">
        <v>450</v>
      </c>
      <c r="U973">
        <v>200000</v>
      </c>
      <c r="V973">
        <v>10030</v>
      </c>
      <c r="W973" t="str">
        <v>0</v>
      </c>
      <c r="X973">
        <v>18300</v>
      </c>
      <c r="Y973" s="31">
        <v>46050</v>
      </c>
      <c r="Z973">
        <v>55</v>
      </c>
      <c r="AA973" t="str">
        <v>技術・人文知識・国際業務</v>
      </c>
      <c r="AB973" t="str">
        <v>508-0006</v>
      </c>
      <c r="AC973" t="str">
        <v>岐阜県中津川市落合959-9</v>
      </c>
      <c r="AD973">
        <v>0</v>
      </c>
      <c r="AE973" s="31" t="str">
        <v>個人</v>
      </c>
      <c r="AF973" s="31">
        <v>45789</v>
      </c>
      <c r="AG973" s="31">
        <v>0</v>
      </c>
      <c r="AH973" s="31">
        <v>0</v>
      </c>
      <c r="AI973">
        <v>45789</v>
      </c>
      <c r="AJ973" t="str">
        <v>5/26林</v>
      </c>
      <c r="AK973">
        <v>0</v>
      </c>
      <c r="AL973">
        <v>45789</v>
      </c>
      <c r="AM973">
        <v>0</v>
      </c>
      <c r="AN973">
        <v>0</v>
      </c>
      <c r="AO973">
        <v>0</v>
      </c>
      <c r="AP973">
        <v>0</v>
      </c>
      <c r="AQ973">
        <v>0</v>
      </c>
      <c r="AR973">
        <v>0</v>
      </c>
    </row>
    <row r="974" spans="1:44">
      <c r="A974" t="str">
        <f>H974&amp;COUNTIF($H$2:H974,H974)</f>
        <v>州の崎工場製造1課1工区1班5</v>
      </c>
      <c r="B974" t="str">
        <f>F974&amp;COUNTIF($F$2:F974,F974)</f>
        <v>コーリツ 州の崎38</v>
      </c>
      <c r="C974" t="str">
        <v>在職中</v>
      </c>
      <c r="D974">
        <v>220802</v>
      </c>
      <c r="E974">
        <v>8210134</v>
      </c>
      <c r="F974" t="str">
        <v>コーリツ 州の崎</v>
      </c>
      <c r="G974" t="str">
        <v>州の崎工場製造1課1工区1班</v>
      </c>
      <c r="H974" t="str">
        <v>州の崎工場製造1課1工区1班</v>
      </c>
      <c r="I974" t="str">
        <v>クランクシャフトの旋盤、マシニング、研磨、仕上げ加工など</v>
      </c>
      <c r="J974" t="str">
        <v>NGUYEN DUY THANG</v>
      </c>
      <c r="K974" t="str">
        <v>グエン　ズイ　タン</v>
      </c>
      <c r="L974" t="str">
        <v>男</v>
      </c>
      <c r="M974" t="str">
        <v>ﾍﾞﾄﾅﾑ</v>
      </c>
      <c r="N974" s="31">
        <v>34604</v>
      </c>
      <c r="O974">
        <v>31</v>
      </c>
      <c r="P974">
        <v>1500</v>
      </c>
      <c r="Q974">
        <v>0</v>
      </c>
      <c r="R974">
        <v>2150</v>
      </c>
      <c r="S974">
        <v>0</v>
      </c>
      <c r="T974">
        <v>650</v>
      </c>
      <c r="U974">
        <v>220000</v>
      </c>
      <c r="V974">
        <v>11033</v>
      </c>
      <c r="W974" t="str">
        <v>0</v>
      </c>
      <c r="X974">
        <v>20130</v>
      </c>
      <c r="Y974" s="31">
        <v>46214</v>
      </c>
      <c r="Z974" t="str">
        <v/>
      </c>
      <c r="AA974" t="str">
        <v>技術・人文知識・国際業務</v>
      </c>
      <c r="AB974" t="str">
        <v>475-0061</v>
      </c>
      <c r="AC974" t="str">
        <v>愛知県半田市一ノ草町201-11</v>
      </c>
      <c r="AD974" t="str">
        <v>ﾒｿﾞﾝﾊﾟｰｸｱﾍﾞﾆｭｰ201</v>
      </c>
      <c r="AE974" s="31">
        <v>0</v>
      </c>
      <c r="AF974" s="31">
        <v>45796</v>
      </c>
      <c r="AG974" s="31">
        <v>0</v>
      </c>
      <c r="AH974" s="31">
        <v>0</v>
      </c>
      <c r="AI974">
        <v>45796</v>
      </c>
      <c r="AJ974" t="str">
        <v>5/26林</v>
      </c>
      <c r="AK974">
        <v>0</v>
      </c>
      <c r="AL974">
        <v>45796</v>
      </c>
      <c r="AM974">
        <v>0</v>
      </c>
      <c r="AN974">
        <v>0</v>
      </c>
      <c r="AO974">
        <v>0</v>
      </c>
      <c r="AP974">
        <v>0</v>
      </c>
      <c r="AQ974">
        <v>0</v>
      </c>
      <c r="AR974">
        <v>0</v>
      </c>
    </row>
    <row r="975" spans="1:44">
      <c r="A975" t="str">
        <f>H975&amp;COUNTIF($H$2:H975,H975)</f>
        <v>素材5</v>
      </c>
      <c r="B975" t="str">
        <f>F975&amp;COUNTIF($F$2:F975,F975)</f>
        <v>PATEC52</v>
      </c>
      <c r="C975" t="str">
        <v>在職中</v>
      </c>
      <c r="D975">
        <v>221009</v>
      </c>
      <c r="E975">
        <v>0</v>
      </c>
      <c r="F975" t="str">
        <v>PATEC</v>
      </c>
      <c r="G975" t="str">
        <v>製造部素材課</v>
      </c>
      <c r="H975" t="str">
        <v>素材</v>
      </c>
      <c r="I975" t="str">
        <v>原材料の受入・溶解、低圧鋳造機での成型、熱処理作業、金型整備等</v>
      </c>
      <c r="J975" t="str">
        <v>TRAN DINH MINH</v>
      </c>
      <c r="K975" t="str">
        <v>チャン　ディン　ミン</v>
      </c>
      <c r="L975" t="str">
        <v>男</v>
      </c>
      <c r="M975" t="str">
        <v>ﾍﾞﾄﾅﾑ</v>
      </c>
      <c r="N975" s="31">
        <v>34791</v>
      </c>
      <c r="O975">
        <v>30</v>
      </c>
      <c r="P975">
        <v>1600</v>
      </c>
      <c r="Q975">
        <v>0</v>
      </c>
      <c r="R975">
        <v>2100</v>
      </c>
      <c r="S975">
        <v>0</v>
      </c>
      <c r="T975">
        <v>500</v>
      </c>
      <c r="U975">
        <v>260000</v>
      </c>
      <c r="V975">
        <v>13039</v>
      </c>
      <c r="W975" t="str">
        <v>0</v>
      </c>
      <c r="X975">
        <v>23790</v>
      </c>
      <c r="Y975" s="31">
        <v>46745</v>
      </c>
      <c r="Z975" t="str">
        <v/>
      </c>
      <c r="AA975" t="str">
        <v>技術・人文知識・国際業務</v>
      </c>
      <c r="AB975" t="str">
        <v>747-0833</v>
      </c>
      <c r="AC975" t="str">
        <v>山口県防府市大字浜方716-15</v>
      </c>
      <c r="AD975" t="str">
        <v>ｱﾙｿｰﾚD103</v>
      </c>
      <c r="AE975" s="31">
        <v>0</v>
      </c>
      <c r="AF975" s="31">
        <v>45799</v>
      </c>
      <c r="AG975" s="31">
        <v>0</v>
      </c>
      <c r="AH975" s="31">
        <v>0</v>
      </c>
      <c r="AI975">
        <v>45799</v>
      </c>
      <c r="AJ975" t="str">
        <v>6/19林</v>
      </c>
      <c r="AK975">
        <v>0</v>
      </c>
      <c r="AL975">
        <v>45799</v>
      </c>
      <c r="AM975">
        <v>0</v>
      </c>
      <c r="AN975">
        <v>0</v>
      </c>
      <c r="AO975">
        <v>0</v>
      </c>
      <c r="AP975">
        <v>0</v>
      </c>
      <c r="AQ975">
        <v>0</v>
      </c>
      <c r="AR975">
        <v>0</v>
      </c>
    </row>
    <row r="976" spans="1:44">
      <c r="A976" t="str">
        <f>H976&amp;COUNTIF($H$2:H976,H976)</f>
        <v>0292</v>
      </c>
      <c r="B976" t="str">
        <f>F976&amp;COUNTIF($F$2:F976,F976)</f>
        <v>六甲電子29</v>
      </c>
      <c r="C976" t="str">
        <v>退社</v>
      </c>
      <c r="D976">
        <v>250508</v>
      </c>
      <c r="E976">
        <v>0</v>
      </c>
      <c r="F976" t="str">
        <v>六甲電子</v>
      </c>
      <c r="G976">
        <v>0</v>
      </c>
      <c r="H976">
        <v>0</v>
      </c>
      <c r="I976">
        <v>0</v>
      </c>
      <c r="J976" t="str">
        <v>HOANG VAN TRUONG</v>
      </c>
      <c r="K976" t="str">
        <v>ホアン　ヴァン　チュオン</v>
      </c>
      <c r="L976" t="str">
        <v>男</v>
      </c>
      <c r="M976" t="str">
        <v>ﾍﾞﾄﾅﾑ</v>
      </c>
      <c r="N976" s="31">
        <v>36093</v>
      </c>
      <c r="O976">
        <v>27</v>
      </c>
      <c r="P976">
        <v>1400</v>
      </c>
      <c r="Q976">
        <v>0</v>
      </c>
      <c r="R976">
        <v>2000</v>
      </c>
      <c r="S976">
        <v>0</v>
      </c>
      <c r="T976">
        <v>600</v>
      </c>
      <c r="U976">
        <v>220000</v>
      </c>
      <c r="V976">
        <v>11033</v>
      </c>
      <c r="W976" t="str">
        <v>0</v>
      </c>
      <c r="X976">
        <v>20130</v>
      </c>
      <c r="Y976" s="31">
        <v>46815</v>
      </c>
      <c r="Z976" t="str">
        <v/>
      </c>
      <c r="AA976" t="str">
        <v>技術・人文知識・国際業務</v>
      </c>
      <c r="AB976" t="str">
        <v>663-8105</v>
      </c>
      <c r="AC976" t="str">
        <v>兵庫県西宮市中島町7-5</v>
      </c>
      <c r="AD976" t="str">
        <v>ｼｬﾙﾑ三田303</v>
      </c>
      <c r="AE976" s="31">
        <v>0</v>
      </c>
      <c r="AF976" s="31">
        <v>45804</v>
      </c>
      <c r="AG976" s="31">
        <v>45842</v>
      </c>
      <c r="AH976" s="31">
        <v>0</v>
      </c>
      <c r="AI976">
        <v>45804</v>
      </c>
      <c r="AJ976" t="str">
        <v>6/19林</v>
      </c>
      <c r="AK976">
        <v>0</v>
      </c>
      <c r="AL976">
        <v>45804</v>
      </c>
      <c r="AM976">
        <v>0</v>
      </c>
      <c r="AN976">
        <v>0</v>
      </c>
      <c r="AO976">
        <v>0</v>
      </c>
      <c r="AP976">
        <v>0</v>
      </c>
      <c r="AQ976">
        <v>0</v>
      </c>
      <c r="AR976">
        <v>0</v>
      </c>
    </row>
    <row r="977" spans="1:44">
      <c r="A977" t="str">
        <f>H977&amp;COUNTIF($H$2:H977,H977)</f>
        <v>等速ジョイント37</v>
      </c>
      <c r="B977" t="str">
        <f>F977&amp;COUNTIF($F$2:F977,F977)</f>
        <v>瑞陵精機53</v>
      </c>
      <c r="C977" t="str">
        <v>在職中</v>
      </c>
      <c r="D977">
        <v>250601</v>
      </c>
      <c r="E977">
        <v>0</v>
      </c>
      <c r="F977" t="str">
        <v>瑞陵精機</v>
      </c>
      <c r="G977" t="str">
        <v>製造課</v>
      </c>
      <c r="H977" t="str">
        <v>等速ジョイント</v>
      </c>
      <c r="I977" t="str">
        <v>ＮＣ旋盤、マシニングセンター等の工作機械を使いオペレーターとして製造ラインで製品を加工</v>
      </c>
      <c r="J977" t="str">
        <v>NINH NGOC HIEU</v>
      </c>
      <c r="K977" t="str">
        <v>ニン　ゴック　ヒエウ</v>
      </c>
      <c r="L977" t="str">
        <v>男</v>
      </c>
      <c r="M977" t="str">
        <v>ﾍﾞﾄﾅﾑ</v>
      </c>
      <c r="N977" s="31">
        <v>37549</v>
      </c>
      <c r="O977">
        <v>23</v>
      </c>
      <c r="P977">
        <v>1200</v>
      </c>
      <c r="Q977">
        <v>0</v>
      </c>
      <c r="R977">
        <v>1700</v>
      </c>
      <c r="S977">
        <v>0</v>
      </c>
      <c r="T977">
        <v>500</v>
      </c>
      <c r="U977">
        <v>200000</v>
      </c>
      <c r="V977">
        <v>10030</v>
      </c>
      <c r="W977" t="str">
        <v>0</v>
      </c>
      <c r="X977">
        <v>18300</v>
      </c>
      <c r="Y977" s="31">
        <v>46170</v>
      </c>
      <c r="Z977" t="str">
        <v/>
      </c>
      <c r="AA977" t="str">
        <v>技術・人文知識・国際業務</v>
      </c>
      <c r="AB977" t="str">
        <v>509-7201</v>
      </c>
      <c r="AC977" t="str">
        <v>岐阜県恵那市大井町1120-303</v>
      </c>
      <c r="AD977" t="str">
        <v>各務ﾊｲﾂ4H</v>
      </c>
      <c r="AE977" s="31">
        <v>0</v>
      </c>
      <c r="AF977" s="31">
        <v>45810</v>
      </c>
      <c r="AG977" s="31">
        <v>0</v>
      </c>
      <c r="AH977" s="31">
        <v>0</v>
      </c>
      <c r="AI977">
        <v>45810</v>
      </c>
      <c r="AJ977" t="str">
        <v>6/19林</v>
      </c>
      <c r="AK977">
        <v>0</v>
      </c>
      <c r="AL977">
        <v>45810</v>
      </c>
      <c r="AM977">
        <v>0</v>
      </c>
      <c r="AN977">
        <v>0</v>
      </c>
      <c r="AO977">
        <v>0</v>
      </c>
      <c r="AP977">
        <v>0</v>
      </c>
      <c r="AQ977">
        <v>0</v>
      </c>
      <c r="AR977">
        <v>0</v>
      </c>
    </row>
    <row r="978" spans="1:44">
      <c r="A978" t="str">
        <f>H978&amp;COUNTIF($H$2:H978,H978)</f>
        <v>等速ジョイント38</v>
      </c>
      <c r="B978" t="str">
        <f>F978&amp;COUNTIF($F$2:F978,F978)</f>
        <v>瑞陵精機54</v>
      </c>
      <c r="C978" t="str">
        <v>在職中</v>
      </c>
      <c r="D978">
        <v>250602</v>
      </c>
      <c r="E978">
        <v>0</v>
      </c>
      <c r="F978" t="str">
        <v>瑞陵精機</v>
      </c>
      <c r="G978" t="str">
        <v>製造課</v>
      </c>
      <c r="H978" t="str">
        <v>等速ジョイント</v>
      </c>
      <c r="I978" t="str">
        <v>ＮＣ旋盤、マシニングセンター等の工作機械を使いオペレーターとして製造ラインで製品を加工</v>
      </c>
      <c r="J978" t="str">
        <v>NGUYEN VAN TRUNG</v>
      </c>
      <c r="K978" t="str">
        <v>グエン　ヴァン　チュン</v>
      </c>
      <c r="L978" t="str">
        <v>男</v>
      </c>
      <c r="M978" t="str">
        <v>ﾍﾞﾄﾅﾑ</v>
      </c>
      <c r="N978" s="31">
        <v>37457</v>
      </c>
      <c r="O978">
        <v>23</v>
      </c>
      <c r="P978">
        <v>1200</v>
      </c>
      <c r="Q978">
        <v>0</v>
      </c>
      <c r="R978">
        <v>1700</v>
      </c>
      <c r="S978">
        <v>0</v>
      </c>
      <c r="T978">
        <v>500</v>
      </c>
      <c r="U978">
        <v>200000</v>
      </c>
      <c r="V978">
        <v>10030</v>
      </c>
      <c r="W978" t="str">
        <v>0</v>
      </c>
      <c r="X978">
        <v>18300</v>
      </c>
      <c r="Y978" s="31">
        <v>46170</v>
      </c>
      <c r="Z978" t="str">
        <v/>
      </c>
      <c r="AA978" t="str">
        <v>技術・人文知識・国際業務</v>
      </c>
      <c r="AB978" t="str">
        <v>509-7201</v>
      </c>
      <c r="AC978" t="str">
        <v>岐阜県恵那市大井町1120-303</v>
      </c>
      <c r="AD978" t="str">
        <v>各務ﾊｲﾂ4H</v>
      </c>
      <c r="AE978" s="31">
        <v>0</v>
      </c>
      <c r="AF978" s="31">
        <v>45810</v>
      </c>
      <c r="AG978" s="31">
        <v>0</v>
      </c>
      <c r="AH978" s="31">
        <v>0</v>
      </c>
      <c r="AI978">
        <v>45810</v>
      </c>
      <c r="AJ978" t="str">
        <v>6/19林</v>
      </c>
      <c r="AK978">
        <v>0</v>
      </c>
      <c r="AL978">
        <v>45810</v>
      </c>
      <c r="AM978">
        <v>0</v>
      </c>
      <c r="AN978">
        <v>0</v>
      </c>
      <c r="AO978">
        <v>0</v>
      </c>
      <c r="AP978">
        <v>0</v>
      </c>
      <c r="AQ978">
        <v>0</v>
      </c>
      <c r="AR978">
        <v>0</v>
      </c>
    </row>
    <row r="979" spans="1:44">
      <c r="A979" t="str">
        <f>H979&amp;COUNTIF($H$2:H979,H979)</f>
        <v>本社製造部製造3課8</v>
      </c>
      <c r="B979" t="str">
        <f>F979&amp;COUNTIF($F$2:F979,F979)</f>
        <v>ユアサ工機 新城8</v>
      </c>
      <c r="C979" t="str">
        <v>在職中</v>
      </c>
      <c r="D979">
        <v>221001</v>
      </c>
      <c r="E979">
        <v>6546</v>
      </c>
      <c r="F979" t="str">
        <v>ユアサ工機 新城</v>
      </c>
      <c r="G979" t="str">
        <v>本社製造部製造3課</v>
      </c>
      <c r="H979" t="str">
        <v>本社製造部製造3課</v>
      </c>
      <c r="I979" t="str">
        <v>クランクシャフトの旋盤、マシニング、研磨、仕上げ加工など</v>
      </c>
      <c r="J979" t="str">
        <v>NGUYEN HOANG PHIEN</v>
      </c>
      <c r="K979" t="str">
        <v>グエン　ホアン　フィエン</v>
      </c>
      <c r="L979" t="str">
        <v>男</v>
      </c>
      <c r="M979" t="str">
        <v>ﾍﾞﾄﾅﾑ</v>
      </c>
      <c r="N979" s="31">
        <v>35097</v>
      </c>
      <c r="O979">
        <v>29</v>
      </c>
      <c r="P979">
        <v>1400</v>
      </c>
      <c r="Q979">
        <v>0</v>
      </c>
      <c r="R979">
        <v>1900</v>
      </c>
      <c r="S979">
        <v>0</v>
      </c>
      <c r="T979">
        <v>500</v>
      </c>
      <c r="U979">
        <v>240000</v>
      </c>
      <c r="V979">
        <v>12036</v>
      </c>
      <c r="W979" t="str">
        <v>0</v>
      </c>
      <c r="X979">
        <v>21960</v>
      </c>
      <c r="Y979" s="31">
        <v>46058</v>
      </c>
      <c r="Z979">
        <v>63</v>
      </c>
      <c r="AA979" t="str">
        <v>技術・人文知識・国際業務</v>
      </c>
      <c r="AB979" t="str">
        <v>441-1231</v>
      </c>
      <c r="AC979" t="str">
        <v>愛知県豊川市一宮町旭251番地</v>
      </c>
      <c r="AD979" t="str">
        <v>ｸﾞﾚｲｽ旭A202号</v>
      </c>
      <c r="AE979" s="31">
        <v>0</v>
      </c>
      <c r="AF979" s="31">
        <v>45810</v>
      </c>
      <c r="AG979" s="31">
        <v>0</v>
      </c>
      <c r="AH979" s="31">
        <v>0</v>
      </c>
      <c r="AI979">
        <v>45810</v>
      </c>
      <c r="AJ979" t="str">
        <v>6/19林</v>
      </c>
      <c r="AK979">
        <v>0</v>
      </c>
      <c r="AL979">
        <v>45810</v>
      </c>
      <c r="AM979">
        <v>0</v>
      </c>
      <c r="AN979">
        <v>0</v>
      </c>
      <c r="AO979">
        <v>0</v>
      </c>
      <c r="AP979">
        <v>0</v>
      </c>
      <c r="AQ979">
        <v>0</v>
      </c>
      <c r="AR979">
        <v>0</v>
      </c>
    </row>
    <row r="980" spans="1:44">
      <c r="A980" t="str">
        <f>H980&amp;COUNTIF($H$2:H980,H980)</f>
        <v>0293</v>
      </c>
      <c r="B980" t="str">
        <f>F980&amp;COUNTIF($F$2:F980,F980)</f>
        <v>高雄工業 海南第一68</v>
      </c>
      <c r="C980" t="str">
        <v>退社</v>
      </c>
      <c r="D980">
        <v>250606</v>
      </c>
      <c r="E980">
        <v>0</v>
      </c>
      <c r="F980" t="str">
        <v>高雄工業 海南第一</v>
      </c>
      <c r="G980">
        <v>0</v>
      </c>
      <c r="H980">
        <v>0</v>
      </c>
      <c r="I980">
        <v>0</v>
      </c>
      <c r="J980" t="str">
        <v>PERRIRA JOSIVAN DE SOUZA</v>
      </c>
      <c r="K980" t="str">
        <v>ペレイラ　ジョシバン　デ　ソウザ</v>
      </c>
      <c r="L980" t="str">
        <v>男</v>
      </c>
      <c r="M980" t="str">
        <v>ﾌﾞﾗｼﾞﾙ</v>
      </c>
      <c r="N980" s="31">
        <v>31309</v>
      </c>
      <c r="O980">
        <v>40</v>
      </c>
      <c r="P980">
        <v>1400</v>
      </c>
      <c r="Q980">
        <v>0</v>
      </c>
      <c r="R980">
        <v>1750</v>
      </c>
      <c r="S980">
        <v>0</v>
      </c>
      <c r="T980">
        <v>350</v>
      </c>
      <c r="U980">
        <v>0</v>
      </c>
      <c r="V980" t="str">
        <v/>
      </c>
      <c r="W980" t="str">
        <v>0</v>
      </c>
      <c r="X980" t="str">
        <v/>
      </c>
      <c r="Y980" s="31">
        <v>0</v>
      </c>
      <c r="Z980" t="str">
        <v/>
      </c>
      <c r="AA980" t="str">
        <v>永住者</v>
      </c>
      <c r="AB980" t="str">
        <v>511-0903</v>
      </c>
      <c r="AC980" t="str">
        <v>三重県桑名市大山田8丁目7-131</v>
      </c>
      <c r="AD980" t="str">
        <v>大山田団地6棟401号</v>
      </c>
      <c r="AE980" s="31" t="str">
        <v>個人</v>
      </c>
      <c r="AF980" s="31">
        <v>45810</v>
      </c>
      <c r="AG980" s="31">
        <v>45810</v>
      </c>
      <c r="AH980" s="31">
        <v>0</v>
      </c>
      <c r="AI980">
        <v>0</v>
      </c>
      <c r="AJ980">
        <v>0</v>
      </c>
      <c r="AK980">
        <v>0</v>
      </c>
      <c r="AL980">
        <v>45810</v>
      </c>
      <c r="AM980">
        <v>0</v>
      </c>
      <c r="AN980">
        <v>0</v>
      </c>
      <c r="AO980">
        <v>0</v>
      </c>
      <c r="AP980">
        <v>0</v>
      </c>
      <c r="AQ980">
        <v>0</v>
      </c>
      <c r="AR980">
        <v>0</v>
      </c>
    </row>
    <row r="981" spans="1:44">
      <c r="A981" t="str">
        <f>H981&amp;COUNTIF($H$2:H981,H981)</f>
        <v>手動旋削32</v>
      </c>
      <c r="B981" t="str">
        <f>F981&amp;COUNTIF($F$2:F981,F981)</f>
        <v>高雄工業 静岡125</v>
      </c>
      <c r="C981" t="str">
        <v>在職中</v>
      </c>
      <c r="D981">
        <v>251107</v>
      </c>
      <c r="E981">
        <v>242141</v>
      </c>
      <c r="F981" t="str">
        <v>高雄工業 静岡</v>
      </c>
      <c r="G981" t="str">
        <v>高雄工業株式会社 静岡事業所第一工場製作課</v>
      </c>
      <c r="H981" t="str">
        <v>手動旋削</v>
      </c>
      <c r="I981" t="str">
        <v>CVJ部品短軸品の施削加工、NCプログラム修正</v>
      </c>
      <c r="J981" t="str">
        <v>DUONG CHI THANH</v>
      </c>
      <c r="K981" t="str">
        <v>ズオン　チー　タイン</v>
      </c>
      <c r="L981" t="str">
        <v>男</v>
      </c>
      <c r="M981" t="str">
        <v>ﾍﾞﾄﾅﾑ</v>
      </c>
      <c r="N981" s="31">
        <v>37081</v>
      </c>
      <c r="O981">
        <v>24</v>
      </c>
      <c r="P981">
        <v>1200</v>
      </c>
      <c r="Q981">
        <v>0</v>
      </c>
      <c r="R981">
        <v>1650</v>
      </c>
      <c r="S981">
        <v>0</v>
      </c>
      <c r="T981">
        <v>450</v>
      </c>
      <c r="U981">
        <v>190000</v>
      </c>
      <c r="V981">
        <v>9528</v>
      </c>
      <c r="W981" t="str">
        <v>0</v>
      </c>
      <c r="X981">
        <v>17385</v>
      </c>
      <c r="Y981" s="31">
        <v>47061</v>
      </c>
      <c r="Z981" t="str">
        <v/>
      </c>
      <c r="AA981" t="str">
        <v>技術・人文知識・国際業務</v>
      </c>
      <c r="AB981" t="str">
        <v>437-0066</v>
      </c>
      <c r="AC981" t="str">
        <v>静岡県袋井市山科3388-1</v>
      </c>
      <c r="AD981" t="str">
        <v>鶴松102</v>
      </c>
      <c r="AE981" s="31">
        <v>0</v>
      </c>
      <c r="AF981" s="31">
        <v>45973</v>
      </c>
      <c r="AG981" s="31">
        <v>0</v>
      </c>
      <c r="AH981" s="31">
        <v>0</v>
      </c>
      <c r="AI981">
        <v>45973</v>
      </c>
      <c r="AJ981" t="str">
        <v>11/20林</v>
      </c>
      <c r="AK981">
        <v>0</v>
      </c>
      <c r="AL981">
        <v>45973</v>
      </c>
      <c r="AM981">
        <v>0</v>
      </c>
      <c r="AN981">
        <v>0</v>
      </c>
      <c r="AO981">
        <v>0</v>
      </c>
      <c r="AP981">
        <v>0</v>
      </c>
      <c r="AQ981">
        <v>0</v>
      </c>
      <c r="AR981">
        <v>0</v>
      </c>
    </row>
    <row r="982" spans="1:44">
      <c r="A982" t="str">
        <f>H982&amp;COUNTIF($H$2:H982,H982)</f>
        <v>段取1</v>
      </c>
      <c r="B982" t="str">
        <f>F982&amp;COUNTIF($F$2:F982,F982)</f>
        <v>高雄工業 海南第一69</v>
      </c>
      <c r="C982" t="str">
        <v>在職中</v>
      </c>
      <c r="D982">
        <v>211010</v>
      </c>
      <c r="E982">
        <v>222030</v>
      </c>
      <c r="F982" t="str">
        <v>高雄工業 海南第一</v>
      </c>
      <c r="G982" t="str">
        <v>高雄工業株式会社 愛知事業所海南第一工場製作1課</v>
      </c>
      <c r="H982" t="str">
        <v>段取</v>
      </c>
      <c r="I982" t="str">
        <v>加工機や冶具・装置の設定を変更する作業</v>
      </c>
      <c r="J982" t="str">
        <v>HIRATA AISAWA ALEXANDRE HIROSHI</v>
      </c>
      <c r="K982" t="str">
        <v>ヒラタ　アイザワ　アレキサンドレ　ヒロシ</v>
      </c>
      <c r="L982" t="str">
        <v>男</v>
      </c>
      <c r="M982" t="str">
        <v>ﾌﾞﾗｼﾞﾙ</v>
      </c>
      <c r="N982" s="31">
        <v>28551</v>
      </c>
      <c r="O982">
        <v>47</v>
      </c>
      <c r="P982">
        <v>1430</v>
      </c>
      <c r="Q982">
        <v>0</v>
      </c>
      <c r="R982">
        <v>1890</v>
      </c>
      <c r="S982" t="str">
        <v>9/16~ 1600円→1750円</v>
      </c>
      <c r="T982">
        <v>460</v>
      </c>
      <c r="U982">
        <v>300000</v>
      </c>
      <c r="V982">
        <v>15045</v>
      </c>
      <c r="W982">
        <v>2385</v>
      </c>
      <c r="X982">
        <v>27450</v>
      </c>
      <c r="Y982" s="31">
        <v>46702</v>
      </c>
      <c r="Z982" t="str">
        <v/>
      </c>
      <c r="AA982" t="str">
        <v>定住者</v>
      </c>
      <c r="AB982" t="str">
        <v>498-0031</v>
      </c>
      <c r="AC982" t="str">
        <v>愛知県弥富市平島町中新田194-1</v>
      </c>
      <c r="AD982" t="str">
        <v>ｺﾝﾂｪﾙﾊｳｽB棟106</v>
      </c>
      <c r="AE982" s="31">
        <v>44593</v>
      </c>
      <c r="AF982" s="31">
        <v>44476</v>
      </c>
      <c r="AG982" s="31">
        <v>0</v>
      </c>
      <c r="AH982" s="31">
        <v>0</v>
      </c>
      <c r="AI982">
        <v>44531</v>
      </c>
      <c r="AJ982" t="str">
        <v>OK</v>
      </c>
      <c r="AK982">
        <v>0</v>
      </c>
      <c r="AL982">
        <v>44476</v>
      </c>
      <c r="AM982">
        <v>0</v>
      </c>
      <c r="AN982">
        <v>0</v>
      </c>
      <c r="AO982">
        <v>0</v>
      </c>
      <c r="AP982">
        <v>0</v>
      </c>
      <c r="AQ982">
        <v>0</v>
      </c>
      <c r="AR982">
        <v>0</v>
      </c>
    </row>
    <row r="983" spans="1:44">
      <c r="A983" t="str">
        <f>H983&amp;COUNTIF($H$2:H983,H983)</f>
        <v>段取2</v>
      </c>
      <c r="B983" t="str">
        <f>F983&amp;COUNTIF($F$2:F983,F983)</f>
        <v>高雄工業 海南第一70</v>
      </c>
      <c r="C983" t="str">
        <v>在職中</v>
      </c>
      <c r="D983">
        <v>210201</v>
      </c>
      <c r="E983">
        <v>222009</v>
      </c>
      <c r="F983" t="str">
        <v>高雄工業 海南第一</v>
      </c>
      <c r="G983" t="str">
        <v>高雄工業株式会社 愛知事業所海南第一工場製作1課</v>
      </c>
      <c r="H983" t="str">
        <v>段取</v>
      </c>
      <c r="I983" t="str">
        <v>加工機や治具・装置の設定を変更する作業</v>
      </c>
      <c r="J983" t="str">
        <v>LE VAN THUONG</v>
      </c>
      <c r="K983" t="str">
        <v>レー　ヴァン　トゥオン</v>
      </c>
      <c r="L983" t="str">
        <v>男</v>
      </c>
      <c r="M983" t="str">
        <v>ﾍﾞﾄﾅﾑ</v>
      </c>
      <c r="N983" s="31">
        <v>33480</v>
      </c>
      <c r="O983">
        <v>34</v>
      </c>
      <c r="P983">
        <v>1470</v>
      </c>
      <c r="Q983" t="str">
        <v>4/16~ 1200⇒1260へ</v>
      </c>
      <c r="R983">
        <v>1860</v>
      </c>
      <c r="S983" t="str">
        <v>9/16~ 1610円→1760円</v>
      </c>
      <c r="T983">
        <v>390</v>
      </c>
      <c r="U983">
        <v>300000</v>
      </c>
      <c r="V983">
        <v>15045</v>
      </c>
      <c r="W983" t="str">
        <v>0</v>
      </c>
      <c r="X983">
        <v>27450</v>
      </c>
      <c r="Y983" s="31">
        <v>46696</v>
      </c>
      <c r="Z983" t="str">
        <v/>
      </c>
      <c r="AA983" t="str">
        <v>技術・人文知識・国際業務</v>
      </c>
      <c r="AB983" t="str">
        <v>498-0006</v>
      </c>
      <c r="AC983" t="str">
        <v>愛知県弥富市佐古木3丁目289-2</v>
      </c>
      <c r="AD983" t="str">
        <v>ﾄﾞﾐｰﾙ佐古木 105</v>
      </c>
      <c r="AE983" s="31" t="str">
        <v>個人</v>
      </c>
      <c r="AF983" s="31">
        <v>45495</v>
      </c>
      <c r="AG983" s="31">
        <v>0</v>
      </c>
      <c r="AH983" s="31">
        <v>0</v>
      </c>
      <c r="AI983">
        <v>44287</v>
      </c>
      <c r="AJ983" t="str">
        <v>8/21原</v>
      </c>
      <c r="AK983">
        <v>0</v>
      </c>
      <c r="AL983">
        <v>44487</v>
      </c>
      <c r="AM983">
        <v>0</v>
      </c>
      <c r="AN983">
        <v>0</v>
      </c>
      <c r="AO983">
        <v>0</v>
      </c>
      <c r="AP983">
        <v>0</v>
      </c>
      <c r="AQ983" t="str">
        <v>JLPT-N3</v>
      </c>
      <c r="AR983">
        <v>0</v>
      </c>
    </row>
    <row r="984" spans="1:44">
      <c r="A984" t="str">
        <f>H984&amp;COUNTIF($H$2:H984,H984)</f>
        <v>0294</v>
      </c>
      <c r="B984" t="str">
        <f>F984&amp;COUNTIF($F$2:F984,F984)</f>
        <v>六甲電子30</v>
      </c>
      <c r="C984" t="str">
        <v>在職中</v>
      </c>
      <c r="D984">
        <v>210812</v>
      </c>
      <c r="E984">
        <v>83882</v>
      </c>
      <c r="F984" t="str">
        <v>六甲電子</v>
      </c>
      <c r="G984" t="str">
        <v>岡山工場製造部PR課６インチ担当</v>
      </c>
      <c r="H984">
        <v>0</v>
      </c>
      <c r="I984">
        <v>0</v>
      </c>
      <c r="J984" t="str">
        <v>NGO NHAT QUYEN</v>
      </c>
      <c r="K984" t="str">
        <v>ゴー　ナット　クエン</v>
      </c>
      <c r="L984" t="str">
        <v>男</v>
      </c>
      <c r="M984" t="str">
        <v>ﾍﾞﾄﾅﾑ</v>
      </c>
      <c r="N984" s="31">
        <v>33805</v>
      </c>
      <c r="O984">
        <v>33</v>
      </c>
      <c r="P984">
        <v>1400</v>
      </c>
      <c r="Q984">
        <v>0</v>
      </c>
      <c r="R984">
        <v>2000</v>
      </c>
      <c r="S984">
        <v>0</v>
      </c>
      <c r="T984">
        <v>600</v>
      </c>
      <c r="U984">
        <v>240000</v>
      </c>
      <c r="V984">
        <v>12036</v>
      </c>
      <c r="W984" t="str">
        <v>0</v>
      </c>
      <c r="X984">
        <v>21960</v>
      </c>
      <c r="Y984" s="31">
        <v>46267</v>
      </c>
      <c r="Z984" t="str">
        <v/>
      </c>
      <c r="AA984" t="str">
        <v>技術・人文知識・国際業務</v>
      </c>
      <c r="AB984" t="str">
        <v>545-0001</v>
      </c>
      <c r="AC984" t="str">
        <v>大阪府大阪市阿倍野区天王寺町北3-9-23</v>
      </c>
      <c r="AD984" t="str">
        <v>ｱｰﾄﾌｧｲﾝﾄﾞ天王寺401号</v>
      </c>
      <c r="AE984" s="31" t="str">
        <v>個人</v>
      </c>
      <c r="AF984" s="31">
        <v>45826</v>
      </c>
      <c r="AG984" s="31">
        <v>0</v>
      </c>
      <c r="AH984" s="31">
        <v>0</v>
      </c>
      <c r="AI984">
        <v>45826</v>
      </c>
      <c r="AJ984" t="str">
        <v>6/25林</v>
      </c>
      <c r="AK984">
        <v>0</v>
      </c>
      <c r="AL984">
        <v>45826</v>
      </c>
      <c r="AM984">
        <v>0</v>
      </c>
      <c r="AN984">
        <v>0</v>
      </c>
      <c r="AO984">
        <v>0</v>
      </c>
      <c r="AP984">
        <v>0</v>
      </c>
      <c r="AQ984">
        <v>0</v>
      </c>
      <c r="AR984">
        <v>0</v>
      </c>
    </row>
    <row r="985" spans="1:44">
      <c r="A985" t="str">
        <f>H985&amp;COUNTIF($H$2:H985,H985)</f>
        <v>長軸バリ取り3</v>
      </c>
      <c r="B985" t="str">
        <f>F985&amp;COUNTIF($F$2:F985,F985)</f>
        <v>高雄工業 静岡126</v>
      </c>
      <c r="C985" t="str">
        <v>在職中</v>
      </c>
      <c r="D985">
        <v>231215</v>
      </c>
      <c r="E985">
        <v>242093</v>
      </c>
      <c r="F985" t="str">
        <v>高雄工業 静岡</v>
      </c>
      <c r="G985" t="str">
        <v>高雄工業株式会社 静岡事業所第二工場製作課</v>
      </c>
      <c r="H985" t="str">
        <v>長軸バリ取り</v>
      </c>
      <c r="I985" t="str">
        <v>長軸バリ取り、検査作業。</v>
      </c>
      <c r="J985" t="str">
        <v>VU NGOC LONG</v>
      </c>
      <c r="K985" t="str">
        <v>ブ　ゴック　ロン</v>
      </c>
      <c r="L985" t="str">
        <v>男</v>
      </c>
      <c r="M985" t="str">
        <v>ﾍﾞﾄﾅﾑ</v>
      </c>
      <c r="N985" s="31">
        <v>37082</v>
      </c>
      <c r="O985">
        <v>24</v>
      </c>
      <c r="P985">
        <v>1300</v>
      </c>
      <c r="Q985">
        <v>0</v>
      </c>
      <c r="R985">
        <v>1680</v>
      </c>
      <c r="S985">
        <v>0</v>
      </c>
      <c r="T985">
        <v>380</v>
      </c>
      <c r="U985">
        <v>260000</v>
      </c>
      <c r="V985">
        <v>13039</v>
      </c>
      <c r="W985" t="str">
        <v>0</v>
      </c>
      <c r="X985">
        <v>23790</v>
      </c>
      <c r="Y985" s="31">
        <v>45997</v>
      </c>
      <c r="Z985">
        <v>2</v>
      </c>
      <c r="AA985" t="str">
        <v>技術・人文知識・国際業務</v>
      </c>
      <c r="AB985" t="str">
        <v>437-0065</v>
      </c>
      <c r="AC985" t="str">
        <v>静岡県袋井市堀越1-21-9</v>
      </c>
      <c r="AD985" t="str">
        <v>ﾌﾟﾁｾｿﾞﾝ103号</v>
      </c>
      <c r="AE985" s="31">
        <v>0</v>
      </c>
      <c r="AF985" s="31">
        <v>45272</v>
      </c>
      <c r="AG985" s="31">
        <v>45982</v>
      </c>
      <c r="AH985" s="31">
        <v>0</v>
      </c>
      <c r="AI985" t="str">
        <v>23.12.12</v>
      </c>
      <c r="AJ985" t="str">
        <v xml:space="preserve">12/25原 </v>
      </c>
      <c r="AK985">
        <v>0</v>
      </c>
      <c r="AL985">
        <v>45272</v>
      </c>
      <c r="AM985">
        <v>0</v>
      </c>
      <c r="AN985">
        <v>0</v>
      </c>
      <c r="AO985">
        <v>0</v>
      </c>
      <c r="AP985">
        <v>0</v>
      </c>
      <c r="AQ985" t="str">
        <v>JLPT-N4</v>
      </c>
      <c r="AR985">
        <v>0</v>
      </c>
    </row>
    <row r="986" spans="1:44">
      <c r="A986" t="str">
        <f>H986&amp;COUNTIF($H$2:H986,H986)</f>
        <v>長軸バリ取り4</v>
      </c>
      <c r="B986" t="str">
        <f>F986&amp;COUNTIF($F$2:F986,F986)</f>
        <v>高雄工業 静岡127</v>
      </c>
      <c r="C986" t="str">
        <v>在職中</v>
      </c>
      <c r="D986">
        <v>250307</v>
      </c>
      <c r="E986">
        <v>242129</v>
      </c>
      <c r="F986" t="str">
        <v>高雄工業 静岡</v>
      </c>
      <c r="G986" t="str">
        <v>高雄工業株式会社 静岡事業所第二工場製作課</v>
      </c>
      <c r="H986" t="str">
        <v>長軸バリ取り</v>
      </c>
      <c r="I986" t="str">
        <v>長軸バリ取り、検査作業。</v>
      </c>
      <c r="J986" t="str">
        <v>LE VAN HA</v>
      </c>
      <c r="K986" t="str">
        <v>レ　ヴァン　ハ</v>
      </c>
      <c r="L986" t="str">
        <v>男</v>
      </c>
      <c r="M986" t="str">
        <v>ﾍﾞﾄﾅﾑ</v>
      </c>
      <c r="N986" s="31">
        <v>37535</v>
      </c>
      <c r="O986">
        <v>23</v>
      </c>
      <c r="P986">
        <v>1200</v>
      </c>
      <c r="Q986">
        <v>0</v>
      </c>
      <c r="R986">
        <v>1650</v>
      </c>
      <c r="S986">
        <v>0</v>
      </c>
      <c r="T986">
        <v>450</v>
      </c>
      <c r="U986">
        <v>190000</v>
      </c>
      <c r="V986">
        <v>9528</v>
      </c>
      <c r="W986" t="str">
        <v>0</v>
      </c>
      <c r="X986">
        <v>17385</v>
      </c>
      <c r="Y986" s="31">
        <v>46825</v>
      </c>
      <c r="Z986" t="str">
        <v/>
      </c>
      <c r="AA986" t="str">
        <v>技術・人文知識・国際業務</v>
      </c>
      <c r="AB986" t="str">
        <v>437-0061</v>
      </c>
      <c r="AC986" t="str">
        <v>静岡県袋井市久能2810番地1</v>
      </c>
      <c r="AD986" t="str">
        <v>ﾌｪﾘｽA103</v>
      </c>
      <c r="AE986" s="31">
        <v>0</v>
      </c>
      <c r="AF986" s="31">
        <v>45736</v>
      </c>
      <c r="AG986" s="31">
        <v>0</v>
      </c>
      <c r="AH986" s="31">
        <v>0</v>
      </c>
      <c r="AI986">
        <v>45736</v>
      </c>
      <c r="AJ986" t="str">
        <v>4/18林</v>
      </c>
      <c r="AK986">
        <v>0</v>
      </c>
      <c r="AL986">
        <v>45736</v>
      </c>
      <c r="AM986">
        <v>0</v>
      </c>
      <c r="AN986">
        <v>0</v>
      </c>
      <c r="AO986">
        <v>0</v>
      </c>
      <c r="AP986">
        <v>0</v>
      </c>
      <c r="AQ986">
        <v>0</v>
      </c>
      <c r="AR986">
        <v>0</v>
      </c>
    </row>
    <row r="987" spans="1:44">
      <c r="A987" t="str">
        <f>H987&amp;COUNTIF($H$2:H987,H987)</f>
        <v>塗装B3</v>
      </c>
      <c r="B987" t="str">
        <f>F987&amp;COUNTIF($F$2:F987,F987)</f>
        <v>PATEC53</v>
      </c>
      <c r="C987" t="str">
        <v>在職中</v>
      </c>
      <c r="D987">
        <v>240709</v>
      </c>
      <c r="E987">
        <v>0</v>
      </c>
      <c r="F987" t="str">
        <v>PATEC</v>
      </c>
      <c r="G987" t="str">
        <v>製造部塗装課</v>
      </c>
      <c r="H987" t="str">
        <v>塗装B</v>
      </c>
      <c r="I987" t="str">
        <v>エアスプレーガンや自動塗装機を使い、均一に塗装を施す</v>
      </c>
      <c r="J987" t="str">
        <v>NGUYEN TRONG DAI</v>
      </c>
      <c r="K987" t="str">
        <v>グエン　チョン　ダイ</v>
      </c>
      <c r="L987" t="str">
        <v>男</v>
      </c>
      <c r="M987" t="str">
        <v>ﾍﾞﾄﾅﾑ</v>
      </c>
      <c r="N987" s="31">
        <v>37040</v>
      </c>
      <c r="O987">
        <v>24</v>
      </c>
      <c r="P987">
        <v>1600</v>
      </c>
      <c r="Q987">
        <v>0</v>
      </c>
      <c r="R987">
        <v>2100</v>
      </c>
      <c r="S987" t="str">
        <v>24/2/21～24/8/20まで請求単価50円下げ</v>
      </c>
      <c r="T987">
        <v>500</v>
      </c>
      <c r="U987">
        <v>260000</v>
      </c>
      <c r="V987">
        <v>13039</v>
      </c>
      <c r="W987" t="str">
        <v>0</v>
      </c>
      <c r="X987">
        <v>23790</v>
      </c>
      <c r="Y987" s="31">
        <v>46923</v>
      </c>
      <c r="Z987" t="str">
        <v/>
      </c>
      <c r="AA987" t="str">
        <v>技術・人文知識・国際業務</v>
      </c>
      <c r="AB987" t="str">
        <v>747-0833</v>
      </c>
      <c r="AC987" t="str">
        <v>山口県防府市大字浜方716-15</v>
      </c>
      <c r="AD987" t="str">
        <v>ｱﾙｿｰﾚC201</v>
      </c>
      <c r="AE987" s="31">
        <v>0</v>
      </c>
      <c r="AF987" s="31">
        <v>45839</v>
      </c>
      <c r="AG987" s="31">
        <v>0</v>
      </c>
      <c r="AH987" s="31">
        <v>0</v>
      </c>
      <c r="AI987">
        <v>45839</v>
      </c>
      <c r="AJ987" t="str">
        <v>7/14林</v>
      </c>
      <c r="AK987" t="str">
        <v>2024/7/10まで請負。7/12～PATEC</v>
      </c>
      <c r="AL987">
        <v>45839</v>
      </c>
      <c r="AM987">
        <v>0</v>
      </c>
      <c r="AN987">
        <v>0</v>
      </c>
      <c r="AO987">
        <v>0</v>
      </c>
      <c r="AP987">
        <v>0</v>
      </c>
      <c r="AQ987">
        <v>0</v>
      </c>
      <c r="AR987">
        <v>0</v>
      </c>
    </row>
    <row r="988" spans="1:44">
      <c r="A988" t="str">
        <f>H988&amp;COUNTIF($H$2:H988,H988)</f>
        <v>0295</v>
      </c>
      <c r="B988" t="str">
        <f>F988&amp;COUNTIF($F$2:F988,F988)</f>
        <v>六甲電子31</v>
      </c>
      <c r="C988" t="str">
        <v>在職中</v>
      </c>
      <c r="D988">
        <v>231003</v>
      </c>
      <c r="E988">
        <v>0</v>
      </c>
      <c r="F988" t="str">
        <v>六甲電子</v>
      </c>
      <c r="G988">
        <v>0</v>
      </c>
      <c r="H988">
        <v>0</v>
      </c>
      <c r="I988">
        <v>0</v>
      </c>
      <c r="J988" t="str">
        <v>NGUYEN QUOC CUONG</v>
      </c>
      <c r="K988" t="str">
        <v>グエン　クオック　クオン</v>
      </c>
      <c r="L988" t="str">
        <v>男</v>
      </c>
      <c r="M988" t="str">
        <v>ﾍﾞﾄﾅﾑ</v>
      </c>
      <c r="N988" s="31">
        <v>36039</v>
      </c>
      <c r="O988">
        <v>27</v>
      </c>
      <c r="P988">
        <v>1400</v>
      </c>
      <c r="Q988">
        <v>0</v>
      </c>
      <c r="R988">
        <v>2000</v>
      </c>
      <c r="S988">
        <v>0</v>
      </c>
      <c r="T988">
        <v>600</v>
      </c>
      <c r="U988">
        <v>260000</v>
      </c>
      <c r="V988">
        <v>13039</v>
      </c>
      <c r="W988" t="str">
        <v>0</v>
      </c>
      <c r="X988">
        <v>23790</v>
      </c>
      <c r="Y988" s="31">
        <v>46323</v>
      </c>
      <c r="Z988" t="str">
        <v/>
      </c>
      <c r="AA988" t="str">
        <v>技術・人文知識・国際業務</v>
      </c>
      <c r="AB988" t="str">
        <v>663-8105</v>
      </c>
      <c r="AC988" t="str">
        <v>兵庫県西宮市中島町7-5</v>
      </c>
      <c r="AD988" t="str">
        <v>ｼｬﾙﾑ三田303</v>
      </c>
      <c r="AE988" s="31">
        <v>0</v>
      </c>
      <c r="AF988" s="31">
        <v>45839</v>
      </c>
      <c r="AG988" s="31">
        <v>0</v>
      </c>
      <c r="AH988" s="31">
        <v>0</v>
      </c>
      <c r="AI988">
        <v>45839</v>
      </c>
      <c r="AJ988" t="str">
        <v>7/14林</v>
      </c>
      <c r="AK988">
        <v>0</v>
      </c>
      <c r="AL988">
        <v>45839</v>
      </c>
      <c r="AM988">
        <v>0</v>
      </c>
      <c r="AN988">
        <v>0</v>
      </c>
      <c r="AO988">
        <v>0</v>
      </c>
      <c r="AP988">
        <v>0</v>
      </c>
      <c r="AQ988">
        <v>0</v>
      </c>
      <c r="AR988">
        <v>0</v>
      </c>
    </row>
    <row r="989" spans="1:44">
      <c r="A989" t="str">
        <f>H989&amp;COUNTIF($H$2:H989,H989)</f>
        <v>0296</v>
      </c>
      <c r="B989" t="str">
        <f>F989&amp;COUNTIF($F$2:F989,F989)</f>
        <v>六甲電子32</v>
      </c>
      <c r="C989" t="str">
        <v>在職中</v>
      </c>
      <c r="D989">
        <v>250701</v>
      </c>
      <c r="E989">
        <v>0</v>
      </c>
      <c r="F989" t="str">
        <v>六甲電子</v>
      </c>
      <c r="G989">
        <v>0</v>
      </c>
      <c r="H989">
        <v>0</v>
      </c>
      <c r="I989">
        <v>0</v>
      </c>
      <c r="J989" t="str">
        <v>TRAN THI HANH</v>
      </c>
      <c r="K989" t="str">
        <v>チャン　ティ　ハイン</v>
      </c>
      <c r="L989" t="str">
        <v>女</v>
      </c>
      <c r="M989" t="str">
        <v>ﾍﾞﾄﾅﾑ</v>
      </c>
      <c r="N989" s="31">
        <v>37160</v>
      </c>
      <c r="O989">
        <v>24</v>
      </c>
      <c r="P989">
        <v>1300</v>
      </c>
      <c r="Q989">
        <v>0</v>
      </c>
      <c r="R989">
        <v>1900</v>
      </c>
      <c r="S989">
        <v>0</v>
      </c>
      <c r="T989">
        <v>600</v>
      </c>
      <c r="U989">
        <v>240000</v>
      </c>
      <c r="V989">
        <v>12036</v>
      </c>
      <c r="W989" t="str">
        <v>0</v>
      </c>
      <c r="X989">
        <v>21960</v>
      </c>
      <c r="Y989" s="31">
        <v>45987</v>
      </c>
      <c r="Z989" t="str">
        <v>期限過ぎてます! 8</v>
      </c>
      <c r="AA989" t="str">
        <v>技術・人文知識・国際業務</v>
      </c>
      <c r="AB989" t="str">
        <v>663-8214</v>
      </c>
      <c r="AC989" t="str">
        <v>兵庫県西宮市今津曙町7-4</v>
      </c>
      <c r="AD989" t="str">
        <v>ﾀﾞｲﾜﾋﾞﾙ202</v>
      </c>
      <c r="AE989" s="31">
        <v>0</v>
      </c>
      <c r="AF989" s="31">
        <v>45839</v>
      </c>
      <c r="AG989" s="31">
        <v>0</v>
      </c>
      <c r="AH989" s="31">
        <v>0</v>
      </c>
      <c r="AI989">
        <v>45839</v>
      </c>
      <c r="AJ989" t="str">
        <v>7/14林</v>
      </c>
      <c r="AK989">
        <v>0</v>
      </c>
      <c r="AL989">
        <v>45839</v>
      </c>
      <c r="AM989">
        <v>0</v>
      </c>
      <c r="AN989">
        <v>0</v>
      </c>
      <c r="AO989">
        <v>0</v>
      </c>
      <c r="AP989">
        <v>0</v>
      </c>
      <c r="AQ989">
        <v>0</v>
      </c>
      <c r="AR989">
        <v>0</v>
      </c>
    </row>
    <row r="990" spans="1:44">
      <c r="A990" t="str">
        <f>H990&amp;COUNTIF($H$2:H990,H990)</f>
        <v>0297</v>
      </c>
      <c r="B990" t="str">
        <f>F990&amp;COUNTIF($F$2:F990,F990)</f>
        <v>ユアサ工機 御津9</v>
      </c>
      <c r="C990" t="str">
        <v>在職中</v>
      </c>
      <c r="D990">
        <v>250702</v>
      </c>
      <c r="E990">
        <v>0</v>
      </c>
      <c r="F990" t="str">
        <v>ユアサ工機 御津</v>
      </c>
      <c r="G990">
        <v>0</v>
      </c>
      <c r="H990">
        <v>0</v>
      </c>
      <c r="I990">
        <v>0</v>
      </c>
      <c r="J990" t="str">
        <v>VU VAN HIEP</v>
      </c>
      <c r="K990" t="str">
        <v>ヴー　ヴァン　ヒエップ</v>
      </c>
      <c r="L990" t="str">
        <v>男</v>
      </c>
      <c r="M990" t="str">
        <v>ﾍﾞﾄﾅﾑ</v>
      </c>
      <c r="N990" s="31">
        <v>34979</v>
      </c>
      <c r="O990">
        <v>30</v>
      </c>
      <c r="P990">
        <v>1300</v>
      </c>
      <c r="Q990">
        <v>0</v>
      </c>
      <c r="R990">
        <v>1900</v>
      </c>
      <c r="S990">
        <v>0</v>
      </c>
      <c r="T990">
        <v>600</v>
      </c>
      <c r="U990">
        <v>220000</v>
      </c>
      <c r="V990">
        <v>11033</v>
      </c>
      <c r="W990" t="str">
        <v>0</v>
      </c>
      <c r="X990">
        <v>20130</v>
      </c>
      <c r="Y990" s="31">
        <v>46420</v>
      </c>
      <c r="Z990" t="str">
        <v/>
      </c>
      <c r="AA990" t="str">
        <v>技術・人文知識・国際業務</v>
      </c>
      <c r="AB990" t="str">
        <v>709-0224</v>
      </c>
      <c r="AC990" t="str">
        <v>岡山県備前市吉永町吉永中291-5</v>
      </c>
      <c r="AD990" t="str">
        <v>ﾋﾞﾚｯｼﾞﾊｳｽ吉永2棟401</v>
      </c>
      <c r="AE990" s="31">
        <v>0</v>
      </c>
      <c r="AF990" s="31">
        <v>45840</v>
      </c>
      <c r="AG990" s="31">
        <v>0</v>
      </c>
      <c r="AH990" s="31">
        <v>0</v>
      </c>
      <c r="AI990">
        <v>45840</v>
      </c>
      <c r="AJ990" t="str">
        <v>7/14林</v>
      </c>
      <c r="AK990">
        <v>0</v>
      </c>
      <c r="AL990">
        <v>45840</v>
      </c>
      <c r="AM990">
        <v>0</v>
      </c>
      <c r="AN990">
        <v>0</v>
      </c>
      <c r="AO990">
        <v>0</v>
      </c>
      <c r="AP990">
        <v>0</v>
      </c>
      <c r="AQ990">
        <v>0</v>
      </c>
      <c r="AR990">
        <v>0</v>
      </c>
    </row>
    <row r="991" spans="1:44">
      <c r="A991" t="str">
        <f>H991&amp;COUNTIF($H$2:H991,H991)</f>
        <v>長軸バリ取り5</v>
      </c>
      <c r="B991" t="str">
        <f>F991&amp;COUNTIF($F$2:F991,F991)</f>
        <v>高雄工業 静岡128</v>
      </c>
      <c r="C991" t="str">
        <v>在職中</v>
      </c>
      <c r="D991">
        <v>251010</v>
      </c>
      <c r="E991">
        <v>242139</v>
      </c>
      <c r="F991" t="str">
        <v>高雄工業 静岡</v>
      </c>
      <c r="G991" t="str">
        <v>高雄工業株式会社 静岡事業所第二工場製作課</v>
      </c>
      <c r="H991" t="str">
        <v>長軸バリ取り</v>
      </c>
      <c r="I991" t="str">
        <v>長軸バリ取り、検査作業。</v>
      </c>
      <c r="J991" t="str">
        <v>TRAN QUY TRONG</v>
      </c>
      <c r="K991" t="str">
        <v>チャン　クイ　チョン</v>
      </c>
      <c r="L991" t="str">
        <v>男</v>
      </c>
      <c r="M991" t="str">
        <v>ﾍﾞﾄﾅﾑ</v>
      </c>
      <c r="N991" s="31">
        <v>36174</v>
      </c>
      <c r="O991">
        <v>26</v>
      </c>
      <c r="P991">
        <v>1200</v>
      </c>
      <c r="Q991">
        <v>0</v>
      </c>
      <c r="R991">
        <v>1650</v>
      </c>
      <c r="S991">
        <v>0</v>
      </c>
      <c r="T991">
        <v>450</v>
      </c>
      <c r="U991">
        <v>220000</v>
      </c>
      <c r="V991">
        <v>11033</v>
      </c>
      <c r="W991" t="str">
        <v>0</v>
      </c>
      <c r="X991">
        <v>20130</v>
      </c>
      <c r="Y991" s="31">
        <v>47040</v>
      </c>
      <c r="Z991" t="str">
        <v/>
      </c>
      <c r="AA991" t="str">
        <v>技術・人文知識・国際業務</v>
      </c>
      <c r="AB991" t="str">
        <v>437-0061</v>
      </c>
      <c r="AC991" t="str">
        <v>静岡県袋井市久能1889-2</v>
      </c>
      <c r="AD991" t="str">
        <v>ﾗﾌｨｰﾈ久能303号</v>
      </c>
      <c r="AE991" s="31">
        <v>45946</v>
      </c>
      <c r="AF991" s="31">
        <v>45951</v>
      </c>
      <c r="AG991" s="31">
        <v>0</v>
      </c>
      <c r="AH991" s="31">
        <v>0</v>
      </c>
      <c r="AI991">
        <v>45951</v>
      </c>
      <c r="AJ991" t="str">
        <v>11/19林</v>
      </c>
      <c r="AK991">
        <v>0</v>
      </c>
      <c r="AL991">
        <v>45951</v>
      </c>
      <c r="AM991">
        <v>0</v>
      </c>
      <c r="AN991">
        <v>0</v>
      </c>
      <c r="AO991">
        <v>0</v>
      </c>
      <c r="AP991">
        <v>0</v>
      </c>
      <c r="AQ991">
        <v>0</v>
      </c>
      <c r="AR991">
        <v>0</v>
      </c>
    </row>
    <row r="992" spans="1:44">
      <c r="A992" t="str">
        <f>H992&amp;COUNTIF($H$2:H992,H992)</f>
        <v>転造14</v>
      </c>
      <c r="B992" t="str">
        <f>F992&amp;COUNTIF($F$2:F992,F992)</f>
        <v>高雄工業 静岡129</v>
      </c>
      <c r="C992" t="str">
        <v>在職中</v>
      </c>
      <c r="D992">
        <v>210406</v>
      </c>
      <c r="E992">
        <v>242011</v>
      </c>
      <c r="F992" t="str">
        <v>高雄工業 静岡</v>
      </c>
      <c r="G992" t="str">
        <v>高雄工業株式会社 静岡事業所第一工場製作課</v>
      </c>
      <c r="H992" t="str">
        <v>転造</v>
      </c>
      <c r="I992" t="str">
        <v>ＣＶＪ短軸等速ジョイント旋削加工・ＮＣプログラム修正</v>
      </c>
      <c r="J992" t="str">
        <v>MAI HUNG ANH</v>
      </c>
      <c r="K992" t="str">
        <v>マイ　フン　アイン</v>
      </c>
      <c r="L992" t="str">
        <v>男</v>
      </c>
      <c r="M992" t="str">
        <v>ﾍﾞﾄﾅﾑ</v>
      </c>
      <c r="N992" s="31">
        <v>32269</v>
      </c>
      <c r="O992">
        <v>37</v>
      </c>
      <c r="P992">
        <v>1420</v>
      </c>
      <c r="Q992" t="str">
        <v>6/16~ \1200⇒\1250</v>
      </c>
      <c r="R992">
        <v>1880</v>
      </c>
      <c r="S992" t="str">
        <v>9/16~ 1600円→1750円</v>
      </c>
      <c r="T992">
        <v>460</v>
      </c>
      <c r="U992">
        <v>320000</v>
      </c>
      <c r="V992">
        <v>16048</v>
      </c>
      <c r="W992" t="str">
        <v>0</v>
      </c>
      <c r="X992">
        <v>29280</v>
      </c>
      <c r="Y992" s="31">
        <v>46435</v>
      </c>
      <c r="Z992" t="str">
        <v/>
      </c>
      <c r="AA992" t="str">
        <v>技術・人文知識・国際業務</v>
      </c>
      <c r="AB992" t="str">
        <v>433-8119</v>
      </c>
      <c r="AC992" t="str">
        <v>静岡県浜松市中央区高丘北３丁目１４番２５号</v>
      </c>
      <c r="AD992" t="str">
        <v>ｷｬﾝﾊﾟｽみずほⅡ203</v>
      </c>
      <c r="AE992" s="31" t="str">
        <v>個人</v>
      </c>
      <c r="AF992" s="31">
        <v>44291</v>
      </c>
      <c r="AG992" s="31">
        <v>0</v>
      </c>
      <c r="AH992" s="31">
        <v>0</v>
      </c>
      <c r="AI992">
        <v>44348</v>
      </c>
      <c r="AJ992" t="str">
        <v>OK</v>
      </c>
      <c r="AK992">
        <v>0</v>
      </c>
      <c r="AL992">
        <v>44291</v>
      </c>
      <c r="AM992">
        <v>0</v>
      </c>
      <c r="AN992">
        <v>0</v>
      </c>
      <c r="AO992">
        <v>0</v>
      </c>
      <c r="AP992">
        <v>0</v>
      </c>
      <c r="AQ992" t="str">
        <v>JLPT-N3</v>
      </c>
      <c r="AR992">
        <v>0</v>
      </c>
    </row>
    <row r="993" spans="1:44">
      <c r="A993" t="str">
        <f>H993&amp;COUNTIF($H$2:H993,H993)</f>
        <v>加工課10</v>
      </c>
      <c r="B993" t="str">
        <f>F993&amp;COUNTIF($F$2:F993,F993)</f>
        <v>加藤木材工業 春日井10</v>
      </c>
      <c r="C993" t="str">
        <v>在職中</v>
      </c>
      <c r="D993">
        <v>220501</v>
      </c>
      <c r="E993">
        <v>5702</v>
      </c>
      <c r="F993" t="str">
        <v>加藤木材工業 春日井</v>
      </c>
      <c r="G993" t="str">
        <v>生産部</v>
      </c>
      <c r="H993" t="str">
        <v>加工課</v>
      </c>
      <c r="I993" t="str">
        <v>機械オペレーター及び機械メンテナンス他付随する業務</v>
      </c>
      <c r="J993" t="str">
        <v>PHAN VAN CUONG</v>
      </c>
      <c r="K993" t="str">
        <v>ハン　バン　クオン</v>
      </c>
      <c r="L993" t="str">
        <v>男</v>
      </c>
      <c r="M993" t="str">
        <v>ﾍﾞﾄﾅﾑ</v>
      </c>
      <c r="N993" s="31">
        <v>34992</v>
      </c>
      <c r="O993">
        <v>30</v>
      </c>
      <c r="P993">
        <v>1300</v>
      </c>
      <c r="Q993">
        <v>0</v>
      </c>
      <c r="R993">
        <v>1700</v>
      </c>
      <c r="S993">
        <v>0</v>
      </c>
      <c r="T993">
        <v>400</v>
      </c>
      <c r="U993">
        <v>220000</v>
      </c>
      <c r="V993">
        <v>11033</v>
      </c>
      <c r="W993" t="str">
        <v>0</v>
      </c>
      <c r="X993">
        <v>20130</v>
      </c>
      <c r="Y993" s="31">
        <v>46716</v>
      </c>
      <c r="Z993" t="str">
        <v/>
      </c>
      <c r="AA993" t="str">
        <v>技術・人文知識・国際業務</v>
      </c>
      <c r="AB993" t="str">
        <v>486-0928</v>
      </c>
      <c r="AC993" t="str">
        <v>愛知県春日井市妙慶町2丁目8</v>
      </c>
      <c r="AD993" t="str">
        <v>妙慶ﾊｲﾂ202号</v>
      </c>
      <c r="AE993" s="31">
        <v>0</v>
      </c>
      <c r="AF993" s="31">
        <v>45846</v>
      </c>
      <c r="AG993" s="31">
        <v>0</v>
      </c>
      <c r="AH993" s="31">
        <v>0</v>
      </c>
      <c r="AI993">
        <v>45846</v>
      </c>
      <c r="AJ993" t="str">
        <v>7/16林</v>
      </c>
      <c r="AK993">
        <v>0</v>
      </c>
      <c r="AL993">
        <v>45846</v>
      </c>
      <c r="AM993">
        <v>0</v>
      </c>
      <c r="AN993">
        <v>0</v>
      </c>
      <c r="AO993">
        <v>0</v>
      </c>
      <c r="AP993">
        <v>0</v>
      </c>
      <c r="AQ993">
        <v>0</v>
      </c>
      <c r="AR993">
        <v>0</v>
      </c>
    </row>
    <row r="994" spans="1:44">
      <c r="A994" t="str">
        <f>H994&amp;COUNTIF($H$2:H994,H994)</f>
        <v>本社工場製造1課2工区2班13</v>
      </c>
      <c r="B994" t="str">
        <f>F994&amp;COUNTIF($F$2:F994,F994)</f>
        <v>コーリツ 本社50</v>
      </c>
      <c r="C994" t="str">
        <v>在職中</v>
      </c>
      <c r="D994">
        <v>250704</v>
      </c>
      <c r="E994">
        <v>8210136</v>
      </c>
      <c r="F994" t="str">
        <v>コーリツ 本社</v>
      </c>
      <c r="G994" t="str">
        <v>本社工場製造1課2工区2班</v>
      </c>
      <c r="H994" t="str">
        <v>本社工場製造1課2工区2班</v>
      </c>
      <c r="I994">
        <v>0</v>
      </c>
      <c r="J994" t="str">
        <v>DO DINH THANH</v>
      </c>
      <c r="K994" t="str">
        <v>ドー　デイン　タン</v>
      </c>
      <c r="L994" t="str">
        <v>男</v>
      </c>
      <c r="M994" t="str">
        <v>ﾍﾞﾄﾅﾑ</v>
      </c>
      <c r="N994" s="31">
        <v>35107</v>
      </c>
      <c r="O994">
        <v>29</v>
      </c>
      <c r="P994">
        <v>1500</v>
      </c>
      <c r="Q994">
        <v>0</v>
      </c>
      <c r="R994">
        <v>2150</v>
      </c>
      <c r="S994">
        <v>0</v>
      </c>
      <c r="T994">
        <v>650</v>
      </c>
      <c r="U994">
        <v>280000</v>
      </c>
      <c r="V994">
        <v>14042</v>
      </c>
      <c r="W994" t="str">
        <v>0</v>
      </c>
      <c r="X994">
        <v>25620</v>
      </c>
      <c r="Y994" s="31">
        <v>47030</v>
      </c>
      <c r="Z994" t="str">
        <v/>
      </c>
      <c r="AA994" t="str">
        <v>技術・人文知識・国際業務</v>
      </c>
      <c r="AB994" t="str">
        <v>470-1131</v>
      </c>
      <c r="AC994" t="str">
        <v>愛知県豊明市二村台6-1-1</v>
      </c>
      <c r="AD994" t="str">
        <v>豊明団地21-305号</v>
      </c>
      <c r="AE994" s="31" t="str">
        <v>個人</v>
      </c>
      <c r="AF994" s="31">
        <v>45859</v>
      </c>
      <c r="AG994" s="31">
        <v>0</v>
      </c>
      <c r="AH994" s="31">
        <v>0</v>
      </c>
      <c r="AI994">
        <v>45859</v>
      </c>
      <c r="AJ994" t="str">
        <v>8/20林</v>
      </c>
      <c r="AK994">
        <v>0</v>
      </c>
      <c r="AL994">
        <v>45859</v>
      </c>
      <c r="AM994">
        <v>0</v>
      </c>
      <c r="AN994">
        <v>0</v>
      </c>
      <c r="AO994">
        <v>0</v>
      </c>
      <c r="AP994">
        <v>0</v>
      </c>
      <c r="AQ994">
        <v>0</v>
      </c>
      <c r="AR994">
        <v>0</v>
      </c>
    </row>
    <row r="995" spans="1:44">
      <c r="A995" t="str">
        <f>H995&amp;COUNTIF($H$2:H995,H995)</f>
        <v>0298</v>
      </c>
      <c r="B995" t="str">
        <f>F995&amp;COUNTIF($F$2:F995,F995)</f>
        <v>ピーエムアイ33</v>
      </c>
      <c r="C995" t="str">
        <v>在職中</v>
      </c>
      <c r="D995">
        <v>250705</v>
      </c>
      <c r="E995">
        <v>0</v>
      </c>
      <c r="F995" t="str">
        <v>ピーエムアイ</v>
      </c>
      <c r="G995">
        <v>0</v>
      </c>
      <c r="H995">
        <v>0</v>
      </c>
      <c r="I995">
        <v>0</v>
      </c>
      <c r="J995" t="str">
        <v>TRAN THU HUONG</v>
      </c>
      <c r="K995" t="str">
        <v>チャン　トゥ　ホウオン</v>
      </c>
      <c r="L995" t="str">
        <v>女</v>
      </c>
      <c r="M995" t="str">
        <v>ﾍﾞﾄﾅﾑ</v>
      </c>
      <c r="N995" s="31">
        <v>37021</v>
      </c>
      <c r="O995">
        <v>24</v>
      </c>
      <c r="P995">
        <v>1300</v>
      </c>
      <c r="Q995">
        <v>0</v>
      </c>
      <c r="R995">
        <v>1800</v>
      </c>
      <c r="S995">
        <v>0</v>
      </c>
      <c r="T995">
        <v>500</v>
      </c>
      <c r="U995">
        <v>240000</v>
      </c>
      <c r="V995">
        <v>12036</v>
      </c>
      <c r="W995" t="str">
        <v>0</v>
      </c>
      <c r="X995">
        <v>21960</v>
      </c>
      <c r="Y995" s="31">
        <v>46871</v>
      </c>
      <c r="Z995" t="str">
        <v/>
      </c>
      <c r="AA995" t="str">
        <v>技術・人文知識・国際業務</v>
      </c>
      <c r="AB995" t="str">
        <v>471-0805</v>
      </c>
      <c r="AC995" t="str">
        <v>愛知県豊田市美里2-6-9</v>
      </c>
      <c r="AD995" t="str">
        <v>ﾚｼﾞｪﾝﾄﾞK204</v>
      </c>
      <c r="AE995" s="31">
        <v>45886</v>
      </c>
      <c r="AF995" s="31">
        <v>45859</v>
      </c>
      <c r="AG995" s="31">
        <v>0</v>
      </c>
      <c r="AH995" s="31">
        <v>0</v>
      </c>
      <c r="AI995">
        <v>45859</v>
      </c>
      <c r="AJ995" t="str">
        <v>8/20林</v>
      </c>
      <c r="AK995">
        <v>0</v>
      </c>
      <c r="AL995">
        <v>45859</v>
      </c>
      <c r="AM995">
        <v>0</v>
      </c>
      <c r="AN995">
        <v>0</v>
      </c>
      <c r="AO995">
        <v>0</v>
      </c>
      <c r="AP995">
        <v>0</v>
      </c>
      <c r="AQ995">
        <v>0</v>
      </c>
      <c r="AR995">
        <v>0</v>
      </c>
    </row>
    <row r="996" spans="1:44">
      <c r="A996" t="str">
        <f>H996&amp;COUNTIF($H$2:H996,H996)</f>
        <v>3課6</v>
      </c>
      <c r="B996" t="str">
        <f>F996&amp;COUNTIF($F$2:F996,F996)</f>
        <v>加藤木材工業 本社49</v>
      </c>
      <c r="C996" t="str">
        <v>在職中</v>
      </c>
      <c r="D996">
        <v>250706</v>
      </c>
      <c r="E996">
        <v>5706</v>
      </c>
      <c r="F996" t="str">
        <v>加藤木材工業 本社</v>
      </c>
      <c r="G996" t="str">
        <v>生産1部</v>
      </c>
      <c r="H996" t="str">
        <v>3課</v>
      </c>
      <c r="I996" t="str">
        <v>機械オペレーター及び機械メンテナンス他付随する業務</v>
      </c>
      <c r="J996" t="str">
        <v>HO VIET PHANG</v>
      </c>
      <c r="K996" t="str">
        <v>ホー　ヴェット　ファン</v>
      </c>
      <c r="L996" t="str">
        <v>男</v>
      </c>
      <c r="M996" t="str">
        <v>ﾍﾞﾄﾅﾑ</v>
      </c>
      <c r="N996" s="31">
        <v>37967</v>
      </c>
      <c r="O996">
        <v>21</v>
      </c>
      <c r="P996">
        <v>1300</v>
      </c>
      <c r="Q996">
        <v>0</v>
      </c>
      <c r="R996">
        <v>1700</v>
      </c>
      <c r="S996">
        <v>0</v>
      </c>
      <c r="T996">
        <v>400</v>
      </c>
      <c r="U996">
        <v>220000</v>
      </c>
      <c r="V996">
        <v>11033</v>
      </c>
      <c r="W996" t="str">
        <v>0</v>
      </c>
      <c r="X996">
        <v>20130</v>
      </c>
      <c r="Y996" s="31">
        <v>46807</v>
      </c>
      <c r="Z996" t="str">
        <v/>
      </c>
      <c r="AA996" t="str">
        <v>技術・人文知識・国際業務</v>
      </c>
      <c r="AB996" t="str">
        <v>486-0913</v>
      </c>
      <c r="AC996" t="str">
        <v>愛知県春日井市柏原町5-225</v>
      </c>
      <c r="AD996" t="str">
        <v>ｽｶｲﾋﾞｰﾝｽﾞ柏原202号</v>
      </c>
      <c r="AE996" s="31">
        <v>0</v>
      </c>
      <c r="AF996" s="31">
        <v>45860</v>
      </c>
      <c r="AG996" s="31">
        <v>0</v>
      </c>
      <c r="AH996" s="31">
        <v>0</v>
      </c>
      <c r="AI996">
        <v>45860</v>
      </c>
      <c r="AJ996" t="str">
        <v>8/20林</v>
      </c>
      <c r="AK996">
        <v>0</v>
      </c>
      <c r="AL996">
        <v>45860</v>
      </c>
      <c r="AM996">
        <v>0</v>
      </c>
      <c r="AN996">
        <v>0</v>
      </c>
      <c r="AO996">
        <v>0</v>
      </c>
      <c r="AP996">
        <v>0</v>
      </c>
      <c r="AQ996">
        <v>0</v>
      </c>
      <c r="AR996">
        <v>0</v>
      </c>
    </row>
    <row r="997" spans="1:44">
      <c r="A997" t="str">
        <f>H997&amp;COUNTIF($H$2:H997,H997)</f>
        <v>0299</v>
      </c>
      <c r="B997" t="str">
        <f>F997&amp;COUNTIF($F$2:F997,F997)</f>
        <v>加藤木材工業 本社50</v>
      </c>
      <c r="C997" t="str">
        <v>退社</v>
      </c>
      <c r="D997">
        <v>250707</v>
      </c>
      <c r="E997">
        <v>0</v>
      </c>
      <c r="F997" t="str">
        <v>加藤木材工業 本社</v>
      </c>
      <c r="G997">
        <v>0</v>
      </c>
      <c r="H997">
        <v>0</v>
      </c>
      <c r="I997">
        <v>0</v>
      </c>
      <c r="J997" t="str">
        <v>NGUYEN VAN CONG</v>
      </c>
      <c r="K997" t="str">
        <v>グエン　ヴァン　コン</v>
      </c>
      <c r="L997" t="str">
        <v>男</v>
      </c>
      <c r="M997" t="str">
        <v>ﾍﾞﾄﾅﾑ</v>
      </c>
      <c r="N997" s="31">
        <v>33252</v>
      </c>
      <c r="O997">
        <v>34</v>
      </c>
      <c r="P997">
        <v>1300</v>
      </c>
      <c r="Q997">
        <v>0</v>
      </c>
      <c r="R997">
        <v>1700</v>
      </c>
      <c r="S997">
        <v>0</v>
      </c>
      <c r="T997">
        <v>400</v>
      </c>
      <c r="U997">
        <v>0</v>
      </c>
      <c r="V997" t="str">
        <v/>
      </c>
      <c r="W997" t="str">
        <v>0</v>
      </c>
      <c r="X997">
        <v>0</v>
      </c>
      <c r="Y997" s="31">
        <v>47315</v>
      </c>
      <c r="Z997" t="str">
        <v/>
      </c>
      <c r="AA997" t="str">
        <v>技術・人文知識・国際業務</v>
      </c>
      <c r="AB997" t="str">
        <v>496-8001</v>
      </c>
      <c r="AC997" t="str">
        <v>愛知県愛西市勝幡町林76</v>
      </c>
      <c r="AD997" t="str">
        <v>A-101号</v>
      </c>
      <c r="AE997" s="31" t="str">
        <v>個人</v>
      </c>
      <c r="AF997" s="31">
        <v>45860</v>
      </c>
      <c r="AG997" s="31">
        <v>45862</v>
      </c>
      <c r="AH997" s="31">
        <v>0</v>
      </c>
      <c r="AI997">
        <v>45860</v>
      </c>
      <c r="AJ997" t="str">
        <v>8/20林</v>
      </c>
      <c r="AK997">
        <v>0</v>
      </c>
      <c r="AL997">
        <v>45860</v>
      </c>
      <c r="AM997">
        <v>0</v>
      </c>
      <c r="AN997">
        <v>0</v>
      </c>
      <c r="AO997">
        <v>0</v>
      </c>
      <c r="AP997">
        <v>0</v>
      </c>
      <c r="AQ997">
        <v>0</v>
      </c>
      <c r="AR997">
        <v>0</v>
      </c>
    </row>
    <row r="998" spans="1:44">
      <c r="A998" t="str">
        <f>H998&amp;COUNTIF($H$2:H998,H998)</f>
        <v>転造15</v>
      </c>
      <c r="B998" t="str">
        <f>F998&amp;COUNTIF($F$2:F998,F998)</f>
        <v>高雄工業 静岡130</v>
      </c>
      <c r="C998" t="str">
        <v>在職中</v>
      </c>
      <c r="D998">
        <v>231115</v>
      </c>
      <c r="E998">
        <v>242085</v>
      </c>
      <c r="F998" t="str">
        <v>高雄工業 静岡</v>
      </c>
      <c r="G998" t="str">
        <v>高雄工業株式会社 静岡事業所第一工場製作課</v>
      </c>
      <c r="H998" t="str">
        <v>転造</v>
      </c>
      <c r="I998" t="str">
        <v>ＣＶＪ短軸等速ジョイント旋削加工・ＮＣプログラム修正</v>
      </c>
      <c r="J998" t="str">
        <v>NGUYEN CONG LUONG</v>
      </c>
      <c r="K998" t="str">
        <v>グエン　コン　ルオン</v>
      </c>
      <c r="L998" t="str">
        <v>男</v>
      </c>
      <c r="M998" t="str">
        <v>ﾍﾞﾄﾅﾑ</v>
      </c>
      <c r="N998" s="31">
        <v>35957</v>
      </c>
      <c r="O998">
        <v>27</v>
      </c>
      <c r="P998">
        <v>1300</v>
      </c>
      <c r="Q998">
        <v>0</v>
      </c>
      <c r="R998">
        <v>1680</v>
      </c>
      <c r="S998">
        <v>0</v>
      </c>
      <c r="T998">
        <v>380</v>
      </c>
      <c r="U998">
        <v>280000</v>
      </c>
      <c r="V998">
        <v>14042</v>
      </c>
      <c r="W998" t="str">
        <v>0</v>
      </c>
      <c r="X998">
        <v>25620</v>
      </c>
      <c r="Y998" s="31">
        <v>45976</v>
      </c>
      <c r="Z998" t="str">
        <v>期限過ぎてます! 19</v>
      </c>
      <c r="AA998" t="str">
        <v>技術・人文知識・国際業務</v>
      </c>
      <c r="AB998" t="str">
        <v>437-0066</v>
      </c>
      <c r="AC998" t="str">
        <v>静岡県袋井市山科3539-6</v>
      </c>
      <c r="AD998" t="str">
        <v>ﾌﾟﾛﾑﾅｰﾄﾞⅡA102号</v>
      </c>
      <c r="AE998" s="31">
        <v>45245</v>
      </c>
      <c r="AF998" s="31">
        <v>45251</v>
      </c>
      <c r="AG998" s="31">
        <v>0</v>
      </c>
      <c r="AH998" s="31">
        <v>0</v>
      </c>
      <c r="AI998" t="str">
        <v>23.11.21</v>
      </c>
      <c r="AJ998" t="str">
        <v>12/15林</v>
      </c>
      <c r="AK998">
        <v>0</v>
      </c>
      <c r="AL998">
        <v>45251</v>
      </c>
      <c r="AM998">
        <v>0</v>
      </c>
      <c r="AN998">
        <v>0</v>
      </c>
      <c r="AO998">
        <v>0</v>
      </c>
      <c r="AP998">
        <v>0</v>
      </c>
      <c r="AQ998" t="str">
        <v>JLPT-N4</v>
      </c>
      <c r="AR998">
        <v>0</v>
      </c>
    </row>
    <row r="999" spans="1:44">
      <c r="A999" t="str">
        <f>H999&amp;COUNTIF($H$2:H999,H999)</f>
        <v>CVJ長軸旋盤係15</v>
      </c>
      <c r="B999" t="str">
        <f>F999&amp;COUNTIF($F$2:F999,F999)</f>
        <v>六甲電子33</v>
      </c>
      <c r="C999" t="str">
        <v>在職中</v>
      </c>
      <c r="D999">
        <v>211217</v>
      </c>
      <c r="E999">
        <v>232035</v>
      </c>
      <c r="F999" t="str">
        <v>六甲電子</v>
      </c>
      <c r="G999" t="str">
        <v>高雄工業株式会社 岡山事業所CVJ工場製作課</v>
      </c>
      <c r="H999" t="str">
        <v>CVJ長軸旋盤係</v>
      </c>
      <c r="I999" t="str">
        <v>ＣＶＪ長軸等速ジョイント旋削加工・ＮＣプログラム修正</v>
      </c>
      <c r="J999" t="str">
        <v>NGUYEN PHU CUONG</v>
      </c>
      <c r="K999" t="str">
        <v>グエン　フ　クオン</v>
      </c>
      <c r="L999" t="str">
        <v>男</v>
      </c>
      <c r="M999" t="str">
        <v>ﾍﾞﾄﾅﾑ</v>
      </c>
      <c r="N999" s="31">
        <v>34750</v>
      </c>
      <c r="O999">
        <v>30</v>
      </c>
      <c r="P999">
        <v>1400</v>
      </c>
      <c r="Q999">
        <v>0</v>
      </c>
      <c r="R999">
        <v>2000</v>
      </c>
      <c r="S999">
        <v>0</v>
      </c>
      <c r="T999">
        <v>600</v>
      </c>
      <c r="U999">
        <v>260000</v>
      </c>
      <c r="V999">
        <v>13039</v>
      </c>
      <c r="W999" t="str">
        <v>0</v>
      </c>
      <c r="X999">
        <v>23790</v>
      </c>
      <c r="Y999" s="31">
        <v>46733</v>
      </c>
      <c r="Z999" t="str">
        <v/>
      </c>
      <c r="AA999" t="str">
        <v>技術・人文知識・国際業務</v>
      </c>
      <c r="AB999" t="str">
        <v>663-8105</v>
      </c>
      <c r="AC999" t="str">
        <v>兵庫県西宮市中島町7-5</v>
      </c>
      <c r="AD999" t="str">
        <v>ｼｬﾙﾑ三田202</v>
      </c>
      <c r="AE999" s="31">
        <v>0</v>
      </c>
      <c r="AF999" s="31">
        <v>45862</v>
      </c>
      <c r="AG999" s="31">
        <v>0</v>
      </c>
      <c r="AH999" s="31">
        <v>0</v>
      </c>
      <c r="AI999">
        <v>45862</v>
      </c>
      <c r="AJ999" t="str">
        <v>8/20林</v>
      </c>
      <c r="AK999">
        <v>0</v>
      </c>
      <c r="AL999">
        <v>45862</v>
      </c>
      <c r="AM999">
        <v>0</v>
      </c>
      <c r="AN999">
        <v>0</v>
      </c>
      <c r="AO999">
        <v>0</v>
      </c>
      <c r="AP999">
        <v>0</v>
      </c>
      <c r="AQ999">
        <v>0</v>
      </c>
      <c r="AR999">
        <v>0</v>
      </c>
    </row>
    <row r="1000" spans="1:44">
      <c r="A1000" t="str">
        <f>H1000&amp;COUNTIF($H$2:H1000,H1000)</f>
        <v>1次旋係92</v>
      </c>
      <c r="B1000" t="str">
        <f>F1000&amp;COUNTIF($F$2:F1000,F1000)</f>
        <v>六甲電子34</v>
      </c>
      <c r="C1000" t="str">
        <v>在職中</v>
      </c>
      <c r="D1000">
        <v>240405</v>
      </c>
      <c r="E1000">
        <v>232135</v>
      </c>
      <c r="F1000" t="str">
        <v>六甲電子</v>
      </c>
      <c r="G1000" t="str">
        <v>高雄工業株式会社 岡山事業所HUB工場製作1課</v>
      </c>
      <c r="H1000" t="str">
        <v>1次旋係</v>
      </c>
      <c r="I1000" t="str">
        <v>ハブ加工 自動機の操作、ＮＣプログラム修正</v>
      </c>
      <c r="J1000" t="str">
        <v>DONG LE XUAN HIEP</v>
      </c>
      <c r="K1000" t="str">
        <v>ドン　レ　スアン　ヒエップ</v>
      </c>
      <c r="L1000" t="str">
        <v>男</v>
      </c>
      <c r="M1000" t="str">
        <v>ﾍﾞﾄﾅﾑ</v>
      </c>
      <c r="N1000" s="31">
        <v>37183</v>
      </c>
      <c r="O1000">
        <v>24</v>
      </c>
      <c r="P1000">
        <v>1400</v>
      </c>
      <c r="Q1000">
        <v>0</v>
      </c>
      <c r="R1000">
        <v>2000</v>
      </c>
      <c r="S1000">
        <v>0</v>
      </c>
      <c r="T1000">
        <v>600</v>
      </c>
      <c r="U1000">
        <v>260000</v>
      </c>
      <c r="V1000">
        <v>13039</v>
      </c>
      <c r="W1000" t="str">
        <v>0</v>
      </c>
      <c r="X1000">
        <v>23790</v>
      </c>
      <c r="Y1000" s="31">
        <v>46858</v>
      </c>
      <c r="Z1000" t="str">
        <v/>
      </c>
      <c r="AA1000" t="str">
        <v>技術・人文知識・国際業務</v>
      </c>
      <c r="AB1000" t="str">
        <v>557-0016</v>
      </c>
      <c r="AC1000" t="str">
        <v>大阪府大阪市西成区花園北1丁目5番6</v>
      </c>
      <c r="AD1000" t="str">
        <v>ﾗﾊﾞﾝｼﾞｰﾙ大国3 603号</v>
      </c>
      <c r="AE1000" s="31" t="str">
        <v>個人</v>
      </c>
      <c r="AF1000" s="31">
        <v>45867</v>
      </c>
      <c r="AG1000" s="31">
        <v>0</v>
      </c>
      <c r="AH1000" s="31">
        <v>0</v>
      </c>
      <c r="AI1000">
        <v>45867</v>
      </c>
      <c r="AJ1000" t="str">
        <v>8/20林</v>
      </c>
      <c r="AK1000">
        <v>0</v>
      </c>
      <c r="AL1000">
        <v>45867</v>
      </c>
      <c r="AM1000">
        <v>0</v>
      </c>
      <c r="AN1000">
        <v>0</v>
      </c>
      <c r="AO1000">
        <v>0</v>
      </c>
      <c r="AP1000">
        <v>0</v>
      </c>
      <c r="AQ1000">
        <v>0</v>
      </c>
      <c r="AR1000">
        <v>0</v>
      </c>
    </row>
    <row r="1001" spans="1:44">
      <c r="A1001" t="str">
        <f>H1001&amp;COUNTIF($H$2:H1001,H1001)</f>
        <v>0300</v>
      </c>
      <c r="B1001" t="str">
        <f>F1001&amp;COUNTIF($F$2:F1001,F1001)</f>
        <v>六甲電子35</v>
      </c>
      <c r="C1001" t="str">
        <v>在職中</v>
      </c>
      <c r="D1001">
        <v>240909</v>
      </c>
      <c r="E1001">
        <v>0</v>
      </c>
      <c r="F1001" t="str">
        <v>六甲電子</v>
      </c>
      <c r="G1001">
        <v>0</v>
      </c>
      <c r="H1001">
        <v>0</v>
      </c>
      <c r="I1001">
        <v>0</v>
      </c>
      <c r="J1001" t="str">
        <v>LE VAN LUONG</v>
      </c>
      <c r="K1001" t="str">
        <v>レ　ヴァン　ニュン</v>
      </c>
      <c r="L1001" t="str">
        <v>男</v>
      </c>
      <c r="M1001" t="str">
        <v>ﾍﾞﾄﾅﾑ</v>
      </c>
      <c r="N1001" s="31">
        <v>33395</v>
      </c>
      <c r="O1001">
        <v>34</v>
      </c>
      <c r="P1001">
        <v>1400</v>
      </c>
      <c r="Q1001">
        <v>0</v>
      </c>
      <c r="R1001">
        <v>2000</v>
      </c>
      <c r="S1001">
        <v>0</v>
      </c>
      <c r="T1001">
        <v>600</v>
      </c>
      <c r="U1001">
        <v>260000</v>
      </c>
      <c r="V1001">
        <v>13039</v>
      </c>
      <c r="W1001" t="str">
        <v>0</v>
      </c>
      <c r="X1001">
        <v>23790</v>
      </c>
      <c r="Y1001" s="31">
        <v>46233</v>
      </c>
      <c r="Z1001" t="str">
        <v/>
      </c>
      <c r="AA1001" t="str">
        <v>技術・人文知識・国際業務</v>
      </c>
      <c r="AB1001" t="str">
        <v>663-8105</v>
      </c>
      <c r="AC1001" t="str">
        <v>兵庫県西宮市中島町7-5</v>
      </c>
      <c r="AD1001" t="str">
        <v>ｼｬﾙﾑ三田303</v>
      </c>
      <c r="AE1001" s="31">
        <v>0</v>
      </c>
      <c r="AF1001" s="31">
        <v>45867</v>
      </c>
      <c r="AG1001" s="31">
        <v>0</v>
      </c>
      <c r="AH1001" s="31">
        <v>0</v>
      </c>
      <c r="AI1001">
        <v>45867</v>
      </c>
      <c r="AJ1001" t="str">
        <v>8/20林</v>
      </c>
      <c r="AK1001">
        <v>0</v>
      </c>
      <c r="AL1001">
        <v>45867</v>
      </c>
      <c r="AM1001">
        <v>0</v>
      </c>
      <c r="AN1001">
        <v>0</v>
      </c>
      <c r="AO1001">
        <v>0</v>
      </c>
      <c r="AP1001">
        <v>0</v>
      </c>
      <c r="AQ1001">
        <v>0</v>
      </c>
      <c r="AR1001">
        <v>0</v>
      </c>
    </row>
    <row r="1002" spans="1:44">
      <c r="A1002" t="str">
        <f>H1002&amp;COUNTIF($H$2:H1002,H1002)</f>
        <v>CVJ長軸旋盤係16</v>
      </c>
      <c r="B1002" t="str">
        <f>F1002&amp;COUNTIF($F$2:F1002,F1002)</f>
        <v>高雄工業 岡山179</v>
      </c>
      <c r="C1002" t="str">
        <v>在職中</v>
      </c>
      <c r="D1002">
        <v>250709</v>
      </c>
      <c r="E1002">
        <v>232178</v>
      </c>
      <c r="F1002" t="str">
        <v>高雄工業 岡山</v>
      </c>
      <c r="G1002" t="str">
        <v>高雄工業株式会社 静岡事業所第一工場製作課</v>
      </c>
      <c r="H1002" t="str">
        <v>CVJ長軸旋盤係</v>
      </c>
      <c r="I1002" t="str">
        <v>ＣＶＪ長軸等速ジョイント旋削加工、ＮＣプログラム修正</v>
      </c>
      <c r="J1002" t="str">
        <v>NGUYEN CHI THONG</v>
      </c>
      <c r="K1002" t="str">
        <v>グエン　チ　トン</v>
      </c>
      <c r="L1002" t="str">
        <v>男</v>
      </c>
      <c r="M1002" t="str">
        <v>ﾍﾞﾄﾅﾑ</v>
      </c>
      <c r="N1002" s="31">
        <v>37476</v>
      </c>
      <c r="O1002">
        <v>23</v>
      </c>
      <c r="P1002">
        <v>1200</v>
      </c>
      <c r="Q1002">
        <v>0</v>
      </c>
      <c r="R1002">
        <v>1650</v>
      </c>
      <c r="S1002">
        <v>0</v>
      </c>
      <c r="T1002">
        <v>450</v>
      </c>
      <c r="U1002">
        <v>220000</v>
      </c>
      <c r="V1002">
        <v>11033</v>
      </c>
      <c r="W1002" t="str">
        <v>0</v>
      </c>
      <c r="X1002">
        <v>20130</v>
      </c>
      <c r="Y1002" s="31">
        <v>46957</v>
      </c>
      <c r="Z1002" t="str">
        <v/>
      </c>
      <c r="AA1002" t="str">
        <v>技術・人文知識・国際業務</v>
      </c>
      <c r="AB1002" t="str">
        <v>709-2133</v>
      </c>
      <c r="AC1002" t="str">
        <v>岡山県岡山市北区御津金川373-1</v>
      </c>
      <c r="AD1002" t="str">
        <v>ﾆｭｰｴﾙﾃﾞｨﾑ小西A202</v>
      </c>
      <c r="AE1002" s="31">
        <v>45861</v>
      </c>
      <c r="AF1002" s="31">
        <v>45867</v>
      </c>
      <c r="AG1002" s="31">
        <v>0</v>
      </c>
      <c r="AH1002" s="31">
        <v>0</v>
      </c>
      <c r="AI1002">
        <v>45867</v>
      </c>
      <c r="AJ1002" t="str">
        <v>8/20林</v>
      </c>
      <c r="AK1002">
        <v>0</v>
      </c>
      <c r="AL1002">
        <v>45867</v>
      </c>
      <c r="AM1002">
        <v>0</v>
      </c>
      <c r="AN1002">
        <v>0</v>
      </c>
      <c r="AO1002">
        <v>0</v>
      </c>
      <c r="AP1002">
        <v>0</v>
      </c>
      <c r="AQ1002">
        <v>0</v>
      </c>
      <c r="AR1002">
        <v>0</v>
      </c>
    </row>
    <row r="1003" spans="1:44">
      <c r="A1003" t="str">
        <f>H1003&amp;COUNTIF($H$2:H1003,H1003)</f>
        <v>0301</v>
      </c>
      <c r="B1003" t="str">
        <f>F1003&amp;COUNTIF($F$2:F1003,F1003)</f>
        <v>ワーク 堺14</v>
      </c>
      <c r="C1003" t="str">
        <v>在職中</v>
      </c>
      <c r="D1003">
        <v>250801</v>
      </c>
      <c r="E1003">
        <v>0</v>
      </c>
      <c r="F1003" t="str">
        <v>ワーク 堺</v>
      </c>
      <c r="G1003">
        <v>0</v>
      </c>
      <c r="H1003">
        <v>0</v>
      </c>
      <c r="I1003">
        <v>0</v>
      </c>
      <c r="J1003" t="str">
        <v>TRAN HUU LOC</v>
      </c>
      <c r="K1003" t="str">
        <v>チャン　ヒュウ　ロック</v>
      </c>
      <c r="L1003" t="str">
        <v>男</v>
      </c>
      <c r="M1003" t="str">
        <v>ﾍﾞﾄﾅﾑ</v>
      </c>
      <c r="N1003" s="31">
        <v>36557</v>
      </c>
      <c r="O1003">
        <v>25</v>
      </c>
      <c r="P1003">
        <v>1400</v>
      </c>
      <c r="Q1003">
        <v>0</v>
      </c>
      <c r="R1003">
        <v>1900</v>
      </c>
      <c r="S1003">
        <v>0</v>
      </c>
      <c r="T1003">
        <v>500</v>
      </c>
      <c r="U1003">
        <v>190000</v>
      </c>
      <c r="V1003">
        <v>9528</v>
      </c>
      <c r="W1003" t="str">
        <v>0</v>
      </c>
      <c r="X1003">
        <v>17385</v>
      </c>
      <c r="Y1003" s="31">
        <v>47218</v>
      </c>
      <c r="Z1003" t="str">
        <v/>
      </c>
      <c r="AA1003" t="str">
        <v>技術・人文知識・国際業務</v>
      </c>
      <c r="AB1003" t="str">
        <v>559-0013</v>
      </c>
      <c r="AC1003" t="str">
        <v>大阪府大阪市住之江区御崎3-3-20</v>
      </c>
      <c r="AD1003" t="str">
        <v>岸田ﾏﾝｼｮﾝ402号</v>
      </c>
      <c r="AE1003" s="31" t="str">
        <v>個人</v>
      </c>
      <c r="AF1003" s="31">
        <v>45870</v>
      </c>
      <c r="AG1003" s="31">
        <v>0</v>
      </c>
      <c r="AH1003" s="31">
        <v>0</v>
      </c>
      <c r="AI1003">
        <v>45870</v>
      </c>
      <c r="AJ1003" t="str">
        <v>8/25林</v>
      </c>
      <c r="AK1003">
        <v>0</v>
      </c>
      <c r="AL1003">
        <v>45870</v>
      </c>
      <c r="AM1003">
        <v>0</v>
      </c>
      <c r="AN1003">
        <v>0</v>
      </c>
      <c r="AO1003">
        <v>0</v>
      </c>
      <c r="AP1003">
        <v>0</v>
      </c>
      <c r="AQ1003">
        <v>0</v>
      </c>
      <c r="AR1003">
        <v>0</v>
      </c>
    </row>
    <row r="1004" spans="1:44">
      <c r="A1004" t="str">
        <f>H1004&amp;COUNTIF($H$2:H1004,H1004)</f>
        <v>本社製造部製造3課9</v>
      </c>
      <c r="B1004" t="str">
        <f>F1004&amp;COUNTIF($F$2:F1004,F1004)</f>
        <v>ユアサ工機 新城9</v>
      </c>
      <c r="C1004" t="str">
        <v>在職中</v>
      </c>
      <c r="D1004">
        <v>230701</v>
      </c>
      <c r="E1004">
        <v>0</v>
      </c>
      <c r="F1004" t="str">
        <v>ユアサ工機 新城</v>
      </c>
      <c r="G1004" t="str">
        <v>本社製造部製造3課</v>
      </c>
      <c r="H1004" t="str">
        <v>本社製造部製造3課</v>
      </c>
      <c r="I1004" t="str">
        <v>クランクシャフトの旋盤、マシニング、研磨、仕上げ加工など</v>
      </c>
      <c r="J1004" t="str">
        <v>HOANG ANH DUNG</v>
      </c>
      <c r="K1004" t="str">
        <v>ホアン　アイン　ズン</v>
      </c>
      <c r="L1004" t="str">
        <v>男</v>
      </c>
      <c r="M1004" t="str">
        <v>ﾍﾞﾄﾅﾑ</v>
      </c>
      <c r="N1004" s="31">
        <v>31876</v>
      </c>
      <c r="O1004">
        <v>38</v>
      </c>
      <c r="P1004">
        <v>1400</v>
      </c>
      <c r="Q1004">
        <v>0</v>
      </c>
      <c r="R1004">
        <v>1800</v>
      </c>
      <c r="S1004">
        <v>0</v>
      </c>
      <c r="T1004">
        <v>400</v>
      </c>
      <c r="U1004">
        <v>190000</v>
      </c>
      <c r="V1004">
        <v>9528</v>
      </c>
      <c r="W1004" t="str">
        <v>0</v>
      </c>
      <c r="X1004">
        <v>17385</v>
      </c>
      <c r="Y1004" s="31">
        <v>46096</v>
      </c>
      <c r="Z1004" t="str">
        <v/>
      </c>
      <c r="AA1004" t="str">
        <v>技術・人文知識・国際業務</v>
      </c>
      <c r="AB1004" t="str">
        <v>441-1231</v>
      </c>
      <c r="AC1004" t="str">
        <v>愛知県豊川市一宮町旭251番地</v>
      </c>
      <c r="AD1004" t="str">
        <v>ｸﾞﾚｲｽ旭A202号</v>
      </c>
      <c r="AE1004" s="31">
        <v>0</v>
      </c>
      <c r="AF1004" s="31">
        <v>45870</v>
      </c>
      <c r="AG1004" s="31">
        <v>0</v>
      </c>
      <c r="AH1004" s="31">
        <v>0</v>
      </c>
      <c r="AI1004">
        <v>45870</v>
      </c>
      <c r="AJ1004" t="str">
        <v>8/20林</v>
      </c>
      <c r="AK1004">
        <v>0</v>
      </c>
      <c r="AL1004">
        <v>45870</v>
      </c>
      <c r="AM1004">
        <v>0</v>
      </c>
      <c r="AN1004">
        <v>0</v>
      </c>
      <c r="AO1004">
        <v>0</v>
      </c>
      <c r="AP1004">
        <v>0</v>
      </c>
      <c r="AQ1004">
        <v>0</v>
      </c>
      <c r="AR1004">
        <v>0</v>
      </c>
    </row>
    <row r="1005" spans="1:44">
      <c r="A1005" t="str">
        <f>H1005&amp;COUNTIF($H$2:H1005,H1005)</f>
        <v>0302</v>
      </c>
      <c r="B1005" t="str">
        <f>F1005&amp;COUNTIF($F$2:F1005,F1005)</f>
        <v>ワーク 堺15</v>
      </c>
      <c r="C1005" t="str">
        <v>在職中</v>
      </c>
      <c r="D1005">
        <v>220211</v>
      </c>
      <c r="E1005">
        <v>0</v>
      </c>
      <c r="F1005" t="str">
        <v>ワーク 堺</v>
      </c>
      <c r="G1005" t="str">
        <v>堺工場　製造部</v>
      </c>
      <c r="H1005">
        <v>0</v>
      </c>
      <c r="I1005">
        <v>0</v>
      </c>
      <c r="J1005" t="str">
        <v>NGUYEN VAN CUONG</v>
      </c>
      <c r="K1005" t="str">
        <v>グエン　ヴァン　クオン</v>
      </c>
      <c r="L1005" t="str">
        <v>男</v>
      </c>
      <c r="M1005" t="str">
        <v>ﾍﾞﾄﾅﾑ</v>
      </c>
      <c r="N1005" s="31">
        <v>34432</v>
      </c>
      <c r="O1005">
        <v>31</v>
      </c>
      <c r="P1005">
        <v>1400</v>
      </c>
      <c r="Q1005">
        <v>0</v>
      </c>
      <c r="R1005">
        <v>1900</v>
      </c>
      <c r="S1005">
        <v>0</v>
      </c>
      <c r="T1005">
        <v>500</v>
      </c>
      <c r="U1005">
        <v>190000</v>
      </c>
      <c r="V1005">
        <v>9528</v>
      </c>
      <c r="W1005" t="str">
        <v>0</v>
      </c>
      <c r="X1005">
        <v>17385</v>
      </c>
      <c r="Y1005" s="31">
        <v>46341</v>
      </c>
      <c r="Z1005" t="str">
        <v/>
      </c>
      <c r="AA1005" t="str">
        <v>技術・人文知識・国際業務</v>
      </c>
      <c r="AB1005" t="str">
        <v>590-0984</v>
      </c>
      <c r="AC1005" t="str">
        <v>大阪府堺市堺区神南辺町1-19</v>
      </c>
      <c r="AD1005" t="str">
        <v>ﾎﾜｲﾄｳﾞｨﾗ503</v>
      </c>
      <c r="AE1005" s="31" t="str">
        <v>個人</v>
      </c>
      <c r="AF1005" s="31">
        <v>45873</v>
      </c>
      <c r="AG1005" s="31">
        <v>0</v>
      </c>
      <c r="AH1005" s="31">
        <v>0</v>
      </c>
      <c r="AI1005">
        <v>45873</v>
      </c>
      <c r="AJ1005" t="str">
        <v>8/25林</v>
      </c>
      <c r="AK1005">
        <v>0</v>
      </c>
      <c r="AL1005">
        <v>45873</v>
      </c>
      <c r="AM1005">
        <v>0</v>
      </c>
      <c r="AN1005">
        <v>0</v>
      </c>
      <c r="AO1005">
        <v>0</v>
      </c>
      <c r="AP1005">
        <v>0</v>
      </c>
      <c r="AQ1005">
        <v>0</v>
      </c>
      <c r="AR1005">
        <v>0</v>
      </c>
    </row>
    <row r="1006" spans="1:44">
      <c r="A1006" t="str">
        <f>H1006&amp;COUNTIF($H$2:H1006,H1006)</f>
        <v>転造16</v>
      </c>
      <c r="B1006" t="str">
        <f>F1006&amp;COUNTIF($F$2:F1006,F1006)</f>
        <v>高雄工業 静岡131</v>
      </c>
      <c r="C1006" t="str">
        <v>在職中</v>
      </c>
      <c r="D1006">
        <v>240108</v>
      </c>
      <c r="E1006">
        <v>242098</v>
      </c>
      <c r="F1006" t="str">
        <v>高雄工業 静岡</v>
      </c>
      <c r="G1006" t="str">
        <v>高雄工業株式会社 静岡事業所第一工場製作課</v>
      </c>
      <c r="H1006" t="str">
        <v>転造</v>
      </c>
      <c r="I1006" t="str">
        <v>ＣＶＪ短軸等速ジョイント旋削加工・ＮＣプログラム修正</v>
      </c>
      <c r="J1006" t="str">
        <v>NGUYEN CONG DAT</v>
      </c>
      <c r="K1006" t="str">
        <v>グエン　コン　ダット</v>
      </c>
      <c r="L1006" t="str">
        <v>男</v>
      </c>
      <c r="M1006" t="str">
        <v>ﾍﾞﾄﾅﾑ</v>
      </c>
      <c r="N1006" s="31">
        <v>37106</v>
      </c>
      <c r="O1006">
        <v>24</v>
      </c>
      <c r="P1006">
        <v>1300</v>
      </c>
      <c r="Q1006">
        <v>0</v>
      </c>
      <c r="R1006">
        <v>1680</v>
      </c>
      <c r="S1006">
        <v>0</v>
      </c>
      <c r="T1006">
        <v>380</v>
      </c>
      <c r="U1006">
        <v>260000</v>
      </c>
      <c r="V1006">
        <v>13039</v>
      </c>
      <c r="W1006" t="str">
        <v>0</v>
      </c>
      <c r="X1006">
        <v>23790</v>
      </c>
      <c r="Y1006" s="31">
        <v>46058</v>
      </c>
      <c r="Z1006">
        <v>63</v>
      </c>
      <c r="AA1006" t="str">
        <v>技術・人文知識・国際業務</v>
      </c>
      <c r="AB1006" t="str">
        <v>437-0062</v>
      </c>
      <c r="AC1006" t="str">
        <v>静岡県袋井市泉町1-7-3</v>
      </c>
      <c r="AD1006" t="str">
        <v>BeehiveresidenceⅦ102</v>
      </c>
      <c r="AE1006" s="31">
        <v>45303</v>
      </c>
      <c r="AF1006" s="31">
        <v>45309</v>
      </c>
      <c r="AG1006" s="31">
        <v>0</v>
      </c>
      <c r="AH1006" s="31">
        <v>0</v>
      </c>
      <c r="AI1006" t="str">
        <v>24.1.18</v>
      </c>
      <c r="AJ1006" t="str">
        <v>1/31林</v>
      </c>
      <c r="AK1006">
        <v>0</v>
      </c>
      <c r="AL1006">
        <v>45309</v>
      </c>
      <c r="AM1006">
        <v>0</v>
      </c>
      <c r="AN1006">
        <v>0</v>
      </c>
      <c r="AO1006">
        <v>0</v>
      </c>
      <c r="AP1006">
        <v>0</v>
      </c>
      <c r="AQ1006">
        <v>0</v>
      </c>
      <c r="AR1006">
        <v>0</v>
      </c>
    </row>
    <row r="1007" spans="1:44">
      <c r="A1007" t="str">
        <f>H1007&amp;COUNTIF($H$2:H1007,H1007)</f>
        <v>転造17</v>
      </c>
      <c r="B1007" t="str">
        <f>F1007&amp;COUNTIF($F$2:F1007,F1007)</f>
        <v>高雄工業 静岡132</v>
      </c>
      <c r="C1007" t="str">
        <v>在職中</v>
      </c>
      <c r="D1007">
        <v>240111</v>
      </c>
      <c r="E1007">
        <v>242100</v>
      </c>
      <c r="F1007" t="str">
        <v>高雄工業 静岡</v>
      </c>
      <c r="G1007" t="str">
        <v>高雄工業株式会社 静岡事業所第一工場製作課</v>
      </c>
      <c r="H1007" t="str">
        <v>転造</v>
      </c>
      <c r="I1007" t="str">
        <v>ＣＶＪ短軸等速ジョイント旋削加工・ＮＣプログラム修正</v>
      </c>
      <c r="J1007" t="str">
        <v>LE NHAT ANH</v>
      </c>
      <c r="K1007" t="str">
        <v>レ　ニャット　アイン</v>
      </c>
      <c r="L1007" t="str">
        <v>男</v>
      </c>
      <c r="M1007" t="str">
        <v>ﾍﾞﾄﾅﾑ</v>
      </c>
      <c r="N1007" s="31">
        <v>36708</v>
      </c>
      <c r="O1007">
        <v>25</v>
      </c>
      <c r="P1007">
        <v>1300</v>
      </c>
      <c r="Q1007">
        <v>0</v>
      </c>
      <c r="R1007">
        <v>1670</v>
      </c>
      <c r="S1007">
        <v>0</v>
      </c>
      <c r="T1007">
        <v>370</v>
      </c>
      <c r="U1007">
        <v>280000</v>
      </c>
      <c r="V1007">
        <v>14042</v>
      </c>
      <c r="W1007" t="str">
        <v>0</v>
      </c>
      <c r="X1007">
        <v>25620</v>
      </c>
      <c r="Y1007" s="31">
        <v>46058</v>
      </c>
      <c r="Z1007">
        <v>63</v>
      </c>
      <c r="AA1007" t="str">
        <v>技術・人文知識・国際業務</v>
      </c>
      <c r="AB1007" t="str">
        <v>437-0065</v>
      </c>
      <c r="AC1007" t="str">
        <v>静岡県袋井市堀越1-21-9</v>
      </c>
      <c r="AD1007" t="str">
        <v>ﾌﾟﾁｾｿﾞﾝ101号</v>
      </c>
      <c r="AE1007" s="31">
        <v>45308</v>
      </c>
      <c r="AF1007" s="31">
        <v>45314</v>
      </c>
      <c r="AG1007" s="31">
        <v>0</v>
      </c>
      <c r="AH1007" s="31">
        <v>0</v>
      </c>
      <c r="AI1007" t="str">
        <v>24.1.23</v>
      </c>
      <c r="AJ1007" t="str">
        <v>2/14林</v>
      </c>
      <c r="AK1007">
        <v>0</v>
      </c>
      <c r="AL1007">
        <v>45314</v>
      </c>
      <c r="AM1007">
        <v>0</v>
      </c>
      <c r="AN1007">
        <v>0</v>
      </c>
      <c r="AO1007">
        <v>0</v>
      </c>
      <c r="AP1007">
        <v>0</v>
      </c>
      <c r="AQ1007">
        <v>0</v>
      </c>
      <c r="AR1007">
        <v>0</v>
      </c>
    </row>
    <row r="1008" spans="1:44">
      <c r="A1008" t="str">
        <f>H1008&amp;COUNTIF($H$2:H1008,H1008)</f>
        <v>転造18</v>
      </c>
      <c r="B1008" t="str">
        <f>F1008&amp;COUNTIF($F$2:F1008,F1008)</f>
        <v>高雄工業 静岡133</v>
      </c>
      <c r="C1008" t="str">
        <v>在職中</v>
      </c>
      <c r="D1008">
        <v>250111</v>
      </c>
      <c r="E1008">
        <v>242117</v>
      </c>
      <c r="F1008" t="str">
        <v>高雄工業 静岡</v>
      </c>
      <c r="G1008" t="str">
        <v>高雄工業株式会社 静岡事業所第一工場製作課</v>
      </c>
      <c r="H1008" t="str">
        <v>転造</v>
      </c>
      <c r="I1008" t="str">
        <v>ＣＶＪ短軸等速ジョイント旋削加工・ＮＣプログラム修正</v>
      </c>
      <c r="J1008" t="str">
        <v>NGUYEN VO HUU THANG</v>
      </c>
      <c r="K1008" t="str">
        <v>グエン　ヴォ　ヒュウ　タン</v>
      </c>
      <c r="L1008" t="str">
        <v>男</v>
      </c>
      <c r="M1008" t="str">
        <v>ﾍﾞﾄﾅﾑ</v>
      </c>
      <c r="N1008" s="31">
        <v>36993</v>
      </c>
      <c r="O1008">
        <v>24</v>
      </c>
      <c r="P1008">
        <v>1250</v>
      </c>
      <c r="Q1008">
        <v>0</v>
      </c>
      <c r="R1008">
        <v>1650</v>
      </c>
      <c r="S1008">
        <v>0</v>
      </c>
      <c r="T1008">
        <v>400</v>
      </c>
      <c r="U1008">
        <v>260000</v>
      </c>
      <c r="V1008">
        <v>13039</v>
      </c>
      <c r="W1008" t="str">
        <v>0</v>
      </c>
      <c r="X1008">
        <v>23790</v>
      </c>
      <c r="Y1008" s="31">
        <v>46762</v>
      </c>
      <c r="Z1008" t="str">
        <v/>
      </c>
      <c r="AA1008" t="str">
        <v>技術・人文知識・国際業務</v>
      </c>
      <c r="AB1008" t="str">
        <v>437-0062</v>
      </c>
      <c r="AC1008" t="str">
        <v>静岡県袋井市泉町1-7-3</v>
      </c>
      <c r="AD1008" t="str">
        <v>BeehiveresidenceⅦ102</v>
      </c>
      <c r="AE1008" s="31">
        <v>0</v>
      </c>
      <c r="AF1008" s="31">
        <v>45673</v>
      </c>
      <c r="AG1008" s="31">
        <v>0</v>
      </c>
      <c r="AH1008" s="31">
        <v>0</v>
      </c>
      <c r="AI1008">
        <v>45673</v>
      </c>
      <c r="AJ1008" t="str">
        <v>2/20林</v>
      </c>
      <c r="AK1008">
        <v>0</v>
      </c>
      <c r="AL1008">
        <v>45673</v>
      </c>
      <c r="AM1008">
        <v>0</v>
      </c>
      <c r="AN1008">
        <v>0</v>
      </c>
      <c r="AO1008">
        <v>0</v>
      </c>
      <c r="AP1008">
        <v>0</v>
      </c>
      <c r="AQ1008">
        <v>0</v>
      </c>
      <c r="AR1008">
        <v>0</v>
      </c>
    </row>
    <row r="1009" spans="1:44">
      <c r="A1009" t="str">
        <f>H1009&amp;COUNTIF($H$2:H1009,H1009)</f>
        <v>1次旋係93</v>
      </c>
      <c r="B1009" t="str">
        <f>F1009&amp;COUNTIF($F$2:F1009,F1009)</f>
        <v>高雄工業 岡山180</v>
      </c>
      <c r="C1009" t="str">
        <v>在職中</v>
      </c>
      <c r="D1009">
        <v>210501</v>
      </c>
      <c r="E1009">
        <v>232012</v>
      </c>
      <c r="F1009" t="str">
        <v>高雄工業 岡山</v>
      </c>
      <c r="G1009" t="str">
        <v>高雄工業株式会社 岡山事業所HUB工場製作1課</v>
      </c>
      <c r="H1009" t="str">
        <v>1次旋係</v>
      </c>
      <c r="I1009" t="str">
        <v>ハブ加工 自動機の操作、ＮＣプログラム修正</v>
      </c>
      <c r="J1009" t="str">
        <v>TRAN NGOC HA</v>
      </c>
      <c r="K1009" t="str">
        <v>チャン　ゴック　ハ</v>
      </c>
      <c r="L1009" t="str">
        <v>男</v>
      </c>
      <c r="M1009" t="str">
        <v>ﾍﾞﾄﾅﾑ</v>
      </c>
      <c r="N1009" s="31">
        <v>34148</v>
      </c>
      <c r="O1009">
        <v>32</v>
      </c>
      <c r="P1009">
        <v>1420</v>
      </c>
      <c r="Q1009">
        <v>0</v>
      </c>
      <c r="R1009">
        <v>1880</v>
      </c>
      <c r="S1009" t="str">
        <v>9/16~ 1610円→1760円</v>
      </c>
      <c r="T1009">
        <v>460</v>
      </c>
      <c r="U1009">
        <v>190000</v>
      </c>
      <c r="V1009">
        <v>9528</v>
      </c>
      <c r="W1009" t="str">
        <v>0</v>
      </c>
      <c r="X1009">
        <v>17385</v>
      </c>
      <c r="Y1009" s="31">
        <v>46276</v>
      </c>
      <c r="Z1009" t="str">
        <v/>
      </c>
      <c r="AA1009" t="str">
        <v>技術・人文知識・国際業務</v>
      </c>
      <c r="AB1009" t="str">
        <v>709-2107</v>
      </c>
      <c r="AC1009" t="str">
        <v>岡山県岡山市北区御津矢原370</v>
      </c>
      <c r="AD1009" t="str">
        <v>成広ｺｰﾎﾟⅡ207</v>
      </c>
      <c r="AE1009" s="31">
        <v>0</v>
      </c>
      <c r="AF1009" s="31">
        <v>45887</v>
      </c>
      <c r="AG1009" s="31">
        <v>0</v>
      </c>
      <c r="AH1009" s="31">
        <v>0</v>
      </c>
      <c r="AI1009">
        <v>45887</v>
      </c>
      <c r="AJ1009" t="str">
        <v>8/25林</v>
      </c>
      <c r="AK1009">
        <v>0</v>
      </c>
      <c r="AL1009">
        <v>45887</v>
      </c>
      <c r="AM1009">
        <v>0</v>
      </c>
      <c r="AN1009">
        <v>0</v>
      </c>
      <c r="AO1009">
        <v>0</v>
      </c>
      <c r="AP1009">
        <v>0</v>
      </c>
      <c r="AQ1009">
        <v>0</v>
      </c>
      <c r="AR1009">
        <v>0</v>
      </c>
    </row>
    <row r="1010" spans="1:44">
      <c r="A1010" t="str">
        <f>H1010&amp;COUNTIF($H$2:H1010,H1010)</f>
        <v>転造19</v>
      </c>
      <c r="B1010" t="str">
        <f>F1010&amp;COUNTIF($F$2:F1010,F1010)</f>
        <v>高雄工業 静岡134</v>
      </c>
      <c r="C1010" t="str">
        <v>在職中</v>
      </c>
      <c r="D1010">
        <v>250217</v>
      </c>
      <c r="E1010">
        <v>242125</v>
      </c>
      <c r="F1010" t="str">
        <v>高雄工業 静岡</v>
      </c>
      <c r="G1010" t="str">
        <v>高雄工業株式会社 静岡事業所第一工場製作課</v>
      </c>
      <c r="H1010" t="str">
        <v>転造</v>
      </c>
      <c r="I1010" t="str">
        <v>ＣＶＪ短軸等速ジョイント旋削加工・ＮＣプログラム修正</v>
      </c>
      <c r="J1010" t="str">
        <v>MAI XUAN CHAU BINH</v>
      </c>
      <c r="K1010" t="str">
        <v>マイ　スアン　チャウ　ビン</v>
      </c>
      <c r="L1010" t="str">
        <v>男</v>
      </c>
      <c r="M1010" t="str">
        <v>ﾍﾞﾄﾅﾑ</v>
      </c>
      <c r="N1010" s="31">
        <v>37608</v>
      </c>
      <c r="O1010">
        <v>22</v>
      </c>
      <c r="P1010">
        <v>1250</v>
      </c>
      <c r="Q1010">
        <v>0</v>
      </c>
      <c r="R1010">
        <v>1650</v>
      </c>
      <c r="S1010">
        <v>0</v>
      </c>
      <c r="T1010">
        <v>400</v>
      </c>
      <c r="U1010">
        <v>260000</v>
      </c>
      <c r="V1010">
        <v>13039</v>
      </c>
      <c r="W1010" t="str">
        <v>0</v>
      </c>
      <c r="X1010">
        <v>23790</v>
      </c>
      <c r="Y1010" s="31">
        <v>46789</v>
      </c>
      <c r="Z1010" t="str">
        <v/>
      </c>
      <c r="AA1010" t="str">
        <v>技術・人文知識・国際業務</v>
      </c>
      <c r="AB1010" t="str">
        <v>437-0122</v>
      </c>
      <c r="AC1010" t="str">
        <v>静岡県袋井市春岡1138番地2</v>
      </c>
      <c r="AD1010" t="str">
        <v>ﾏｯｸｽﾋﾞｭｰﾃｨA-102</v>
      </c>
      <c r="AE1010" s="31">
        <v>0</v>
      </c>
      <c r="AF1010" s="31">
        <v>45700</v>
      </c>
      <c r="AG1010" s="31">
        <v>0</v>
      </c>
      <c r="AH1010" s="31">
        <v>0</v>
      </c>
      <c r="AI1010">
        <v>45700</v>
      </c>
      <c r="AJ1010" t="str">
        <v>2/25林</v>
      </c>
      <c r="AK1010">
        <v>0</v>
      </c>
      <c r="AL1010">
        <v>45700</v>
      </c>
      <c r="AM1010">
        <v>0</v>
      </c>
      <c r="AN1010">
        <v>0</v>
      </c>
      <c r="AO1010">
        <v>0</v>
      </c>
      <c r="AP1010">
        <v>0</v>
      </c>
      <c r="AQ1010">
        <v>0</v>
      </c>
      <c r="AR1010">
        <v>0</v>
      </c>
    </row>
    <row r="1011" spans="1:44">
      <c r="A1011" t="str">
        <f>H1011&amp;COUNTIF($H$2:H1011,H1011)</f>
        <v>州の崎工場製造3課5工区6班5</v>
      </c>
      <c r="B1011" t="str">
        <f>F1011&amp;COUNTIF($F$2:F1011,F1011)</f>
        <v>コーリツ 州の崎39</v>
      </c>
      <c r="C1011" t="str">
        <v>在職中</v>
      </c>
      <c r="D1011">
        <v>230402</v>
      </c>
      <c r="E1011">
        <v>8210138</v>
      </c>
      <c r="F1011" t="str">
        <v>コーリツ 州の崎</v>
      </c>
      <c r="G1011" t="str">
        <v>州の崎工場製造3課5工区6班</v>
      </c>
      <c r="H1011" t="str">
        <v>州の崎工場製造3課5工区6班</v>
      </c>
      <c r="I1011">
        <v>0</v>
      </c>
      <c r="J1011" t="str">
        <v>LE VIET TRUNG</v>
      </c>
      <c r="K1011" t="str">
        <v>レー　ヴィエット　チュン</v>
      </c>
      <c r="L1011" t="str">
        <v>男</v>
      </c>
      <c r="M1011" t="str">
        <v>ﾍﾞﾄﾅﾑ</v>
      </c>
      <c r="N1011" s="31">
        <v>36751</v>
      </c>
      <c r="O1011">
        <v>25</v>
      </c>
      <c r="P1011">
        <v>1500</v>
      </c>
      <c r="Q1011">
        <v>0</v>
      </c>
      <c r="R1011">
        <v>2150</v>
      </c>
      <c r="S1011">
        <v>0</v>
      </c>
      <c r="T1011">
        <v>650</v>
      </c>
      <c r="U1011">
        <v>190000</v>
      </c>
      <c r="V1011">
        <v>9528</v>
      </c>
      <c r="W1011" t="str">
        <v>0</v>
      </c>
      <c r="X1011">
        <v>17385</v>
      </c>
      <c r="Y1011" s="31">
        <v>46131</v>
      </c>
      <c r="Z1011" t="str">
        <v/>
      </c>
      <c r="AA1011" t="str">
        <v>技術・人文知識・国際業務</v>
      </c>
      <c r="AB1011" t="str">
        <v>475-0061</v>
      </c>
      <c r="AC1011" t="str">
        <v>愛知県半田市一ノ草町201-11</v>
      </c>
      <c r="AD1011" t="str">
        <v>ﾒｿﾞﾝﾊﾟｰｸｱﾍﾞﾆｭｰ103</v>
      </c>
      <c r="AE1011" s="31">
        <v>0</v>
      </c>
      <c r="AF1011" s="31">
        <v>45887</v>
      </c>
      <c r="AG1011" s="31">
        <v>0</v>
      </c>
      <c r="AH1011" s="31">
        <v>0</v>
      </c>
      <c r="AI1011">
        <v>45887</v>
      </c>
      <c r="AJ1011" t="str">
        <v>8/27林</v>
      </c>
      <c r="AK1011">
        <v>0</v>
      </c>
      <c r="AL1011">
        <v>45887</v>
      </c>
      <c r="AM1011">
        <v>0</v>
      </c>
      <c r="AN1011">
        <v>0</v>
      </c>
      <c r="AO1011">
        <v>0</v>
      </c>
      <c r="AP1011">
        <v>0</v>
      </c>
      <c r="AQ1011">
        <v>0</v>
      </c>
      <c r="AR1011">
        <v>0</v>
      </c>
    </row>
    <row r="1012" spans="1:44">
      <c r="A1012" t="str">
        <f>H1012&amp;COUNTIF($H$2:H1012,H1012)</f>
        <v>亀崎工場製造5課7工区9班5</v>
      </c>
      <c r="B1012" t="str">
        <f>F1012&amp;COUNTIF($F$2:F1012,F1012)</f>
        <v>コーリツ 亀崎14</v>
      </c>
      <c r="C1012" t="str">
        <v>在職中</v>
      </c>
      <c r="D1012">
        <v>250805</v>
      </c>
      <c r="E1012">
        <v>8210137</v>
      </c>
      <c r="F1012" t="str">
        <v>コーリツ 亀崎</v>
      </c>
      <c r="G1012" t="str">
        <v>亀崎工場製造5課7工区9班</v>
      </c>
      <c r="H1012" t="str">
        <v>亀崎工場製造5課7工区9班</v>
      </c>
      <c r="I1012">
        <v>0</v>
      </c>
      <c r="J1012" t="str">
        <v>DINH VAN THANG</v>
      </c>
      <c r="K1012" t="str">
        <v>ディン　ヴァン　タン</v>
      </c>
      <c r="L1012" t="str">
        <v>男</v>
      </c>
      <c r="M1012" t="str">
        <v>ﾍﾞﾄﾅﾑ</v>
      </c>
      <c r="N1012" s="31">
        <v>35342</v>
      </c>
      <c r="O1012">
        <v>29</v>
      </c>
      <c r="P1012">
        <v>1500</v>
      </c>
      <c r="Q1012">
        <v>0</v>
      </c>
      <c r="R1012">
        <v>2150</v>
      </c>
      <c r="S1012">
        <v>0</v>
      </c>
      <c r="T1012">
        <v>650</v>
      </c>
      <c r="U1012">
        <v>190000</v>
      </c>
      <c r="V1012">
        <v>9528</v>
      </c>
      <c r="W1012" t="str">
        <v>0</v>
      </c>
      <c r="X1012">
        <v>17385</v>
      </c>
      <c r="Y1012" s="31">
        <v>46114</v>
      </c>
      <c r="Z1012" t="str">
        <v/>
      </c>
      <c r="AA1012" t="str">
        <v>技術・人文知識・国際業務</v>
      </c>
      <c r="AB1012" t="str">
        <v>475-0061</v>
      </c>
      <c r="AC1012" t="str">
        <v>愛知県半田市一ノ草町201-11</v>
      </c>
      <c r="AD1012" t="str">
        <v>ﾒｿﾞﾝﾊﾟｰｸｱﾍﾞﾆｭｰ202</v>
      </c>
      <c r="AE1012" s="31">
        <v>0</v>
      </c>
      <c r="AF1012" s="31">
        <v>45887</v>
      </c>
      <c r="AG1012" s="31">
        <v>0</v>
      </c>
      <c r="AH1012" s="31">
        <v>0</v>
      </c>
      <c r="AI1012">
        <v>45887</v>
      </c>
      <c r="AJ1012" t="str">
        <v>8/27林</v>
      </c>
      <c r="AK1012">
        <v>0</v>
      </c>
      <c r="AL1012">
        <v>45887</v>
      </c>
      <c r="AM1012">
        <v>0</v>
      </c>
      <c r="AN1012">
        <v>0</v>
      </c>
      <c r="AO1012">
        <v>0</v>
      </c>
      <c r="AP1012">
        <v>0</v>
      </c>
      <c r="AQ1012">
        <v>0</v>
      </c>
      <c r="AR1012">
        <v>0</v>
      </c>
    </row>
    <row r="1013" spans="1:44">
      <c r="A1013" t="str">
        <f>H1013&amp;COUNTIF($H$2:H1013,H1013)</f>
        <v>J加工1課4</v>
      </c>
      <c r="B1013" t="str">
        <f>F1013&amp;COUNTIF($F$2:F1013,F1013)</f>
        <v>加藤木材工業 本社51</v>
      </c>
      <c r="C1013" t="str">
        <v>在職中</v>
      </c>
      <c r="D1013">
        <v>250806</v>
      </c>
      <c r="E1013">
        <v>5709</v>
      </c>
      <c r="F1013" t="str">
        <v>加藤木材工業 本社</v>
      </c>
      <c r="G1013" t="str">
        <v>生産2部</v>
      </c>
      <c r="H1013" t="str">
        <v>J加工1課</v>
      </c>
      <c r="I1013" t="str">
        <v>機械オペレーター及び機械メンテナンス他付随する業務</v>
      </c>
      <c r="J1013" t="str">
        <v>LE VAN HOANG</v>
      </c>
      <c r="K1013" t="str">
        <v>レー　ヴァン　ホアン</v>
      </c>
      <c r="L1013" t="str">
        <v>男</v>
      </c>
      <c r="M1013" t="str">
        <v>ﾍﾞﾄﾅﾑ</v>
      </c>
      <c r="N1013" s="31">
        <v>32875</v>
      </c>
      <c r="O1013">
        <v>35</v>
      </c>
      <c r="P1013">
        <v>1300</v>
      </c>
      <c r="Q1013">
        <v>0</v>
      </c>
      <c r="R1013">
        <v>1700</v>
      </c>
      <c r="S1013">
        <v>0</v>
      </c>
      <c r="T1013">
        <v>400</v>
      </c>
      <c r="U1013">
        <v>170000</v>
      </c>
      <c r="V1013">
        <v>8525</v>
      </c>
      <c r="W1013" t="str">
        <v>0</v>
      </c>
      <c r="X1013">
        <v>15555</v>
      </c>
      <c r="Y1013" s="31">
        <v>46597</v>
      </c>
      <c r="Z1013" t="str">
        <v/>
      </c>
      <c r="AA1013" t="str">
        <v>技術・人文知識・国際業務</v>
      </c>
      <c r="AB1013" t="str">
        <v>486-0918</v>
      </c>
      <c r="AC1013" t="str">
        <v>愛知県春日井市如意申町6-11-17</v>
      </c>
      <c r="AD1013" t="str">
        <v>ﾌﾚｸﾞﾗﾝｽｳｼ201</v>
      </c>
      <c r="AE1013" s="31">
        <v>0</v>
      </c>
      <c r="AF1013" s="31">
        <v>45887</v>
      </c>
      <c r="AG1013" s="31">
        <v>0</v>
      </c>
      <c r="AH1013" s="31">
        <v>0</v>
      </c>
      <c r="AI1013">
        <v>45887</v>
      </c>
      <c r="AJ1013" t="str">
        <v>8/27林</v>
      </c>
      <c r="AK1013">
        <v>0</v>
      </c>
      <c r="AL1013">
        <v>45887</v>
      </c>
      <c r="AM1013">
        <v>0</v>
      </c>
      <c r="AN1013">
        <v>0</v>
      </c>
      <c r="AO1013">
        <v>0</v>
      </c>
      <c r="AP1013">
        <v>0</v>
      </c>
      <c r="AQ1013">
        <v>0</v>
      </c>
      <c r="AR1013">
        <v>0</v>
      </c>
    </row>
    <row r="1014" spans="1:44">
      <c r="A1014" t="str">
        <f>H1014&amp;COUNTIF($H$2:H1014,H1014)</f>
        <v>J加工1課5</v>
      </c>
      <c r="B1014" t="str">
        <f>F1014&amp;COUNTIF($F$2:F1014,F1014)</f>
        <v>加藤木材工業 本社52</v>
      </c>
      <c r="C1014" t="str">
        <v>在職中</v>
      </c>
      <c r="D1014">
        <v>250807</v>
      </c>
      <c r="E1014">
        <v>0</v>
      </c>
      <c r="F1014" t="str">
        <v>加藤木材工業 本社</v>
      </c>
      <c r="G1014" t="str">
        <v>生産2部</v>
      </c>
      <c r="H1014" t="str">
        <v>J加工1課</v>
      </c>
      <c r="I1014" t="str">
        <v>機械オペレーター及び機械メンテナンス他付随する業務</v>
      </c>
      <c r="J1014" t="str">
        <v>DANG HUYNH NAM</v>
      </c>
      <c r="K1014" t="str">
        <v>ダン　フイン　ナム</v>
      </c>
      <c r="L1014" t="str">
        <v>男</v>
      </c>
      <c r="M1014" t="str">
        <v>ﾍﾞﾄﾅﾑ</v>
      </c>
      <c r="N1014" s="31">
        <v>33962</v>
      </c>
      <c r="O1014">
        <v>32</v>
      </c>
      <c r="P1014">
        <v>1300</v>
      </c>
      <c r="Q1014">
        <v>0</v>
      </c>
      <c r="R1014">
        <v>1700</v>
      </c>
      <c r="S1014">
        <v>0</v>
      </c>
      <c r="T1014">
        <v>400</v>
      </c>
      <c r="U1014">
        <v>170000</v>
      </c>
      <c r="V1014">
        <v>8525</v>
      </c>
      <c r="W1014" t="str">
        <v>0</v>
      </c>
      <c r="X1014">
        <v>15555</v>
      </c>
      <c r="Y1014" s="31">
        <v>46956</v>
      </c>
      <c r="Z1014" t="str">
        <v/>
      </c>
      <c r="AA1014" t="str">
        <v>技術・人文知識・国際業務</v>
      </c>
      <c r="AB1014" t="str">
        <v>486-0912</v>
      </c>
      <c r="AC1014" t="str">
        <v>愛知県春日井市高山町4丁目13-13</v>
      </c>
      <c r="AD1014" t="str">
        <v>ﾒｿﾞﾝ辻山102</v>
      </c>
      <c r="AE1014" s="31">
        <v>0</v>
      </c>
      <c r="AF1014" s="31">
        <v>45890</v>
      </c>
      <c r="AG1014" s="31">
        <v>0</v>
      </c>
      <c r="AH1014" s="31">
        <v>0</v>
      </c>
      <c r="AI1014">
        <v>45890</v>
      </c>
      <c r="AJ1014" t="str">
        <v>9/25林</v>
      </c>
      <c r="AK1014">
        <v>0</v>
      </c>
      <c r="AL1014">
        <v>45890</v>
      </c>
      <c r="AM1014">
        <v>0</v>
      </c>
      <c r="AN1014">
        <v>0</v>
      </c>
      <c r="AO1014">
        <v>0</v>
      </c>
      <c r="AP1014">
        <v>0</v>
      </c>
      <c r="AQ1014">
        <v>0</v>
      </c>
      <c r="AR1014">
        <v>0</v>
      </c>
    </row>
    <row r="1015" spans="1:44">
      <c r="A1015" t="str">
        <f>H1015&amp;COUNTIF($H$2:H1015,H1015)</f>
        <v>0303</v>
      </c>
      <c r="B1015" t="str">
        <f>F1015&amp;COUNTIF($F$2:F1015,F1015)</f>
        <v>三幸技研11</v>
      </c>
      <c r="C1015" t="str">
        <v>在職中</v>
      </c>
      <c r="D1015">
        <v>250808</v>
      </c>
      <c r="E1015">
        <v>0</v>
      </c>
      <c r="F1015" t="str">
        <v>三幸技研</v>
      </c>
      <c r="G1015">
        <v>0</v>
      </c>
      <c r="H1015">
        <v>0</v>
      </c>
      <c r="I1015">
        <v>0</v>
      </c>
      <c r="J1015" t="str">
        <v>NGUYEN THAI NANG</v>
      </c>
      <c r="K1015" t="str">
        <v>グエン　タイ　ナン</v>
      </c>
      <c r="L1015" t="str">
        <v>男</v>
      </c>
      <c r="M1015" t="str">
        <v>ﾍﾞﾄﾅﾑ</v>
      </c>
      <c r="N1015" s="31">
        <v>32855</v>
      </c>
      <c r="O1015">
        <v>35</v>
      </c>
      <c r="P1015">
        <v>1300</v>
      </c>
      <c r="Q1015">
        <v>0</v>
      </c>
      <c r="R1015">
        <v>1800</v>
      </c>
      <c r="S1015">
        <v>0</v>
      </c>
      <c r="T1015">
        <v>500</v>
      </c>
      <c r="U1015">
        <v>170000</v>
      </c>
      <c r="V1015">
        <v>8525</v>
      </c>
      <c r="W1015" t="str">
        <v>0</v>
      </c>
      <c r="X1015">
        <v>15555</v>
      </c>
      <c r="Y1015" s="31">
        <v>46260</v>
      </c>
      <c r="Z1015" t="str">
        <v/>
      </c>
      <c r="AA1015" t="str">
        <v>技術・人文知識・国際業務</v>
      </c>
      <c r="AB1015" t="str">
        <v>474-0073</v>
      </c>
      <c r="AC1015" t="str">
        <v>愛知県大府市東新町3-11</v>
      </c>
      <c r="AD1015" t="str">
        <v>ﾋﾞﾚｯｼﾞﾊｳｽ2-309</v>
      </c>
      <c r="AE1015" s="31" t="str">
        <v>個人</v>
      </c>
      <c r="AF1015" s="31">
        <v>45890</v>
      </c>
      <c r="AG1015" s="31">
        <v>0</v>
      </c>
      <c r="AH1015" s="31">
        <v>0</v>
      </c>
      <c r="AI1015">
        <v>45890</v>
      </c>
      <c r="AJ1015" t="str">
        <v>9/19林</v>
      </c>
      <c r="AK1015">
        <v>0</v>
      </c>
      <c r="AL1015">
        <v>45890</v>
      </c>
      <c r="AM1015">
        <v>0</v>
      </c>
      <c r="AN1015">
        <v>0</v>
      </c>
      <c r="AO1015">
        <v>0</v>
      </c>
      <c r="AP1015">
        <v>0</v>
      </c>
      <c r="AQ1015">
        <v>0</v>
      </c>
      <c r="AR1015">
        <v>0</v>
      </c>
    </row>
    <row r="1016" spans="1:44">
      <c r="A1016" t="str">
        <f>H1016&amp;COUNTIF($H$2:H1016,H1016)</f>
        <v>品証安全環境管理課2</v>
      </c>
      <c r="B1016" t="str">
        <f>F1016&amp;COUNTIF($F$2:F1016,F1016)</f>
        <v>加藤木材工業 本社53</v>
      </c>
      <c r="C1016" t="str">
        <v>在職中</v>
      </c>
      <c r="D1016">
        <v>240801</v>
      </c>
      <c r="E1016">
        <v>5630</v>
      </c>
      <c r="F1016" t="str">
        <v>加藤木材工業 本社</v>
      </c>
      <c r="G1016" t="str">
        <v>生産管理部</v>
      </c>
      <c r="H1016" t="str">
        <v>品証安全環境管理課</v>
      </c>
      <c r="I1016" t="str">
        <v>機械オペレーター及び機械メンテナンス他付随する業務</v>
      </c>
      <c r="J1016" t="str">
        <v>NGUYEN THANH Y</v>
      </c>
      <c r="K1016" t="str">
        <v>グエン　タン　イー</v>
      </c>
      <c r="L1016" t="str">
        <v>男</v>
      </c>
      <c r="M1016" t="str">
        <v>ﾍﾞﾄﾅﾑ</v>
      </c>
      <c r="N1016" s="31">
        <v>35005</v>
      </c>
      <c r="O1016">
        <v>30</v>
      </c>
      <c r="P1016">
        <v>1300</v>
      </c>
      <c r="Q1016">
        <v>0</v>
      </c>
      <c r="R1016">
        <v>1700</v>
      </c>
      <c r="S1016">
        <v>0</v>
      </c>
      <c r="T1016">
        <v>400</v>
      </c>
      <c r="U1016">
        <v>170000</v>
      </c>
      <c r="V1016">
        <v>8525</v>
      </c>
      <c r="W1016" t="str">
        <v>0</v>
      </c>
      <c r="X1016">
        <v>15555</v>
      </c>
      <c r="Y1016" s="31">
        <v>46457</v>
      </c>
      <c r="Z1016" t="str">
        <v/>
      </c>
      <c r="AA1016" t="str">
        <v>技術・人文知識・国際業務</v>
      </c>
      <c r="AB1016" t="str">
        <v>486-0912</v>
      </c>
      <c r="AC1016" t="str">
        <v>愛知県春日井市高山町2丁目32番地4</v>
      </c>
      <c r="AD1016" t="str">
        <v>ﾊﾟｰｸｻｲﾄﾞｽｽﾞｷ101</v>
      </c>
      <c r="AE1016" s="31">
        <v>0</v>
      </c>
      <c r="AF1016" s="31">
        <v>45894</v>
      </c>
      <c r="AG1016" s="31">
        <v>0</v>
      </c>
      <c r="AH1016" s="31">
        <v>0</v>
      </c>
      <c r="AI1016">
        <v>45894</v>
      </c>
      <c r="AJ1016" t="str">
        <v>9/25林</v>
      </c>
      <c r="AK1016">
        <v>0</v>
      </c>
      <c r="AL1016">
        <v>45894</v>
      </c>
      <c r="AM1016">
        <v>0</v>
      </c>
      <c r="AN1016">
        <v>0</v>
      </c>
      <c r="AO1016">
        <v>0</v>
      </c>
      <c r="AP1016">
        <v>0</v>
      </c>
      <c r="AQ1016">
        <v>0</v>
      </c>
      <c r="AR1016">
        <v>0</v>
      </c>
    </row>
    <row r="1017" spans="1:44">
      <c r="A1017" t="str">
        <f>H1017&amp;COUNTIF($H$2:H1017,H1017)</f>
        <v>資材課6</v>
      </c>
      <c r="B1017" t="str">
        <f>F1017&amp;COUNTIF($F$2:F1017,F1017)</f>
        <v>加藤木材工業 本社54</v>
      </c>
      <c r="C1017" t="str">
        <v>在職中</v>
      </c>
      <c r="D1017">
        <v>221010</v>
      </c>
      <c r="E1017">
        <v>5501</v>
      </c>
      <c r="F1017" t="str">
        <v>加藤木材工業 本社</v>
      </c>
      <c r="G1017" t="str">
        <v>生産企画部</v>
      </c>
      <c r="H1017" t="str">
        <v>資材課</v>
      </c>
      <c r="I1017" t="str">
        <v>機械オペレーター及び機械メンテナンス他付随する業務</v>
      </c>
      <c r="J1017" t="str">
        <v>HUYNH TRUNG TUYEN</v>
      </c>
      <c r="K1017" t="str">
        <v>フイン　チュン　トウエン</v>
      </c>
      <c r="L1017" t="str">
        <v>男</v>
      </c>
      <c r="M1017" t="str">
        <v>ﾍﾞﾄﾅﾑ</v>
      </c>
      <c r="N1017" s="31">
        <v>35133</v>
      </c>
      <c r="O1017">
        <v>29</v>
      </c>
      <c r="P1017">
        <v>1330</v>
      </c>
      <c r="Q1017" t="str">
        <v>2025/5/21～1300円⇒1330円</v>
      </c>
      <c r="R1017">
        <v>1745</v>
      </c>
      <c r="S1017" t="str">
        <v>2025/5/21~1700円⇒1745円</v>
      </c>
      <c r="T1017">
        <v>415</v>
      </c>
      <c r="U1017">
        <v>170000</v>
      </c>
      <c r="V1017">
        <v>8525</v>
      </c>
      <c r="W1017" t="str">
        <v>0</v>
      </c>
      <c r="X1017">
        <v>15555</v>
      </c>
      <c r="Y1017" s="31">
        <v>46900</v>
      </c>
      <c r="Z1017" t="str">
        <v/>
      </c>
      <c r="AA1017" t="str">
        <v>技術・人文知識・国際業務</v>
      </c>
      <c r="AB1017" t="str">
        <v>486-0806</v>
      </c>
      <c r="AC1017" t="str">
        <v>愛知県春日井市大手田酉町1-5-15</v>
      </c>
      <c r="AD1017" t="str">
        <v>ｻﾝｳﾞｨﾚｯｼﾞ91-205</v>
      </c>
      <c r="AE1017" s="31">
        <v>0</v>
      </c>
      <c r="AF1017" s="31">
        <v>45894</v>
      </c>
      <c r="AG1017" s="31">
        <v>0</v>
      </c>
      <c r="AH1017" s="31">
        <v>0</v>
      </c>
      <c r="AI1017">
        <v>45894</v>
      </c>
      <c r="AJ1017" t="str">
        <v>9/19林</v>
      </c>
      <c r="AK1017">
        <v>0</v>
      </c>
      <c r="AL1017">
        <v>45894</v>
      </c>
      <c r="AM1017">
        <v>0</v>
      </c>
      <c r="AN1017">
        <v>0</v>
      </c>
      <c r="AO1017">
        <v>0</v>
      </c>
      <c r="AP1017">
        <v>0</v>
      </c>
      <c r="AQ1017">
        <v>0</v>
      </c>
      <c r="AR1017">
        <v>0</v>
      </c>
    </row>
    <row r="1018" spans="1:44">
      <c r="A1018" t="str">
        <f>H1018&amp;COUNTIF($H$2:H1018,H1018)</f>
        <v>0304</v>
      </c>
      <c r="B1018" t="str">
        <f>F1018&amp;COUNTIF($F$2:F1018,F1018)</f>
        <v>六甲電子36</v>
      </c>
      <c r="C1018" t="str">
        <v>在職中</v>
      </c>
      <c r="D1018">
        <v>250809</v>
      </c>
      <c r="E1018">
        <v>0</v>
      </c>
      <c r="F1018" t="str">
        <v>六甲電子</v>
      </c>
      <c r="G1018">
        <v>0</v>
      </c>
      <c r="H1018">
        <v>0</v>
      </c>
      <c r="I1018">
        <v>0</v>
      </c>
      <c r="J1018" t="str">
        <v>NGUYEN VAN HAU</v>
      </c>
      <c r="K1018" t="str">
        <v>グエン　ヴァン　ハウ</v>
      </c>
      <c r="L1018" t="str">
        <v>男</v>
      </c>
      <c r="M1018" t="str">
        <v>ﾍﾞﾄﾅﾑ</v>
      </c>
      <c r="N1018" s="31">
        <v>35968</v>
      </c>
      <c r="O1018">
        <v>27</v>
      </c>
      <c r="P1018">
        <v>1400</v>
      </c>
      <c r="Q1018">
        <v>0</v>
      </c>
      <c r="R1018">
        <v>2000</v>
      </c>
      <c r="S1018">
        <v>0</v>
      </c>
      <c r="T1018">
        <v>600</v>
      </c>
      <c r="U1018">
        <v>200000</v>
      </c>
      <c r="V1018">
        <v>10030</v>
      </c>
      <c r="W1018" t="str">
        <v>0</v>
      </c>
      <c r="X1018">
        <v>18300</v>
      </c>
      <c r="Y1018" s="31">
        <v>46688</v>
      </c>
      <c r="Z1018" t="str">
        <v/>
      </c>
      <c r="AA1018" t="str">
        <v>技術・人文知識・国際業務</v>
      </c>
      <c r="AB1018" t="str">
        <v>663-8105</v>
      </c>
      <c r="AC1018" t="str">
        <v>兵庫県西宮市中島町7-5</v>
      </c>
      <c r="AD1018" t="str">
        <v>ｼｬﾙﾑ三田202</v>
      </c>
      <c r="AE1018" s="31">
        <v>45895</v>
      </c>
      <c r="AF1018" s="31">
        <v>45896</v>
      </c>
      <c r="AG1018" s="31">
        <v>0</v>
      </c>
      <c r="AH1018" s="31">
        <v>0</v>
      </c>
      <c r="AI1018">
        <v>45896</v>
      </c>
      <c r="AJ1018" t="str">
        <v>9/19林</v>
      </c>
      <c r="AK1018">
        <v>0</v>
      </c>
      <c r="AL1018">
        <v>45896</v>
      </c>
      <c r="AM1018">
        <v>0</v>
      </c>
      <c r="AN1018">
        <v>0</v>
      </c>
      <c r="AO1018">
        <v>0</v>
      </c>
      <c r="AP1018">
        <v>0</v>
      </c>
      <c r="AQ1018">
        <v>0</v>
      </c>
      <c r="AR1018">
        <v>0</v>
      </c>
    </row>
    <row r="1019" spans="1:44">
      <c r="A1019" t="str">
        <f>H1019&amp;COUNTIF($H$2:H1019,H1019)</f>
        <v>転造20</v>
      </c>
      <c r="B1019" t="str">
        <f>F1019&amp;COUNTIF($F$2:F1019,F1019)</f>
        <v>高雄工業 静岡135</v>
      </c>
      <c r="C1019" t="str">
        <v>在職中</v>
      </c>
      <c r="D1019">
        <v>250218</v>
      </c>
      <c r="E1019">
        <v>242122</v>
      </c>
      <c r="F1019" t="str">
        <v>高雄工業 静岡</v>
      </c>
      <c r="G1019" t="str">
        <v>高雄工業株式会社 静岡事業所第一工場製作課</v>
      </c>
      <c r="H1019" t="str">
        <v>転造</v>
      </c>
      <c r="I1019" t="str">
        <v>ＣＶＪ短軸等速ジョイント旋削加工・ＮＣプログラム修正</v>
      </c>
      <c r="J1019" t="str">
        <v>BUI VAN SON</v>
      </c>
      <c r="K1019" t="str">
        <v>ブイ　ヴァン　ソン</v>
      </c>
      <c r="L1019" t="str">
        <v>男</v>
      </c>
      <c r="M1019" t="str">
        <v>ﾍﾞﾄﾅﾑ</v>
      </c>
      <c r="N1019" s="31">
        <v>37316</v>
      </c>
      <c r="O1019">
        <v>23</v>
      </c>
      <c r="P1019">
        <v>1250</v>
      </c>
      <c r="Q1019">
        <v>0</v>
      </c>
      <c r="R1019">
        <v>1650</v>
      </c>
      <c r="S1019">
        <v>0</v>
      </c>
      <c r="T1019">
        <v>400</v>
      </c>
      <c r="U1019">
        <v>260000</v>
      </c>
      <c r="V1019">
        <v>13039</v>
      </c>
      <c r="W1019" t="str">
        <v>0</v>
      </c>
      <c r="X1019">
        <v>23790</v>
      </c>
      <c r="Y1019" s="31">
        <v>46789</v>
      </c>
      <c r="Z1019" t="str">
        <v/>
      </c>
      <c r="AA1019" t="str">
        <v>技術・人文知識・国際業務</v>
      </c>
      <c r="AB1019" t="str">
        <v>437-0015</v>
      </c>
      <c r="AC1019" t="str">
        <v>静岡県袋井市旭町2-7-5</v>
      </c>
      <c r="AD1019" t="str">
        <v>ﾌｨﾌﾃｨⅡ102</v>
      </c>
      <c r="AE1019" s="31">
        <v>0</v>
      </c>
      <c r="AF1019" s="31">
        <v>45700</v>
      </c>
      <c r="AG1019" s="31">
        <v>0</v>
      </c>
      <c r="AH1019" s="31">
        <v>0</v>
      </c>
      <c r="AI1019">
        <v>45700</v>
      </c>
      <c r="AJ1019" t="str">
        <v>2/25林</v>
      </c>
      <c r="AK1019">
        <v>0</v>
      </c>
      <c r="AL1019">
        <v>45700</v>
      </c>
      <c r="AM1019">
        <v>0</v>
      </c>
      <c r="AN1019">
        <v>0</v>
      </c>
      <c r="AO1019">
        <v>0</v>
      </c>
      <c r="AP1019">
        <v>0</v>
      </c>
      <c r="AQ1019">
        <v>0</v>
      </c>
      <c r="AR1019">
        <v>0</v>
      </c>
    </row>
    <row r="1020" spans="1:44">
      <c r="A1020" t="str">
        <f>H1020&amp;COUNTIF($H$2:H1020,H1020)</f>
        <v>1次旋係94</v>
      </c>
      <c r="B1020" t="str">
        <f>F1020&amp;COUNTIF($F$2:F1020,F1020)</f>
        <v>高雄工業 岡山181</v>
      </c>
      <c r="C1020" t="str">
        <v>在職中</v>
      </c>
      <c r="D1020">
        <v>220317</v>
      </c>
      <c r="E1020">
        <v>232109</v>
      </c>
      <c r="F1020" t="str">
        <v>高雄工業 岡山</v>
      </c>
      <c r="G1020" t="str">
        <v>高雄工業株式会社 岡山事業所HUB工場製作1課</v>
      </c>
      <c r="H1020" t="str">
        <v>1次旋係</v>
      </c>
      <c r="I1020" t="str">
        <v>ハブ加工 自動機の操作、ＮＣプログラム修正</v>
      </c>
      <c r="J1020" t="str">
        <v>NGUYEN DINH THANH</v>
      </c>
      <c r="K1020" t="str">
        <v>グエン　ディン　タン</v>
      </c>
      <c r="L1020" t="str">
        <v>男</v>
      </c>
      <c r="M1020" t="str">
        <v>ﾍﾞﾄﾅﾑ</v>
      </c>
      <c r="N1020" s="31">
        <v>34464</v>
      </c>
      <c r="O1020">
        <v>31</v>
      </c>
      <c r="P1020">
        <v>1420</v>
      </c>
      <c r="Q1020">
        <v>0</v>
      </c>
      <c r="R1020">
        <v>1880</v>
      </c>
      <c r="S1020">
        <v>0</v>
      </c>
      <c r="T1020">
        <v>460</v>
      </c>
      <c r="U1020">
        <v>240000</v>
      </c>
      <c r="V1020">
        <v>12036</v>
      </c>
      <c r="W1020" t="str">
        <v>0</v>
      </c>
      <c r="X1020">
        <v>21960</v>
      </c>
      <c r="Y1020" s="31">
        <v>46446</v>
      </c>
      <c r="Z1020" t="str">
        <v/>
      </c>
      <c r="AA1020" t="str">
        <v>技術・人文知識・国際業務</v>
      </c>
      <c r="AB1020" t="str">
        <v>709-2107</v>
      </c>
      <c r="AC1020" t="str">
        <v>岡山県岡山市北区御津矢原370</v>
      </c>
      <c r="AD1020" t="str">
        <v>成広ｺｰﾎﾟⅡ206</v>
      </c>
      <c r="AE1020" s="31">
        <v>0</v>
      </c>
      <c r="AF1020" s="31">
        <v>45901</v>
      </c>
      <c r="AG1020" s="31">
        <v>46006</v>
      </c>
      <c r="AH1020" s="31">
        <v>0</v>
      </c>
      <c r="AI1020">
        <v>45901</v>
      </c>
      <c r="AJ1020" t="str">
        <v>9/19林</v>
      </c>
      <c r="AK1020">
        <v>0</v>
      </c>
      <c r="AL1020">
        <v>45901</v>
      </c>
      <c r="AM1020">
        <v>0</v>
      </c>
      <c r="AN1020">
        <v>0</v>
      </c>
      <c r="AO1020">
        <v>0</v>
      </c>
      <c r="AP1020">
        <v>0</v>
      </c>
      <c r="AQ1020">
        <v>0</v>
      </c>
      <c r="AR1020">
        <v>0</v>
      </c>
    </row>
    <row r="1021" spans="1:44">
      <c r="A1021" t="str">
        <f>H1021&amp;COUNTIF($H$2:H1021,H1021)</f>
        <v>0305</v>
      </c>
      <c r="B1021" t="str">
        <f>F1021&amp;COUNTIF($F$2:F1021,F1021)</f>
        <v>六甲電子37</v>
      </c>
      <c r="C1021" t="str">
        <v>在職中</v>
      </c>
      <c r="D1021">
        <v>250901</v>
      </c>
      <c r="E1021">
        <v>0</v>
      </c>
      <c r="F1021" t="str">
        <v>六甲電子</v>
      </c>
      <c r="G1021">
        <v>0</v>
      </c>
      <c r="H1021">
        <v>0</v>
      </c>
      <c r="I1021">
        <v>0</v>
      </c>
      <c r="J1021" t="str">
        <v>NGUYEN XUAN HUONG</v>
      </c>
      <c r="K1021" t="str">
        <v>グエン　スアン　フーン</v>
      </c>
      <c r="L1021" t="str">
        <v>男</v>
      </c>
      <c r="M1021" t="str">
        <v>ﾍﾞﾄﾅﾑ</v>
      </c>
      <c r="N1021" s="31">
        <v>34422</v>
      </c>
      <c r="O1021">
        <v>31</v>
      </c>
      <c r="P1021">
        <v>1400</v>
      </c>
      <c r="Q1021">
        <v>0</v>
      </c>
      <c r="R1021">
        <v>2000</v>
      </c>
      <c r="S1021">
        <v>0</v>
      </c>
      <c r="T1021">
        <v>600</v>
      </c>
      <c r="U1021">
        <v>240000</v>
      </c>
      <c r="V1021">
        <v>12036</v>
      </c>
      <c r="W1021" t="str">
        <v>0</v>
      </c>
      <c r="X1021">
        <v>21960</v>
      </c>
      <c r="Y1021" s="31">
        <v>46934</v>
      </c>
      <c r="Z1021" t="str">
        <v/>
      </c>
      <c r="AA1021" t="str">
        <v>技術・人文知識・国際業務</v>
      </c>
      <c r="AB1021" t="str">
        <v>663-8183</v>
      </c>
      <c r="AC1021" t="str">
        <v>兵庫県西宮市里中町3丁目6番7</v>
      </c>
      <c r="AD1021" t="str">
        <v>ﾋﾟｭｱ里中406号</v>
      </c>
      <c r="AE1021" s="31" t="str">
        <v>個人</v>
      </c>
      <c r="AF1021" s="31">
        <v>45902</v>
      </c>
      <c r="AG1021" s="31">
        <v>0</v>
      </c>
      <c r="AH1021" s="31">
        <v>0</v>
      </c>
      <c r="AI1021">
        <v>45902</v>
      </c>
      <c r="AJ1021" t="str">
        <v>9/19林</v>
      </c>
      <c r="AK1021">
        <v>0</v>
      </c>
      <c r="AL1021">
        <v>45902</v>
      </c>
      <c r="AM1021">
        <v>0</v>
      </c>
      <c r="AN1021">
        <v>0</v>
      </c>
      <c r="AO1021">
        <v>0</v>
      </c>
      <c r="AP1021">
        <v>0</v>
      </c>
      <c r="AQ1021">
        <v>0</v>
      </c>
      <c r="AR1021">
        <v>0</v>
      </c>
    </row>
    <row r="1022" spans="1:44">
      <c r="A1022" t="str">
        <f>H1022&amp;COUNTIF($H$2:H1022,H1022)</f>
        <v>厚膜事業部1</v>
      </c>
      <c r="B1022" t="str">
        <f>F1022&amp;COUNTIF($F$2:F1022,F1022)</f>
        <v>美鈴工業 本社1</v>
      </c>
      <c r="C1022" t="str">
        <v>在職中</v>
      </c>
      <c r="D1022">
        <v>250902</v>
      </c>
      <c r="E1022">
        <v>10768</v>
      </c>
      <c r="F1022" t="str">
        <v>美鈴工業 本社</v>
      </c>
      <c r="G1022" t="str">
        <v>SH製造課</v>
      </c>
      <c r="H1022" t="str">
        <v>厚膜事業部</v>
      </c>
      <c r="I1022" t="str">
        <v>機械オペレーター</v>
      </c>
      <c r="J1022" t="str">
        <v>HAN QUANG LINH</v>
      </c>
      <c r="K1022" t="str">
        <v>ハン　クアン　リン</v>
      </c>
      <c r="L1022" t="str">
        <v>男</v>
      </c>
      <c r="M1022" t="str">
        <v>ﾍﾞﾄﾅﾑ</v>
      </c>
      <c r="N1022" s="31">
        <v>33439</v>
      </c>
      <c r="O1022">
        <v>34</v>
      </c>
      <c r="P1022">
        <v>1350</v>
      </c>
      <c r="Q1022">
        <v>0</v>
      </c>
      <c r="R1022">
        <v>1850</v>
      </c>
      <c r="S1022">
        <v>0</v>
      </c>
      <c r="T1022">
        <v>500</v>
      </c>
      <c r="U1022">
        <v>240000</v>
      </c>
      <c r="V1022">
        <v>12036</v>
      </c>
      <c r="W1022" t="str">
        <v>0</v>
      </c>
      <c r="X1022">
        <v>21960</v>
      </c>
      <c r="Y1022" s="31">
        <v>46607</v>
      </c>
      <c r="Z1022" t="str">
        <v/>
      </c>
      <c r="AA1022" t="str">
        <v>技術・人文知識・国際業務</v>
      </c>
      <c r="AB1022" t="str">
        <v>486-0912</v>
      </c>
      <c r="AC1022" t="str">
        <v>愛知県春日井市高山町4丁目13-13</v>
      </c>
      <c r="AD1022" t="str">
        <v>ﾒｿﾞﾝ辻山102</v>
      </c>
      <c r="AE1022" s="31">
        <v>0</v>
      </c>
      <c r="AF1022" s="31">
        <v>45908</v>
      </c>
      <c r="AG1022" s="31">
        <v>0</v>
      </c>
      <c r="AH1022" s="31">
        <v>0</v>
      </c>
      <c r="AI1022">
        <v>45908</v>
      </c>
      <c r="AJ1022" t="str">
        <v>9/19林</v>
      </c>
      <c r="AK1022">
        <v>0</v>
      </c>
      <c r="AL1022">
        <v>45908</v>
      </c>
      <c r="AM1022">
        <v>0</v>
      </c>
      <c r="AN1022">
        <v>0</v>
      </c>
      <c r="AO1022">
        <v>0</v>
      </c>
      <c r="AP1022">
        <v>0</v>
      </c>
      <c r="AQ1022">
        <v>0</v>
      </c>
      <c r="AR1022">
        <v>0</v>
      </c>
    </row>
    <row r="1023" spans="1:44">
      <c r="A1023" t="str">
        <f>H1023&amp;COUNTIF($H$2:H1023,H1023)</f>
        <v>0306</v>
      </c>
      <c r="B1023" t="str">
        <f>F1023&amp;COUNTIF($F$2:F1023,F1023)</f>
        <v>ピーエムアイ34</v>
      </c>
      <c r="C1023" t="str">
        <v>退社</v>
      </c>
      <c r="D1023">
        <v>250903</v>
      </c>
      <c r="E1023">
        <v>0</v>
      </c>
      <c r="F1023" t="str">
        <v>ピーエムアイ</v>
      </c>
      <c r="G1023">
        <v>0</v>
      </c>
      <c r="H1023">
        <v>0</v>
      </c>
      <c r="I1023">
        <v>0</v>
      </c>
      <c r="J1023" t="str">
        <v>PHAN QUOC DUC</v>
      </c>
      <c r="K1023" t="str">
        <v>ファン　クオック　ドゥック</v>
      </c>
      <c r="L1023" t="str">
        <v>男</v>
      </c>
      <c r="M1023" t="str">
        <v>ﾍﾞﾄﾅﾑ</v>
      </c>
      <c r="N1023" s="31">
        <v>35084</v>
      </c>
      <c r="O1023">
        <v>29</v>
      </c>
      <c r="P1023">
        <v>1300</v>
      </c>
      <c r="Q1023">
        <v>0</v>
      </c>
      <c r="R1023">
        <v>1800</v>
      </c>
      <c r="S1023">
        <v>0</v>
      </c>
      <c r="T1023">
        <v>500</v>
      </c>
      <c r="U1023">
        <v>240000</v>
      </c>
      <c r="V1023">
        <v>12036</v>
      </c>
      <c r="W1023" t="str">
        <v>0</v>
      </c>
      <c r="X1023">
        <v>21960</v>
      </c>
      <c r="Y1023" s="31">
        <v>46264</v>
      </c>
      <c r="Z1023" t="str">
        <v/>
      </c>
      <c r="AA1023" t="str">
        <v>技術・人文知識・国際業務</v>
      </c>
      <c r="AB1023" t="str">
        <v>471-0845</v>
      </c>
      <c r="AC1023" t="str">
        <v>愛知県豊田市田中町4-32-3</v>
      </c>
      <c r="AD1023" t="str">
        <v>ﾋﾞﾚｯｼﾞﾊｳｽ田中第二8-406</v>
      </c>
      <c r="AE1023" s="31" t="str">
        <v>個人</v>
      </c>
      <c r="AF1023" s="31">
        <v>45915</v>
      </c>
      <c r="AG1023" s="31">
        <v>45960</v>
      </c>
      <c r="AH1023" s="31">
        <v>0</v>
      </c>
      <c r="AI1023">
        <v>45915</v>
      </c>
      <c r="AJ1023" t="str">
        <v>9/25林</v>
      </c>
      <c r="AK1023">
        <v>0</v>
      </c>
      <c r="AL1023">
        <v>45915</v>
      </c>
      <c r="AM1023">
        <v>0</v>
      </c>
      <c r="AN1023">
        <v>0</v>
      </c>
      <c r="AO1023">
        <v>0</v>
      </c>
      <c r="AP1023">
        <v>0</v>
      </c>
      <c r="AQ1023">
        <v>0</v>
      </c>
      <c r="AR1023">
        <v>0</v>
      </c>
    </row>
    <row r="1024" spans="1:44">
      <c r="A1024" t="str">
        <f>H1024&amp;COUNTIF($H$2:H1024,H1024)</f>
        <v>転造21</v>
      </c>
      <c r="B1024" t="str">
        <f>F1024&amp;COUNTIF($F$2:F1024,F1024)</f>
        <v>高雄工業 静岡136</v>
      </c>
      <c r="C1024" t="str">
        <v>在職中</v>
      </c>
      <c r="D1024">
        <v>250219</v>
      </c>
      <c r="E1024">
        <v>242123</v>
      </c>
      <c r="F1024" t="str">
        <v>高雄工業 静岡</v>
      </c>
      <c r="G1024" t="str">
        <v>高雄工業株式会社 静岡事業所第一工場製作課</v>
      </c>
      <c r="H1024" t="str">
        <v>転造</v>
      </c>
      <c r="I1024" t="str">
        <v>ＣＶＪ短軸等速ジョイント旋削加工・ＮＣプログラム修正</v>
      </c>
      <c r="J1024" t="str">
        <v>NGUYEN TIEN DUNG</v>
      </c>
      <c r="K1024" t="str">
        <v>グエン　ティエン　ズン</v>
      </c>
      <c r="L1024" t="str">
        <v>男</v>
      </c>
      <c r="M1024" t="str">
        <v>ﾍﾞﾄﾅﾑ</v>
      </c>
      <c r="N1024" s="31">
        <v>37439</v>
      </c>
      <c r="O1024">
        <v>23</v>
      </c>
      <c r="P1024">
        <v>1250</v>
      </c>
      <c r="Q1024">
        <v>0</v>
      </c>
      <c r="R1024">
        <v>1650</v>
      </c>
      <c r="S1024">
        <v>0</v>
      </c>
      <c r="T1024">
        <v>400</v>
      </c>
      <c r="U1024">
        <v>240000</v>
      </c>
      <c r="V1024">
        <v>12036</v>
      </c>
      <c r="W1024" t="str">
        <v>0</v>
      </c>
      <c r="X1024">
        <v>21960</v>
      </c>
      <c r="Y1024" s="31">
        <v>46789</v>
      </c>
      <c r="Z1024" t="str">
        <v/>
      </c>
      <c r="AA1024" t="str">
        <v>技術・人文知識・国際業務</v>
      </c>
      <c r="AB1024" t="str">
        <v>437-0016</v>
      </c>
      <c r="AC1024" t="str">
        <v>静岡県袋井市葵町2丁目5番地1</v>
      </c>
      <c r="AD1024" t="str">
        <v>ｼｬﾝﾄﾞﾌﾙｰﾙ101</v>
      </c>
      <c r="AE1024" s="31">
        <v>0</v>
      </c>
      <c r="AF1024" s="31">
        <v>45700</v>
      </c>
      <c r="AG1024" s="31">
        <v>0</v>
      </c>
      <c r="AH1024" s="31">
        <v>0</v>
      </c>
      <c r="AI1024">
        <v>45700</v>
      </c>
      <c r="AJ1024" t="str">
        <v>2/25林</v>
      </c>
      <c r="AK1024">
        <v>0</v>
      </c>
      <c r="AL1024">
        <v>45700</v>
      </c>
      <c r="AM1024">
        <v>0</v>
      </c>
      <c r="AN1024">
        <v>0</v>
      </c>
      <c r="AO1024">
        <v>0</v>
      </c>
      <c r="AP1024">
        <v>0</v>
      </c>
      <c r="AQ1024">
        <v>0</v>
      </c>
      <c r="AR1024">
        <v>0</v>
      </c>
    </row>
    <row r="1025" spans="1:44">
      <c r="A1025" t="str">
        <f>H1025&amp;COUNTIF($H$2:H1025,H1025)</f>
        <v>転造22</v>
      </c>
      <c r="B1025" t="str">
        <f>F1025&amp;COUNTIF($F$2:F1025,F1025)</f>
        <v>高雄工業 静岡137</v>
      </c>
      <c r="C1025" t="str">
        <v>在職中</v>
      </c>
      <c r="D1025">
        <v>250802</v>
      </c>
      <c r="E1025">
        <v>242135</v>
      </c>
      <c r="F1025" t="str">
        <v>高雄工業 静岡</v>
      </c>
      <c r="G1025" t="str">
        <v>高雄工業株式会社 静岡事業所第一工場製作課</v>
      </c>
      <c r="H1025" t="str">
        <v>転造</v>
      </c>
      <c r="I1025" t="str">
        <v>ＣＶＪ短軸等速ジョイント旋削加工・ＮＣプログラム修正</v>
      </c>
      <c r="J1025" t="str">
        <v>HA TRONG HUNG</v>
      </c>
      <c r="K1025" t="str">
        <v>ハー　チョン　フン</v>
      </c>
      <c r="L1025" t="str">
        <v>男</v>
      </c>
      <c r="M1025" t="str">
        <v>ﾍﾞﾄﾅﾑ</v>
      </c>
      <c r="N1025" s="31">
        <v>37487</v>
      </c>
      <c r="O1025">
        <v>23</v>
      </c>
      <c r="P1025">
        <v>1200</v>
      </c>
      <c r="Q1025">
        <v>0</v>
      </c>
      <c r="R1025">
        <v>1650</v>
      </c>
      <c r="S1025">
        <v>0</v>
      </c>
      <c r="T1025">
        <v>450</v>
      </c>
      <c r="U1025">
        <v>160000</v>
      </c>
      <c r="V1025">
        <v>8024</v>
      </c>
      <c r="W1025" t="str">
        <v>0</v>
      </c>
      <c r="X1025">
        <v>14640</v>
      </c>
      <c r="Y1025" s="31">
        <v>46964</v>
      </c>
      <c r="Z1025" t="str">
        <v/>
      </c>
      <c r="AA1025" t="str">
        <v>技術・人文知識・国際業務</v>
      </c>
      <c r="AB1025" t="str">
        <v>437-0061</v>
      </c>
      <c r="AC1025" t="str">
        <v>静岡県袋井市久能1289-1</v>
      </c>
      <c r="AD1025" t="str">
        <v>ｱｳﾛｰﾗⅡ101号</v>
      </c>
      <c r="AE1025" s="31">
        <v>0</v>
      </c>
      <c r="AF1025" s="31">
        <v>45873</v>
      </c>
      <c r="AG1025" s="31">
        <v>0</v>
      </c>
      <c r="AH1025" s="31">
        <v>0</v>
      </c>
      <c r="AI1025">
        <v>45873</v>
      </c>
      <c r="AJ1025" t="str">
        <v>8/25林</v>
      </c>
      <c r="AK1025">
        <v>0</v>
      </c>
      <c r="AL1025">
        <v>45873</v>
      </c>
      <c r="AM1025">
        <v>0</v>
      </c>
      <c r="AN1025">
        <v>0</v>
      </c>
      <c r="AO1025">
        <v>0</v>
      </c>
      <c r="AP1025">
        <v>0</v>
      </c>
      <c r="AQ1025">
        <v>0</v>
      </c>
      <c r="AR1025">
        <v>0</v>
      </c>
    </row>
    <row r="1026" spans="1:44">
      <c r="A1026" t="str">
        <f>H1026&amp;COUNTIF($H$2:H1026,H1026)</f>
        <v>内輪7</v>
      </c>
      <c r="B1026" t="str">
        <f>F1026&amp;COUNTIF($F$2:F1026,F1026)</f>
        <v>高雄工業 静岡138</v>
      </c>
      <c r="C1026" t="str">
        <v>在職中</v>
      </c>
      <c r="D1026">
        <v>231216</v>
      </c>
      <c r="E1026">
        <v>242092</v>
      </c>
      <c r="F1026" t="str">
        <v>高雄工業 静岡</v>
      </c>
      <c r="G1026" t="str">
        <v>高雄工業株式会社 静岡事業所第二工場製作課</v>
      </c>
      <c r="H1026" t="str">
        <v>内輪</v>
      </c>
      <c r="I1026" t="str">
        <v>産業機械部品の研磨加工、NCプログラム修正</v>
      </c>
      <c r="J1026" t="str">
        <v>NGUYEN DUY HIEU</v>
      </c>
      <c r="K1026" t="str">
        <v>グエン　ズイ　ヒエウ</v>
      </c>
      <c r="L1026" t="str">
        <v>男</v>
      </c>
      <c r="M1026" t="str">
        <v>ﾍﾞﾄﾅﾑ</v>
      </c>
      <c r="N1026" s="31">
        <v>35325</v>
      </c>
      <c r="O1026">
        <v>29</v>
      </c>
      <c r="P1026">
        <v>1300</v>
      </c>
      <c r="Q1026">
        <v>0</v>
      </c>
      <c r="R1026">
        <v>1700</v>
      </c>
      <c r="S1026">
        <v>0</v>
      </c>
      <c r="T1026">
        <v>400</v>
      </c>
      <c r="U1026">
        <v>280000</v>
      </c>
      <c r="V1026">
        <v>14042</v>
      </c>
      <c r="W1026" t="str">
        <v>0</v>
      </c>
      <c r="X1026">
        <v>25620</v>
      </c>
      <c r="Y1026" s="31">
        <v>45997</v>
      </c>
      <c r="Z1026">
        <v>2</v>
      </c>
      <c r="AA1026" t="str">
        <v>技術・人文知識・国際業務</v>
      </c>
      <c r="AB1026" t="str">
        <v>437-0065</v>
      </c>
      <c r="AC1026" t="str">
        <v>静岡県袋井市堀越1-21-9</v>
      </c>
      <c r="AD1026" t="str">
        <v>ﾌﾟﾁｾｿﾞﾝ103号</v>
      </c>
      <c r="AE1026" s="31">
        <v>0</v>
      </c>
      <c r="AF1026" s="31">
        <v>45272</v>
      </c>
      <c r="AG1026" s="31">
        <v>0</v>
      </c>
      <c r="AH1026" s="31">
        <v>0</v>
      </c>
      <c r="AI1026" t="str">
        <v>23.12.12</v>
      </c>
      <c r="AJ1026" t="str">
        <v>12/27林</v>
      </c>
      <c r="AK1026">
        <v>0</v>
      </c>
      <c r="AL1026">
        <v>45272</v>
      </c>
      <c r="AM1026">
        <v>0</v>
      </c>
      <c r="AN1026">
        <v>0</v>
      </c>
      <c r="AO1026">
        <v>0</v>
      </c>
      <c r="AP1026">
        <v>0</v>
      </c>
      <c r="AQ1026">
        <v>0</v>
      </c>
      <c r="AR1026">
        <v>0</v>
      </c>
    </row>
    <row r="1027" spans="1:44">
      <c r="A1027" t="str">
        <f>H1027&amp;COUNTIF($H$2:H1027,H1027)</f>
        <v>0307</v>
      </c>
      <c r="B1027" t="str">
        <f>F1027&amp;COUNTIF($F$2:F1027,F1027)</f>
        <v>加藤木材工業 本社55</v>
      </c>
      <c r="C1027" t="str">
        <v>退社</v>
      </c>
      <c r="D1027">
        <v>251001</v>
      </c>
      <c r="E1027">
        <v>0</v>
      </c>
      <c r="F1027" t="str">
        <v>加藤木材工業 本社</v>
      </c>
      <c r="G1027">
        <v>0</v>
      </c>
      <c r="H1027">
        <v>0</v>
      </c>
      <c r="I1027">
        <v>0</v>
      </c>
      <c r="J1027" t="str">
        <v>LUU XUAN VU</v>
      </c>
      <c r="K1027" t="str">
        <v>リュウ　スアン　ヴ</v>
      </c>
      <c r="L1027" t="str">
        <v>男</v>
      </c>
      <c r="M1027" t="str">
        <v>ﾍﾞﾄﾅﾑ</v>
      </c>
      <c r="N1027" s="31">
        <v>36500</v>
      </c>
      <c r="O1027">
        <v>25</v>
      </c>
      <c r="P1027">
        <v>1300</v>
      </c>
      <c r="Q1027">
        <v>0</v>
      </c>
      <c r="R1027">
        <v>1700</v>
      </c>
      <c r="S1027">
        <v>0</v>
      </c>
      <c r="T1027">
        <v>400</v>
      </c>
      <c r="U1027">
        <v>0</v>
      </c>
      <c r="V1027" t="str">
        <v/>
      </c>
      <c r="W1027" t="str">
        <v>0</v>
      </c>
      <c r="X1027">
        <v>0</v>
      </c>
      <c r="Y1027" s="31">
        <v>46989</v>
      </c>
      <c r="Z1027" t="str">
        <v/>
      </c>
      <c r="AA1027" t="str">
        <v>技術・人文知識・国際業務</v>
      </c>
      <c r="AB1027" t="str">
        <v>486-0904</v>
      </c>
      <c r="AC1027" t="str">
        <v>愛知県春日井市宮町2-3-16</v>
      </c>
      <c r="AD1027" t="str">
        <v>ﾘﾝﾋﾟｱ長斉302</v>
      </c>
      <c r="AE1027" s="31">
        <v>0</v>
      </c>
      <c r="AF1027" s="31">
        <v>45931</v>
      </c>
      <c r="AG1027" s="31">
        <v>45938</v>
      </c>
      <c r="AH1027" s="31">
        <v>0</v>
      </c>
      <c r="AI1027">
        <v>0</v>
      </c>
      <c r="AJ1027">
        <v>0</v>
      </c>
      <c r="AK1027">
        <v>0</v>
      </c>
      <c r="AL1027">
        <v>45931</v>
      </c>
      <c r="AM1027">
        <v>0</v>
      </c>
      <c r="AN1027">
        <v>0</v>
      </c>
      <c r="AO1027">
        <v>0</v>
      </c>
      <c r="AP1027">
        <v>0</v>
      </c>
      <c r="AQ1027">
        <v>0</v>
      </c>
      <c r="AR1027">
        <v>0</v>
      </c>
    </row>
    <row r="1028" spans="1:44">
      <c r="A1028" t="str">
        <f>H1028&amp;COUNTIF($H$2:H1028,H1028)</f>
        <v>0308</v>
      </c>
      <c r="B1028" t="str">
        <f>F1028&amp;COUNTIF($F$2:F1028,F1028)</f>
        <v>ﾃｨｰｹｰｴﾝｼﾞﾆｱﾘﾝｸﾞ3</v>
      </c>
      <c r="C1028" t="str">
        <v>在職中</v>
      </c>
      <c r="D1028">
        <v>251002</v>
      </c>
      <c r="E1028">
        <v>0</v>
      </c>
      <c r="F1028" t="str">
        <v>ﾃｨｰｹｰｴﾝｼﾞﾆｱﾘﾝｸﾞ</v>
      </c>
      <c r="G1028">
        <v>0</v>
      </c>
      <c r="H1028">
        <v>0</v>
      </c>
      <c r="I1028">
        <v>0</v>
      </c>
      <c r="J1028" t="str">
        <v>TONG XUAN HOA</v>
      </c>
      <c r="K1028" t="str">
        <v>トン　スアン　ホア</v>
      </c>
      <c r="L1028" t="str">
        <v>男</v>
      </c>
      <c r="M1028" t="str">
        <v>ﾍﾞﾄﾅﾑ</v>
      </c>
      <c r="N1028" s="31">
        <v>34513</v>
      </c>
      <c r="O1028">
        <v>31</v>
      </c>
      <c r="P1028">
        <v>1300</v>
      </c>
      <c r="Q1028">
        <v>0</v>
      </c>
      <c r="R1028">
        <v>1750</v>
      </c>
      <c r="S1028">
        <v>0</v>
      </c>
      <c r="T1028">
        <v>450</v>
      </c>
      <c r="U1028">
        <v>240000</v>
      </c>
      <c r="V1028">
        <v>12036</v>
      </c>
      <c r="W1028" t="str">
        <v>0</v>
      </c>
      <c r="X1028">
        <v>21960</v>
      </c>
      <c r="Y1028" s="31">
        <v>46192</v>
      </c>
      <c r="Z1028" t="str">
        <v/>
      </c>
      <c r="AA1028" t="str">
        <v>技術・人文知識・国際業務</v>
      </c>
      <c r="AB1028" t="str">
        <v>437-0016</v>
      </c>
      <c r="AC1028" t="str">
        <v>静岡県袋井市葵町2-3-13</v>
      </c>
      <c r="AD1028" t="str">
        <v>ｼﾃｨﾊｲﾑｸﾞﾘｰﾝﾗｲﾄ202</v>
      </c>
      <c r="AE1028" s="31">
        <v>0</v>
      </c>
      <c r="AF1028" s="31">
        <v>45937</v>
      </c>
      <c r="AG1028" s="31">
        <v>0</v>
      </c>
      <c r="AH1028" s="31">
        <v>0</v>
      </c>
      <c r="AI1028">
        <v>45937</v>
      </c>
      <c r="AJ1028" t="str">
        <v>10/24林</v>
      </c>
      <c r="AK1028">
        <v>0</v>
      </c>
      <c r="AL1028">
        <v>45937</v>
      </c>
      <c r="AM1028">
        <v>0</v>
      </c>
      <c r="AN1028">
        <v>0</v>
      </c>
      <c r="AO1028">
        <v>0</v>
      </c>
      <c r="AP1028">
        <v>0</v>
      </c>
      <c r="AQ1028">
        <v>0</v>
      </c>
      <c r="AR1028">
        <v>0</v>
      </c>
    </row>
    <row r="1029" spans="1:44">
      <c r="A1029" t="str">
        <f>H1029&amp;COUNTIF($H$2:H1029,H1029)</f>
        <v>ヒータ事業部1</v>
      </c>
      <c r="B1029" t="str">
        <f>F1029&amp;COUNTIF($F$2:F1029,F1029)</f>
        <v>美鈴工業 本庄1</v>
      </c>
      <c r="C1029" t="str">
        <v>在職中</v>
      </c>
      <c r="D1029">
        <v>251003</v>
      </c>
      <c r="E1029">
        <v>10778</v>
      </c>
      <c r="F1029" t="str">
        <v>美鈴工業 本庄</v>
      </c>
      <c r="G1029">
        <v>0</v>
      </c>
      <c r="H1029" t="str">
        <v>ヒータ事業部</v>
      </c>
      <c r="I1029" t="str">
        <v>機械オペレーター</v>
      </c>
      <c r="J1029" t="str">
        <v>LA VAN DAI</v>
      </c>
      <c r="K1029" t="str">
        <v>ラ　ヴァン　ダイ</v>
      </c>
      <c r="L1029" t="str">
        <v>男</v>
      </c>
      <c r="M1029" t="str">
        <v>ﾍﾞﾄﾅﾑ</v>
      </c>
      <c r="N1029" s="31">
        <v>34144</v>
      </c>
      <c r="O1029">
        <v>32</v>
      </c>
      <c r="P1029">
        <v>1350</v>
      </c>
      <c r="Q1029">
        <v>0</v>
      </c>
      <c r="R1029">
        <v>1850</v>
      </c>
      <c r="S1029">
        <v>0</v>
      </c>
      <c r="T1029">
        <v>500</v>
      </c>
      <c r="U1029">
        <v>240000</v>
      </c>
      <c r="V1029">
        <v>12036</v>
      </c>
      <c r="W1029" t="str">
        <v>0</v>
      </c>
      <c r="X1029">
        <v>21960</v>
      </c>
      <c r="Y1029" s="31">
        <v>46557</v>
      </c>
      <c r="Z1029" t="str">
        <v/>
      </c>
      <c r="AA1029" t="str">
        <v>技術・人文知識・国際業務</v>
      </c>
      <c r="AB1029" t="str">
        <v>485-0075</v>
      </c>
      <c r="AC1029" t="str">
        <v>愛知県小牧市小牧市三ツ渕866</v>
      </c>
      <c r="AD1029" t="str">
        <v>サープラスウワンは・る・る209</v>
      </c>
      <c r="AE1029" s="31">
        <v>0</v>
      </c>
      <c r="AF1029" s="31">
        <v>45937</v>
      </c>
      <c r="AG1029" s="31">
        <v>0</v>
      </c>
      <c r="AH1029" s="31">
        <v>0</v>
      </c>
      <c r="AI1029">
        <v>45937</v>
      </c>
      <c r="AJ1029" t="str">
        <v>10/24林</v>
      </c>
      <c r="AK1029">
        <v>0</v>
      </c>
      <c r="AL1029">
        <v>45937</v>
      </c>
      <c r="AM1029">
        <v>0</v>
      </c>
      <c r="AN1029">
        <v>0</v>
      </c>
      <c r="AO1029">
        <v>0</v>
      </c>
      <c r="AP1029">
        <v>0</v>
      </c>
      <c r="AQ1029">
        <v>0</v>
      </c>
      <c r="AR1029">
        <v>0</v>
      </c>
    </row>
    <row r="1030" spans="1:44">
      <c r="A1030" t="str">
        <f>H1030&amp;COUNTIF($H$2:H1030,H1030)</f>
        <v>0309</v>
      </c>
      <c r="B1030" t="str">
        <f>F1030&amp;COUNTIF($F$2:F1030,F1030)</f>
        <v>加藤木材工業 本社56</v>
      </c>
      <c r="C1030" t="str">
        <v>退社</v>
      </c>
      <c r="D1030">
        <v>241201</v>
      </c>
      <c r="E1030">
        <v>0</v>
      </c>
      <c r="F1030" t="str">
        <v>加藤木材工業 本社</v>
      </c>
      <c r="G1030">
        <v>0</v>
      </c>
      <c r="H1030">
        <v>0</v>
      </c>
      <c r="I1030">
        <v>0</v>
      </c>
      <c r="J1030" t="str">
        <v>NGUYEN HUU KHANG</v>
      </c>
      <c r="K1030" t="str">
        <v>グエン　ヒュウ　カン</v>
      </c>
      <c r="L1030" t="str">
        <v>男</v>
      </c>
      <c r="M1030" t="str">
        <v>ﾍﾞﾄﾅﾑ</v>
      </c>
      <c r="N1030" s="31">
        <v>36127</v>
      </c>
      <c r="O1030">
        <v>27</v>
      </c>
      <c r="P1030">
        <v>1300</v>
      </c>
      <c r="Q1030">
        <v>0</v>
      </c>
      <c r="R1030">
        <v>1700</v>
      </c>
      <c r="S1030">
        <v>0</v>
      </c>
      <c r="T1030">
        <v>400</v>
      </c>
      <c r="U1030">
        <v>240000</v>
      </c>
      <c r="V1030">
        <v>12036</v>
      </c>
      <c r="W1030" t="str">
        <v>0</v>
      </c>
      <c r="X1030">
        <v>21960</v>
      </c>
      <c r="Y1030" s="31">
        <v>46900</v>
      </c>
      <c r="Z1030" t="str">
        <v/>
      </c>
      <c r="AA1030" t="str">
        <v>技術・人文知識・国際業務</v>
      </c>
      <c r="AB1030" t="str">
        <v>486-0901</v>
      </c>
      <c r="AC1030" t="str">
        <v>愛知県春日井市牛山781-2</v>
      </c>
      <c r="AD1030" t="str">
        <v>ﾋﾞﾚｯｼﾞﾊｳｽ牛山２棟208</v>
      </c>
      <c r="AE1030" s="31" t="str">
        <v>個人</v>
      </c>
      <c r="AF1030" s="31">
        <v>45943</v>
      </c>
      <c r="AG1030" s="31">
        <v>45978</v>
      </c>
      <c r="AH1030" s="31">
        <v>0</v>
      </c>
      <c r="AI1030">
        <v>45943</v>
      </c>
      <c r="AJ1030" t="str">
        <v>10/24林</v>
      </c>
      <c r="AK1030">
        <v>0</v>
      </c>
      <c r="AL1030">
        <v>45943</v>
      </c>
      <c r="AM1030">
        <v>0</v>
      </c>
      <c r="AN1030">
        <v>0</v>
      </c>
      <c r="AO1030">
        <v>0</v>
      </c>
      <c r="AP1030">
        <v>0</v>
      </c>
      <c r="AQ1030">
        <v>0</v>
      </c>
      <c r="AR1030">
        <v>0</v>
      </c>
    </row>
    <row r="1031" spans="1:44">
      <c r="A1031" t="str">
        <f>H1031&amp;COUNTIF($H$2:H1031,H1031)</f>
        <v>0310</v>
      </c>
      <c r="B1031" t="str">
        <f>F1031&amp;COUNTIF($F$2:F1031,F1031)</f>
        <v>川原鉄工所40</v>
      </c>
      <c r="C1031" t="str">
        <v>在職中</v>
      </c>
      <c r="D1031">
        <v>251004</v>
      </c>
      <c r="E1031">
        <v>0</v>
      </c>
      <c r="F1031" t="str">
        <v>川原鉄工所</v>
      </c>
      <c r="G1031">
        <v>0</v>
      </c>
      <c r="H1031">
        <v>0</v>
      </c>
      <c r="I1031">
        <v>0</v>
      </c>
      <c r="J1031" t="str">
        <v>DAO VAN TUONG</v>
      </c>
      <c r="K1031" t="str">
        <v>ダオ　ヴァン　トウオン</v>
      </c>
      <c r="L1031" t="str">
        <v>男</v>
      </c>
      <c r="M1031" t="str">
        <v>ﾍﾞﾄﾅﾑ</v>
      </c>
      <c r="N1031" s="31">
        <v>34380</v>
      </c>
      <c r="O1031">
        <v>31</v>
      </c>
      <c r="P1031">
        <v>1300</v>
      </c>
      <c r="Q1031">
        <v>0</v>
      </c>
      <c r="R1031">
        <v>1650</v>
      </c>
      <c r="S1031">
        <v>0</v>
      </c>
      <c r="T1031">
        <v>350</v>
      </c>
      <c r="U1031">
        <v>240000</v>
      </c>
      <c r="V1031">
        <v>12036</v>
      </c>
      <c r="W1031" t="str">
        <v>0</v>
      </c>
      <c r="X1031">
        <v>21960</v>
      </c>
      <c r="Y1031" s="31">
        <v>47262</v>
      </c>
      <c r="Z1031" t="str">
        <v/>
      </c>
      <c r="AA1031" t="str">
        <v>技術・人文知識・国際業務</v>
      </c>
      <c r="AB1031" t="str">
        <v>455-0806</v>
      </c>
      <c r="AC1031" t="str">
        <v>愛知県名古屋市港区明正2丁目176</v>
      </c>
      <c r="AD1031" t="str">
        <v>飯田第二ｺｰﾎﾟ103</v>
      </c>
      <c r="AE1031" s="31">
        <v>0</v>
      </c>
      <c r="AF1031" s="31">
        <v>45943</v>
      </c>
      <c r="AG1031" s="31">
        <v>0</v>
      </c>
      <c r="AH1031" s="31">
        <v>0</v>
      </c>
      <c r="AI1031">
        <v>45943</v>
      </c>
      <c r="AJ1031" t="str">
        <v>10/24林</v>
      </c>
      <c r="AK1031">
        <v>0</v>
      </c>
      <c r="AL1031">
        <v>45943</v>
      </c>
      <c r="AM1031">
        <v>0</v>
      </c>
      <c r="AN1031">
        <v>0</v>
      </c>
      <c r="AO1031">
        <v>0</v>
      </c>
      <c r="AP1031">
        <v>0</v>
      </c>
      <c r="AQ1031">
        <v>0</v>
      </c>
      <c r="AR1031">
        <v>0</v>
      </c>
    </row>
    <row r="1032" spans="1:44">
      <c r="A1032" t="str">
        <f>H1032&amp;COUNTIF($H$2:H1032,H1032)</f>
        <v>1次旋係95</v>
      </c>
      <c r="B1032" t="str">
        <f>F1032&amp;COUNTIF($F$2:F1032,F1032)</f>
        <v>高雄工業 岡山182</v>
      </c>
      <c r="C1032" t="str">
        <v>在職中</v>
      </c>
      <c r="D1032">
        <v>251005</v>
      </c>
      <c r="E1032">
        <v>232180</v>
      </c>
      <c r="F1032" t="str">
        <v>高雄工業 岡山</v>
      </c>
      <c r="G1032" t="str">
        <v>高雄工業株式会社 岡山事業所HUB工場製作1課</v>
      </c>
      <c r="H1032" t="str">
        <v>1次旋係</v>
      </c>
      <c r="I1032" t="str">
        <v>ハブ加工 自動機の操作、ＮＣプログラム修正</v>
      </c>
      <c r="J1032" t="str">
        <v>TRINH TRUNG HIEU</v>
      </c>
      <c r="K1032" t="str">
        <v>チン　チュン　ヒエウ</v>
      </c>
      <c r="L1032" t="str">
        <v>男</v>
      </c>
      <c r="M1032" t="str">
        <v>ﾍﾞﾄﾅﾑ</v>
      </c>
      <c r="N1032" s="31">
        <v>37765</v>
      </c>
      <c r="O1032">
        <v>22</v>
      </c>
      <c r="P1032">
        <v>1200</v>
      </c>
      <c r="Q1032">
        <v>0</v>
      </c>
      <c r="R1032">
        <v>1650</v>
      </c>
      <c r="S1032">
        <v>0</v>
      </c>
      <c r="T1032">
        <v>450</v>
      </c>
      <c r="U1032">
        <v>220000</v>
      </c>
      <c r="V1032">
        <v>11033</v>
      </c>
      <c r="W1032" t="str">
        <v>0</v>
      </c>
      <c r="X1032">
        <v>20130</v>
      </c>
      <c r="Y1032" s="31">
        <v>47032</v>
      </c>
      <c r="Z1032" t="str">
        <v/>
      </c>
      <c r="AA1032" t="str">
        <v>技術・人文知識・国際業務</v>
      </c>
      <c r="AB1032" t="str">
        <v>709-2107</v>
      </c>
      <c r="AC1032" t="str">
        <v>岡山県岡山市北区御津矢原294-1</v>
      </c>
      <c r="AD1032" t="str">
        <v>成広矢原ｺｰﾎﾟⅢ103</v>
      </c>
      <c r="AE1032" s="31">
        <v>0</v>
      </c>
      <c r="AF1032" s="31">
        <v>45943</v>
      </c>
      <c r="AG1032" s="31">
        <v>0</v>
      </c>
      <c r="AH1032" s="31">
        <v>0</v>
      </c>
      <c r="AI1032">
        <v>45943</v>
      </c>
      <c r="AJ1032" t="str">
        <v>11/4原</v>
      </c>
      <c r="AK1032">
        <v>0</v>
      </c>
      <c r="AL1032">
        <v>45943</v>
      </c>
      <c r="AM1032">
        <v>0</v>
      </c>
      <c r="AN1032">
        <v>0</v>
      </c>
      <c r="AO1032">
        <v>0</v>
      </c>
      <c r="AP1032">
        <v>0</v>
      </c>
      <c r="AQ1032">
        <v>0</v>
      </c>
      <c r="AR1032">
        <v>0</v>
      </c>
    </row>
    <row r="1033" spans="1:44">
      <c r="A1033" t="str">
        <f>H1033&amp;COUNTIF($H$2:H1033,H1033)</f>
        <v>1次旋係96</v>
      </c>
      <c r="B1033" t="str">
        <f>F1033&amp;COUNTIF($F$2:F1033,F1033)</f>
        <v>高雄工業 岡山183</v>
      </c>
      <c r="C1033" t="str">
        <v>在職中</v>
      </c>
      <c r="D1033">
        <v>251006</v>
      </c>
      <c r="E1033">
        <v>232179</v>
      </c>
      <c r="F1033" t="str">
        <v>高雄工業 岡山</v>
      </c>
      <c r="G1033" t="str">
        <v>高雄工業株式会社 岡山事業所HUB工場製作1課</v>
      </c>
      <c r="H1033" t="str">
        <v>1次旋係</v>
      </c>
      <c r="I1033" t="str">
        <v>ハブ加工 自動機の操作、ＮＣプログラム修正</v>
      </c>
      <c r="J1033" t="str">
        <v>DUONG MINH TIEN</v>
      </c>
      <c r="K1033" t="str">
        <v>ズオン　ミン　ティエン</v>
      </c>
      <c r="L1033" t="str">
        <v>男</v>
      </c>
      <c r="M1033" t="str">
        <v>ﾍﾞﾄﾅﾑ</v>
      </c>
      <c r="N1033" s="31">
        <v>37715</v>
      </c>
      <c r="O1033">
        <v>22</v>
      </c>
      <c r="P1033">
        <v>1200</v>
      </c>
      <c r="Q1033">
        <v>0</v>
      </c>
      <c r="R1033">
        <v>1650</v>
      </c>
      <c r="S1033">
        <v>0</v>
      </c>
      <c r="T1033">
        <v>450</v>
      </c>
      <c r="U1033">
        <v>220000</v>
      </c>
      <c r="V1033">
        <v>11033</v>
      </c>
      <c r="W1033" t="str">
        <v>0</v>
      </c>
      <c r="X1033">
        <v>20130</v>
      </c>
      <c r="Y1033" s="31">
        <v>47032</v>
      </c>
      <c r="Z1033" t="str">
        <v/>
      </c>
      <c r="AA1033" t="str">
        <v>技術・人文知識・国際業務</v>
      </c>
      <c r="AB1033" t="str">
        <v>709-2107</v>
      </c>
      <c r="AC1033" t="str">
        <v>岡山県岡山市北区御津矢原294-1</v>
      </c>
      <c r="AD1033" t="str">
        <v>成広矢原ｺｰﾎﾟⅢ103</v>
      </c>
      <c r="AE1033" s="31">
        <v>0</v>
      </c>
      <c r="AF1033" s="31">
        <v>45943</v>
      </c>
      <c r="AG1033" s="31">
        <v>0</v>
      </c>
      <c r="AH1033" s="31">
        <v>0</v>
      </c>
      <c r="AI1033">
        <v>45943</v>
      </c>
      <c r="AJ1033" t="str">
        <v>11/4原</v>
      </c>
      <c r="AK1033">
        <v>0</v>
      </c>
      <c r="AL1033">
        <v>45943</v>
      </c>
      <c r="AM1033">
        <v>0</v>
      </c>
      <c r="AN1033">
        <v>0</v>
      </c>
      <c r="AO1033">
        <v>0</v>
      </c>
      <c r="AP1033">
        <v>0</v>
      </c>
      <c r="AQ1033">
        <v>0</v>
      </c>
      <c r="AR1033">
        <v>0</v>
      </c>
    </row>
    <row r="1034" spans="1:44">
      <c r="A1034" t="str">
        <f>H1034&amp;COUNTIF($H$2:H1034,H1034)</f>
        <v>ヒータ事業部2</v>
      </c>
      <c r="B1034" t="str">
        <f>F1034&amp;COUNTIF($F$2:F1034,F1034)</f>
        <v>美鈴工業 本庄2</v>
      </c>
      <c r="C1034" t="str">
        <v>在職中</v>
      </c>
      <c r="D1034">
        <v>251007</v>
      </c>
      <c r="E1034">
        <v>10779</v>
      </c>
      <c r="F1034" t="str">
        <v>美鈴工業 本庄</v>
      </c>
      <c r="G1034">
        <v>0</v>
      </c>
      <c r="H1034" t="str">
        <v>ヒータ事業部</v>
      </c>
      <c r="I1034" t="str">
        <v>機械オペレーター</v>
      </c>
      <c r="J1034" t="str">
        <v>PHAM GIA UT</v>
      </c>
      <c r="K1034" t="str">
        <v>ファム　ジャ　ウット</v>
      </c>
      <c r="L1034" t="str">
        <v>女</v>
      </c>
      <c r="M1034" t="str">
        <v>ﾍﾞﾄﾅﾑ</v>
      </c>
      <c r="N1034" s="31">
        <v>36333</v>
      </c>
      <c r="O1034">
        <v>26</v>
      </c>
      <c r="P1034">
        <v>1350</v>
      </c>
      <c r="Q1034">
        <v>0</v>
      </c>
      <c r="R1034">
        <v>1850</v>
      </c>
      <c r="S1034">
        <v>0</v>
      </c>
      <c r="T1034">
        <v>500</v>
      </c>
      <c r="U1034">
        <v>240000</v>
      </c>
      <c r="V1034">
        <v>12036</v>
      </c>
      <c r="W1034" t="str">
        <v>0</v>
      </c>
      <c r="X1034">
        <v>21960</v>
      </c>
      <c r="Y1034" s="31">
        <v>46887</v>
      </c>
      <c r="Z1034" t="str">
        <v/>
      </c>
      <c r="AA1034" t="str">
        <v>技術・人文知識・国際業務</v>
      </c>
      <c r="AB1034" t="str">
        <v>485-0821</v>
      </c>
      <c r="AC1034" t="str">
        <v>愛知県小牧市大字本庄169番地3-2</v>
      </c>
      <c r="AD1034" t="str">
        <v>208号</v>
      </c>
      <c r="AE1034" s="31">
        <v>0</v>
      </c>
      <c r="AF1034" s="31">
        <v>45944</v>
      </c>
      <c r="AG1034" s="31">
        <v>0</v>
      </c>
      <c r="AH1034" s="31">
        <v>0</v>
      </c>
      <c r="AI1034">
        <v>45944</v>
      </c>
      <c r="AJ1034" t="str">
        <v>11/7林</v>
      </c>
      <c r="AK1034">
        <v>0</v>
      </c>
      <c r="AL1034">
        <v>45944</v>
      </c>
      <c r="AM1034">
        <v>0</v>
      </c>
      <c r="AN1034">
        <v>0</v>
      </c>
      <c r="AO1034">
        <v>0</v>
      </c>
      <c r="AP1034">
        <v>0</v>
      </c>
      <c r="AQ1034">
        <v>0</v>
      </c>
      <c r="AR1034">
        <v>0</v>
      </c>
    </row>
    <row r="1035" spans="1:44">
      <c r="A1035" t="str">
        <f>H1035&amp;COUNTIF($H$2:H1035,H1035)</f>
        <v>0311</v>
      </c>
      <c r="B1035" t="str">
        <f>F1035&amp;COUNTIF($F$2:F1035,F1035)</f>
        <v>ピーエムアイ35</v>
      </c>
      <c r="C1035" t="str">
        <v>在職中</v>
      </c>
      <c r="D1035">
        <v>251008</v>
      </c>
      <c r="E1035">
        <v>0</v>
      </c>
      <c r="F1035" t="str">
        <v>ピーエムアイ</v>
      </c>
      <c r="G1035">
        <v>0</v>
      </c>
      <c r="H1035">
        <v>0</v>
      </c>
      <c r="I1035">
        <v>0</v>
      </c>
      <c r="J1035" t="str">
        <v>PHAM THI NGOC ANH</v>
      </c>
      <c r="K1035" t="str">
        <v>ファム　ティ　ゴック　アイン</v>
      </c>
      <c r="L1035" t="str">
        <v>女</v>
      </c>
      <c r="M1035" t="str">
        <v>ﾍﾞﾄﾅﾑ</v>
      </c>
      <c r="N1035" s="31">
        <v>36263</v>
      </c>
      <c r="O1035">
        <v>26</v>
      </c>
      <c r="P1035">
        <v>1300</v>
      </c>
      <c r="Q1035">
        <v>0</v>
      </c>
      <c r="R1035">
        <v>1800</v>
      </c>
      <c r="S1035">
        <v>0</v>
      </c>
      <c r="T1035">
        <v>500</v>
      </c>
      <c r="U1035">
        <v>240000</v>
      </c>
      <c r="V1035">
        <v>12036</v>
      </c>
      <c r="W1035" t="str">
        <v>0</v>
      </c>
      <c r="X1035">
        <v>21960</v>
      </c>
      <c r="Y1035" s="31">
        <v>46276</v>
      </c>
      <c r="Z1035" t="str">
        <v/>
      </c>
      <c r="AA1035" t="str">
        <v>技術・人文知識・国際業務</v>
      </c>
      <c r="AB1035" t="str">
        <v>471-0805</v>
      </c>
      <c r="AC1035" t="str">
        <v>愛知県豊田市美里2-6-9</v>
      </c>
      <c r="AD1035" t="str">
        <v>ﾚｼﾞｪﾝﾄﾞK304</v>
      </c>
      <c r="AE1035" s="31">
        <v>0</v>
      </c>
      <c r="AF1035" s="31">
        <v>45945</v>
      </c>
      <c r="AG1035" s="31">
        <v>0</v>
      </c>
      <c r="AH1035" s="31">
        <v>0</v>
      </c>
      <c r="AI1035">
        <v>45945</v>
      </c>
      <c r="AJ1035" t="str">
        <v>10/24林</v>
      </c>
      <c r="AK1035">
        <v>0</v>
      </c>
      <c r="AL1035">
        <v>45945</v>
      </c>
      <c r="AM1035">
        <v>0</v>
      </c>
      <c r="AN1035">
        <v>0</v>
      </c>
      <c r="AO1035">
        <v>0</v>
      </c>
      <c r="AP1035">
        <v>0</v>
      </c>
      <c r="AQ1035">
        <v>0</v>
      </c>
      <c r="AR1035">
        <v>0</v>
      </c>
    </row>
    <row r="1036" spans="1:44">
      <c r="A1036" t="str">
        <f>H1036&amp;COUNTIF($H$2:H1036,H1036)</f>
        <v>0312</v>
      </c>
      <c r="B1036" t="str">
        <f>F1036&amp;COUNTIF($F$2:F1036,F1036)</f>
        <v>加藤木材工業 春日井11</v>
      </c>
      <c r="C1036" t="str">
        <v>在職中</v>
      </c>
      <c r="D1036">
        <v>251009</v>
      </c>
      <c r="E1036">
        <v>0</v>
      </c>
      <c r="F1036" t="str">
        <v>加藤木材工業 春日井</v>
      </c>
      <c r="G1036">
        <v>0</v>
      </c>
      <c r="H1036">
        <v>0</v>
      </c>
      <c r="I1036">
        <v>0</v>
      </c>
      <c r="J1036" t="str">
        <v>TRAN VAN TOAN</v>
      </c>
      <c r="K1036" t="str">
        <v>チャン　ヴァン　トアン</v>
      </c>
      <c r="L1036" t="str">
        <v>男</v>
      </c>
      <c r="M1036" t="str">
        <v>ﾍﾞﾄﾅﾑ</v>
      </c>
      <c r="N1036" s="31">
        <v>34197</v>
      </c>
      <c r="O1036">
        <v>32</v>
      </c>
      <c r="P1036">
        <v>1300</v>
      </c>
      <c r="Q1036">
        <v>0</v>
      </c>
      <c r="R1036">
        <v>1700</v>
      </c>
      <c r="S1036">
        <v>0</v>
      </c>
      <c r="T1036">
        <v>400</v>
      </c>
      <c r="U1036">
        <v>240000</v>
      </c>
      <c r="V1036">
        <v>12036</v>
      </c>
      <c r="W1036" t="str">
        <v>0</v>
      </c>
      <c r="X1036">
        <v>21960</v>
      </c>
      <c r="Y1036" s="31">
        <v>46802</v>
      </c>
      <c r="Z1036" t="str">
        <v/>
      </c>
      <c r="AA1036" t="str">
        <v>技術・人文知識・国際業務</v>
      </c>
      <c r="AB1036" t="str">
        <v>486-0912</v>
      </c>
      <c r="AC1036" t="str">
        <v>愛知県春日井市高山町4丁目13-13</v>
      </c>
      <c r="AD1036" t="str">
        <v>ﾒｿﾞﾝ辻山201</v>
      </c>
      <c r="AE1036" s="31">
        <v>45950</v>
      </c>
      <c r="AF1036" s="31">
        <v>45951</v>
      </c>
      <c r="AG1036" s="31">
        <v>0</v>
      </c>
      <c r="AH1036" s="31">
        <v>0</v>
      </c>
      <c r="AI1036">
        <v>45951</v>
      </c>
      <c r="AJ1036" t="str">
        <v>11/19林</v>
      </c>
      <c r="AK1036">
        <v>0</v>
      </c>
      <c r="AL1036">
        <v>45951</v>
      </c>
      <c r="AM1036">
        <v>0</v>
      </c>
      <c r="AN1036">
        <v>0</v>
      </c>
      <c r="AO1036">
        <v>0</v>
      </c>
      <c r="AP1036">
        <v>0</v>
      </c>
      <c r="AQ1036">
        <v>0</v>
      </c>
      <c r="AR1036">
        <v>0</v>
      </c>
    </row>
    <row r="1037" spans="1:44">
      <c r="A1037" t="str">
        <f>H1037&amp;COUNTIF($H$2:H1037,H1037)</f>
        <v>内輪8</v>
      </c>
      <c r="B1037" t="str">
        <f>F1037&amp;COUNTIF($F$2:F1037,F1037)</f>
        <v>高雄工業 静岡139</v>
      </c>
      <c r="C1037" t="str">
        <v>在職中</v>
      </c>
      <c r="D1037">
        <v>240312</v>
      </c>
      <c r="E1037">
        <v>242107</v>
      </c>
      <c r="F1037" t="str">
        <v>高雄工業 静岡</v>
      </c>
      <c r="G1037" t="str">
        <v>高雄工業株式会社 静岡事業所第二工場製作課</v>
      </c>
      <c r="H1037" t="str">
        <v>内輪</v>
      </c>
      <c r="I1037" t="str">
        <v>産業機械部品の研磨加工、NCプログラム修正</v>
      </c>
      <c r="J1037" t="str">
        <v>NGUYEN HONG HIEU</v>
      </c>
      <c r="K1037" t="str">
        <v>グエン　ホン　ヒエウ</v>
      </c>
      <c r="L1037" t="str">
        <v>男</v>
      </c>
      <c r="M1037" t="str">
        <v>ﾍﾞﾄﾅﾑ</v>
      </c>
      <c r="N1037" s="31">
        <v>36872</v>
      </c>
      <c r="O1037">
        <v>24</v>
      </c>
      <c r="P1037">
        <v>1300</v>
      </c>
      <c r="Q1037">
        <v>0</v>
      </c>
      <c r="R1037">
        <v>1660</v>
      </c>
      <c r="S1037">
        <v>0</v>
      </c>
      <c r="T1037">
        <v>360</v>
      </c>
      <c r="U1037">
        <v>280000</v>
      </c>
      <c r="V1037">
        <v>14042</v>
      </c>
      <c r="W1037" t="str">
        <v>0</v>
      </c>
      <c r="X1037">
        <v>25620</v>
      </c>
      <c r="Y1037" s="31">
        <v>46106</v>
      </c>
      <c r="Z1037" t="str">
        <v/>
      </c>
      <c r="AA1037" t="str">
        <v>技術・人文知識・国際業務</v>
      </c>
      <c r="AB1037" t="str">
        <v>437-0061</v>
      </c>
      <c r="AC1037" t="str">
        <v>静岡県袋井市久能2807-1</v>
      </c>
      <c r="AD1037" t="str">
        <v>ﾛｼﾞｭﾏﾝ久能A棟203号</v>
      </c>
      <c r="AE1037" s="31">
        <v>0</v>
      </c>
      <c r="AF1037" s="31">
        <v>45363</v>
      </c>
      <c r="AG1037" s="31">
        <v>0</v>
      </c>
      <c r="AH1037" s="31">
        <v>0</v>
      </c>
      <c r="AI1037" t="str">
        <v>24.3.12</v>
      </c>
      <c r="AJ1037" t="str">
        <v>3/27林</v>
      </c>
      <c r="AK1037">
        <v>0</v>
      </c>
      <c r="AL1037">
        <v>45363</v>
      </c>
      <c r="AM1037">
        <v>0</v>
      </c>
      <c r="AN1037">
        <v>0</v>
      </c>
      <c r="AO1037">
        <v>0</v>
      </c>
      <c r="AP1037">
        <v>0</v>
      </c>
      <c r="AQ1037" t="str">
        <v>JLPT-N4</v>
      </c>
      <c r="AR1037">
        <v>0</v>
      </c>
    </row>
    <row r="1038" spans="1:44">
      <c r="A1038" t="str">
        <f>H1038&amp;COUNTIF($H$2:H1038,H1038)</f>
        <v>州の崎工場製造3課5工区6班6</v>
      </c>
      <c r="B1038" t="str">
        <f>F1038&amp;COUNTIF($F$2:F1038,F1038)</f>
        <v>コーリツ 州の崎40</v>
      </c>
      <c r="C1038" t="str">
        <v>在職中</v>
      </c>
      <c r="D1038">
        <v>210405</v>
      </c>
      <c r="E1038">
        <v>8210009</v>
      </c>
      <c r="F1038" t="str">
        <v>コーリツ 州の崎</v>
      </c>
      <c r="G1038" t="str">
        <v>州の崎工場製造3課5工区6班</v>
      </c>
      <c r="H1038" t="str">
        <v>州の崎工場製造3課5工区6班</v>
      </c>
      <c r="I1038">
        <v>0</v>
      </c>
      <c r="J1038" t="str">
        <v>DO XUAN HIEN</v>
      </c>
      <c r="K1038" t="str">
        <v>ドー　スアン　ヒエン</v>
      </c>
      <c r="L1038" t="str">
        <v>男</v>
      </c>
      <c r="M1038" t="str">
        <v>ﾍﾞﾄﾅﾑ</v>
      </c>
      <c r="N1038" s="31">
        <v>33072</v>
      </c>
      <c r="O1038">
        <v>35</v>
      </c>
      <c r="P1038">
        <v>1550</v>
      </c>
      <c r="Q1038">
        <v>0</v>
      </c>
      <c r="R1038">
        <v>2150</v>
      </c>
      <c r="S1038">
        <v>0</v>
      </c>
      <c r="T1038">
        <v>600</v>
      </c>
      <c r="U1038">
        <v>280000</v>
      </c>
      <c r="V1038">
        <v>14042</v>
      </c>
      <c r="W1038" t="str">
        <v>0</v>
      </c>
      <c r="X1038">
        <v>25620</v>
      </c>
      <c r="Y1038" s="31">
        <v>46545</v>
      </c>
      <c r="Z1038" t="str">
        <v/>
      </c>
      <c r="AA1038" t="str">
        <v>技術・人文知識・国際業務</v>
      </c>
      <c r="AB1038" t="str">
        <v>444-1311</v>
      </c>
      <c r="AC1038" t="str">
        <v>愛知県高浜市本郷町１丁目３番地１</v>
      </c>
      <c r="AD1038" t="str">
        <v>県営高取住宅3棟205号</v>
      </c>
      <c r="AE1038" s="31" t="str">
        <v>個人</v>
      </c>
      <c r="AF1038" s="31">
        <v>45952</v>
      </c>
      <c r="AG1038" s="31">
        <v>0</v>
      </c>
      <c r="AH1038" s="31">
        <v>0</v>
      </c>
      <c r="AI1038">
        <v>45952</v>
      </c>
      <c r="AJ1038" t="str">
        <v>11/11林</v>
      </c>
      <c r="AK1038">
        <v>0</v>
      </c>
      <c r="AL1038">
        <v>45952</v>
      </c>
      <c r="AM1038">
        <v>0</v>
      </c>
      <c r="AN1038">
        <v>0</v>
      </c>
      <c r="AO1038">
        <v>0</v>
      </c>
      <c r="AP1038">
        <v>0</v>
      </c>
      <c r="AQ1038">
        <v>0</v>
      </c>
      <c r="AR1038">
        <v>0</v>
      </c>
    </row>
    <row r="1039" spans="1:44">
      <c r="A1039" t="str">
        <f>H1039&amp;COUNTIF($H$2:H1039,H1039)</f>
        <v>0313</v>
      </c>
      <c r="B1039" t="str">
        <f>F1039&amp;COUNTIF($F$2:F1039,F1039)</f>
        <v>加藤木材工業 春日井12</v>
      </c>
      <c r="C1039" t="str">
        <v>在職中</v>
      </c>
      <c r="D1039">
        <v>251011</v>
      </c>
      <c r="E1039">
        <v>0</v>
      </c>
      <c r="F1039" t="str">
        <v>加藤木材工業 春日井</v>
      </c>
      <c r="G1039">
        <v>0</v>
      </c>
      <c r="H1039">
        <v>0</v>
      </c>
      <c r="I1039">
        <v>0</v>
      </c>
      <c r="J1039" t="str">
        <v>PHAM HUNG</v>
      </c>
      <c r="K1039" t="str">
        <v>ファム　フン</v>
      </c>
      <c r="L1039" t="str">
        <v>男</v>
      </c>
      <c r="M1039" t="str">
        <v>ﾍﾞﾄﾅﾑ</v>
      </c>
      <c r="N1039" s="31">
        <v>35109</v>
      </c>
      <c r="O1039">
        <v>29</v>
      </c>
      <c r="P1039">
        <v>1300</v>
      </c>
      <c r="Q1039">
        <v>0</v>
      </c>
      <c r="R1039">
        <v>1700</v>
      </c>
      <c r="S1039">
        <v>0</v>
      </c>
      <c r="T1039">
        <v>400</v>
      </c>
      <c r="U1039">
        <v>240000</v>
      </c>
      <c r="V1039">
        <v>12036</v>
      </c>
      <c r="W1039" t="str">
        <v>0</v>
      </c>
      <c r="X1039">
        <v>21960</v>
      </c>
      <c r="Y1039" s="31">
        <v>47587</v>
      </c>
      <c r="Z1039" t="str">
        <v/>
      </c>
      <c r="AA1039" t="str">
        <v>技術・人文知識・国際業務</v>
      </c>
      <c r="AB1039" t="str">
        <v>486-0912</v>
      </c>
      <c r="AC1039" t="str">
        <v>愛知県春日井市高山町4丁目13-13</v>
      </c>
      <c r="AD1039" t="str">
        <v>ﾒｿﾞﾝ辻山201</v>
      </c>
      <c r="AE1039" s="31">
        <v>45952</v>
      </c>
      <c r="AF1039" s="31">
        <v>45957</v>
      </c>
      <c r="AG1039" s="31">
        <v>0</v>
      </c>
      <c r="AH1039" s="31">
        <v>0</v>
      </c>
      <c r="AI1039">
        <v>45957</v>
      </c>
      <c r="AJ1039" t="str">
        <v>11/11林</v>
      </c>
      <c r="AK1039">
        <v>0</v>
      </c>
      <c r="AL1039">
        <v>45957</v>
      </c>
      <c r="AM1039">
        <v>0</v>
      </c>
      <c r="AN1039">
        <v>0</v>
      </c>
      <c r="AO1039">
        <v>0</v>
      </c>
      <c r="AP1039">
        <v>0</v>
      </c>
      <c r="AQ1039">
        <v>0</v>
      </c>
      <c r="AR1039">
        <v>0</v>
      </c>
    </row>
    <row r="1040" spans="1:44">
      <c r="A1040" t="str">
        <f>H1040&amp;COUNTIF($H$2:H1040,H1040)</f>
        <v>0314</v>
      </c>
      <c r="B1040" t="str">
        <f>F1040&amp;COUNTIF($F$2:F1040,F1040)</f>
        <v>ピーエムアイ36</v>
      </c>
      <c r="C1040" t="str">
        <v>在職中</v>
      </c>
      <c r="D1040">
        <v>251101</v>
      </c>
      <c r="E1040">
        <v>0</v>
      </c>
      <c r="F1040" t="str">
        <v>ピーエムアイ</v>
      </c>
      <c r="G1040">
        <v>0</v>
      </c>
      <c r="H1040">
        <v>0</v>
      </c>
      <c r="I1040">
        <v>0</v>
      </c>
      <c r="J1040" t="str">
        <v>VU QUANG HUNG</v>
      </c>
      <c r="K1040" t="str">
        <v>ヴ　クアン　フン</v>
      </c>
      <c r="L1040" t="str">
        <v>男</v>
      </c>
      <c r="M1040" t="str">
        <v>ﾍﾞﾄﾅﾑ</v>
      </c>
      <c r="N1040" s="31">
        <v>37307</v>
      </c>
      <c r="O1040">
        <v>23</v>
      </c>
      <c r="P1040">
        <v>1300</v>
      </c>
      <c r="Q1040">
        <v>0</v>
      </c>
      <c r="R1040">
        <v>1800</v>
      </c>
      <c r="S1040">
        <v>0</v>
      </c>
      <c r="T1040">
        <v>500</v>
      </c>
      <c r="U1040">
        <v>220000</v>
      </c>
      <c r="V1040">
        <v>11033</v>
      </c>
      <c r="W1040" t="str">
        <v>0</v>
      </c>
      <c r="X1040">
        <v>20130</v>
      </c>
      <c r="Y1040" s="31">
        <v>46808</v>
      </c>
      <c r="Z1040" t="str">
        <v/>
      </c>
      <c r="AA1040" t="str">
        <v>技術・人文知識・国際業務</v>
      </c>
      <c r="AB1040" t="str">
        <v>471-0805</v>
      </c>
      <c r="AC1040" t="str">
        <v>愛知県豊田市美里2-6-9</v>
      </c>
      <c r="AD1040" t="str">
        <v>ﾚｼﾞｪﾝﾄﾞK301</v>
      </c>
      <c r="AE1040" s="31">
        <v>0</v>
      </c>
      <c r="AF1040" s="31">
        <v>45964</v>
      </c>
      <c r="AG1040" s="31">
        <v>0</v>
      </c>
      <c r="AH1040" s="31">
        <v>0</v>
      </c>
      <c r="AI1040">
        <v>45964</v>
      </c>
      <c r="AJ1040" t="str">
        <v>11/13林</v>
      </c>
      <c r="AK1040">
        <v>0</v>
      </c>
      <c r="AL1040">
        <v>45964</v>
      </c>
      <c r="AM1040">
        <v>0</v>
      </c>
      <c r="AN1040">
        <v>0</v>
      </c>
      <c r="AO1040">
        <v>0</v>
      </c>
      <c r="AP1040">
        <v>0</v>
      </c>
      <c r="AQ1040">
        <v>0</v>
      </c>
      <c r="AR1040">
        <v>0</v>
      </c>
    </row>
    <row r="1041" spans="1:44">
      <c r="A1041" t="str">
        <f>H1041&amp;COUNTIF($H$2:H1041,H1041)</f>
        <v>0315</v>
      </c>
      <c r="B1041" t="str">
        <f>F1041&amp;COUNTIF($F$2:F1041,F1041)</f>
        <v>ピーエムアイ37</v>
      </c>
      <c r="C1041" t="str">
        <v>在職中</v>
      </c>
      <c r="D1041">
        <v>251102</v>
      </c>
      <c r="E1041">
        <v>0</v>
      </c>
      <c r="F1041" t="str">
        <v>ピーエムアイ</v>
      </c>
      <c r="G1041">
        <v>0</v>
      </c>
      <c r="H1041">
        <v>0</v>
      </c>
      <c r="I1041">
        <v>0</v>
      </c>
      <c r="J1041" t="str">
        <v>VO HUY TUAN</v>
      </c>
      <c r="K1041" t="str">
        <v>ヴォ　フイ　トウアン</v>
      </c>
      <c r="L1041" t="str">
        <v>男</v>
      </c>
      <c r="M1041" t="str">
        <v>ﾍﾞﾄﾅﾑ</v>
      </c>
      <c r="N1041" s="31">
        <v>35373</v>
      </c>
      <c r="O1041">
        <v>29</v>
      </c>
      <c r="P1041">
        <v>1300</v>
      </c>
      <c r="Q1041">
        <v>0</v>
      </c>
      <c r="R1041">
        <v>1800</v>
      </c>
      <c r="S1041">
        <v>0</v>
      </c>
      <c r="T1041">
        <v>500</v>
      </c>
      <c r="U1041">
        <v>220000</v>
      </c>
      <c r="V1041">
        <v>11033</v>
      </c>
      <c r="W1041" t="str">
        <v>0</v>
      </c>
      <c r="X1041">
        <v>20130</v>
      </c>
      <c r="Y1041" s="31">
        <v>46861</v>
      </c>
      <c r="Z1041" t="str">
        <v/>
      </c>
      <c r="AA1041" t="str">
        <v>技術・人文知識・国際業務</v>
      </c>
      <c r="AB1041" t="str">
        <v>471-0805</v>
      </c>
      <c r="AC1041" t="str">
        <v>愛知県豊田市美里1-14-18</v>
      </c>
      <c r="AD1041" t="str">
        <v>ﾊｲﾂ長嶋201</v>
      </c>
      <c r="AE1041" s="31">
        <v>0</v>
      </c>
      <c r="AF1041" s="31">
        <v>45964</v>
      </c>
      <c r="AG1041" s="31">
        <v>0</v>
      </c>
      <c r="AH1041" s="31">
        <v>0</v>
      </c>
      <c r="AI1041">
        <v>45964</v>
      </c>
      <c r="AJ1041" t="str">
        <v>11/13林</v>
      </c>
      <c r="AK1041">
        <v>0</v>
      </c>
      <c r="AL1041">
        <v>45964</v>
      </c>
      <c r="AM1041">
        <v>0</v>
      </c>
      <c r="AN1041">
        <v>0</v>
      </c>
      <c r="AO1041">
        <v>0</v>
      </c>
      <c r="AP1041">
        <v>0</v>
      </c>
      <c r="AQ1041">
        <v>0</v>
      </c>
      <c r="AR1041">
        <v>0</v>
      </c>
    </row>
    <row r="1042" spans="1:44">
      <c r="A1042" t="str">
        <f>H1042&amp;COUNTIF($H$2:H1042,H1042)</f>
        <v>内輪9</v>
      </c>
      <c r="B1042" t="str">
        <f>F1042&amp;COUNTIF($F$2:F1042,F1042)</f>
        <v>高雄工業 静岡140</v>
      </c>
      <c r="C1042" t="str">
        <v>在職中</v>
      </c>
      <c r="D1042">
        <v>241003</v>
      </c>
      <c r="E1042">
        <v>242112</v>
      </c>
      <c r="F1042" t="str">
        <v>高雄工業 静岡</v>
      </c>
      <c r="G1042" t="str">
        <v>高雄工業株式会社 静岡事業所第二工場製作課</v>
      </c>
      <c r="H1042" t="str">
        <v>内輪</v>
      </c>
      <c r="I1042" t="str">
        <v>産業機械部品の研磨加工、NCプログラム修正</v>
      </c>
      <c r="J1042" t="str">
        <v>DAO TIEN MANH</v>
      </c>
      <c r="K1042" t="str">
        <v>ダオ　ティエン　マイン</v>
      </c>
      <c r="L1042" t="str">
        <v>男</v>
      </c>
      <c r="M1042" t="str">
        <v>ﾍﾞﾄﾅﾑ</v>
      </c>
      <c r="N1042" s="31">
        <v>36589</v>
      </c>
      <c r="O1042">
        <v>25</v>
      </c>
      <c r="P1042">
        <v>1250</v>
      </c>
      <c r="Q1042">
        <v>0</v>
      </c>
      <c r="R1042">
        <v>1660</v>
      </c>
      <c r="S1042">
        <v>0</v>
      </c>
      <c r="T1042">
        <v>410</v>
      </c>
      <c r="U1042">
        <v>260000</v>
      </c>
      <c r="V1042">
        <v>13039</v>
      </c>
      <c r="W1042" t="str">
        <v>0</v>
      </c>
      <c r="X1042">
        <v>23790</v>
      </c>
      <c r="Y1042" s="31">
        <v>46317</v>
      </c>
      <c r="Z1042" t="str">
        <v/>
      </c>
      <c r="AA1042" t="str">
        <v>技術・人文知識・国際業務</v>
      </c>
      <c r="AB1042" t="str">
        <v>437-0063</v>
      </c>
      <c r="AC1042" t="str">
        <v>静岡県袋井市田町2丁目6-10</v>
      </c>
      <c r="AD1042" t="str">
        <v>SuperiorⅠ201</v>
      </c>
      <c r="AE1042" s="31">
        <v>0</v>
      </c>
      <c r="AF1042" s="31">
        <v>45566</v>
      </c>
      <c r="AG1042" s="31">
        <v>0</v>
      </c>
      <c r="AH1042" s="31">
        <v>0</v>
      </c>
      <c r="AI1042">
        <v>45566</v>
      </c>
      <c r="AJ1042" t="str">
        <v>10/16林</v>
      </c>
      <c r="AK1042">
        <v>0</v>
      </c>
      <c r="AL1042">
        <v>45566</v>
      </c>
      <c r="AM1042">
        <v>0</v>
      </c>
      <c r="AN1042">
        <v>0</v>
      </c>
      <c r="AO1042">
        <v>0</v>
      </c>
      <c r="AP1042">
        <v>0</v>
      </c>
      <c r="AQ1042">
        <v>0</v>
      </c>
      <c r="AR1042">
        <v>0</v>
      </c>
    </row>
    <row r="1043" spans="1:44">
      <c r="A1043" t="str">
        <f>H1043&amp;COUNTIF($H$2:H1043,H1043)</f>
        <v>0316</v>
      </c>
      <c r="B1043" t="str">
        <f>F1043&amp;COUNTIF($F$2:F1043,F1043)</f>
        <v>コーリツ 州の崎41</v>
      </c>
      <c r="C1043" t="str">
        <v>退社</v>
      </c>
      <c r="D1043">
        <v>251104</v>
      </c>
      <c r="E1043">
        <v>0</v>
      </c>
      <c r="F1043" t="str">
        <v>コーリツ 州の崎</v>
      </c>
      <c r="G1043">
        <v>0</v>
      </c>
      <c r="H1043">
        <v>0</v>
      </c>
      <c r="I1043">
        <v>0</v>
      </c>
      <c r="J1043" t="str">
        <v>NGUYEN VAN HINH</v>
      </c>
      <c r="K1043" t="str">
        <v>グエン　バン　ヒン</v>
      </c>
      <c r="L1043" t="str">
        <v>男</v>
      </c>
      <c r="M1043" t="str">
        <v>ﾍﾞﾄﾅﾑ</v>
      </c>
      <c r="N1043" s="31">
        <v>35039</v>
      </c>
      <c r="O1043">
        <v>29</v>
      </c>
      <c r="P1043">
        <v>1500</v>
      </c>
      <c r="Q1043">
        <v>0</v>
      </c>
      <c r="R1043">
        <v>2150</v>
      </c>
      <c r="S1043">
        <v>0</v>
      </c>
      <c r="T1043">
        <v>650</v>
      </c>
      <c r="U1043">
        <v>0</v>
      </c>
      <c r="V1043" t="str">
        <v/>
      </c>
      <c r="W1043" t="str">
        <v>0</v>
      </c>
      <c r="X1043">
        <v>0</v>
      </c>
      <c r="Y1043" s="31">
        <v>46535</v>
      </c>
      <c r="Z1043" t="str">
        <v/>
      </c>
      <c r="AA1043" t="str">
        <v>技術・人文知識・国際業務</v>
      </c>
      <c r="AB1043" t="str">
        <v>447-0048</v>
      </c>
      <c r="AC1043" t="str">
        <v>愛知県碧南市福清水町4-45-10</v>
      </c>
      <c r="AD1043">
        <v>0</v>
      </c>
      <c r="AE1043" s="31">
        <v>0</v>
      </c>
      <c r="AF1043" s="31">
        <v>45964</v>
      </c>
      <c r="AG1043" s="31">
        <v>45968</v>
      </c>
      <c r="AH1043" s="31">
        <v>0</v>
      </c>
      <c r="AI1043">
        <v>0</v>
      </c>
      <c r="AJ1043">
        <v>0</v>
      </c>
      <c r="AK1043">
        <v>0</v>
      </c>
      <c r="AL1043">
        <v>45964</v>
      </c>
      <c r="AM1043">
        <v>0</v>
      </c>
      <c r="AN1043">
        <v>0</v>
      </c>
      <c r="AO1043">
        <v>0</v>
      </c>
      <c r="AP1043">
        <v>0</v>
      </c>
      <c r="AQ1043">
        <v>0</v>
      </c>
      <c r="AR1043">
        <v>0</v>
      </c>
    </row>
    <row r="1044" spans="1:44">
      <c r="A1044" t="str">
        <f>H1044&amp;COUNTIF($H$2:H1044,H1044)</f>
        <v>州の崎工場製造1課1工区1班6</v>
      </c>
      <c r="B1044" t="str">
        <f>F1044&amp;COUNTIF($F$2:F1044,F1044)</f>
        <v>コーリツ 州の崎42</v>
      </c>
      <c r="C1044" t="str">
        <v>在職中</v>
      </c>
      <c r="D1044">
        <v>220107</v>
      </c>
      <c r="E1044">
        <v>8210028</v>
      </c>
      <c r="F1044" t="str">
        <v>コーリツ 州の崎</v>
      </c>
      <c r="G1044" t="str">
        <v>州の崎工場製造1課1工区1班</v>
      </c>
      <c r="H1044" t="str">
        <v>州の崎工場製造1課1工区1班</v>
      </c>
      <c r="I1044">
        <v>0</v>
      </c>
      <c r="J1044" t="str">
        <v>NGUYEN VAN KHOA</v>
      </c>
      <c r="K1044" t="str">
        <v>グエン　ヴァン　コア</v>
      </c>
      <c r="L1044" t="str">
        <v>男</v>
      </c>
      <c r="M1044" t="str">
        <v>ﾍﾞﾄﾅﾑ</v>
      </c>
      <c r="N1044" s="31">
        <v>33552</v>
      </c>
      <c r="O1044">
        <v>34</v>
      </c>
      <c r="P1044">
        <v>1500</v>
      </c>
      <c r="Q1044">
        <v>0</v>
      </c>
      <c r="R1044">
        <v>2150</v>
      </c>
      <c r="S1044">
        <v>0</v>
      </c>
      <c r="T1044">
        <v>650</v>
      </c>
      <c r="U1044">
        <v>240000</v>
      </c>
      <c r="V1044">
        <v>12036</v>
      </c>
      <c r="W1044" t="str">
        <v>0</v>
      </c>
      <c r="X1044">
        <v>21960</v>
      </c>
      <c r="Y1044" s="31">
        <v>46189</v>
      </c>
      <c r="Z1044" t="str">
        <v/>
      </c>
      <c r="AA1044" t="str">
        <v>技術・人文知識・国際業務</v>
      </c>
      <c r="AB1044" t="str">
        <v>444-1334</v>
      </c>
      <c r="AC1044" t="str">
        <v>愛知県高浜市春日町1-2-1</v>
      </c>
      <c r="AD1044" t="str">
        <v>県営赤松住宅202</v>
      </c>
      <c r="AE1044" s="31" t="str">
        <v>個人</v>
      </c>
      <c r="AF1044" s="31">
        <v>45966</v>
      </c>
      <c r="AG1044" s="31">
        <v>0</v>
      </c>
      <c r="AH1044" s="31">
        <v>0</v>
      </c>
      <c r="AI1044">
        <v>45966</v>
      </c>
      <c r="AJ1044" t="str">
        <v>11/14林</v>
      </c>
      <c r="AK1044">
        <v>0</v>
      </c>
      <c r="AL1044">
        <v>45966</v>
      </c>
      <c r="AM1044">
        <v>0</v>
      </c>
      <c r="AN1044">
        <v>0</v>
      </c>
      <c r="AO1044">
        <v>0</v>
      </c>
      <c r="AP1044">
        <v>0</v>
      </c>
      <c r="AQ1044">
        <v>0</v>
      </c>
      <c r="AR1044">
        <v>0</v>
      </c>
    </row>
    <row r="1045" spans="1:44">
      <c r="A1045" t="str">
        <f>H1045&amp;COUNTIF($H$2:H1045,H1045)</f>
        <v>内輪10</v>
      </c>
      <c r="B1045" t="str">
        <f>F1045&amp;COUNTIF($F$2:F1045,F1045)</f>
        <v>高雄工業 静岡141</v>
      </c>
      <c r="C1045" t="str">
        <v>在職中</v>
      </c>
      <c r="D1045">
        <v>250110</v>
      </c>
      <c r="E1045">
        <v>242118</v>
      </c>
      <c r="F1045" t="str">
        <v>高雄工業 静岡</v>
      </c>
      <c r="G1045" t="str">
        <v>高雄工業株式会社 静岡事業所第二工場製作課</v>
      </c>
      <c r="H1045" t="str">
        <v>内輪</v>
      </c>
      <c r="I1045" t="str">
        <v>産業機械部品の研磨加工、NCプログラム修正</v>
      </c>
      <c r="J1045" t="str">
        <v>TRAN PHAT LOI</v>
      </c>
      <c r="K1045" t="str">
        <v>チャン　ファット　ロイ</v>
      </c>
      <c r="L1045" t="str">
        <v>男</v>
      </c>
      <c r="M1045" t="str">
        <v>ﾍﾞﾄﾅﾑ</v>
      </c>
      <c r="N1045" s="31">
        <v>37056</v>
      </c>
      <c r="O1045">
        <v>24</v>
      </c>
      <c r="P1045">
        <v>1260</v>
      </c>
      <c r="Q1045">
        <v>0</v>
      </c>
      <c r="R1045">
        <v>1660</v>
      </c>
      <c r="S1045">
        <v>0</v>
      </c>
      <c r="T1045">
        <v>400</v>
      </c>
      <c r="U1045">
        <v>260000</v>
      </c>
      <c r="V1045">
        <v>13039</v>
      </c>
      <c r="W1045" t="str">
        <v>0</v>
      </c>
      <c r="X1045">
        <v>23790</v>
      </c>
      <c r="Y1045" s="31">
        <v>46762</v>
      </c>
      <c r="Z1045" t="str">
        <v/>
      </c>
      <c r="AA1045" t="str">
        <v>技術・人文知識・国際業務</v>
      </c>
      <c r="AB1045" t="str">
        <v>437-0061</v>
      </c>
      <c r="AC1045" t="str">
        <v>静岡県袋井市久能2810番地1</v>
      </c>
      <c r="AD1045" t="str">
        <v>ﾌｪﾘｽA103</v>
      </c>
      <c r="AE1045" s="31">
        <v>0</v>
      </c>
      <c r="AF1045" s="31">
        <v>45673</v>
      </c>
      <c r="AG1045" s="31">
        <v>0</v>
      </c>
      <c r="AH1045" s="31">
        <v>0</v>
      </c>
      <c r="AI1045">
        <v>45673</v>
      </c>
      <c r="AJ1045" t="str">
        <v>2/20林</v>
      </c>
      <c r="AK1045">
        <v>0</v>
      </c>
      <c r="AL1045">
        <v>45673</v>
      </c>
      <c r="AM1045">
        <v>0</v>
      </c>
      <c r="AN1045">
        <v>0</v>
      </c>
      <c r="AO1045">
        <v>0</v>
      </c>
      <c r="AP1045">
        <v>0</v>
      </c>
      <c r="AQ1045" t="str">
        <v>JLPT-N3</v>
      </c>
      <c r="AR1045">
        <v>0</v>
      </c>
    </row>
    <row r="1046" spans="1:44">
      <c r="A1046" t="str">
        <f>H1046&amp;COUNTIF($H$2:H1046,H1046)</f>
        <v>熱処理1</v>
      </c>
      <c r="B1046" t="str">
        <f>F1046&amp;COUNTIF($F$2:F1046,F1046)</f>
        <v>高雄工業 海南第一71</v>
      </c>
      <c r="C1046" t="str">
        <v>在職中</v>
      </c>
      <c r="D1046">
        <v>240305</v>
      </c>
      <c r="E1046">
        <v>222066</v>
      </c>
      <c r="F1046" t="str">
        <v>高雄工業 海南第一</v>
      </c>
      <c r="G1046" t="str">
        <v>高雄工業株式会社 愛知事業所海南第一工場製作2課</v>
      </c>
      <c r="H1046" t="str">
        <v>熱処理</v>
      </c>
      <c r="I1046" t="str">
        <v>ハブ加工品の2次施削、手動機械オペレーターNCプログラム修正、梱包</v>
      </c>
      <c r="J1046" t="str">
        <v>NGUYEN MINH THOAI</v>
      </c>
      <c r="K1046" t="str">
        <v>グエン　ミン　トアイ</v>
      </c>
      <c r="L1046" t="str">
        <v>男</v>
      </c>
      <c r="M1046" t="str">
        <v>ﾍﾞﾄﾅﾑ</v>
      </c>
      <c r="N1046" s="31">
        <v>37573</v>
      </c>
      <c r="O1046">
        <v>23</v>
      </c>
      <c r="P1046">
        <v>1300</v>
      </c>
      <c r="Q1046">
        <v>0</v>
      </c>
      <c r="R1046">
        <v>1670</v>
      </c>
      <c r="S1046">
        <v>0</v>
      </c>
      <c r="T1046">
        <v>370</v>
      </c>
      <c r="U1046">
        <v>220000</v>
      </c>
      <c r="V1046">
        <v>11033</v>
      </c>
      <c r="W1046" t="str">
        <v>0</v>
      </c>
      <c r="X1046">
        <v>20130</v>
      </c>
      <c r="Y1046" s="31">
        <v>46106</v>
      </c>
      <c r="Z1046" t="str">
        <v/>
      </c>
      <c r="AA1046" t="str">
        <v>技術・人文知識・国際業務</v>
      </c>
      <c r="AB1046" t="str">
        <v>498-0028</v>
      </c>
      <c r="AC1046" t="str">
        <v>愛知県弥富市鯏浦町中六109</v>
      </c>
      <c r="AD1046" t="str">
        <v>ｾﾗﾀｳﾝ弥冨B棟101</v>
      </c>
      <c r="AE1046" s="31">
        <v>0</v>
      </c>
      <c r="AF1046" s="31">
        <v>45359</v>
      </c>
      <c r="AG1046" s="31">
        <v>0</v>
      </c>
      <c r="AH1046" s="31">
        <v>0</v>
      </c>
      <c r="AI1046" t="str">
        <v>24.3.8</v>
      </c>
      <c r="AJ1046" t="str">
        <v>3/27林</v>
      </c>
      <c r="AK1046">
        <v>0</v>
      </c>
      <c r="AL1046">
        <v>45359</v>
      </c>
      <c r="AM1046">
        <v>0</v>
      </c>
      <c r="AN1046">
        <v>0</v>
      </c>
      <c r="AO1046">
        <v>0</v>
      </c>
      <c r="AP1046">
        <v>0</v>
      </c>
      <c r="AQ1046" t="str">
        <v>JLPT-N5</v>
      </c>
      <c r="AR1046">
        <v>0</v>
      </c>
    </row>
    <row r="1047" spans="1:44">
      <c r="A1047" t="str">
        <f>H1047&amp;COUNTIF($H$2:H1047,H1047)</f>
        <v>熱処理2</v>
      </c>
      <c r="B1047" t="str">
        <f>F1047&amp;COUNTIF($F$2:F1047,F1047)</f>
        <v>高雄工業 海南第一72</v>
      </c>
      <c r="C1047" t="str">
        <v>在職中</v>
      </c>
      <c r="D1047">
        <v>240315</v>
      </c>
      <c r="E1047">
        <v>222068</v>
      </c>
      <c r="F1047" t="str">
        <v>高雄工業 海南第一</v>
      </c>
      <c r="G1047" t="str">
        <v>高雄工業株式会社 愛知事業所海南第一工場製作2課</v>
      </c>
      <c r="H1047" t="str">
        <v>熱処理</v>
      </c>
      <c r="I1047" t="str">
        <v>ハブ加工品の2次施削、手動機械オペレーターNCプログラム修正、梱包</v>
      </c>
      <c r="J1047" t="str">
        <v>TRAN NGUYEN MINH KHOA</v>
      </c>
      <c r="K1047" t="str">
        <v>チャン　グエン　ミン　コア</v>
      </c>
      <c r="L1047" t="str">
        <v>男</v>
      </c>
      <c r="M1047" t="str">
        <v>ﾍﾞﾄﾅﾑ</v>
      </c>
      <c r="N1047" s="31">
        <v>36294</v>
      </c>
      <c r="O1047">
        <v>26</v>
      </c>
      <c r="P1047">
        <v>1300</v>
      </c>
      <c r="Q1047">
        <v>0</v>
      </c>
      <c r="R1047">
        <v>1670</v>
      </c>
      <c r="S1047">
        <v>0</v>
      </c>
      <c r="T1047">
        <v>370</v>
      </c>
      <c r="U1047">
        <v>240000</v>
      </c>
      <c r="V1047">
        <v>12036</v>
      </c>
      <c r="W1047" t="str">
        <v>0</v>
      </c>
      <c r="X1047">
        <v>21960</v>
      </c>
      <c r="Y1047" s="31">
        <v>46106</v>
      </c>
      <c r="Z1047" t="str">
        <v/>
      </c>
      <c r="AA1047" t="str">
        <v>技術・人文知識・国際業務</v>
      </c>
      <c r="AB1047" t="str">
        <v>498-0032</v>
      </c>
      <c r="AC1047" t="str">
        <v>愛知県弥富市平島中4-125</v>
      </c>
      <c r="AD1047" t="str">
        <v>平島中四丁目賃家</v>
      </c>
      <c r="AE1047" s="31">
        <v>0</v>
      </c>
      <c r="AF1047" s="31">
        <v>45365</v>
      </c>
      <c r="AG1047" s="31">
        <v>0</v>
      </c>
      <c r="AH1047" s="31">
        <v>0</v>
      </c>
      <c r="AI1047" t="str">
        <v>24.3.14</v>
      </c>
      <c r="AJ1047" t="str">
        <v>3/27林</v>
      </c>
      <c r="AK1047">
        <v>0</v>
      </c>
      <c r="AL1047">
        <v>45365</v>
      </c>
      <c r="AM1047">
        <v>0</v>
      </c>
      <c r="AN1047">
        <v>0</v>
      </c>
      <c r="AO1047">
        <v>0</v>
      </c>
      <c r="AP1047">
        <v>0</v>
      </c>
      <c r="AQ1047">
        <v>0</v>
      </c>
      <c r="AR1047">
        <v>0</v>
      </c>
    </row>
    <row r="1048" spans="1:44">
      <c r="A1048" t="str">
        <f>H1048&amp;COUNTIF($H$2:H1048,H1048)</f>
        <v>CVJ長軸旋盤係17</v>
      </c>
      <c r="B1048" t="str">
        <f>F1048&amp;COUNTIF($F$2:F1048,F1048)</f>
        <v>高雄工業 岡山184</v>
      </c>
      <c r="C1048" t="str">
        <v>在職中</v>
      </c>
      <c r="D1048">
        <v>251108</v>
      </c>
      <c r="E1048">
        <v>232181</v>
      </c>
      <c r="F1048" t="str">
        <v>高雄工業 岡山</v>
      </c>
      <c r="G1048" t="str">
        <v>高雄工業株式会社 静岡事業所第一工場製作課</v>
      </c>
      <c r="H1048" t="str">
        <v>CVJ長軸旋盤係</v>
      </c>
      <c r="I1048" t="str">
        <v>ＣＶＪ長軸等速ジョイント旋削加工、ＮＣプログラム修正</v>
      </c>
      <c r="J1048" t="str">
        <v>NGUYEN VAN VUONG</v>
      </c>
      <c r="K1048" t="str">
        <v>グエン　ヴァン　ヴォン</v>
      </c>
      <c r="L1048" t="str">
        <v>男</v>
      </c>
      <c r="M1048" t="str">
        <v>ﾍﾞﾄﾅﾑ</v>
      </c>
      <c r="N1048" s="31">
        <v>37440</v>
      </c>
      <c r="O1048">
        <v>23</v>
      </c>
      <c r="P1048">
        <v>1200</v>
      </c>
      <c r="Q1048">
        <v>0</v>
      </c>
      <c r="R1048">
        <v>1650</v>
      </c>
      <c r="S1048">
        <v>0</v>
      </c>
      <c r="T1048">
        <v>450</v>
      </c>
      <c r="U1048">
        <v>190000</v>
      </c>
      <c r="V1048">
        <v>9528</v>
      </c>
      <c r="W1048" t="str">
        <v>0</v>
      </c>
      <c r="X1048">
        <v>17385</v>
      </c>
      <c r="Y1048" s="31">
        <v>47061</v>
      </c>
      <c r="Z1048" t="str">
        <v/>
      </c>
      <c r="AA1048" t="str">
        <v>技術・人文知識・国際業務</v>
      </c>
      <c r="AB1048" t="str">
        <v>709-2107</v>
      </c>
      <c r="AC1048" t="str">
        <v>岡山県岡山市北区御津矢原370</v>
      </c>
      <c r="AD1048" t="str">
        <v>成広ｺｰﾎﾟⅠ105</v>
      </c>
      <c r="AE1048" s="31">
        <v>0</v>
      </c>
      <c r="AF1048" s="31">
        <v>45973</v>
      </c>
      <c r="AG1048" s="31">
        <v>0</v>
      </c>
      <c r="AH1048" s="31">
        <v>0</v>
      </c>
      <c r="AI1048">
        <v>45973</v>
      </c>
      <c r="AJ1048" t="str">
        <v>11/28林</v>
      </c>
      <c r="AK1048">
        <v>0</v>
      </c>
      <c r="AL1048">
        <v>45973</v>
      </c>
      <c r="AM1048">
        <v>0</v>
      </c>
      <c r="AN1048">
        <v>0</v>
      </c>
      <c r="AO1048">
        <v>0</v>
      </c>
      <c r="AP1048">
        <v>0</v>
      </c>
      <c r="AQ1048">
        <v>0</v>
      </c>
      <c r="AR1048">
        <v>0</v>
      </c>
    </row>
    <row r="1049" spans="1:44">
      <c r="A1049" t="str">
        <f>H1049&amp;COUNTIF($H$2:H1049,H1049)</f>
        <v>CVJ長軸旋盤係18</v>
      </c>
      <c r="B1049" t="str">
        <f>F1049&amp;COUNTIF($F$2:F1049,F1049)</f>
        <v>高雄工業 岡山185</v>
      </c>
      <c r="C1049" t="str">
        <v>在職中</v>
      </c>
      <c r="D1049">
        <v>251109</v>
      </c>
      <c r="E1049">
        <v>232182</v>
      </c>
      <c r="F1049" t="str">
        <v>高雄工業 岡山</v>
      </c>
      <c r="G1049" t="str">
        <v>高雄工業株式会社 静岡事業所第一工場製作課</v>
      </c>
      <c r="H1049" t="str">
        <v>CVJ長軸旋盤係</v>
      </c>
      <c r="I1049" t="str">
        <v>ＣＶＪ長軸等速ジョイント旋削加工、ＮＣプログラム修正</v>
      </c>
      <c r="J1049" t="str">
        <v>LE VAN TRONG</v>
      </c>
      <c r="K1049" t="str">
        <v>レー　ヴァン　チョン</v>
      </c>
      <c r="L1049" t="str">
        <v>男</v>
      </c>
      <c r="M1049" t="str">
        <v>ﾍﾞﾄﾅﾑ</v>
      </c>
      <c r="N1049" s="31">
        <v>37386</v>
      </c>
      <c r="O1049">
        <v>23</v>
      </c>
      <c r="P1049">
        <v>1200</v>
      </c>
      <c r="Q1049">
        <v>0</v>
      </c>
      <c r="R1049">
        <v>1650</v>
      </c>
      <c r="S1049">
        <v>0</v>
      </c>
      <c r="T1049">
        <v>450</v>
      </c>
      <c r="U1049">
        <v>190000</v>
      </c>
      <c r="V1049">
        <v>9528</v>
      </c>
      <c r="W1049" t="str">
        <v>0</v>
      </c>
      <c r="X1049">
        <v>17385</v>
      </c>
      <c r="Y1049" s="31">
        <v>47061</v>
      </c>
      <c r="Z1049" t="str">
        <v/>
      </c>
      <c r="AA1049" t="str">
        <v>技術・人文知識・国際業務</v>
      </c>
      <c r="AB1049" t="str">
        <v>709-2107</v>
      </c>
      <c r="AC1049" t="str">
        <v>岡山県岡山市北区御津矢原294-1</v>
      </c>
      <c r="AD1049" t="str">
        <v>成広矢原ｺｰﾎﾟⅢ101</v>
      </c>
      <c r="AE1049" s="31">
        <v>0</v>
      </c>
      <c r="AF1049" s="31">
        <v>45973</v>
      </c>
      <c r="AG1049" s="31">
        <v>0</v>
      </c>
      <c r="AH1049" s="31">
        <v>0</v>
      </c>
      <c r="AI1049">
        <v>45973</v>
      </c>
      <c r="AJ1049" t="str">
        <v>11/28林</v>
      </c>
      <c r="AK1049">
        <v>0</v>
      </c>
      <c r="AL1049">
        <v>45973</v>
      </c>
      <c r="AM1049">
        <v>0</v>
      </c>
      <c r="AN1049">
        <v>0</v>
      </c>
      <c r="AO1049">
        <v>0</v>
      </c>
      <c r="AP1049">
        <v>0</v>
      </c>
      <c r="AQ1049">
        <v>0</v>
      </c>
      <c r="AR1049">
        <v>0</v>
      </c>
    </row>
    <row r="1050" spans="1:44">
      <c r="A1050" t="str">
        <f>H1050&amp;COUNTIF($H$2:H1050,H1050)</f>
        <v>0317</v>
      </c>
      <c r="B1050" t="str">
        <f>F1050&amp;COUNTIF($F$2:F1050,F1050)</f>
        <v>美鈴工業 本庄3</v>
      </c>
      <c r="C1050" t="str">
        <v>在職中</v>
      </c>
      <c r="D1050">
        <v>251110</v>
      </c>
      <c r="E1050">
        <v>0</v>
      </c>
      <c r="F1050" t="str">
        <v>美鈴工業 本庄</v>
      </c>
      <c r="G1050">
        <v>0</v>
      </c>
      <c r="H1050">
        <v>0</v>
      </c>
      <c r="I1050">
        <v>0</v>
      </c>
      <c r="J1050" t="str">
        <v>PHAM THUY HUONG AN</v>
      </c>
      <c r="K1050" t="str">
        <v>ファム　トゥイ　フオン　アン</v>
      </c>
      <c r="L1050" t="str">
        <v>女</v>
      </c>
      <c r="M1050" t="str">
        <v>ﾍﾞﾄﾅﾑ</v>
      </c>
      <c r="N1050" s="31">
        <v>33654</v>
      </c>
      <c r="O1050">
        <v>33</v>
      </c>
      <c r="P1050">
        <v>1350</v>
      </c>
      <c r="Q1050">
        <v>0</v>
      </c>
      <c r="R1050">
        <v>1850</v>
      </c>
      <c r="S1050">
        <v>0</v>
      </c>
      <c r="T1050">
        <v>500</v>
      </c>
      <c r="U1050">
        <v>220000</v>
      </c>
      <c r="V1050">
        <v>11033</v>
      </c>
      <c r="W1050" t="str">
        <v>0</v>
      </c>
      <c r="X1050">
        <v>20130</v>
      </c>
      <c r="Y1050" s="31">
        <v>46702</v>
      </c>
      <c r="Z1050" t="str">
        <v/>
      </c>
      <c r="AA1050" t="str">
        <v>技術・人文知識・国際業務</v>
      </c>
      <c r="AB1050" t="str">
        <v>458-0821</v>
      </c>
      <c r="AC1050" t="str">
        <v>愛知県小牧市大字本庄169番地</v>
      </c>
      <c r="AD1050" t="str">
        <v>本庄第3寮208号</v>
      </c>
      <c r="AE1050" s="31">
        <v>0</v>
      </c>
      <c r="AF1050" s="31">
        <v>45979</v>
      </c>
      <c r="AG1050" s="31">
        <v>0</v>
      </c>
      <c r="AH1050" s="31">
        <v>0</v>
      </c>
      <c r="AI1050">
        <v>45979</v>
      </c>
      <c r="AJ1050" t="str">
        <v>11/28林</v>
      </c>
      <c r="AK1050">
        <v>0</v>
      </c>
      <c r="AL1050">
        <v>45979</v>
      </c>
      <c r="AM1050">
        <v>0</v>
      </c>
      <c r="AN1050">
        <v>0</v>
      </c>
      <c r="AO1050">
        <v>0</v>
      </c>
      <c r="AP1050">
        <v>0</v>
      </c>
      <c r="AQ1050">
        <v>0</v>
      </c>
      <c r="AR1050">
        <v>0</v>
      </c>
    </row>
    <row r="1051" spans="1:44">
      <c r="A1051" t="str">
        <f>H1051&amp;COUNTIF($H$2:H1051,H1051)</f>
        <v>0318</v>
      </c>
      <c r="B1051" t="str">
        <f>F1051&amp;COUNTIF($F$2:F1051,F1051)</f>
        <v>加藤木材工業 本社57</v>
      </c>
      <c r="C1051" t="str">
        <v>在職中</v>
      </c>
      <c r="D1051">
        <v>251201</v>
      </c>
      <c r="E1051">
        <v>0</v>
      </c>
      <c r="F1051" t="str">
        <v>加藤木材工業 本社</v>
      </c>
      <c r="G1051">
        <v>0</v>
      </c>
      <c r="H1051">
        <v>0</v>
      </c>
      <c r="I1051">
        <v>0</v>
      </c>
      <c r="J1051" t="str">
        <v>PHAM PHUNG TRUNG</v>
      </c>
      <c r="K1051" t="str">
        <v>ファム　フン　チュン</v>
      </c>
      <c r="L1051" t="str">
        <v>男</v>
      </c>
      <c r="M1051" t="str">
        <v>ﾍﾞﾄﾅﾑ</v>
      </c>
      <c r="N1051" s="31">
        <v>33919</v>
      </c>
      <c r="O1051">
        <v>33</v>
      </c>
      <c r="P1051">
        <v>1300</v>
      </c>
      <c r="Q1051">
        <v>0</v>
      </c>
      <c r="R1051">
        <v>1700</v>
      </c>
      <c r="S1051">
        <v>0</v>
      </c>
      <c r="T1051">
        <v>400</v>
      </c>
      <c r="U1051">
        <v>0</v>
      </c>
      <c r="V1051" t="str">
        <v/>
      </c>
      <c r="W1051" t="str">
        <v>0</v>
      </c>
      <c r="X1051">
        <v>0</v>
      </c>
      <c r="Y1051" s="31">
        <v>46845</v>
      </c>
      <c r="Z1051" t="str">
        <v/>
      </c>
      <c r="AA1051" t="str">
        <v>技術・人文知識・国際業務</v>
      </c>
      <c r="AB1051">
        <v>0</v>
      </c>
      <c r="AC1051">
        <v>0</v>
      </c>
      <c r="AD1051">
        <v>0</v>
      </c>
      <c r="AE1051" s="31">
        <v>0</v>
      </c>
      <c r="AF1051" s="31">
        <v>45993</v>
      </c>
      <c r="AG1051" s="31">
        <v>0</v>
      </c>
      <c r="AH1051" s="31">
        <v>0</v>
      </c>
      <c r="AI1051">
        <v>0</v>
      </c>
      <c r="AJ1051">
        <v>0</v>
      </c>
      <c r="AK1051">
        <v>0</v>
      </c>
      <c r="AL1051">
        <v>45993</v>
      </c>
      <c r="AM1051">
        <v>0</v>
      </c>
      <c r="AN1051">
        <v>0</v>
      </c>
      <c r="AO1051">
        <v>0</v>
      </c>
      <c r="AP1051">
        <v>0</v>
      </c>
      <c r="AQ1051">
        <v>0</v>
      </c>
      <c r="AR1051">
        <v>0</v>
      </c>
    </row>
    <row r="1052" spans="1:44">
      <c r="A1052" t="str">
        <f>H1052&amp;COUNTIF($H$2:H1052,H1052)</f>
        <v>本社製造部製造3課10</v>
      </c>
      <c r="B1052" t="str">
        <f>F1052&amp;COUNTIF($F$2:F1052,F1052)</f>
        <v>ユアサ工機 新城10</v>
      </c>
      <c r="C1052" t="str">
        <v>待機中</v>
      </c>
      <c r="D1052">
        <v>221002</v>
      </c>
      <c r="E1052">
        <v>6547</v>
      </c>
      <c r="F1052" t="str">
        <v>ユアサ工機 新城</v>
      </c>
      <c r="G1052" t="str">
        <v>本社製造部製造3課</v>
      </c>
      <c r="H1052" t="str">
        <v>本社製造部製造3課</v>
      </c>
      <c r="I1052" t="str">
        <v>クランクシャフトの旋盤、マシニング、研磨、仕上げ加工など</v>
      </c>
      <c r="J1052" t="str">
        <v>VO MINH PHUONG</v>
      </c>
      <c r="K1052" t="str">
        <v>ヴォ　ミン　フォン</v>
      </c>
      <c r="L1052" t="str">
        <v>男</v>
      </c>
      <c r="M1052" t="str">
        <v>ﾍﾞﾄﾅﾑ</v>
      </c>
      <c r="N1052" s="31">
        <v>31801</v>
      </c>
      <c r="O1052">
        <v>38</v>
      </c>
      <c r="P1052">
        <v>0</v>
      </c>
      <c r="Q1052">
        <v>0</v>
      </c>
      <c r="R1052">
        <v>0</v>
      </c>
      <c r="S1052">
        <v>0</v>
      </c>
      <c r="T1052">
        <v>0</v>
      </c>
      <c r="U1052">
        <v>0</v>
      </c>
      <c r="V1052" t="str">
        <v/>
      </c>
      <c r="W1052" t="str">
        <v>0</v>
      </c>
      <c r="X1052">
        <v>0</v>
      </c>
      <c r="Y1052" s="31">
        <v>0</v>
      </c>
      <c r="Z1052" t="str">
        <v/>
      </c>
      <c r="AA1052" t="str">
        <v>技術・人文知識・国際業務</v>
      </c>
      <c r="AB1052">
        <v>0</v>
      </c>
      <c r="AC1052">
        <v>0</v>
      </c>
      <c r="AD1052">
        <v>0</v>
      </c>
      <c r="AE1052" s="31">
        <v>0</v>
      </c>
      <c r="AF1052" s="31">
        <v>0</v>
      </c>
      <c r="AG1052" s="31">
        <v>0</v>
      </c>
      <c r="AH1052" s="31">
        <v>0</v>
      </c>
      <c r="AI1052">
        <v>0</v>
      </c>
      <c r="AJ1052">
        <v>0</v>
      </c>
      <c r="AK1052">
        <v>0</v>
      </c>
      <c r="AL1052">
        <v>0</v>
      </c>
      <c r="AM1052">
        <v>0</v>
      </c>
      <c r="AN1052">
        <v>0</v>
      </c>
      <c r="AO1052">
        <v>0</v>
      </c>
      <c r="AP1052">
        <v>0</v>
      </c>
      <c r="AQ1052">
        <v>0</v>
      </c>
      <c r="AR1052">
        <v>0</v>
      </c>
    </row>
    <row r="1053" spans="1:44">
      <c r="A1053" t="str">
        <f>H1053&amp;COUNTIF($H$2:H1053,H1053)</f>
        <v>0319</v>
      </c>
      <c r="B1053" t="str">
        <f>F1053&amp;COUNTIF($F$2:F1053,F1053)</f>
        <v>瑞陵精機55</v>
      </c>
      <c r="C1053" t="str">
        <v>待機中</v>
      </c>
      <c r="D1053">
        <v>0</v>
      </c>
      <c r="E1053">
        <v>0</v>
      </c>
      <c r="F1053" t="str">
        <v>瑞陵精機</v>
      </c>
      <c r="G1053">
        <v>0</v>
      </c>
      <c r="H1053">
        <v>0</v>
      </c>
      <c r="I1053">
        <v>0</v>
      </c>
      <c r="J1053" t="str">
        <v>VO TRUNG NGUYEN</v>
      </c>
      <c r="K1053" t="str">
        <v>ヴォ　チュン　グエン</v>
      </c>
      <c r="L1053" t="str">
        <v>男</v>
      </c>
      <c r="M1053" t="str">
        <v>ﾍﾞﾄﾅﾑ</v>
      </c>
      <c r="N1053" s="31">
        <v>38134</v>
      </c>
      <c r="O1053">
        <v>21</v>
      </c>
      <c r="P1053">
        <v>0</v>
      </c>
      <c r="Q1053">
        <v>0</v>
      </c>
      <c r="R1053">
        <v>0</v>
      </c>
      <c r="S1053">
        <v>0</v>
      </c>
      <c r="T1053">
        <v>0</v>
      </c>
      <c r="U1053">
        <v>0</v>
      </c>
      <c r="V1053" t="str">
        <v/>
      </c>
      <c r="W1053" t="str">
        <v>0</v>
      </c>
      <c r="X1053">
        <v>0</v>
      </c>
      <c r="Y1053" s="31">
        <v>47089</v>
      </c>
      <c r="Z1053" t="str">
        <v/>
      </c>
      <c r="AA1053" t="str">
        <v>技術・人文知識・国際業務</v>
      </c>
      <c r="AB1053">
        <v>0</v>
      </c>
      <c r="AC1053">
        <v>0</v>
      </c>
      <c r="AD1053">
        <v>0</v>
      </c>
      <c r="AE1053" s="31">
        <v>0</v>
      </c>
      <c r="AF1053" s="31">
        <v>0</v>
      </c>
      <c r="AG1053" s="31">
        <v>0</v>
      </c>
      <c r="AH1053" s="31">
        <v>0</v>
      </c>
      <c r="AI1053">
        <v>0</v>
      </c>
      <c r="AJ1053">
        <v>0</v>
      </c>
      <c r="AK1053">
        <v>0</v>
      </c>
      <c r="AL1053">
        <v>0</v>
      </c>
      <c r="AM1053">
        <v>0</v>
      </c>
      <c r="AN1053">
        <v>0</v>
      </c>
      <c r="AO1053">
        <v>0</v>
      </c>
      <c r="AP1053">
        <v>0</v>
      </c>
      <c r="AQ1053">
        <v>0</v>
      </c>
      <c r="AR1053">
        <v>0</v>
      </c>
    </row>
    <row r="1054" spans="1:44">
      <c r="A1054" t="str">
        <f>H1054&amp;COUNTIF($H$2:H1054,H1054)</f>
        <v>0320</v>
      </c>
      <c r="B1054" t="str">
        <f>F1054&amp;COUNTIF($F$2:F1054,F1054)</f>
        <v>瑞陵精機56</v>
      </c>
      <c r="C1054" t="str">
        <v>待機中</v>
      </c>
      <c r="D1054">
        <v>0</v>
      </c>
      <c r="E1054">
        <v>0</v>
      </c>
      <c r="F1054" t="str">
        <v>瑞陵精機</v>
      </c>
      <c r="G1054">
        <v>0</v>
      </c>
      <c r="H1054">
        <v>0</v>
      </c>
      <c r="I1054">
        <v>0</v>
      </c>
      <c r="J1054" t="str">
        <v>DANG HOAI PHUONG</v>
      </c>
      <c r="K1054" t="str">
        <v>ダン　ホアイ　フオン</v>
      </c>
      <c r="L1054" t="str">
        <v>男</v>
      </c>
      <c r="M1054" t="str">
        <v>ﾍﾞﾄﾅﾑ</v>
      </c>
      <c r="N1054" s="31">
        <v>38180</v>
      </c>
      <c r="O1054">
        <v>21</v>
      </c>
      <c r="P1054">
        <v>0</v>
      </c>
      <c r="Q1054">
        <v>0</v>
      </c>
      <c r="R1054">
        <v>0</v>
      </c>
      <c r="S1054">
        <v>0</v>
      </c>
      <c r="T1054">
        <v>0</v>
      </c>
      <c r="U1054">
        <v>0</v>
      </c>
      <c r="V1054" t="str">
        <v/>
      </c>
      <c r="W1054" t="str">
        <v>0</v>
      </c>
      <c r="X1054">
        <v>0</v>
      </c>
      <c r="Y1054" s="31">
        <v>47089</v>
      </c>
      <c r="Z1054" t="str">
        <v/>
      </c>
      <c r="AA1054" t="str">
        <v>技術・人文知識・国際業務</v>
      </c>
      <c r="AB1054">
        <v>0</v>
      </c>
      <c r="AC1054">
        <v>0</v>
      </c>
      <c r="AD1054">
        <v>0</v>
      </c>
      <c r="AE1054" s="31">
        <v>0</v>
      </c>
      <c r="AF1054" s="31">
        <v>0</v>
      </c>
      <c r="AG1054" s="31">
        <v>0</v>
      </c>
      <c r="AH1054" s="31">
        <v>0</v>
      </c>
      <c r="AI1054">
        <v>0</v>
      </c>
      <c r="AJ1054">
        <v>0</v>
      </c>
      <c r="AK1054">
        <v>0</v>
      </c>
      <c r="AL1054">
        <v>0</v>
      </c>
      <c r="AM1054">
        <v>0</v>
      </c>
      <c r="AN1054">
        <v>0</v>
      </c>
      <c r="AO1054">
        <v>0</v>
      </c>
      <c r="AP1054">
        <v>0</v>
      </c>
      <c r="AQ1054">
        <v>0</v>
      </c>
      <c r="AR1054">
        <v>0</v>
      </c>
    </row>
    <row r="1055" spans="1:44">
      <c r="A1055" t="str">
        <f>H1055&amp;COUNTIF($H$2:H1055,H1055)</f>
        <v>0321</v>
      </c>
      <c r="B1055" t="str">
        <f>F1055&amp;COUNTIF($F$2:F1055,F1055)</f>
        <v>瑞陵精機57</v>
      </c>
      <c r="C1055" t="str">
        <v>待機中</v>
      </c>
      <c r="D1055">
        <v>0</v>
      </c>
      <c r="E1055">
        <v>0</v>
      </c>
      <c r="F1055" t="str">
        <v>瑞陵精機</v>
      </c>
      <c r="G1055">
        <v>0</v>
      </c>
      <c r="H1055">
        <v>0</v>
      </c>
      <c r="I1055">
        <v>0</v>
      </c>
      <c r="J1055" t="str">
        <v>DANG NGUYEN HOANG ANH</v>
      </c>
      <c r="K1055" t="str">
        <v>ダン　グエン　ホアン　アイン</v>
      </c>
      <c r="L1055" t="str">
        <v>男</v>
      </c>
      <c r="M1055" t="str">
        <v>ﾍﾞﾄﾅﾑ</v>
      </c>
      <c r="N1055" s="31">
        <v>36764</v>
      </c>
      <c r="O1055">
        <v>25</v>
      </c>
      <c r="P1055">
        <v>0</v>
      </c>
      <c r="Q1055">
        <v>0</v>
      </c>
      <c r="R1055">
        <v>0</v>
      </c>
      <c r="S1055">
        <v>0</v>
      </c>
      <c r="T1055">
        <v>0</v>
      </c>
      <c r="U1055">
        <v>0</v>
      </c>
      <c r="V1055" t="str">
        <v/>
      </c>
      <c r="W1055" t="str">
        <v>0</v>
      </c>
      <c r="X1055">
        <v>0</v>
      </c>
      <c r="Y1055" s="31">
        <v>47089</v>
      </c>
      <c r="Z1055" t="str">
        <v/>
      </c>
      <c r="AA1055" t="str">
        <v>技術・人文知識・国際業務</v>
      </c>
      <c r="AB1055">
        <v>0</v>
      </c>
      <c r="AC1055">
        <v>0</v>
      </c>
      <c r="AD1055">
        <v>0</v>
      </c>
      <c r="AE1055" s="31">
        <v>0</v>
      </c>
      <c r="AF1055" s="31">
        <v>0</v>
      </c>
      <c r="AG1055" s="31">
        <v>0</v>
      </c>
      <c r="AH1055" s="31">
        <v>0</v>
      </c>
      <c r="AI1055">
        <v>0</v>
      </c>
      <c r="AJ1055">
        <v>0</v>
      </c>
      <c r="AK1055">
        <v>0</v>
      </c>
      <c r="AL1055">
        <v>0</v>
      </c>
      <c r="AM1055">
        <v>0</v>
      </c>
      <c r="AN1055">
        <v>0</v>
      </c>
      <c r="AO1055">
        <v>0</v>
      </c>
      <c r="AP1055">
        <v>0</v>
      </c>
      <c r="AQ1055">
        <v>0</v>
      </c>
      <c r="AR1055">
        <v>0</v>
      </c>
    </row>
    <row r="1056" spans="1:44">
      <c r="A1056" t="str">
        <f>H1056&amp;COUNTIF($H$2:H1056,H1056)</f>
        <v>0322</v>
      </c>
      <c r="B1056" t="str">
        <f>F1056&amp;COUNTIF($F$2:F1056,F1056)</f>
        <v>01</v>
      </c>
      <c r="C1056">
        <v>0</v>
      </c>
      <c r="D1056">
        <v>0</v>
      </c>
      <c r="E1056">
        <v>0</v>
      </c>
      <c r="F1056">
        <v>0</v>
      </c>
      <c r="G1056">
        <v>0</v>
      </c>
      <c r="H1056">
        <v>0</v>
      </c>
      <c r="I1056">
        <v>0</v>
      </c>
      <c r="J1056">
        <v>0</v>
      </c>
      <c r="K1056">
        <v>0</v>
      </c>
      <c r="L1056">
        <v>0</v>
      </c>
      <c r="M1056">
        <v>0</v>
      </c>
      <c r="N1056" s="31">
        <v>0</v>
      </c>
      <c r="O1056">
        <v>125</v>
      </c>
      <c r="P1056">
        <v>0</v>
      </c>
      <c r="Q1056">
        <v>0</v>
      </c>
      <c r="R1056">
        <v>0</v>
      </c>
      <c r="S1056">
        <v>0</v>
      </c>
      <c r="T1056">
        <v>0</v>
      </c>
      <c r="U1056">
        <v>0</v>
      </c>
      <c r="V1056" t="str">
        <v/>
      </c>
      <c r="W1056" t="str">
        <v>0</v>
      </c>
      <c r="X1056" t="str">
        <v>0</v>
      </c>
      <c r="Y1056" s="31">
        <v>0</v>
      </c>
      <c r="Z1056" t="str">
        <v/>
      </c>
      <c r="AA1056">
        <v>0</v>
      </c>
      <c r="AB1056">
        <v>0</v>
      </c>
      <c r="AC1056">
        <v>0</v>
      </c>
      <c r="AD1056">
        <v>0</v>
      </c>
      <c r="AE1056" s="31">
        <v>0</v>
      </c>
      <c r="AF1056" s="31">
        <v>0</v>
      </c>
      <c r="AG1056" s="31">
        <v>0</v>
      </c>
      <c r="AH1056" s="31">
        <v>0</v>
      </c>
      <c r="AI1056">
        <v>0</v>
      </c>
      <c r="AJ1056">
        <v>0</v>
      </c>
      <c r="AK1056">
        <v>0</v>
      </c>
      <c r="AL1056">
        <v>0</v>
      </c>
      <c r="AM1056">
        <v>0</v>
      </c>
      <c r="AN1056">
        <v>0</v>
      </c>
      <c r="AO1056">
        <v>0</v>
      </c>
      <c r="AP1056">
        <v>0</v>
      </c>
      <c r="AQ1056">
        <v>0</v>
      </c>
      <c r="AR1056">
        <v>0</v>
      </c>
    </row>
    <row r="1057" spans="1:44">
      <c r="A1057" t="str">
        <f>H1057&amp;COUNTIF($H$2:H1057,H1057)</f>
        <v>0323</v>
      </c>
      <c r="B1057" t="str">
        <f>F1057&amp;COUNTIF($F$2:F1057,F1057)</f>
        <v>02</v>
      </c>
      <c r="C1057">
        <v>0</v>
      </c>
      <c r="D1057">
        <v>0</v>
      </c>
      <c r="E1057">
        <v>0</v>
      </c>
      <c r="F1057">
        <v>0</v>
      </c>
      <c r="G1057">
        <v>0</v>
      </c>
      <c r="H1057">
        <v>0</v>
      </c>
      <c r="I1057">
        <v>0</v>
      </c>
      <c r="J1057">
        <v>0</v>
      </c>
      <c r="K1057">
        <v>0</v>
      </c>
      <c r="L1057">
        <v>0</v>
      </c>
      <c r="M1057">
        <v>0</v>
      </c>
      <c r="N1057" s="31">
        <v>0</v>
      </c>
      <c r="O1057">
        <v>125</v>
      </c>
      <c r="P1057">
        <v>0</v>
      </c>
      <c r="Q1057">
        <v>0</v>
      </c>
      <c r="R1057">
        <v>0</v>
      </c>
      <c r="S1057">
        <v>0</v>
      </c>
      <c r="T1057">
        <v>0</v>
      </c>
      <c r="U1057">
        <v>0</v>
      </c>
      <c r="V1057" t="str">
        <v/>
      </c>
      <c r="W1057" t="str">
        <v>0</v>
      </c>
      <c r="X1057" t="str">
        <v>0</v>
      </c>
      <c r="Y1057" s="31">
        <v>0</v>
      </c>
      <c r="Z1057" t="str">
        <v/>
      </c>
      <c r="AA1057">
        <v>0</v>
      </c>
      <c r="AB1057">
        <v>0</v>
      </c>
      <c r="AC1057">
        <v>0</v>
      </c>
      <c r="AD1057">
        <v>0</v>
      </c>
      <c r="AE1057" s="31">
        <v>0</v>
      </c>
      <c r="AF1057" s="31">
        <v>0</v>
      </c>
      <c r="AG1057" s="31">
        <v>0</v>
      </c>
      <c r="AH1057" s="31">
        <v>0</v>
      </c>
      <c r="AI1057">
        <v>0</v>
      </c>
      <c r="AJ1057">
        <v>0</v>
      </c>
      <c r="AK1057">
        <v>0</v>
      </c>
      <c r="AL1057">
        <v>0</v>
      </c>
      <c r="AM1057">
        <v>0</v>
      </c>
      <c r="AN1057">
        <v>0</v>
      </c>
      <c r="AO1057">
        <v>0</v>
      </c>
      <c r="AP1057">
        <v>0</v>
      </c>
      <c r="AQ1057">
        <v>0</v>
      </c>
      <c r="AR1057">
        <v>0</v>
      </c>
    </row>
    <row r="1058" spans="1:44">
      <c r="A1058" t="str">
        <f>H1058&amp;COUNTIF($H$2:H1058,H1058)</f>
        <v>0324</v>
      </c>
      <c r="B1058" t="str">
        <f>F1058&amp;COUNTIF($F$2:F1058,F1058)</f>
        <v>03</v>
      </c>
      <c r="C1058">
        <v>0</v>
      </c>
      <c r="D1058">
        <v>0</v>
      </c>
      <c r="E1058">
        <v>0</v>
      </c>
      <c r="F1058">
        <v>0</v>
      </c>
      <c r="G1058">
        <v>0</v>
      </c>
      <c r="H1058">
        <v>0</v>
      </c>
      <c r="I1058">
        <v>0</v>
      </c>
      <c r="J1058">
        <v>0</v>
      </c>
      <c r="K1058">
        <v>0</v>
      </c>
      <c r="L1058">
        <v>0</v>
      </c>
      <c r="M1058">
        <v>0</v>
      </c>
      <c r="N1058" s="31">
        <v>0</v>
      </c>
      <c r="O1058">
        <v>125</v>
      </c>
      <c r="P1058">
        <v>0</v>
      </c>
      <c r="Q1058">
        <v>0</v>
      </c>
      <c r="R1058">
        <v>0</v>
      </c>
      <c r="S1058">
        <v>0</v>
      </c>
      <c r="T1058">
        <v>0</v>
      </c>
      <c r="U1058">
        <v>0</v>
      </c>
      <c r="V1058" t="str">
        <v/>
      </c>
      <c r="W1058" t="str">
        <v>0</v>
      </c>
      <c r="X1058" t="str">
        <v>0</v>
      </c>
      <c r="Y1058" s="31">
        <v>0</v>
      </c>
      <c r="Z1058" t="str">
        <v/>
      </c>
      <c r="AA1058">
        <v>0</v>
      </c>
      <c r="AB1058">
        <v>0</v>
      </c>
      <c r="AC1058">
        <v>0</v>
      </c>
      <c r="AD1058">
        <v>0</v>
      </c>
      <c r="AE1058" s="31">
        <v>0</v>
      </c>
      <c r="AF1058" s="31">
        <v>0</v>
      </c>
      <c r="AG1058" s="31">
        <v>0</v>
      </c>
      <c r="AH1058" s="31">
        <v>0</v>
      </c>
      <c r="AI1058">
        <v>0</v>
      </c>
      <c r="AJ1058">
        <v>0</v>
      </c>
      <c r="AK1058">
        <v>0</v>
      </c>
      <c r="AL1058">
        <v>0</v>
      </c>
      <c r="AM1058">
        <v>0</v>
      </c>
      <c r="AN1058">
        <v>0</v>
      </c>
      <c r="AO1058">
        <v>0</v>
      </c>
      <c r="AP1058">
        <v>0</v>
      </c>
      <c r="AQ1058">
        <v>0</v>
      </c>
      <c r="AR1058">
        <v>0</v>
      </c>
    </row>
    <row r="1059" spans="1:44">
      <c r="A1059" t="str">
        <f>H1059&amp;COUNTIF($H$2:H1059,H1059)</f>
        <v>0325</v>
      </c>
      <c r="B1059" t="str">
        <f>F1059&amp;COUNTIF($F$2:F1059,F1059)</f>
        <v>04</v>
      </c>
      <c r="C1059">
        <v>0</v>
      </c>
      <c r="D1059">
        <v>0</v>
      </c>
      <c r="E1059">
        <v>0</v>
      </c>
      <c r="F1059">
        <v>0</v>
      </c>
      <c r="G1059">
        <v>0</v>
      </c>
      <c r="H1059">
        <v>0</v>
      </c>
      <c r="I1059">
        <v>0</v>
      </c>
      <c r="J1059">
        <v>0</v>
      </c>
      <c r="K1059">
        <v>0</v>
      </c>
      <c r="L1059">
        <v>0</v>
      </c>
      <c r="M1059">
        <v>0</v>
      </c>
      <c r="N1059" s="31">
        <v>0</v>
      </c>
      <c r="O1059">
        <v>125</v>
      </c>
      <c r="P1059">
        <v>0</v>
      </c>
      <c r="Q1059">
        <v>0</v>
      </c>
      <c r="R1059">
        <v>0</v>
      </c>
      <c r="S1059">
        <v>0</v>
      </c>
      <c r="T1059">
        <v>0</v>
      </c>
      <c r="U1059">
        <v>0</v>
      </c>
      <c r="V1059" t="str">
        <v/>
      </c>
      <c r="W1059" t="str">
        <v>0</v>
      </c>
      <c r="X1059" t="str">
        <v>0</v>
      </c>
      <c r="Y1059" s="31">
        <v>0</v>
      </c>
      <c r="Z1059" t="str">
        <v/>
      </c>
      <c r="AA1059">
        <v>0</v>
      </c>
      <c r="AB1059">
        <v>0</v>
      </c>
      <c r="AC1059">
        <v>0</v>
      </c>
      <c r="AD1059">
        <v>0</v>
      </c>
      <c r="AE1059" s="31">
        <v>0</v>
      </c>
      <c r="AF1059" s="31">
        <v>0</v>
      </c>
      <c r="AG1059" s="31">
        <v>0</v>
      </c>
      <c r="AH1059" s="31">
        <v>0</v>
      </c>
      <c r="AI1059">
        <v>0</v>
      </c>
      <c r="AJ1059">
        <v>0</v>
      </c>
      <c r="AK1059">
        <v>0</v>
      </c>
      <c r="AL1059">
        <v>0</v>
      </c>
      <c r="AM1059">
        <v>0</v>
      </c>
      <c r="AN1059">
        <v>0</v>
      </c>
      <c r="AO1059">
        <v>0</v>
      </c>
      <c r="AP1059">
        <v>0</v>
      </c>
      <c r="AQ1059">
        <v>0</v>
      </c>
      <c r="AR1059">
        <v>0</v>
      </c>
    </row>
    <row r="1060" spans="1:44">
      <c r="A1060" t="str">
        <f>H1060&amp;COUNTIF($H$2:H1060,H1060)</f>
        <v>0326</v>
      </c>
      <c r="B1060" t="str">
        <f>F1060&amp;COUNTIF($F$2:F1060,F1060)</f>
        <v>05</v>
      </c>
      <c r="C1060">
        <v>0</v>
      </c>
      <c r="D1060">
        <v>0</v>
      </c>
      <c r="E1060">
        <v>0</v>
      </c>
      <c r="F1060">
        <v>0</v>
      </c>
      <c r="G1060">
        <v>0</v>
      </c>
      <c r="H1060">
        <v>0</v>
      </c>
      <c r="I1060">
        <v>0</v>
      </c>
      <c r="J1060">
        <v>0</v>
      </c>
      <c r="K1060">
        <v>0</v>
      </c>
      <c r="L1060">
        <v>0</v>
      </c>
      <c r="M1060">
        <v>0</v>
      </c>
      <c r="N1060" s="31">
        <v>0</v>
      </c>
      <c r="O1060">
        <v>125</v>
      </c>
      <c r="P1060">
        <v>0</v>
      </c>
      <c r="Q1060">
        <v>0</v>
      </c>
      <c r="R1060">
        <v>0</v>
      </c>
      <c r="S1060">
        <v>0</v>
      </c>
      <c r="T1060">
        <v>0</v>
      </c>
      <c r="U1060">
        <v>0</v>
      </c>
      <c r="V1060" t="str">
        <v/>
      </c>
      <c r="W1060" t="str">
        <v>0</v>
      </c>
      <c r="X1060" t="str">
        <v>0</v>
      </c>
      <c r="Y1060" s="31">
        <v>0</v>
      </c>
      <c r="Z1060" t="str">
        <v/>
      </c>
      <c r="AA1060">
        <v>0</v>
      </c>
      <c r="AB1060">
        <v>0</v>
      </c>
      <c r="AC1060">
        <v>0</v>
      </c>
      <c r="AD1060">
        <v>0</v>
      </c>
      <c r="AE1060" s="31">
        <v>0</v>
      </c>
      <c r="AF1060" s="31">
        <v>0</v>
      </c>
      <c r="AG1060" s="31">
        <v>0</v>
      </c>
      <c r="AH1060" s="31">
        <v>0</v>
      </c>
      <c r="AI1060">
        <v>0</v>
      </c>
      <c r="AJ1060">
        <v>0</v>
      </c>
      <c r="AK1060">
        <v>0</v>
      </c>
      <c r="AL1060">
        <v>0</v>
      </c>
      <c r="AM1060">
        <v>0</v>
      </c>
      <c r="AN1060">
        <v>0</v>
      </c>
      <c r="AO1060">
        <v>0</v>
      </c>
      <c r="AP1060">
        <v>0</v>
      </c>
      <c r="AQ1060">
        <v>0</v>
      </c>
      <c r="AR1060">
        <v>0</v>
      </c>
    </row>
    <row r="1061" spans="1:44">
      <c r="A1061" t="str">
        <f>H1061&amp;COUNTIF($H$2:H1061,H1061)</f>
        <v>0327</v>
      </c>
      <c r="B1061" t="str">
        <f>F1061&amp;COUNTIF($F$2:F1061,F1061)</f>
        <v>06</v>
      </c>
      <c r="C1061">
        <v>0</v>
      </c>
      <c r="D1061">
        <v>0</v>
      </c>
      <c r="E1061">
        <v>0</v>
      </c>
      <c r="F1061">
        <v>0</v>
      </c>
      <c r="G1061">
        <v>0</v>
      </c>
      <c r="H1061">
        <v>0</v>
      </c>
      <c r="I1061">
        <v>0</v>
      </c>
      <c r="J1061">
        <v>0</v>
      </c>
      <c r="K1061">
        <v>0</v>
      </c>
      <c r="L1061">
        <v>0</v>
      </c>
      <c r="M1061">
        <v>0</v>
      </c>
      <c r="N1061" s="31">
        <v>0</v>
      </c>
      <c r="O1061">
        <v>125</v>
      </c>
      <c r="P1061">
        <v>0</v>
      </c>
      <c r="Q1061">
        <v>0</v>
      </c>
      <c r="R1061">
        <v>0</v>
      </c>
      <c r="S1061">
        <v>0</v>
      </c>
      <c r="T1061">
        <v>0</v>
      </c>
      <c r="U1061">
        <v>0</v>
      </c>
      <c r="V1061" t="str">
        <v/>
      </c>
      <c r="W1061" t="str">
        <v>0</v>
      </c>
      <c r="X1061" t="str">
        <v>0</v>
      </c>
      <c r="Y1061" s="31">
        <v>0</v>
      </c>
      <c r="Z1061" t="str">
        <v/>
      </c>
      <c r="AA1061">
        <v>0</v>
      </c>
      <c r="AB1061">
        <v>0</v>
      </c>
      <c r="AC1061">
        <v>0</v>
      </c>
      <c r="AD1061">
        <v>0</v>
      </c>
      <c r="AE1061" s="31">
        <v>0</v>
      </c>
      <c r="AF1061" s="31">
        <v>0</v>
      </c>
      <c r="AG1061" s="31">
        <v>0</v>
      </c>
      <c r="AH1061" s="31">
        <v>0</v>
      </c>
      <c r="AI1061">
        <v>0</v>
      </c>
      <c r="AJ1061">
        <v>0</v>
      </c>
      <c r="AK1061">
        <v>0</v>
      </c>
      <c r="AL1061">
        <v>0</v>
      </c>
      <c r="AM1061">
        <v>0</v>
      </c>
      <c r="AN1061">
        <v>0</v>
      </c>
      <c r="AO1061">
        <v>0</v>
      </c>
      <c r="AP1061">
        <v>0</v>
      </c>
      <c r="AQ1061">
        <v>0</v>
      </c>
      <c r="AR1061">
        <v>0</v>
      </c>
    </row>
    <row r="1062" spans="1:44">
      <c r="A1062" t="str">
        <f>H1062&amp;COUNTIF($H$2:H1062,H1062)</f>
        <v>0328</v>
      </c>
      <c r="B1062" t="str">
        <f>F1062&amp;COUNTIF($F$2:F1062,F1062)</f>
        <v>07</v>
      </c>
      <c r="C1062">
        <v>0</v>
      </c>
      <c r="D1062">
        <v>0</v>
      </c>
      <c r="E1062">
        <v>0</v>
      </c>
      <c r="F1062">
        <v>0</v>
      </c>
      <c r="G1062">
        <v>0</v>
      </c>
      <c r="H1062">
        <v>0</v>
      </c>
      <c r="I1062">
        <v>0</v>
      </c>
      <c r="J1062">
        <v>0</v>
      </c>
      <c r="K1062">
        <v>0</v>
      </c>
      <c r="L1062">
        <v>0</v>
      </c>
      <c r="M1062">
        <v>0</v>
      </c>
      <c r="N1062" s="31">
        <v>0</v>
      </c>
      <c r="O1062">
        <v>125</v>
      </c>
      <c r="P1062">
        <v>0</v>
      </c>
      <c r="Q1062">
        <v>0</v>
      </c>
      <c r="R1062">
        <v>0</v>
      </c>
      <c r="S1062">
        <v>0</v>
      </c>
      <c r="T1062">
        <v>0</v>
      </c>
      <c r="U1062">
        <v>0</v>
      </c>
      <c r="V1062" t="str">
        <v/>
      </c>
      <c r="W1062" t="str">
        <v>0</v>
      </c>
      <c r="X1062" t="str">
        <v>0</v>
      </c>
      <c r="Y1062" s="31">
        <v>0</v>
      </c>
      <c r="Z1062" t="str">
        <v/>
      </c>
      <c r="AA1062">
        <v>0</v>
      </c>
      <c r="AB1062">
        <v>0</v>
      </c>
      <c r="AC1062">
        <v>0</v>
      </c>
      <c r="AD1062">
        <v>0</v>
      </c>
      <c r="AE1062" s="31">
        <v>0</v>
      </c>
      <c r="AF1062" s="31">
        <v>0</v>
      </c>
      <c r="AG1062" s="31">
        <v>0</v>
      </c>
      <c r="AH1062" s="31">
        <v>0</v>
      </c>
      <c r="AI1062">
        <v>0</v>
      </c>
      <c r="AJ1062">
        <v>0</v>
      </c>
      <c r="AK1062">
        <v>0</v>
      </c>
      <c r="AL1062">
        <v>0</v>
      </c>
      <c r="AM1062">
        <v>0</v>
      </c>
      <c r="AN1062">
        <v>0</v>
      </c>
      <c r="AO1062">
        <v>0</v>
      </c>
      <c r="AP1062">
        <v>0</v>
      </c>
      <c r="AQ1062">
        <v>0</v>
      </c>
      <c r="AR1062">
        <v>0</v>
      </c>
    </row>
    <row r="1063" spans="1:44">
      <c r="A1063" t="str">
        <f>H1063&amp;COUNTIF($H$2:H1063,H1063)</f>
        <v>0329</v>
      </c>
      <c r="B1063" t="str">
        <f>F1063&amp;COUNTIF($F$2:F1063,F1063)</f>
        <v>08</v>
      </c>
      <c r="C1063">
        <v>0</v>
      </c>
      <c r="D1063">
        <v>0</v>
      </c>
      <c r="E1063">
        <v>0</v>
      </c>
      <c r="F1063">
        <v>0</v>
      </c>
      <c r="G1063">
        <v>0</v>
      </c>
      <c r="H1063">
        <v>0</v>
      </c>
      <c r="I1063">
        <v>0</v>
      </c>
      <c r="J1063">
        <v>0</v>
      </c>
      <c r="K1063">
        <v>0</v>
      </c>
      <c r="L1063">
        <v>0</v>
      </c>
      <c r="M1063">
        <v>0</v>
      </c>
      <c r="N1063" s="31">
        <v>0</v>
      </c>
      <c r="O1063">
        <v>125</v>
      </c>
      <c r="P1063">
        <v>0</v>
      </c>
      <c r="Q1063">
        <v>0</v>
      </c>
      <c r="R1063">
        <v>0</v>
      </c>
      <c r="S1063">
        <v>0</v>
      </c>
      <c r="T1063">
        <v>0</v>
      </c>
      <c r="U1063">
        <v>0</v>
      </c>
      <c r="V1063" t="str">
        <v/>
      </c>
      <c r="W1063" t="str">
        <v>0</v>
      </c>
      <c r="X1063" t="str">
        <v>0</v>
      </c>
      <c r="Y1063" s="31">
        <v>0</v>
      </c>
      <c r="Z1063" t="str">
        <v/>
      </c>
      <c r="AA1063">
        <v>0</v>
      </c>
      <c r="AB1063">
        <v>0</v>
      </c>
      <c r="AC1063">
        <v>0</v>
      </c>
      <c r="AD1063">
        <v>0</v>
      </c>
      <c r="AE1063" s="31">
        <v>0</v>
      </c>
      <c r="AF1063" s="31">
        <v>0</v>
      </c>
      <c r="AG1063" s="31">
        <v>0</v>
      </c>
      <c r="AH1063" s="31">
        <v>0</v>
      </c>
      <c r="AI1063">
        <v>0</v>
      </c>
      <c r="AJ1063">
        <v>0</v>
      </c>
      <c r="AK1063">
        <v>0</v>
      </c>
      <c r="AL1063">
        <v>0</v>
      </c>
      <c r="AM1063">
        <v>0</v>
      </c>
      <c r="AN1063">
        <v>0</v>
      </c>
      <c r="AO1063">
        <v>0</v>
      </c>
      <c r="AP1063">
        <v>0</v>
      </c>
      <c r="AQ1063">
        <v>0</v>
      </c>
      <c r="AR1063">
        <v>0</v>
      </c>
    </row>
    <row r="1064" spans="1:44">
      <c r="A1064" t="str">
        <f>H1064&amp;COUNTIF($H$2:H1064,H1064)</f>
        <v>0330</v>
      </c>
      <c r="B1064" t="str">
        <f>F1064&amp;COUNTIF($F$2:F1064,F1064)</f>
        <v>09</v>
      </c>
      <c r="C1064">
        <v>0</v>
      </c>
      <c r="D1064">
        <v>0</v>
      </c>
      <c r="E1064">
        <v>0</v>
      </c>
      <c r="F1064">
        <v>0</v>
      </c>
      <c r="G1064">
        <v>0</v>
      </c>
      <c r="H1064">
        <v>0</v>
      </c>
      <c r="I1064">
        <v>0</v>
      </c>
      <c r="J1064">
        <v>0</v>
      </c>
      <c r="K1064">
        <v>0</v>
      </c>
      <c r="L1064">
        <v>0</v>
      </c>
      <c r="M1064">
        <v>0</v>
      </c>
      <c r="N1064" s="31">
        <v>0</v>
      </c>
      <c r="O1064">
        <v>125</v>
      </c>
      <c r="P1064">
        <v>0</v>
      </c>
      <c r="Q1064">
        <v>0</v>
      </c>
      <c r="R1064">
        <v>0</v>
      </c>
      <c r="S1064">
        <v>0</v>
      </c>
      <c r="T1064">
        <v>0</v>
      </c>
      <c r="U1064">
        <v>0</v>
      </c>
      <c r="V1064" t="str">
        <v/>
      </c>
      <c r="W1064" t="str">
        <v>0</v>
      </c>
      <c r="X1064" t="str">
        <v>0</v>
      </c>
      <c r="Y1064" s="31">
        <v>0</v>
      </c>
      <c r="Z1064" t="str">
        <v/>
      </c>
      <c r="AA1064">
        <v>0</v>
      </c>
      <c r="AB1064">
        <v>0</v>
      </c>
      <c r="AC1064">
        <v>0</v>
      </c>
      <c r="AD1064">
        <v>0</v>
      </c>
      <c r="AE1064" s="31">
        <v>0</v>
      </c>
      <c r="AF1064" s="31">
        <v>0</v>
      </c>
      <c r="AG1064" s="31">
        <v>0</v>
      </c>
      <c r="AH1064" s="31">
        <v>0</v>
      </c>
      <c r="AI1064">
        <v>0</v>
      </c>
      <c r="AJ1064">
        <v>0</v>
      </c>
      <c r="AK1064">
        <v>0</v>
      </c>
      <c r="AL1064">
        <v>0</v>
      </c>
      <c r="AM1064">
        <v>0</v>
      </c>
      <c r="AN1064">
        <v>0</v>
      </c>
      <c r="AO1064">
        <v>0</v>
      </c>
      <c r="AP1064">
        <v>0</v>
      </c>
      <c r="AQ1064">
        <v>0</v>
      </c>
      <c r="AR1064">
        <v>0</v>
      </c>
    </row>
    <row r="1065" spans="1:44">
      <c r="A1065" t="str">
        <f>H1065&amp;COUNTIF($H$2:H1065,H1065)</f>
        <v>0331</v>
      </c>
      <c r="B1065" t="str">
        <f>F1065&amp;COUNTIF($F$2:F1065,F1065)</f>
        <v>010</v>
      </c>
      <c r="C1065">
        <v>0</v>
      </c>
      <c r="D1065">
        <v>0</v>
      </c>
      <c r="E1065">
        <v>0</v>
      </c>
      <c r="F1065">
        <v>0</v>
      </c>
      <c r="G1065">
        <v>0</v>
      </c>
      <c r="H1065">
        <v>0</v>
      </c>
      <c r="I1065">
        <v>0</v>
      </c>
      <c r="J1065">
        <v>0</v>
      </c>
      <c r="K1065">
        <v>0</v>
      </c>
      <c r="L1065">
        <v>0</v>
      </c>
      <c r="M1065">
        <v>0</v>
      </c>
      <c r="N1065" s="31">
        <v>0</v>
      </c>
      <c r="O1065">
        <v>125</v>
      </c>
      <c r="P1065">
        <v>0</v>
      </c>
      <c r="Q1065">
        <v>0</v>
      </c>
      <c r="R1065">
        <v>0</v>
      </c>
      <c r="S1065">
        <v>0</v>
      </c>
      <c r="T1065">
        <v>0</v>
      </c>
      <c r="U1065">
        <v>0</v>
      </c>
      <c r="V1065" t="str">
        <v/>
      </c>
      <c r="W1065" t="str">
        <v>0</v>
      </c>
      <c r="X1065" t="str">
        <v>0</v>
      </c>
      <c r="Y1065" s="31">
        <v>0</v>
      </c>
      <c r="Z1065" t="str">
        <v/>
      </c>
      <c r="AA1065">
        <v>0</v>
      </c>
      <c r="AB1065">
        <v>0</v>
      </c>
      <c r="AC1065">
        <v>0</v>
      </c>
      <c r="AD1065">
        <v>0</v>
      </c>
      <c r="AE1065" s="31">
        <v>0</v>
      </c>
      <c r="AF1065" s="31">
        <v>0</v>
      </c>
      <c r="AG1065" s="31">
        <v>0</v>
      </c>
      <c r="AH1065" s="31">
        <v>0</v>
      </c>
      <c r="AI1065">
        <v>0</v>
      </c>
      <c r="AJ1065">
        <v>0</v>
      </c>
      <c r="AK1065">
        <v>0</v>
      </c>
      <c r="AL1065">
        <v>0</v>
      </c>
      <c r="AM1065">
        <v>0</v>
      </c>
      <c r="AN1065">
        <v>0</v>
      </c>
      <c r="AO1065">
        <v>0</v>
      </c>
      <c r="AP1065">
        <v>0</v>
      </c>
      <c r="AQ1065">
        <v>0</v>
      </c>
      <c r="AR1065">
        <v>0</v>
      </c>
    </row>
    <row r="1066" spans="1:44">
      <c r="A1066" t="str">
        <f>H1066&amp;COUNTIF($H$2:H1066,H1066)</f>
        <v>0332</v>
      </c>
      <c r="B1066" t="str">
        <f>F1066&amp;COUNTIF($F$2:F1066,F1066)</f>
        <v>011</v>
      </c>
      <c r="C1066">
        <v>0</v>
      </c>
      <c r="D1066">
        <v>0</v>
      </c>
      <c r="E1066">
        <v>0</v>
      </c>
      <c r="F1066">
        <v>0</v>
      </c>
      <c r="G1066">
        <v>0</v>
      </c>
      <c r="H1066">
        <v>0</v>
      </c>
      <c r="I1066">
        <v>0</v>
      </c>
      <c r="J1066">
        <v>0</v>
      </c>
      <c r="K1066">
        <v>0</v>
      </c>
      <c r="L1066">
        <v>0</v>
      </c>
      <c r="M1066">
        <v>0</v>
      </c>
      <c r="N1066" s="31">
        <v>0</v>
      </c>
      <c r="O1066">
        <v>125</v>
      </c>
      <c r="P1066">
        <v>0</v>
      </c>
      <c r="Q1066">
        <v>0</v>
      </c>
      <c r="R1066">
        <v>0</v>
      </c>
      <c r="S1066">
        <v>0</v>
      </c>
      <c r="T1066">
        <v>0</v>
      </c>
      <c r="U1066">
        <v>0</v>
      </c>
      <c r="V1066" t="str">
        <v/>
      </c>
      <c r="W1066" t="str">
        <v>0</v>
      </c>
      <c r="X1066" t="str">
        <v>0</v>
      </c>
      <c r="Y1066" s="31">
        <v>0</v>
      </c>
      <c r="Z1066" t="str">
        <v/>
      </c>
      <c r="AA1066">
        <v>0</v>
      </c>
      <c r="AB1066">
        <v>0</v>
      </c>
      <c r="AC1066">
        <v>0</v>
      </c>
      <c r="AD1066">
        <v>0</v>
      </c>
      <c r="AE1066" s="31">
        <v>0</v>
      </c>
      <c r="AF1066" s="31">
        <v>0</v>
      </c>
      <c r="AG1066" s="31">
        <v>0</v>
      </c>
      <c r="AH1066" s="31">
        <v>0</v>
      </c>
      <c r="AI1066">
        <v>0</v>
      </c>
      <c r="AJ1066">
        <v>0</v>
      </c>
      <c r="AK1066">
        <v>0</v>
      </c>
      <c r="AL1066">
        <v>0</v>
      </c>
      <c r="AM1066">
        <v>0</v>
      </c>
      <c r="AN1066">
        <v>0</v>
      </c>
      <c r="AO1066">
        <v>0</v>
      </c>
      <c r="AP1066">
        <v>0</v>
      </c>
      <c r="AQ1066">
        <v>0</v>
      </c>
      <c r="AR1066">
        <v>0</v>
      </c>
    </row>
    <row r="1067" spans="1:44">
      <c r="A1067" t="str">
        <f>H1067&amp;COUNTIF($H$2:H1067,H1067)</f>
        <v>332</v>
      </c>
      <c r="B1067" t="str">
        <f>F1067&amp;COUNTIF($F$2:F1067,F1067)</f>
        <v>11</v>
      </c>
    </row>
    <row r="1068" spans="1:44">
      <c r="A1068" t="str">
        <f>H1068&amp;COUNTIF($H$2:H1068,H1068)</f>
        <v>332</v>
      </c>
      <c r="B1068" t="str">
        <f>F1068&amp;COUNTIF($F$2:F1068,F1068)</f>
        <v>11</v>
      </c>
    </row>
    <row r="1069" spans="1:44">
      <c r="A1069" t="str">
        <f>H1069&amp;COUNTIF($H$2:H1069,H1069)</f>
        <v>332</v>
      </c>
      <c r="B1069" t="str">
        <f>F1069&amp;COUNTIF($F$2:F1069,F1069)</f>
        <v>11</v>
      </c>
    </row>
    <row r="1070" spans="1:44">
      <c r="A1070" t="str">
        <f>H1070&amp;COUNTIF($H$2:H1070,H1070)</f>
        <v>332</v>
      </c>
      <c r="B1070" t="str">
        <f>F1070&amp;COUNTIF($F$2:F1070,F1070)</f>
        <v>11</v>
      </c>
    </row>
    <row r="1071" spans="1:44">
      <c r="A1071" t="str">
        <f>H1071&amp;COUNTIF($H$2:H1071,H1071)</f>
        <v>332</v>
      </c>
      <c r="B1071" t="str">
        <f>F1071&amp;COUNTIF($F$2:F1071,F1071)</f>
        <v>11</v>
      </c>
    </row>
    <row r="1072" spans="1:44">
      <c r="A1072" t="str">
        <f>H1072&amp;COUNTIF($H$2:H1072,H1072)</f>
        <v>332</v>
      </c>
      <c r="B1072" t="str">
        <f>F1072&amp;COUNTIF($F$2:F1072,F1072)</f>
        <v>11</v>
      </c>
    </row>
    <row r="1073" spans="1:2">
      <c r="A1073" t="str">
        <f>H1073&amp;COUNTIF($H$2:H1073,H1073)</f>
        <v>332</v>
      </c>
      <c r="B1073" t="str">
        <f>F1073&amp;COUNTIF($F$2:F1073,F1073)</f>
        <v>11</v>
      </c>
    </row>
    <row r="1074" spans="1:2">
      <c r="A1074" t="str">
        <f>H1074&amp;COUNTIF($H$2:H1074,H1074)</f>
        <v>332</v>
      </c>
      <c r="B1074" t="str">
        <f>F1074&amp;COUNTIF($F$2:F1074,F1074)</f>
        <v>11</v>
      </c>
    </row>
    <row r="1075" spans="1:2">
      <c r="A1075" t="str">
        <f>H1075&amp;COUNTIF($H$2:H1075,H1075)</f>
        <v>332</v>
      </c>
      <c r="B1075" t="str">
        <f>F1075&amp;COUNTIF($F$2:F1075,F1075)</f>
        <v>11</v>
      </c>
    </row>
    <row r="1076" spans="1:2">
      <c r="A1076" t="str">
        <f>H1076&amp;COUNTIF($H$2:H1076,H1076)</f>
        <v>332</v>
      </c>
      <c r="B1076" t="str">
        <f>F1076&amp;COUNTIF($F$2:F1076,F1076)</f>
        <v>11</v>
      </c>
    </row>
    <row r="1077" spans="1:2">
      <c r="A1077" t="str">
        <f>H1077&amp;COUNTIF($H$2:H1077,H1077)</f>
        <v>332</v>
      </c>
      <c r="B1077" t="str">
        <f>F1077&amp;COUNTIF($F$2:F1077,F1077)</f>
        <v>11</v>
      </c>
    </row>
    <row r="1078" spans="1:2">
      <c r="A1078" t="str">
        <f>H1078&amp;COUNTIF($H$2:H1078,H1078)</f>
        <v>332</v>
      </c>
      <c r="B1078" t="str">
        <f>F1078&amp;COUNTIF($F$2:F1078,F1078)</f>
        <v>11</v>
      </c>
    </row>
    <row r="1079" spans="1:2">
      <c r="A1079" t="str">
        <f>H1079&amp;COUNTIF($H$2:H1079,H1079)</f>
        <v>332</v>
      </c>
      <c r="B1079" t="str">
        <f>F1079&amp;COUNTIF($F$2:F1079,F1079)</f>
        <v>11</v>
      </c>
    </row>
    <row r="1080" spans="1:2">
      <c r="A1080" t="str">
        <f>H1080&amp;COUNTIF($H$2:H1080,H1080)</f>
        <v>332</v>
      </c>
      <c r="B1080" t="str">
        <f>F1080&amp;COUNTIF($F$2:F1080,F1080)</f>
        <v>11</v>
      </c>
    </row>
    <row r="1081" spans="1:2">
      <c r="A1081" t="str">
        <f>H1081&amp;COUNTIF($H$2:H1081,H1081)</f>
        <v>332</v>
      </c>
      <c r="B1081" t="str">
        <f>F1081&amp;COUNTIF($F$2:F1081,F1081)</f>
        <v>11</v>
      </c>
    </row>
    <row r="1082" spans="1:2">
      <c r="A1082" t="str">
        <f>H1082&amp;COUNTIF($H$2:H1082,H1082)</f>
        <v>332</v>
      </c>
      <c r="B1082" t="str">
        <f>F1082&amp;COUNTIF($F$2:F1082,F1082)</f>
        <v>11</v>
      </c>
    </row>
    <row r="1083" spans="1:2">
      <c r="A1083" t="str">
        <f>H1083&amp;COUNTIF($H$2:H1083,H1083)</f>
        <v>332</v>
      </c>
      <c r="B1083" t="str">
        <f>F1083&amp;COUNTIF($F$2:F1083,F1083)</f>
        <v>11</v>
      </c>
    </row>
    <row r="1084" spans="1:2">
      <c r="A1084" t="str">
        <f>H1084&amp;COUNTIF($H$2:H1084,H1084)</f>
        <v>332</v>
      </c>
      <c r="B1084" t="str">
        <f>F1084&amp;COUNTIF($F$2:F1084,F1084)</f>
        <v>11</v>
      </c>
    </row>
    <row r="1085" spans="1:2">
      <c r="A1085" t="str">
        <f>H1085&amp;COUNTIF($H$2:H1085,H1085)</f>
        <v>332</v>
      </c>
      <c r="B1085" t="str">
        <f>F1085&amp;COUNTIF($F$2:F1085,F1085)</f>
        <v>11</v>
      </c>
    </row>
    <row r="1086" spans="1:2">
      <c r="A1086" t="str">
        <f>H1086&amp;COUNTIF($H$2:H1086,H1086)</f>
        <v>332</v>
      </c>
      <c r="B1086" t="str">
        <f>F1086&amp;COUNTIF($F$2:F1086,F1086)</f>
        <v>11</v>
      </c>
    </row>
    <row r="1087" spans="1:2">
      <c r="A1087" t="str">
        <f>H1087&amp;COUNTIF($H$2:H1087,H1087)</f>
        <v>332</v>
      </c>
      <c r="B1087" t="str">
        <f>F1087&amp;COUNTIF($F$2:F1087,F1087)</f>
        <v>11</v>
      </c>
    </row>
    <row r="1088" spans="1:2">
      <c r="A1088" t="str">
        <f>H1088&amp;COUNTIF($H$2:H1088,H1088)</f>
        <v>332</v>
      </c>
      <c r="B1088" t="str">
        <f>F1088&amp;COUNTIF($F$2:F1088,F1088)</f>
        <v>11</v>
      </c>
    </row>
    <row r="1089" spans="1:2">
      <c r="A1089" t="str">
        <f>H1089&amp;COUNTIF($H$2:H1089,H1089)</f>
        <v>332</v>
      </c>
      <c r="B1089" t="str">
        <f>F1089&amp;COUNTIF($F$2:F1089,F1089)</f>
        <v>11</v>
      </c>
    </row>
    <row r="1090" spans="1:2">
      <c r="A1090" t="str">
        <f>H1090&amp;COUNTIF($H$2:H1090,H1090)</f>
        <v>332</v>
      </c>
      <c r="B1090" t="str">
        <f>F1090&amp;COUNTIF($F$2:F1090,F1090)</f>
        <v>11</v>
      </c>
    </row>
    <row r="1091" spans="1:2">
      <c r="A1091" t="str">
        <f>H1091&amp;COUNTIF($H$2:H1091,H1091)</f>
        <v>332</v>
      </c>
      <c r="B1091" t="str">
        <f>F1091&amp;COUNTIF($F$2:F1091,F1091)</f>
        <v>11</v>
      </c>
    </row>
    <row r="1092" spans="1:2">
      <c r="A1092" t="str">
        <f>H1092&amp;COUNTIF($H$2:H1092,H1092)</f>
        <v>332</v>
      </c>
      <c r="B1092" t="str">
        <f>F1092&amp;COUNTIF($F$2:F1092,F1092)</f>
        <v>11</v>
      </c>
    </row>
    <row r="1093" spans="1:2">
      <c r="A1093" t="str">
        <f>H1093&amp;COUNTIF($H$2:H1093,H1093)</f>
        <v>332</v>
      </c>
      <c r="B1093" t="str">
        <f>F1093&amp;COUNTIF($F$2:F1093,F1093)</f>
        <v>11</v>
      </c>
    </row>
    <row r="1094" spans="1:2">
      <c r="A1094" t="str">
        <f>H1094&amp;COUNTIF($H$2:H1094,H1094)</f>
        <v>332</v>
      </c>
      <c r="B1094" t="str">
        <f>F1094&amp;COUNTIF($F$2:F1094,F1094)</f>
        <v>11</v>
      </c>
    </row>
    <row r="1095" spans="1:2">
      <c r="A1095" t="str">
        <f>H1095&amp;COUNTIF($H$2:H1095,H1095)</f>
        <v>332</v>
      </c>
      <c r="B1095" t="str">
        <f>F1095&amp;COUNTIF($F$2:F1095,F1095)</f>
        <v>11</v>
      </c>
    </row>
    <row r="1096" spans="1:2">
      <c r="A1096" t="str">
        <f>H1096&amp;COUNTIF($H$2:H1096,H1096)</f>
        <v>332</v>
      </c>
      <c r="B1096" t="str">
        <f>F1096&amp;COUNTIF($F$2:F1096,F1096)</f>
        <v>11</v>
      </c>
    </row>
    <row r="1097" spans="1:2">
      <c r="A1097" t="str">
        <f>H1097&amp;COUNTIF($H$2:H1097,H1097)</f>
        <v>332</v>
      </c>
      <c r="B1097" t="str">
        <f>F1097&amp;COUNTIF($F$2:F1097,F1097)</f>
        <v>11</v>
      </c>
    </row>
    <row r="1098" spans="1:2">
      <c r="A1098" t="str">
        <f>H1098&amp;COUNTIF($H$2:H1098,H1098)</f>
        <v>332</v>
      </c>
      <c r="B1098" t="str">
        <f>F1098&amp;COUNTIF($F$2:F1098,F1098)</f>
        <v>11</v>
      </c>
    </row>
    <row r="1099" spans="1:2">
      <c r="A1099" t="str">
        <f>H1099&amp;COUNTIF($H$2:H1099,H1099)</f>
        <v>332</v>
      </c>
      <c r="B1099" t="str">
        <f>F1099&amp;COUNTIF($F$2:F1099,F1099)</f>
        <v>11</v>
      </c>
    </row>
    <row r="1100" spans="1:2">
      <c r="A1100" t="str">
        <f>H1100&amp;COUNTIF($H$2:H1100,H1100)</f>
        <v>332</v>
      </c>
      <c r="B1100" t="str">
        <f>F1100&amp;COUNTIF($F$2:F1100,F1100)</f>
        <v>11</v>
      </c>
    </row>
    <row r="1101" spans="1:2">
      <c r="A1101" t="str">
        <f>H1101&amp;COUNTIF($H$2:H1101,H1101)</f>
        <v>332</v>
      </c>
      <c r="B1101" t="str">
        <f>F1101&amp;COUNTIF($F$2:F1101,F1101)</f>
        <v>11</v>
      </c>
    </row>
    <row r="1102" spans="1:2">
      <c r="A1102" t="str">
        <f>H1102&amp;COUNTIF($H$2:H1102,H1102)</f>
        <v>332</v>
      </c>
      <c r="B1102" t="str">
        <f>F1102&amp;COUNTIF($F$2:F1102,F1102)</f>
        <v>11</v>
      </c>
    </row>
    <row r="1103" spans="1:2">
      <c r="A1103" t="str">
        <f>H1103&amp;COUNTIF($H$2:H1103,H1103)</f>
        <v>332</v>
      </c>
      <c r="B1103" t="str">
        <f>F1103&amp;COUNTIF($F$2:F1103,F1103)</f>
        <v>11</v>
      </c>
    </row>
    <row r="1104" spans="1:2">
      <c r="A1104" t="str">
        <f>H1104&amp;COUNTIF($H$2:H1104,H1104)</f>
        <v>332</v>
      </c>
      <c r="B1104" t="str">
        <f>F1104&amp;COUNTIF($F$2:F1104,F1104)</f>
        <v>11</v>
      </c>
    </row>
    <row r="1105" spans="1:2">
      <c r="A1105" t="str">
        <f>H1105&amp;COUNTIF($H$2:H1105,H1105)</f>
        <v>332</v>
      </c>
      <c r="B1105" t="str">
        <f>F1105&amp;COUNTIF($F$2:F1105,F1105)</f>
        <v>11</v>
      </c>
    </row>
    <row r="1106" spans="1:2">
      <c r="A1106" t="str">
        <f>H1106&amp;COUNTIF($H$2:H1106,H1106)</f>
        <v>332</v>
      </c>
      <c r="B1106" t="str">
        <f>F1106&amp;COUNTIF($F$2:F1106,F1106)</f>
        <v>11</v>
      </c>
    </row>
    <row r="1107" spans="1:2">
      <c r="A1107" t="str">
        <f>H1107&amp;COUNTIF($H$2:H1107,H1107)</f>
        <v>332</v>
      </c>
      <c r="B1107" t="str">
        <f>F1107&amp;COUNTIF($F$2:F1107,F1107)</f>
        <v>11</v>
      </c>
    </row>
    <row r="1108" spans="1:2">
      <c r="A1108" t="str">
        <f>H1108&amp;COUNTIF($H$2:H1108,H1108)</f>
        <v>332</v>
      </c>
      <c r="B1108" t="str">
        <f>F1108&amp;COUNTIF($F$2:F1108,F1108)</f>
        <v>11</v>
      </c>
    </row>
    <row r="1109" spans="1:2">
      <c r="A1109" t="str">
        <f>H1109&amp;COUNTIF($H$2:H1109,H1109)</f>
        <v>332</v>
      </c>
      <c r="B1109" t="str">
        <f>F1109&amp;COUNTIF($F$2:F1109,F1109)</f>
        <v>11</v>
      </c>
    </row>
    <row r="1110" spans="1:2">
      <c r="A1110" t="str">
        <f>H1110&amp;COUNTIF($H$2:H1110,H1110)</f>
        <v>332</v>
      </c>
      <c r="B1110" t="str">
        <f>F1110&amp;COUNTIF($F$2:F1110,F1110)</f>
        <v>11</v>
      </c>
    </row>
    <row r="1111" spans="1:2">
      <c r="A1111" t="str">
        <f>H1111&amp;COUNTIF($H$2:H1111,H1111)</f>
        <v>332</v>
      </c>
      <c r="B1111" t="str">
        <f>F1111&amp;COUNTIF($F$2:F1111,F1111)</f>
        <v>11</v>
      </c>
    </row>
    <row r="1112" spans="1:2">
      <c r="A1112" t="str">
        <f>H1112&amp;COUNTIF($H$2:H1112,H1112)</f>
        <v>332</v>
      </c>
      <c r="B1112" t="str">
        <f>F1112&amp;COUNTIF($F$2:F1112,F1112)</f>
        <v>11</v>
      </c>
    </row>
    <row r="1113" spans="1:2">
      <c r="A1113" t="str">
        <f>H1113&amp;COUNTIF($H$2:H1113,H1113)</f>
        <v>332</v>
      </c>
      <c r="B1113" t="str">
        <f>F1113&amp;COUNTIF($F$2:F1113,F1113)</f>
        <v>11</v>
      </c>
    </row>
    <row r="1114" spans="1:2">
      <c r="A1114" t="str">
        <f>H1114&amp;COUNTIF($H$2:H1114,H1114)</f>
        <v>332</v>
      </c>
      <c r="B1114" t="str">
        <f>F1114&amp;COUNTIF($F$2:F1114,F1114)</f>
        <v>11</v>
      </c>
    </row>
    <row r="1115" spans="1:2">
      <c r="A1115" t="str">
        <f>H1115&amp;COUNTIF($H$2:H1115,H1115)</f>
        <v>332</v>
      </c>
      <c r="B1115" t="str">
        <f>F1115&amp;COUNTIF($F$2:F1115,F1115)</f>
        <v>11</v>
      </c>
    </row>
    <row r="1116" spans="1:2">
      <c r="A1116" t="str">
        <f>H1116&amp;COUNTIF($H$2:H1116,H1116)</f>
        <v>332</v>
      </c>
      <c r="B1116" t="str">
        <f>F1116&amp;COUNTIF($F$2:F1116,F1116)</f>
        <v>11</v>
      </c>
    </row>
    <row r="1117" spans="1:2">
      <c r="A1117" t="str">
        <f>H1117&amp;COUNTIF($H$2:H1117,H1117)</f>
        <v>332</v>
      </c>
      <c r="B1117" t="str">
        <f>F1117&amp;COUNTIF($F$2:F1117,F1117)</f>
        <v>11</v>
      </c>
    </row>
    <row r="1118" spans="1:2">
      <c r="A1118" t="str">
        <f>H1118&amp;COUNTIF($H$2:H1118,H1118)</f>
        <v>332</v>
      </c>
      <c r="B1118" t="str">
        <f>F1118&amp;COUNTIF($F$2:F1118,F1118)</f>
        <v>11</v>
      </c>
    </row>
    <row r="1119" spans="1:2">
      <c r="A1119" t="str">
        <f>H1119&amp;COUNTIF($H$2:H1119,H1119)</f>
        <v>332</v>
      </c>
      <c r="B1119" t="str">
        <f>F1119&amp;COUNTIF($F$2:F1119,F1119)</f>
        <v>11</v>
      </c>
    </row>
    <row r="1120" spans="1:2">
      <c r="A1120" t="str">
        <f>H1120&amp;COUNTIF($H$2:H1120,H1120)</f>
        <v>332</v>
      </c>
      <c r="B1120" t="str">
        <f>F1120&amp;COUNTIF($F$2:F1120,F1120)</f>
        <v>11</v>
      </c>
    </row>
    <row r="1121" spans="1:2">
      <c r="A1121" t="str">
        <f>H1121&amp;COUNTIF($H$2:H1121,H1121)</f>
        <v>332</v>
      </c>
      <c r="B1121" t="str">
        <f>F1121&amp;COUNTIF($F$2:F1121,F1121)</f>
        <v>11</v>
      </c>
    </row>
    <row r="1122" spans="1:2">
      <c r="A1122" t="str">
        <f>H1122&amp;COUNTIF($H$2:H1122,H1122)</f>
        <v>332</v>
      </c>
      <c r="B1122" t="str">
        <f>F1122&amp;COUNTIF($F$2:F1122,F1122)</f>
        <v>11</v>
      </c>
    </row>
    <row r="1123" spans="1:2">
      <c r="A1123" t="str">
        <f>H1123&amp;COUNTIF($H$2:H1123,H1123)</f>
        <v>332</v>
      </c>
      <c r="B1123" t="str">
        <f>F1123&amp;COUNTIF($F$2:F1123,F1123)</f>
        <v>11</v>
      </c>
    </row>
    <row r="1124" spans="1:2">
      <c r="A1124" t="str">
        <f>H1124&amp;COUNTIF($H$2:H1124,H1124)</f>
        <v>332</v>
      </c>
      <c r="B1124" t="str">
        <f>F1124&amp;COUNTIF($F$2:F1124,F1124)</f>
        <v>11</v>
      </c>
    </row>
    <row r="1125" spans="1:2">
      <c r="A1125" t="str">
        <f>H1125&amp;COUNTIF($H$2:H1125,H1125)</f>
        <v>332</v>
      </c>
      <c r="B1125" t="str">
        <f>F1125&amp;COUNTIF($F$2:F1125,F1125)</f>
        <v>11</v>
      </c>
    </row>
    <row r="1126" spans="1:2">
      <c r="A1126" t="str">
        <f>H1126&amp;COUNTIF($H$2:H1126,H1126)</f>
        <v>332</v>
      </c>
      <c r="B1126" t="str">
        <f>F1126&amp;COUNTIF($F$2:F1126,F1126)</f>
        <v>11</v>
      </c>
    </row>
    <row r="1127" spans="1:2">
      <c r="A1127" t="str">
        <f>H1127&amp;COUNTIF($H$2:H1127,H1127)</f>
        <v>332</v>
      </c>
      <c r="B1127" t="str">
        <f>F1127&amp;COUNTIF($F$2:F1127,F1127)</f>
        <v>11</v>
      </c>
    </row>
    <row r="1128" spans="1:2">
      <c r="A1128" t="str">
        <f>H1128&amp;COUNTIF($H$2:H1128,H1128)</f>
        <v>332</v>
      </c>
      <c r="B1128" t="str">
        <f>F1128&amp;COUNTIF($F$2:F1128,F1128)</f>
        <v>11</v>
      </c>
    </row>
    <row r="1129" spans="1:2">
      <c r="A1129" t="str">
        <f>H1129&amp;COUNTIF($H$2:H1129,H1129)</f>
        <v>332</v>
      </c>
      <c r="B1129" t="str">
        <f>F1129&amp;COUNTIF($F$2:F1129,F1129)</f>
        <v>11</v>
      </c>
    </row>
    <row r="1130" spans="1:2">
      <c r="A1130" t="str">
        <f>H1130&amp;COUNTIF($H$2:H1130,H1130)</f>
        <v>332</v>
      </c>
      <c r="B1130" t="str">
        <f>F1130&amp;COUNTIF($F$2:F1130,F1130)</f>
        <v>11</v>
      </c>
    </row>
    <row r="1131" spans="1:2">
      <c r="A1131" t="str">
        <f>H1131&amp;COUNTIF($H$2:H1131,H1131)</f>
        <v>332</v>
      </c>
      <c r="B1131" t="str">
        <f>F1131&amp;COUNTIF($F$2:F1131,F1131)</f>
        <v>11</v>
      </c>
    </row>
    <row r="1132" spans="1:2">
      <c r="A1132" t="str">
        <f>H1132&amp;COUNTIF($H$2:H1132,H1132)</f>
        <v>332</v>
      </c>
      <c r="B1132" t="str">
        <f>F1132&amp;COUNTIF($F$2:F1132,F1132)</f>
        <v>11</v>
      </c>
    </row>
    <row r="1133" spans="1:2">
      <c r="A1133" t="str">
        <f>H1133&amp;COUNTIF($H$2:H1133,H1133)</f>
        <v>332</v>
      </c>
      <c r="B1133" t="str">
        <f>F1133&amp;COUNTIF($F$2:F1133,F1133)</f>
        <v>11</v>
      </c>
    </row>
    <row r="1134" spans="1:2">
      <c r="A1134" t="str">
        <f>H1134&amp;COUNTIF($H$2:H1134,H1134)</f>
        <v>332</v>
      </c>
      <c r="B1134" t="str">
        <f>F1134&amp;COUNTIF($F$2:F1134,F1134)</f>
        <v>11</v>
      </c>
    </row>
    <row r="1135" spans="1:2">
      <c r="A1135" t="str">
        <f>H1135&amp;COUNTIF($H$2:H1135,H1135)</f>
        <v>332</v>
      </c>
      <c r="B1135" t="str">
        <f>F1135&amp;COUNTIF($F$2:F1135,F1135)</f>
        <v>11</v>
      </c>
    </row>
    <row r="1136" spans="1:2">
      <c r="A1136" t="str">
        <f>H1136&amp;COUNTIF($H$2:H1136,H1136)</f>
        <v>332</v>
      </c>
      <c r="B1136" t="str">
        <f>F1136&amp;COUNTIF($F$2:F1136,F1136)</f>
        <v>11</v>
      </c>
    </row>
    <row r="1137" spans="1:2">
      <c r="A1137" t="str">
        <f>H1137&amp;COUNTIF($H$2:H1137,H1137)</f>
        <v>332</v>
      </c>
      <c r="B1137" t="str">
        <f>F1137&amp;COUNTIF($F$2:F1137,F1137)</f>
        <v>11</v>
      </c>
    </row>
    <row r="1138" spans="1:2">
      <c r="A1138" t="str">
        <f>H1138&amp;COUNTIF($H$2:H1138,H1138)</f>
        <v>332</v>
      </c>
      <c r="B1138" t="str">
        <f>F1138&amp;COUNTIF($F$2:F1138,F1138)</f>
        <v>11</v>
      </c>
    </row>
    <row r="1139" spans="1:2">
      <c r="A1139" t="str">
        <f>H1139&amp;COUNTIF($H$2:H1139,H1139)</f>
        <v>332</v>
      </c>
      <c r="B1139" t="str">
        <f>F1139&amp;COUNTIF($F$2:F1139,F1139)</f>
        <v>11</v>
      </c>
    </row>
    <row r="1140" spans="1:2">
      <c r="A1140" t="str">
        <f>H1140&amp;COUNTIF($H$2:H1140,H1140)</f>
        <v>332</v>
      </c>
      <c r="B1140" t="str">
        <f>F1140&amp;COUNTIF($F$2:F1140,F1140)</f>
        <v>11</v>
      </c>
    </row>
    <row r="1141" spans="1:2">
      <c r="A1141" t="str">
        <f>H1141&amp;COUNTIF($H$2:H1141,H1141)</f>
        <v>332</v>
      </c>
      <c r="B1141" t="str">
        <f>F1141&amp;COUNTIF($F$2:F1141,F1141)</f>
        <v>11</v>
      </c>
    </row>
    <row r="1142" spans="1:2">
      <c r="A1142" t="str">
        <f>H1142&amp;COUNTIF($H$2:H1142,H1142)</f>
        <v>332</v>
      </c>
      <c r="B1142" t="str">
        <f>F1142&amp;COUNTIF($F$2:F1142,F1142)</f>
        <v>11</v>
      </c>
    </row>
    <row r="1143" spans="1:2">
      <c r="A1143" t="str">
        <f>H1143&amp;COUNTIF($H$2:H1143,H1143)</f>
        <v>332</v>
      </c>
      <c r="B1143" t="str">
        <f>F1143&amp;COUNTIF($F$2:F1143,F1143)</f>
        <v>11</v>
      </c>
    </row>
    <row r="1144" spans="1:2">
      <c r="A1144" t="str">
        <f>H1144&amp;COUNTIF($H$2:H1144,H1144)</f>
        <v>332</v>
      </c>
      <c r="B1144" t="str">
        <f>F1144&amp;COUNTIF($F$2:F1144,F1144)</f>
        <v>11</v>
      </c>
    </row>
    <row r="1145" spans="1:2">
      <c r="A1145" t="str">
        <f>H1145&amp;COUNTIF($H$2:H1145,H1145)</f>
        <v>332</v>
      </c>
      <c r="B1145" t="str">
        <f>F1145&amp;COUNTIF($F$2:F1145,F1145)</f>
        <v>11</v>
      </c>
    </row>
    <row r="1146" spans="1:2">
      <c r="A1146" t="str">
        <f>H1146&amp;COUNTIF($H$2:H1146,H1146)</f>
        <v>332</v>
      </c>
      <c r="B1146" t="str">
        <f>F1146&amp;COUNTIF($F$2:F1146,F1146)</f>
        <v>11</v>
      </c>
    </row>
    <row r="1147" spans="1:2">
      <c r="A1147" t="str">
        <f>H1147&amp;COUNTIF($H$2:H1147,H1147)</f>
        <v>332</v>
      </c>
      <c r="B1147" t="str">
        <f>F1147&amp;COUNTIF($F$2:F1147,F1147)</f>
        <v>11</v>
      </c>
    </row>
    <row r="1148" spans="1:2">
      <c r="A1148" t="str">
        <f>H1148&amp;COUNTIF($H$2:H1148,H1148)</f>
        <v>332</v>
      </c>
      <c r="B1148" t="str">
        <f>F1148&amp;COUNTIF($F$2:F1148,F1148)</f>
        <v>11</v>
      </c>
    </row>
    <row r="1149" spans="1:2">
      <c r="A1149" t="str">
        <f>H1149&amp;COUNTIF($H$2:H1149,H1149)</f>
        <v>332</v>
      </c>
      <c r="B1149" t="str">
        <f>F1149&amp;COUNTIF($F$2:F1149,F1149)</f>
        <v>11</v>
      </c>
    </row>
    <row r="1150" spans="1:2">
      <c r="A1150" t="str">
        <f>H1150&amp;COUNTIF($H$2:H1150,H1150)</f>
        <v>332</v>
      </c>
      <c r="B1150" t="str">
        <f>F1150&amp;COUNTIF($F$2:F1150,F1150)</f>
        <v>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1629C-D558-4B7D-9D69-4B2502F95E25}">
  <sheetPr codeName="Hoja3">
    <tabColor theme="1"/>
    <pageSetUpPr fitToPage="1"/>
  </sheetPr>
  <dimension ref="A1:AC254"/>
  <sheetViews>
    <sheetView view="pageBreakPreview" zoomScaleNormal="100" zoomScaleSheetLayoutView="100" workbookViewId="0">
      <selection activeCell="F27" sqref="F27"/>
    </sheetView>
  </sheetViews>
  <sheetFormatPr defaultColWidth="11.43359375" defaultRowHeight="14.25"/>
  <cols>
    <col min="1" max="1" width="4.4375" style="62" customWidth="1"/>
    <col min="2" max="2" width="7.93359375" style="62" bestFit="1" customWidth="1"/>
    <col min="3" max="3" width="10.0859375" style="62" customWidth="1"/>
    <col min="4" max="4" width="7.3984375" style="62" customWidth="1"/>
    <col min="5" max="5" width="8.7421875" style="62" customWidth="1"/>
    <col min="6" max="6" width="29.0546875" style="62" customWidth="1"/>
    <col min="7" max="7" width="17.21875" style="62" hidden="1" customWidth="1"/>
    <col min="8" max="8" width="14.796875" style="62" hidden="1" customWidth="1"/>
    <col min="9" max="9" width="58.24609375" style="62" hidden="1" customWidth="1"/>
    <col min="10" max="10" width="14.9296875" style="62" customWidth="1"/>
    <col min="11" max="11" width="28.3828125" style="62" customWidth="1"/>
    <col min="12" max="12" width="25.9609375" style="62" customWidth="1"/>
    <col min="13" max="13" width="5.91796875" style="62" customWidth="1"/>
    <col min="14" max="14" width="8.609375" style="62" customWidth="1"/>
    <col min="15" max="15" width="17.08203125" style="64" bestFit="1" customWidth="1"/>
    <col min="16" max="16" width="5.37890625" style="62" customWidth="1"/>
    <col min="17" max="17" width="9.4140625" style="62" customWidth="1"/>
    <col min="18" max="18" width="8.33984375" style="62" customWidth="1"/>
    <col min="19" max="19" width="11.43359375" style="62" hidden="1" customWidth="1"/>
    <col min="20" max="20" width="14.2578125" style="62" hidden="1" customWidth="1"/>
    <col min="21" max="21" width="13.1796875" style="62" hidden="1" customWidth="1"/>
    <col min="22" max="22" width="17.08203125" style="64" hidden="1" customWidth="1"/>
    <col min="23" max="23" width="17.08203125" style="64" bestFit="1" customWidth="1"/>
    <col min="24" max="24" width="14.2578125" style="64" hidden="1" customWidth="1"/>
    <col min="25" max="25" width="9.4140625" style="62" hidden="1" customWidth="1"/>
    <col min="26" max="26" width="60.9375" style="62" hidden="1" customWidth="1"/>
    <col min="27" max="27" width="16.8125" style="155" bestFit="1" customWidth="1"/>
    <col min="28" max="28" width="16.8125" style="64" bestFit="1" customWidth="1"/>
    <col min="29" max="29" width="13.1796875" style="62" bestFit="1" customWidth="1"/>
    <col min="30" max="16384" width="11.43359375" style="62"/>
  </cols>
  <sheetData>
    <row r="1" spans="1:29" ht="18" customHeight="1">
      <c r="B1" s="621" t="s">
        <v>361</v>
      </c>
      <c r="C1" s="621"/>
      <c r="D1" s="621"/>
      <c r="E1" s="621"/>
      <c r="F1" s="62" t="s">
        <v>75</v>
      </c>
      <c r="G1" s="62" t="s">
        <v>362</v>
      </c>
      <c r="H1" s="62" t="s">
        <v>363</v>
      </c>
      <c r="N1" s="82" t="s">
        <v>1641</v>
      </c>
      <c r="Y1" s="65"/>
      <c r="Z1" s="65"/>
      <c r="AB1" s="64" t="s">
        <v>782</v>
      </c>
      <c r="AC1" s="62" t="s">
        <v>1347</v>
      </c>
    </row>
    <row r="2" spans="1:29" s="63" customFormat="1">
      <c r="A2" s="66"/>
      <c r="B2" s="63" t="s">
        <v>304</v>
      </c>
      <c r="C2" s="63" t="s">
        <v>21</v>
      </c>
      <c r="D2" s="63" t="s">
        <v>20</v>
      </c>
      <c r="E2" s="63" t="s">
        <v>22</v>
      </c>
      <c r="F2" s="63" t="s">
        <v>24</v>
      </c>
      <c r="G2" s="63" t="s">
        <v>3874</v>
      </c>
      <c r="H2" s="63" t="s">
        <v>3875</v>
      </c>
      <c r="I2" s="63" t="s">
        <v>1756</v>
      </c>
      <c r="J2" s="63" t="s">
        <v>381</v>
      </c>
      <c r="K2" s="63" t="s">
        <v>25</v>
      </c>
      <c r="L2" s="63" t="s">
        <v>26</v>
      </c>
      <c r="M2" s="63" t="s">
        <v>27</v>
      </c>
      <c r="N2" s="63" t="s">
        <v>28</v>
      </c>
      <c r="O2" s="67" t="s">
        <v>29</v>
      </c>
      <c r="P2" s="63" t="s">
        <v>30</v>
      </c>
      <c r="Q2" s="63" t="s">
        <v>31</v>
      </c>
      <c r="R2" s="63" t="s">
        <v>383</v>
      </c>
      <c r="S2" s="63" t="s">
        <v>39</v>
      </c>
      <c r="T2" s="63" t="s">
        <v>40</v>
      </c>
      <c r="U2" s="63" t="s">
        <v>41</v>
      </c>
      <c r="V2" s="67" t="s">
        <v>42</v>
      </c>
      <c r="W2" s="67" t="s">
        <v>43</v>
      </c>
      <c r="X2" s="67" t="s">
        <v>44</v>
      </c>
      <c r="Y2" s="63" t="s">
        <v>45</v>
      </c>
      <c r="Z2" s="63" t="s">
        <v>48</v>
      </c>
      <c r="AA2" s="156" t="s">
        <v>1744</v>
      </c>
      <c r="AB2" s="421" t="s">
        <v>1215</v>
      </c>
      <c r="AC2" s="158" t="s">
        <v>1216</v>
      </c>
    </row>
    <row r="3" spans="1:29" hidden="1">
      <c r="A3" s="424">
        <f>SUBTOTAL(103,$C$3:C3)</f>
        <v>0</v>
      </c>
      <c r="B3" s="159">
        <v>1</v>
      </c>
      <c r="C3" s="88">
        <f>_xlfn.XLOOKUP($F$1&amp;B3,Filtro!B:B,Filtro!D:D,"",0,1)</f>
        <v>201101</v>
      </c>
      <c r="D3" s="88" t="str">
        <f>_xlfn.XLOOKUP($F$1&amp;B3,Filtro!B:B,Filtro!C:C,"",0,1)</f>
        <v>退社</v>
      </c>
      <c r="E3" s="88">
        <f>_xlfn.XLOOKUP($F$1&amp;B3,Filtro!B:B,Filtro!E:E,"",0,1)</f>
        <v>0</v>
      </c>
      <c r="F3" s="88" t="str">
        <f>_xlfn.XLOOKUP($F$1&amp;B3,Filtro!B:B,Filtro!G:G,"",0,1)</f>
        <v>高雄工業株式会社 愛知事業所本社工場製作課</v>
      </c>
      <c r="G3" s="88" t="str">
        <f ca="1">MID(TablaTransfor[[#This Row],[配属先]],1,8)</f>
        <v>高雄工業株式会社</v>
      </c>
      <c r="H3" s="88" t="str">
        <f ca="1">MID(TablaTransfor[[#This Row],[配属先]],9,6)</f>
        <v xml:space="preserve"> 愛知事業所</v>
      </c>
      <c r="I3" s="88">
        <f>_xlfn.XLOOKUP($C3,DBGenzai[社員№],DBGenzai[仕事内容],"",0,1)</f>
        <v>0</v>
      </c>
      <c r="J3" s="88">
        <f>_xlfn.XLOOKUP($F$1&amp;B3,Filtro!B:B,Filtro!H:H,"",0,1)</f>
        <v>0</v>
      </c>
      <c r="K3" s="88" t="str">
        <f>_xlfn.XLOOKUP($F$1&amp;B3,Filtro!B:B,Filtro!J:J,"",0,1)</f>
        <v>加藤　佑樹</v>
      </c>
      <c r="L3" s="88" t="str">
        <f ca="1">IF(TablaTransfor[[#This Row],[氏名]]="","",IF(TablaTransfor[[#This Row],[氏名]]&lt;"0","記号",IF(NOT(EXACT(UPPER(TablaTransfor[[#This Row],[氏名]]),LOWER(TablaTransfor[[#This Row],[氏名]]))),_xlfn.XLOOKUP($C3,DBGenzai[社員№],DBGenzai[カナ],"",0,1),_xlfn.XLOOKUP($C3,DBGenzai[社員№],DBGenzai[氏名],"",0,1))))</f>
        <v>加藤　佑樹</v>
      </c>
      <c r="M3" s="88" t="str">
        <f>_xlfn.XLOOKUP($C3,DBGenzai[社員№],DBGenzai[性別],"",0,1)</f>
        <v>男</v>
      </c>
      <c r="N3" s="88" t="str">
        <f>_xlfn.XLOOKUP($C3,DBGenzai[社員№],DBGenzai[国籍],"",0,1)</f>
        <v>日本</v>
      </c>
      <c r="O3" s="89">
        <f>_xlfn.XLOOKUP($C3,DBGenzai[社員№],DBGenzai[生年月日],"",0,1)</f>
        <v>30431</v>
      </c>
      <c r="P3" s="88">
        <f>_xlfn.XLOOKUP($F$1&amp;B3,Filtro!B:B,Filtro!O:O,"",0,1)</f>
        <v>42</v>
      </c>
      <c r="Q3" s="88">
        <f>_xlfn.XLOOKUP($F$1&amp;B3,Filtro!B:B,Filtro!P:P,"",0,1)</f>
        <v>1200</v>
      </c>
      <c r="R3" s="426">
        <f>_xlfn.XLOOKUP($F$1&amp;B3,Filtro!B:B,Filtro!R:R,"",0,1)</f>
        <v>1700</v>
      </c>
      <c r="S3" s="88" t="str">
        <f>_xlfn.XLOOKUP($C3,DBGenzai[社員№],DBGenzai[〒],"",0,1)</f>
        <v>498-0822</v>
      </c>
      <c r="T3" s="88" t="str">
        <f>_xlfn.XLOOKUP($C3,DBGenzai[社員№],DBGenzai[住所],"",0,1)</f>
        <v>三重県桑名郡木曽岬町見入流作5</v>
      </c>
      <c r="U3" s="88">
        <f>_xlfn.XLOOKUP($C3,DBGenzai[社員№],DBGenzai[ｱﾊﾟｰﾄ],"",0,1)</f>
        <v>0</v>
      </c>
      <c r="V3" s="89" t="str">
        <f>_xlfn.XLOOKUP($C3,DBGenzai[社員№],DBGenzai[入居],"",0,1)</f>
        <v>個人</v>
      </c>
      <c r="W3" s="89">
        <f>_xlfn.XLOOKUP($F$1&amp;B3,Filtro!B:B,Filtro!AF:AF,"",0,1)</f>
        <v>44144</v>
      </c>
      <c r="X3" s="89">
        <f>_xlfn.XLOOKUP($C3,DBGenzai[社員№],DBGenzai[退社日],"",0,1)</f>
        <v>44211</v>
      </c>
      <c r="Y3" s="88">
        <f>_xlfn.XLOOKUP($C3,DBGenzai[社員№],DBGenzai[退去],"",0,1)</f>
        <v>0</v>
      </c>
      <c r="Z3" s="88">
        <f>_xlfn.XLOOKUP($C3,DBGenzai[社員№],DBGenzai[備考],"",0,1)</f>
        <v>0</v>
      </c>
      <c r="AA3" s="422">
        <f>_xlfn.XLOOKUP($F$1&amp;B3,Filtro!B:B,Filtro!AL:AL,"",0,1)</f>
        <v>44144</v>
      </c>
      <c r="AB3" s="157">
        <v>45566</v>
      </c>
      <c r="AC3" s="436" t="str">
        <f ca="1">_xlfn.XLOOKUP(TablaTransfor[[#This Row],[ライン]],TBKaishaInfo[ライン],TBKaishaInfo[まで],"NohayMarrano",0,1)</f>
        <v>NohayMarrano</v>
      </c>
    </row>
    <row r="4" spans="1:29" hidden="1">
      <c r="A4" s="424">
        <f>SUBTOTAL(103,$C$3:C4)</f>
        <v>0</v>
      </c>
      <c r="B4" s="159">
        <v>22</v>
      </c>
      <c r="C4" s="88">
        <f>_xlfn.XLOOKUP($F$1&amp;B4,Filtro!B:B,Filtro!D:D,"",0,1)</f>
        <v>220121</v>
      </c>
      <c r="D4" s="88" t="str">
        <f>_xlfn.XLOOKUP($F$1&amp;B4,Filtro!B:B,Filtro!C:C,"",0,1)</f>
        <v>退社</v>
      </c>
      <c r="E4" s="88">
        <f>_xlfn.XLOOKUP($F$1&amp;B4,Filtro!B:B,Filtro!E:E,"",0,1)</f>
        <v>212018</v>
      </c>
      <c r="F4" s="88" t="str">
        <f>_xlfn.XLOOKUP($F$1&amp;B4,Filtro!B:B,Filtro!G:G,"",0,1)</f>
        <v>高雄工業株式会社 愛知事業所本社工場製作課</v>
      </c>
      <c r="G4" s="88" t="str">
        <f ca="1">MID(TablaTransfor[[#This Row],[配属先]],1,8)</f>
        <v>高雄工業株式会社</v>
      </c>
      <c r="H4" s="88" t="str">
        <f ca="1">MID(TablaTransfor[[#This Row],[配属先]],9,6)</f>
        <v xml:space="preserve"> 愛知事業所</v>
      </c>
      <c r="I4" s="88" t="str">
        <f>_xlfn.XLOOKUP($C4,DBGenzai[社員№],DBGenzai[仕事内容],"",0,1)</f>
        <v>CVJ部品長軸品の施削加工、NCプログラム修正</v>
      </c>
      <c r="J4" s="88" t="str">
        <f>_xlfn.XLOOKUP($F$1&amp;B4,Filtro!B:B,Filtro!H:H,"",0,1)</f>
        <v>Gライン</v>
      </c>
      <c r="K4" s="88" t="str">
        <f>_xlfn.XLOOKUP($F$1&amp;B4,Filtro!B:B,Filtro!J:J,"",0,1)</f>
        <v>NGO VAN HIEP</v>
      </c>
      <c r="L4" s="88" t="str">
        <f ca="1">IF(TablaTransfor[[#This Row],[氏名]]="","",IF(TablaTransfor[[#This Row],[氏名]]&lt;"0","記号",IF(NOT(EXACT(UPPER(TablaTransfor[[#This Row],[氏名]]),LOWER(TablaTransfor[[#This Row],[氏名]]))),_xlfn.XLOOKUP($C4,DBGenzai[社員№],DBGenzai[カナ],"",0,1),_xlfn.XLOOKUP($C4,DBGenzai[社員№],DBGenzai[氏名],"",0,1))))</f>
        <v>ゴー　ヴァン　ヒエップ</v>
      </c>
      <c r="M4" s="88" t="str">
        <f>_xlfn.XLOOKUP($C4,DBGenzai[社員№],DBGenzai[性別],"",0,1)</f>
        <v>男</v>
      </c>
      <c r="N4" s="88" t="str">
        <f>_xlfn.XLOOKUP($C4,DBGenzai[社員№],DBGenzai[国籍],"",0,1)</f>
        <v>ﾍﾞﾄﾅﾑ</v>
      </c>
      <c r="O4" s="89">
        <f>_xlfn.XLOOKUP($C4,DBGenzai[社員№],DBGenzai[生年月日],"",0,1)</f>
        <v>35377</v>
      </c>
      <c r="P4" s="88">
        <f>_xlfn.XLOOKUP($F$1&amp;B4,Filtro!B:B,Filtro!O:O,"",0,1)</f>
        <v>29</v>
      </c>
      <c r="Q4" s="88">
        <f>_xlfn.XLOOKUP($F$1&amp;B4,Filtro!B:B,Filtro!P:P,"",0,1)</f>
        <v>1410</v>
      </c>
      <c r="R4" s="426">
        <f>_xlfn.XLOOKUP($F$1&amp;B4,Filtro!B:B,Filtro!R:R,"",0,1)</f>
        <v>1830</v>
      </c>
      <c r="S4" s="88" t="str">
        <f>_xlfn.XLOOKUP($C4,DBGenzai[社員№],DBGenzai[〒],"",0,1)</f>
        <v>498-0031</v>
      </c>
      <c r="T4" s="88" t="str">
        <f>_xlfn.XLOOKUP($C4,DBGenzai[社員№],DBGenzai[住所],"",0,1)</f>
        <v>愛知県弥富市平島町中新田194-1</v>
      </c>
      <c r="U4" s="88" t="str">
        <f>_xlfn.XLOOKUP($C4,DBGenzai[社員№],DBGenzai[ｱﾊﾟｰﾄ],"",0,1)</f>
        <v>ｺﾝﾂｪﾙﾊｳｽⅡD棟202</v>
      </c>
      <c r="V4" s="89">
        <f>_xlfn.XLOOKUP($C4,DBGenzai[社員№],DBGenzai[入居],"",0,1)</f>
        <v>44558</v>
      </c>
      <c r="W4" s="89">
        <f>_xlfn.XLOOKUP($F$1&amp;B4,Filtro!B:B,Filtro!AF:AF,"",0,1)</f>
        <v>44579</v>
      </c>
      <c r="X4" s="89">
        <f>_xlfn.XLOOKUP($C4,DBGenzai[社員№],DBGenzai[退社日],"",0,1)</f>
        <v>45889</v>
      </c>
      <c r="Y4" s="88">
        <f>_xlfn.XLOOKUP($C4,DBGenzai[社員№],DBGenzai[退去],"",0,1)</f>
        <v>0</v>
      </c>
      <c r="Z4" s="88">
        <f>_xlfn.XLOOKUP($C4,DBGenzai[社員№],DBGenzai[備考],"",0,1)</f>
        <v>0</v>
      </c>
      <c r="AA4" s="422">
        <f>_xlfn.XLOOKUP($F$1&amp;B4,Filtro!B:B,Filtro!AL:AL,"",0,1)</f>
        <v>44579</v>
      </c>
      <c r="AB4" s="157">
        <v>45566</v>
      </c>
      <c r="AC4" s="436">
        <f ca="1">_xlfn.XLOOKUP(TablaTransfor[[#This Row],[ライン]],TBKaishaInfo[ライン],TBKaishaInfo[まで],"NohayMarrano",0,1)</f>
        <v>46295</v>
      </c>
    </row>
    <row r="5" spans="1:29" hidden="1">
      <c r="A5" s="424">
        <f>SUBTOTAL(103,$C$3:C5)</f>
        <v>0</v>
      </c>
      <c r="B5" s="159">
        <v>3</v>
      </c>
      <c r="C5" s="88">
        <f>_xlfn.XLOOKUP($F$1&amp;B5,Filtro!B:B,Filtro!D:D,"",0,1)</f>
        <v>201210</v>
      </c>
      <c r="D5" s="88" t="str">
        <f>_xlfn.XLOOKUP($F$1&amp;B5,Filtro!B:B,Filtro!C:C,"",0,1)</f>
        <v>退社</v>
      </c>
      <c r="E5" s="88">
        <f>_xlfn.XLOOKUP($F$1&amp;B5,Filtro!B:B,Filtro!E:E,"",0,1)</f>
        <v>0</v>
      </c>
      <c r="F5" s="88" t="str">
        <f>_xlfn.XLOOKUP($F$1&amp;B5,Filtro!B:B,Filtro!G:G,"",0,1)</f>
        <v>高雄工業株式会社 愛知事業所本社工場製作課</v>
      </c>
      <c r="G5" s="88" t="str">
        <f ca="1">MID(TablaTransfor[[#This Row],[配属先]],1,8)</f>
        <v>高雄工業株式会社</v>
      </c>
      <c r="H5" s="88" t="str">
        <f ca="1">MID(TablaTransfor[[#This Row],[配属先]],9,6)</f>
        <v xml:space="preserve"> 愛知事業所</v>
      </c>
      <c r="I5" s="88">
        <f>_xlfn.XLOOKUP($C5,DBGenzai[社員№],DBGenzai[仕事内容],"",0,1)</f>
        <v>0</v>
      </c>
      <c r="J5" s="88">
        <f>_xlfn.XLOOKUP($F$1&amp;B5,Filtro!B:B,Filtro!H:H,"",0,1)</f>
        <v>0</v>
      </c>
      <c r="K5" s="88" t="str">
        <f>_xlfn.XLOOKUP($F$1&amp;B5,Filtro!B:B,Filtro!J:J,"",0,1)</f>
        <v>鈴木 マルシオ</v>
      </c>
      <c r="L5" s="88" t="str">
        <f ca="1">IF(TablaTransfor[[#This Row],[氏名]]="","",IF(TablaTransfor[[#This Row],[氏名]]&lt;"0","記号",IF(NOT(EXACT(UPPER(TablaTransfor[[#This Row],[氏名]]),LOWER(TablaTransfor[[#This Row],[氏名]]))),_xlfn.XLOOKUP($C5,DBGenzai[社員№],DBGenzai[カナ],"",0,1),_xlfn.XLOOKUP($C5,DBGenzai[社員№],DBGenzai[氏名],"",0,1))))</f>
        <v>鈴木 マルシオ</v>
      </c>
      <c r="M5" s="88" t="str">
        <f>_xlfn.XLOOKUP($C5,DBGenzai[社員№],DBGenzai[性別],"",0,1)</f>
        <v>男</v>
      </c>
      <c r="N5" s="88" t="str">
        <f>_xlfn.XLOOKUP($C5,DBGenzai[社員№],DBGenzai[国籍],"",0,1)</f>
        <v>ﾌﾞﾗｼﾞﾙ</v>
      </c>
      <c r="O5" s="89">
        <f>_xlfn.XLOOKUP($C5,DBGenzai[社員№],DBGenzai[生年月日],"",0,1)</f>
        <v>25114</v>
      </c>
      <c r="P5" s="88">
        <f>_xlfn.XLOOKUP($F$1&amp;B5,Filtro!B:B,Filtro!O:O,"",0,1)</f>
        <v>57</v>
      </c>
      <c r="Q5" s="88">
        <f>_xlfn.XLOOKUP($F$1&amp;B5,Filtro!B:B,Filtro!P:P,"",0,1)</f>
        <v>1200</v>
      </c>
      <c r="R5" s="426">
        <f>_xlfn.XLOOKUP($F$1&amp;B5,Filtro!B:B,Filtro!R:R,"",0,1)</f>
        <v>1650</v>
      </c>
      <c r="S5" s="88" t="str">
        <f>_xlfn.XLOOKUP($C5,DBGenzai[社員№],DBGenzai[〒],"",0,1)</f>
        <v>455-0008</v>
      </c>
      <c r="T5" s="88" t="str">
        <f>_xlfn.XLOOKUP($C5,DBGenzai[社員№],DBGenzai[住所],"",0,1)</f>
        <v>愛知県名古屋市港区九番町1-1-1</v>
      </c>
      <c r="U5" s="88" t="str">
        <f>_xlfn.XLOOKUP($C5,DBGenzai[社員№],DBGenzai[ｱﾊﾟｰﾄ],"",0,1)</f>
        <v>九番団地1棟611</v>
      </c>
      <c r="V5" s="89" t="str">
        <f>_xlfn.XLOOKUP($C5,DBGenzai[社員№],DBGenzai[入居],"",0,1)</f>
        <v>個人</v>
      </c>
      <c r="W5" s="89">
        <f>_xlfn.XLOOKUP($F$1&amp;B5,Filtro!B:B,Filtro!AF:AF,"",0,1)</f>
        <v>44179</v>
      </c>
      <c r="X5" s="89">
        <f>_xlfn.XLOOKUP($C5,DBGenzai[社員№],DBGenzai[退社日],"",0,1)</f>
        <v>44180</v>
      </c>
      <c r="Y5" s="88">
        <f>_xlfn.XLOOKUP($C5,DBGenzai[社員№],DBGenzai[退去],"",0,1)</f>
        <v>0</v>
      </c>
      <c r="Z5" s="88">
        <f>_xlfn.XLOOKUP($C5,DBGenzai[社員№],DBGenzai[備考],"",0,1)</f>
        <v>0</v>
      </c>
      <c r="AA5" s="422">
        <f>_xlfn.XLOOKUP($F$1&amp;B5,Filtro!B:B,Filtro!AL:AL,"",0,1)</f>
        <v>44179</v>
      </c>
      <c r="AB5" s="157" t="str" cm="1">
        <f t="array" aca="1" ref="AB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5" s="436" t="str">
        <f ca="1">_xlfn.XLOOKUP(TablaTransfor[[#This Row],[ライン]],TBKaishaInfo[ライン],TBKaishaInfo[まで],"NohayMarrano",0,1)</f>
        <v>NohayMarrano</v>
      </c>
    </row>
    <row r="6" spans="1:29" hidden="1">
      <c r="A6" s="424">
        <f>SUBTOTAL(103,$C$3:C6)</f>
        <v>0</v>
      </c>
      <c r="B6" s="159">
        <v>4</v>
      </c>
      <c r="C6" s="88">
        <f>_xlfn.XLOOKUP($F$1&amp;B6,Filtro!B:B,Filtro!D:D,"",0,1)</f>
        <v>210101</v>
      </c>
      <c r="D6" s="88" t="str">
        <f>_xlfn.XLOOKUP($F$1&amp;B6,Filtro!B:B,Filtro!C:C,"",0,1)</f>
        <v>退社</v>
      </c>
      <c r="E6" s="88">
        <f>_xlfn.XLOOKUP($F$1&amp;B6,Filtro!B:B,Filtro!E:E,"",0,1)</f>
        <v>0</v>
      </c>
      <c r="F6" s="88" t="str">
        <f>_xlfn.XLOOKUP($F$1&amp;B6,Filtro!B:B,Filtro!G:G,"",0,1)</f>
        <v>高雄工業株式会社 愛知事業所本社工場製作課</v>
      </c>
      <c r="G6" s="88" t="str">
        <f ca="1">MID(TablaTransfor[[#This Row],[配属先]],1,8)</f>
        <v>高雄工業株式会社</v>
      </c>
      <c r="H6" s="88" t="str">
        <f ca="1">MID(TablaTransfor[[#This Row],[配属先]],9,6)</f>
        <v xml:space="preserve"> 愛知事業所</v>
      </c>
      <c r="I6" s="88">
        <f>_xlfn.XLOOKUP($C6,DBGenzai[社員№],DBGenzai[仕事内容],"",0,1)</f>
        <v>0</v>
      </c>
      <c r="J6" s="88">
        <f>_xlfn.XLOOKUP($F$1&amp;B6,Filtro!B:B,Filtro!H:H,"",0,1)</f>
        <v>0</v>
      </c>
      <c r="K6" s="88" t="str">
        <f>_xlfn.XLOOKUP($F$1&amp;B6,Filtro!B:B,Filtro!J:J,"",0,1)</f>
        <v>DAO HOANG ANH</v>
      </c>
      <c r="L6" s="88" t="str">
        <f ca="1">IF(TablaTransfor[[#This Row],[氏名]]="","",IF(TablaTransfor[[#This Row],[氏名]]&lt;"0","記号",IF(NOT(EXACT(UPPER(TablaTransfor[[#This Row],[氏名]]),LOWER(TablaTransfor[[#This Row],[氏名]]))),_xlfn.XLOOKUP($C6,DBGenzai[社員№],DBGenzai[カナ],"",0,1),_xlfn.XLOOKUP($C6,DBGenzai[社員№],DBGenzai[氏名],"",0,1))))</f>
        <v>ダオ　ホアン　アン</v>
      </c>
      <c r="M6" s="88" t="str">
        <f>_xlfn.XLOOKUP($C6,DBGenzai[社員№],DBGenzai[性別],"",0,1)</f>
        <v>男</v>
      </c>
      <c r="N6" s="88" t="str">
        <f>_xlfn.XLOOKUP($C6,DBGenzai[社員№],DBGenzai[国籍],"",0,1)</f>
        <v>ﾍﾞﾄﾅﾑ</v>
      </c>
      <c r="O6" s="89">
        <f>_xlfn.XLOOKUP($C6,DBGenzai[社員№],DBGenzai[生年月日],"",0,1)</f>
        <v>34673</v>
      </c>
      <c r="P6" s="88">
        <f>_xlfn.XLOOKUP($F$1&amp;B6,Filtro!B:B,Filtro!O:O,"",0,1)</f>
        <v>30</v>
      </c>
      <c r="Q6" s="88">
        <f>_xlfn.XLOOKUP($F$1&amp;B6,Filtro!B:B,Filtro!P:P,"",0,1)</f>
        <v>1300</v>
      </c>
      <c r="R6" s="426">
        <f>_xlfn.XLOOKUP($F$1&amp;B6,Filtro!B:B,Filtro!R:R,"",0,1)</f>
        <v>1600</v>
      </c>
      <c r="S6" s="88" t="str">
        <f>_xlfn.XLOOKUP($C6,DBGenzai[社員№],DBGenzai[〒],"",0,1)</f>
        <v>498-0031</v>
      </c>
      <c r="T6" s="88" t="str">
        <f>_xlfn.XLOOKUP($C6,DBGenzai[社員№],DBGenzai[住所],"",0,1)</f>
        <v>愛知県弥富市平島町北広畑10-1</v>
      </c>
      <c r="U6" s="88" t="str">
        <f>_xlfn.XLOOKUP($C6,DBGenzai[社員№],DBGenzai[ｱﾊﾟｰﾄ],"",0,1)</f>
        <v>ﾚﾌﾞﾗﾝｶﾐｰﾘｱA201</v>
      </c>
      <c r="V6" s="89">
        <f>_xlfn.XLOOKUP($C6,DBGenzai[社員№],DBGenzai[入居],"",0,1)</f>
        <v>44193</v>
      </c>
      <c r="W6" s="89">
        <f>_xlfn.XLOOKUP($F$1&amp;B6,Filtro!B:B,Filtro!AF:AF,"",0,1)</f>
        <v>44201</v>
      </c>
      <c r="X6" s="89">
        <f>_xlfn.XLOOKUP($C6,DBGenzai[社員№],DBGenzai[退社日],"",0,1)</f>
        <v>44415</v>
      </c>
      <c r="Y6" s="88">
        <f>_xlfn.XLOOKUP($C6,DBGenzai[社員№],DBGenzai[退去],"",0,1)</f>
        <v>0</v>
      </c>
      <c r="Z6" s="88">
        <f>_xlfn.XLOOKUP($C6,DBGenzai[社員№],DBGenzai[備考],"",0,1)</f>
        <v>0</v>
      </c>
      <c r="AA6" s="422">
        <f>_xlfn.XLOOKUP($F$1&amp;B6,Filtro!B:B,Filtro!AL:AL,"",0,1)</f>
        <v>44201</v>
      </c>
      <c r="AB6" s="157" t="str" cm="1">
        <f t="array" aca="1" ref="AB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6" s="436" t="str">
        <f ca="1">_xlfn.XLOOKUP(TablaTransfor[[#This Row],[ライン]],TBKaishaInfo[ライン],TBKaishaInfo[まで],"NohayMarrano",0,1)</f>
        <v>NohayMarrano</v>
      </c>
    </row>
    <row r="7" spans="1:29" hidden="1">
      <c r="A7" s="424">
        <f>SUBTOTAL(103,$C$3:C7)</f>
        <v>0</v>
      </c>
      <c r="B7" s="159">
        <v>7</v>
      </c>
      <c r="C7" s="88">
        <f>_xlfn.XLOOKUP($F$1&amp;B7,Filtro!B:B,Filtro!D:D,"",0,1)</f>
        <v>210121</v>
      </c>
      <c r="D7" s="88" t="str">
        <f>_xlfn.XLOOKUP($F$1&amp;B7,Filtro!B:B,Filtro!C:C,"",0,1)</f>
        <v>退社</v>
      </c>
      <c r="E7" s="88">
        <f>_xlfn.XLOOKUP($F$1&amp;B7,Filtro!B:B,Filtro!E:E,"",0,1)</f>
        <v>212006</v>
      </c>
      <c r="F7" s="88" t="str">
        <f>_xlfn.XLOOKUP($F$1&amp;B7,Filtro!B:B,Filtro!G:G,"",0,1)</f>
        <v>高雄工業株式会社 愛知事業所本社工場製作課</v>
      </c>
      <c r="G7" s="88" t="str">
        <f ca="1">MID(TablaTransfor[[#This Row],[配属先]],1,8)</f>
        <v>高雄工業株式会社</v>
      </c>
      <c r="H7" s="88" t="str">
        <f ca="1">MID(TablaTransfor[[#This Row],[配属先]],9,6)</f>
        <v xml:space="preserve"> 愛知事業所</v>
      </c>
      <c r="I7" s="88" t="str">
        <f>_xlfn.XLOOKUP($C7,DBGenzai[社員№],DBGenzai[仕事内容],"",0,1)</f>
        <v>CVJメス型番の施削加工</v>
      </c>
      <c r="J7" s="88" t="str">
        <f>_xlfn.XLOOKUP($F$1&amp;B7,Filtro!B:B,Filtro!H:H,"",0,1)</f>
        <v>Aライン</v>
      </c>
      <c r="K7" s="88" t="str">
        <f>_xlfn.XLOOKUP($F$1&amp;B7,Filtro!B:B,Filtro!J:J,"",0,1)</f>
        <v>NGUYEN VAN THIEN</v>
      </c>
      <c r="L7" s="88" t="str">
        <f ca="1">IF(TablaTransfor[[#This Row],[氏名]]="","",IF(TablaTransfor[[#This Row],[氏名]]&lt;"0","記号",IF(NOT(EXACT(UPPER(TablaTransfor[[#This Row],[氏名]]),LOWER(TablaTransfor[[#This Row],[氏名]]))),_xlfn.XLOOKUP($C7,DBGenzai[社員№],DBGenzai[カナ],"",0,1),_xlfn.XLOOKUP($C7,DBGenzai[社員№],DBGenzai[氏名],"",0,1))))</f>
        <v>グエン　ヴァン　ティエン</v>
      </c>
      <c r="M7" s="88" t="str">
        <f>_xlfn.XLOOKUP($C7,DBGenzai[社員№],DBGenzai[性別],"",0,1)</f>
        <v>男</v>
      </c>
      <c r="N7" s="88" t="str">
        <f>_xlfn.XLOOKUP($C7,DBGenzai[社員№],DBGenzai[国籍],"",0,1)</f>
        <v>ﾍﾞﾄﾅﾑ</v>
      </c>
      <c r="O7" s="89">
        <f>_xlfn.XLOOKUP($C7,DBGenzai[社員№],DBGenzai[生年月日],"",0,1)</f>
        <v>34904</v>
      </c>
      <c r="P7" s="88">
        <f>_xlfn.XLOOKUP($F$1&amp;B7,Filtro!B:B,Filtro!O:O,"",0,1)</f>
        <v>30</v>
      </c>
      <c r="Q7" s="88">
        <f>_xlfn.XLOOKUP($F$1&amp;B7,Filtro!B:B,Filtro!P:P,"",0,1)</f>
        <v>1400</v>
      </c>
      <c r="R7" s="426">
        <f>_xlfn.XLOOKUP($F$1&amp;B7,Filtro!B:B,Filtro!R:R,"",0,1)</f>
        <v>1800</v>
      </c>
      <c r="S7" s="88" t="str">
        <f>_xlfn.XLOOKUP($C7,DBGenzai[社員№],DBGenzai[〒],"",0,1)</f>
        <v>498-0017</v>
      </c>
      <c r="T7" s="88" t="str">
        <f>_xlfn.XLOOKUP($C7,DBGenzai[社員№],DBGenzai[住所],"",0,1)</f>
        <v>愛知県弥富市前ヶ須町西勘助207</v>
      </c>
      <c r="U7" s="88" t="str">
        <f>_xlfn.XLOOKUP($C7,DBGenzai[社員№],DBGenzai[ｱﾊﾟｰﾄ],"",0,1)</f>
        <v>CASA弥冨A203</v>
      </c>
      <c r="V7" s="89">
        <f>_xlfn.XLOOKUP($C7,DBGenzai[社員№],DBGenzai[入居],"",0,1)</f>
        <v>44983</v>
      </c>
      <c r="W7" s="89">
        <f>_xlfn.XLOOKUP($F$1&amp;B7,Filtro!B:B,Filtro!AF:AF,"",0,1)</f>
        <v>44222</v>
      </c>
      <c r="X7" s="89">
        <f>_xlfn.XLOOKUP($C7,DBGenzai[社員№],DBGenzai[退社日],"",0,1)</f>
        <v>45309</v>
      </c>
      <c r="Y7" s="88">
        <f>_xlfn.XLOOKUP($C7,DBGenzai[社員№],DBGenzai[退去],"",0,1)</f>
        <v>0</v>
      </c>
      <c r="Z7" s="88">
        <f>_xlfn.XLOOKUP($C7,DBGenzai[社員№],DBGenzai[備考],"",0,1)</f>
        <v>0</v>
      </c>
      <c r="AA7" s="422">
        <f>_xlfn.XLOOKUP($F$1&amp;B7,Filtro!B:B,Filtro!AL:AL,"",0,1)</f>
        <v>44222</v>
      </c>
      <c r="AB7" s="157" t="str" cm="1">
        <f t="array" aca="1" ref="AB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7" s="436">
        <f ca="1">_xlfn.XLOOKUP(TablaTransfor[[#This Row],[ライン]],TBKaishaInfo[ライン],TBKaishaInfo[まで],"NohayMarrano",0,1)</f>
        <v>46295</v>
      </c>
    </row>
    <row r="8" spans="1:29" hidden="1">
      <c r="A8" s="424">
        <f>SUBTOTAL(103,$C$3:C8)</f>
        <v>0</v>
      </c>
      <c r="B8" s="159">
        <v>8</v>
      </c>
      <c r="C8" s="88">
        <f>_xlfn.XLOOKUP($F$1&amp;B8,Filtro!B:B,Filtro!D:D,"",0,1)</f>
        <v>210203</v>
      </c>
      <c r="D8" s="88" t="str">
        <f>_xlfn.XLOOKUP($F$1&amp;B8,Filtro!B:B,Filtro!C:C,"",0,1)</f>
        <v>退社</v>
      </c>
      <c r="E8" s="88">
        <f>_xlfn.XLOOKUP($F$1&amp;B8,Filtro!B:B,Filtro!E:E,"",0,1)</f>
        <v>212007</v>
      </c>
      <c r="F8" s="88" t="str">
        <f>_xlfn.XLOOKUP($F$1&amp;B8,Filtro!B:B,Filtro!G:G,"",0,1)</f>
        <v>高雄工業株式会社 愛知事業所本社工場製作課</v>
      </c>
      <c r="G8" s="88" t="str">
        <f ca="1">MID(TablaTransfor[[#This Row],[配属先]],1,8)</f>
        <v>高雄工業株式会社</v>
      </c>
      <c r="H8" s="88" t="str">
        <f ca="1">MID(TablaTransfor[[#This Row],[配属先]],9,6)</f>
        <v xml:space="preserve"> 愛知事業所</v>
      </c>
      <c r="I8" s="88">
        <f>_xlfn.XLOOKUP($C8,DBGenzai[社員№],DBGenzai[仕事内容],"",0,1)</f>
        <v>0</v>
      </c>
      <c r="J8" s="88" t="str">
        <f>_xlfn.XLOOKUP($F$1&amp;B8,Filtro!B:B,Filtro!H:H,"",0,1)</f>
        <v>Gライン</v>
      </c>
      <c r="K8" s="88" t="str">
        <f>_xlfn.XLOOKUP($F$1&amp;B8,Filtro!B:B,Filtro!J:J,"",0,1)</f>
        <v>LUONG QUANG QUAN</v>
      </c>
      <c r="L8" s="88" t="str">
        <f ca="1">IF(TablaTransfor[[#This Row],[氏名]]="","",IF(TablaTransfor[[#This Row],[氏名]]&lt;"0","記号",IF(NOT(EXACT(UPPER(TablaTransfor[[#This Row],[氏名]]),LOWER(TablaTransfor[[#This Row],[氏名]]))),_xlfn.XLOOKUP($C8,DBGenzai[社員№],DBGenzai[カナ],"",0,1),_xlfn.XLOOKUP($C8,DBGenzai[社員№],DBGenzai[氏名],"",0,1))))</f>
        <v>ルォン　クァン　クァン</v>
      </c>
      <c r="M8" s="88" t="str">
        <f>_xlfn.XLOOKUP($C8,DBGenzai[社員№],DBGenzai[性別],"",0,1)</f>
        <v>男</v>
      </c>
      <c r="N8" s="88" t="str">
        <f>_xlfn.XLOOKUP($C8,DBGenzai[社員№],DBGenzai[国籍],"",0,1)</f>
        <v>ﾍﾞﾄﾅﾑ</v>
      </c>
      <c r="O8" s="89">
        <f>_xlfn.XLOOKUP($C8,DBGenzai[社員№],DBGenzai[生年月日],"",0,1)</f>
        <v>35412</v>
      </c>
      <c r="P8" s="88">
        <f>_xlfn.XLOOKUP($F$1&amp;B8,Filtro!B:B,Filtro!O:O,"",0,1)</f>
        <v>28</v>
      </c>
      <c r="Q8" s="88">
        <f>_xlfn.XLOOKUP($F$1&amp;B8,Filtro!B:B,Filtro!P:P,"",0,1)</f>
        <v>1400</v>
      </c>
      <c r="R8" s="426">
        <f>_xlfn.XLOOKUP($F$1&amp;B8,Filtro!B:B,Filtro!R:R,"",0,1)</f>
        <v>1780</v>
      </c>
      <c r="S8" s="88" t="str">
        <f>_xlfn.XLOOKUP($C8,DBGenzai[社員№],DBGenzai[〒],"",0,1)</f>
        <v>498-0017</v>
      </c>
      <c r="T8" s="88" t="str">
        <f>_xlfn.XLOOKUP($C8,DBGenzai[社員№],DBGenzai[住所],"",0,1)</f>
        <v>愛知県弥富市前ヶ須町南本田522-１</v>
      </c>
      <c r="U8" s="88" t="str">
        <f>_xlfn.XLOOKUP($C8,DBGenzai[社員№],DBGenzai[ｱﾊﾟｰﾄ],"",0,1)</f>
        <v>ﾐﾉﾔ弥冨ﾊｲﾂ502</v>
      </c>
      <c r="V8" s="89">
        <f>_xlfn.XLOOKUP($C8,DBGenzai[社員№],DBGenzai[入居],"",0,1)</f>
        <v>44223</v>
      </c>
      <c r="W8" s="89">
        <f>_xlfn.XLOOKUP($F$1&amp;B8,Filtro!B:B,Filtro!AF:AF,"",0,1)</f>
        <v>44229</v>
      </c>
      <c r="X8" s="89">
        <f>_xlfn.XLOOKUP($C8,DBGenzai[社員№],DBGenzai[退社日],"",0,1)</f>
        <v>44923</v>
      </c>
      <c r="Y8" s="88">
        <f>_xlfn.XLOOKUP($C8,DBGenzai[社員№],DBGenzai[退去],"",0,1)</f>
        <v>0</v>
      </c>
      <c r="Z8" s="88">
        <f>_xlfn.XLOOKUP($C8,DBGenzai[社員№],DBGenzai[備考],"",0,1)</f>
        <v>0</v>
      </c>
      <c r="AA8" s="422">
        <f>_xlfn.XLOOKUP($F$1&amp;B8,Filtro!B:B,Filtro!AL:AL,"",0,1)</f>
        <v>44229</v>
      </c>
      <c r="AB8" s="157" t="str" cm="1">
        <f t="array" aca="1" ref="AB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8" s="436">
        <f ca="1">_xlfn.XLOOKUP(TablaTransfor[[#This Row],[ライン]],TBKaishaInfo[ライン],TBKaishaInfo[まで],"NohayMarrano",0,1)</f>
        <v>46295</v>
      </c>
    </row>
    <row r="9" spans="1:29" hidden="1">
      <c r="A9" s="424">
        <f>SUBTOTAL(103,$C$3:C9)</f>
        <v>0</v>
      </c>
      <c r="B9" s="159">
        <v>5</v>
      </c>
      <c r="C9" s="88">
        <f>_xlfn.XLOOKUP($F$1&amp;B9,Filtro!B:B,Filtro!D:D,"",0,1)</f>
        <v>210102</v>
      </c>
      <c r="D9" s="88" t="str">
        <f>_xlfn.XLOOKUP($F$1&amp;B9,Filtro!B:B,Filtro!C:C,"",0,1)</f>
        <v>退社</v>
      </c>
      <c r="E9" s="88">
        <f>_xlfn.XLOOKUP($F$1&amp;B9,Filtro!B:B,Filtro!E:E,"",0,1)</f>
        <v>212004</v>
      </c>
      <c r="F9" s="88" t="str">
        <f>_xlfn.XLOOKUP($F$1&amp;B9,Filtro!B:B,Filtro!G:G,"",0,1)</f>
        <v>高雄工業株式会社 愛知事業所本社工場製作課</v>
      </c>
      <c r="G9" s="88" t="str">
        <f ca="1">MID(TablaTransfor[[#This Row],[配属先]],1,8)</f>
        <v>高雄工業株式会社</v>
      </c>
      <c r="H9" s="88" t="str">
        <f ca="1">MID(TablaTransfor[[#This Row],[配属先]],9,6)</f>
        <v xml:space="preserve"> 愛知事業所</v>
      </c>
      <c r="I9" s="88">
        <f>_xlfn.XLOOKUP($C9,DBGenzai[社員№],DBGenzai[仕事内容],"",0,1)</f>
        <v>0</v>
      </c>
      <c r="J9" s="88" t="str">
        <f>_xlfn.XLOOKUP($F$1&amp;B9,Filtro!B:B,Filtro!H:H,"",0,1)</f>
        <v>Fライン</v>
      </c>
      <c r="K9" s="88" t="str">
        <f>_xlfn.XLOOKUP($F$1&amp;B9,Filtro!B:B,Filtro!J:J,"",0,1)</f>
        <v>NGUYEN DUC HUNG</v>
      </c>
      <c r="L9" s="88" t="str">
        <f ca="1">IF(TablaTransfor[[#This Row],[氏名]]="","",IF(TablaTransfor[[#This Row],[氏名]]&lt;"0","記号",IF(NOT(EXACT(UPPER(TablaTransfor[[#This Row],[氏名]]),LOWER(TablaTransfor[[#This Row],[氏名]]))),_xlfn.XLOOKUP($C9,DBGenzai[社員№],DBGenzai[カナ],"",0,1),_xlfn.XLOOKUP($C9,DBGenzai[社員№],DBGenzai[氏名],"",0,1))))</f>
        <v>グエン　ドック　フン</v>
      </c>
      <c r="M9" s="88" t="str">
        <f>_xlfn.XLOOKUP($C9,DBGenzai[社員№],DBGenzai[性別],"",0,1)</f>
        <v>男</v>
      </c>
      <c r="N9" s="88" t="str">
        <f>_xlfn.XLOOKUP($C9,DBGenzai[社員№],DBGenzai[国籍],"",0,1)</f>
        <v>ﾍﾞﾄﾅﾑ</v>
      </c>
      <c r="O9" s="89">
        <f>_xlfn.XLOOKUP($C9,DBGenzai[社員№],DBGenzai[生年月日],"",0,1)</f>
        <v>34018</v>
      </c>
      <c r="P9" s="88">
        <f>_xlfn.XLOOKUP($F$1&amp;B9,Filtro!B:B,Filtro!O:O,"",0,1)</f>
        <v>32</v>
      </c>
      <c r="Q9" s="88">
        <f>_xlfn.XLOOKUP($F$1&amp;B9,Filtro!B:B,Filtro!P:P,"",0,1)</f>
        <v>1400</v>
      </c>
      <c r="R9" s="426">
        <f>_xlfn.XLOOKUP($F$1&amp;B9,Filtro!B:B,Filtro!R:R,"",0,1)</f>
        <v>1770</v>
      </c>
      <c r="S9" s="88" t="str">
        <f>_xlfn.XLOOKUP($C9,DBGenzai[社員№],DBGenzai[〒],"",0,1)</f>
        <v>498-0031</v>
      </c>
      <c r="T9" s="88" t="str">
        <f>_xlfn.XLOOKUP($C9,DBGenzai[社員№],DBGenzai[住所],"",0,1)</f>
        <v>愛知県弥富市平島町中新田196-1</v>
      </c>
      <c r="U9" s="88" t="str">
        <f>_xlfn.XLOOKUP($C9,DBGenzai[社員№],DBGenzai[ｱﾊﾟｰﾄ],"",0,1)</f>
        <v>ｺﾝﾂｪﾙﾊｳｽⅡC棟203</v>
      </c>
      <c r="V9" s="89">
        <f>_xlfn.XLOOKUP($C9,DBGenzai[社員№],DBGenzai[入居],"",0,1)</f>
        <v>44193</v>
      </c>
      <c r="W9" s="89">
        <f>_xlfn.XLOOKUP($F$1&amp;B9,Filtro!B:B,Filtro!AF:AF,"",0,1)</f>
        <v>44201</v>
      </c>
      <c r="X9" s="89">
        <f>_xlfn.XLOOKUP($C9,DBGenzai[社員№],DBGenzai[退社日],"",0,1)</f>
        <v>44860</v>
      </c>
      <c r="Y9" s="88">
        <f>_xlfn.XLOOKUP($C9,DBGenzai[社員№],DBGenzai[退去],"",0,1)</f>
        <v>0</v>
      </c>
      <c r="Z9" s="88">
        <f>_xlfn.XLOOKUP($C9,DBGenzai[社員№],DBGenzai[備考],"",0,1)</f>
        <v>0</v>
      </c>
      <c r="AA9" s="422">
        <f>_xlfn.XLOOKUP($F$1&amp;B9,Filtro!B:B,Filtro!AL:AL,"",0,1)</f>
        <v>44201</v>
      </c>
      <c r="AB9" s="157" t="str" cm="1">
        <f t="array" aca="1" ref="AB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9" s="436">
        <f ca="1">_xlfn.XLOOKUP(TablaTransfor[[#This Row],[ライン]],TBKaishaInfo[ライン],TBKaishaInfo[まで],"NohayMarrano",0,1)</f>
        <v>46295</v>
      </c>
    </row>
    <row r="10" spans="1:29" hidden="1">
      <c r="A10" s="424">
        <f>SUBTOTAL(103,$C$3:C10)</f>
        <v>0</v>
      </c>
      <c r="B10" s="159">
        <v>13</v>
      </c>
      <c r="C10" s="88">
        <f>_xlfn.XLOOKUP($F$1&amp;B10,Filtro!B:B,Filtro!D:D,"",0,1)</f>
        <v>210511</v>
      </c>
      <c r="D10" s="88" t="str">
        <f>_xlfn.XLOOKUP($F$1&amp;B10,Filtro!B:B,Filtro!C:C,"",0,1)</f>
        <v>退社</v>
      </c>
      <c r="E10" s="88">
        <f>_xlfn.XLOOKUP($F$1&amp;B10,Filtro!B:B,Filtro!E:E,"",0,1)</f>
        <v>0</v>
      </c>
      <c r="F10" s="88" t="str">
        <f>_xlfn.XLOOKUP($F$1&amp;B10,Filtro!B:B,Filtro!G:G,"",0,1)</f>
        <v>高雄工業株式会社 愛知事業所本社工場製作課</v>
      </c>
      <c r="G10" s="88" t="str">
        <f ca="1">MID(TablaTransfor[[#This Row],[配属先]],1,8)</f>
        <v>高雄工業株式会社</v>
      </c>
      <c r="H10" s="88" t="str">
        <f ca="1">MID(TablaTransfor[[#This Row],[配属先]],9,6)</f>
        <v xml:space="preserve"> 愛知事業所</v>
      </c>
      <c r="I10" s="88">
        <f>_xlfn.XLOOKUP($C10,DBGenzai[社員№],DBGenzai[仕事内容],"",0,1)</f>
        <v>0</v>
      </c>
      <c r="J10" s="88">
        <f>_xlfn.XLOOKUP($F$1&amp;B10,Filtro!B:B,Filtro!H:H,"",0,1)</f>
        <v>0</v>
      </c>
      <c r="K10" s="88" t="str">
        <f>_xlfn.XLOOKUP($F$1&amp;B10,Filtro!B:B,Filtro!J:J,"",0,1)</f>
        <v>TRAN VAN QUYNH</v>
      </c>
      <c r="L10" s="88" t="str">
        <f ca="1">IF(TablaTransfor[[#This Row],[氏名]]="","",IF(TablaTransfor[[#This Row],[氏名]]&lt;"0","記号",IF(NOT(EXACT(UPPER(TablaTransfor[[#This Row],[氏名]]),LOWER(TablaTransfor[[#This Row],[氏名]]))),_xlfn.XLOOKUP($C10,DBGenzai[社員№],DBGenzai[カナ],"",0,1),_xlfn.XLOOKUP($C10,DBGenzai[社員№],DBGenzai[氏名],"",0,1))))</f>
        <v>チャン　ヴァン　クイン</v>
      </c>
      <c r="M10" s="88" t="str">
        <f>_xlfn.XLOOKUP($C10,DBGenzai[社員№],DBGenzai[性別],"",0,1)</f>
        <v>男</v>
      </c>
      <c r="N10" s="88" t="str">
        <f>_xlfn.XLOOKUP($C10,DBGenzai[社員№],DBGenzai[国籍],"",0,1)</f>
        <v>ﾍﾞﾄﾅﾑ</v>
      </c>
      <c r="O10" s="89">
        <f>_xlfn.XLOOKUP($C10,DBGenzai[社員№],DBGenzai[生年月日],"",0,1)</f>
        <v>34886</v>
      </c>
      <c r="P10" s="88">
        <f>_xlfn.XLOOKUP($F$1&amp;B10,Filtro!B:B,Filtro!O:O,"",0,1)</f>
        <v>30</v>
      </c>
      <c r="Q10" s="88">
        <f>_xlfn.XLOOKUP($F$1&amp;B10,Filtro!B:B,Filtro!P:P,"",0,1)</f>
        <v>1200</v>
      </c>
      <c r="R10" s="426">
        <f>_xlfn.XLOOKUP($F$1&amp;B10,Filtro!B:B,Filtro!R:R,"",0,1)</f>
        <v>1600</v>
      </c>
      <c r="S10" s="88" t="str">
        <f>_xlfn.XLOOKUP($C10,DBGenzai[社員№],DBGenzai[〒],"",0,1)</f>
        <v>498-0017</v>
      </c>
      <c r="T10" s="88" t="str">
        <f>_xlfn.XLOOKUP($C10,DBGenzai[社員№],DBGenzai[住所],"",0,1)</f>
        <v>愛知県弥富市前ヶ須町東勘助138</v>
      </c>
      <c r="U10" s="88" t="str">
        <f>_xlfn.XLOOKUP($C10,DBGenzai[社員№],DBGenzai[ｱﾊﾟｰﾄ],"",0,1)</f>
        <v>安井ﾋﾞﾙ5D</v>
      </c>
      <c r="V10" s="89">
        <f>_xlfn.XLOOKUP($C10,DBGenzai[社員№],DBGenzai[入居],"",0,1)</f>
        <v>44343</v>
      </c>
      <c r="W10" s="89">
        <f>_xlfn.XLOOKUP($F$1&amp;B10,Filtro!B:B,Filtro!AF:AF,"",0,1)</f>
        <v>44347</v>
      </c>
      <c r="X10" s="89">
        <f>_xlfn.XLOOKUP($C10,DBGenzai[社員№],DBGenzai[退社日],"",0,1)</f>
        <v>44357</v>
      </c>
      <c r="Y10" s="88">
        <f>_xlfn.XLOOKUP($C10,DBGenzai[社員№],DBGenzai[退去],"",0,1)</f>
        <v>0</v>
      </c>
      <c r="Z10" s="88">
        <f>_xlfn.XLOOKUP($C10,DBGenzai[社員№],DBGenzai[備考],"",0,1)</f>
        <v>0</v>
      </c>
      <c r="AA10" s="422">
        <f>_xlfn.XLOOKUP($F$1&amp;B10,Filtro!B:B,Filtro!AL:AL,"",0,1)</f>
        <v>44347</v>
      </c>
      <c r="AB10" s="157">
        <v>45566</v>
      </c>
      <c r="AC10" s="436" t="str">
        <f ca="1">_xlfn.XLOOKUP(TablaTransfor[[#This Row],[ライン]],TBKaishaInfo[ライン],TBKaishaInfo[まで],"NohayMarrano",0,1)</f>
        <v>NohayMarrano</v>
      </c>
    </row>
    <row r="11" spans="1:29" hidden="1">
      <c r="A11" s="424">
        <f>SUBTOTAL(103,$C$3:C11)</f>
        <v>0</v>
      </c>
      <c r="B11" s="159">
        <v>6</v>
      </c>
      <c r="C11" s="88">
        <f>_xlfn.XLOOKUP($F$1&amp;B11,Filtro!B:B,Filtro!D:D,"",0,1)</f>
        <v>220503</v>
      </c>
      <c r="D11" s="88" t="str">
        <f>_xlfn.XLOOKUP($F$1&amp;B11,Filtro!B:B,Filtro!C:C,"",0,1)</f>
        <v>在職中</v>
      </c>
      <c r="E11" s="88">
        <f>_xlfn.XLOOKUP($F$1&amp;B11,Filtro!B:B,Filtro!E:E,"",0,1)</f>
        <v>212027</v>
      </c>
      <c r="F11" s="88" t="str">
        <f>_xlfn.XLOOKUP($F$1&amp;B11,Filtro!B:B,Filtro!G:G,"",0,1)</f>
        <v>高雄工業株式会社 愛知事業所本社工場製作課</v>
      </c>
      <c r="G11" s="88" t="str">
        <f ca="1">MID(TablaTransfor[[#This Row],[配属先]],1,8)</f>
        <v>高雄工業株式会社</v>
      </c>
      <c r="H11" s="88" t="str">
        <f ca="1">MID(TablaTransfor[[#This Row],[配属先]],9,6)</f>
        <v xml:space="preserve"> 愛知事業所</v>
      </c>
      <c r="I11" s="88" t="str">
        <f>_xlfn.XLOOKUP($C11,DBGenzai[社員№],DBGenzai[仕事内容],"",0,1)</f>
        <v>CVJ部品短軸品の施削加工、NCプログラム修正</v>
      </c>
      <c r="J11" s="88" t="str">
        <f>_xlfn.XLOOKUP($F$1&amp;B11,Filtro!B:B,Filtro!H:H,"",0,1)</f>
        <v>Fライン</v>
      </c>
      <c r="K11" s="88" t="str">
        <f>_xlfn.XLOOKUP($F$1&amp;B11,Filtro!B:B,Filtro!J:J,"",0,1)</f>
        <v>HA VIET THUY</v>
      </c>
      <c r="L11" s="88" t="str">
        <f ca="1">IF(TablaTransfor[[#This Row],[氏名]]="","",IF(TablaTransfor[[#This Row],[氏名]]&lt;"0","記号",IF(NOT(EXACT(UPPER(TablaTransfor[[#This Row],[氏名]]),LOWER(TablaTransfor[[#This Row],[氏名]]))),_xlfn.XLOOKUP($C11,DBGenzai[社員№],DBGenzai[カナ],"",0,1),_xlfn.XLOOKUP($C11,DBGenzai[社員№],DBGenzai[氏名],"",0,1))))</f>
        <v>ハー　ヴィエット　トウイ</v>
      </c>
      <c r="M11" s="88" t="str">
        <f>_xlfn.XLOOKUP($C11,DBGenzai[社員№],DBGenzai[性別],"",0,1)</f>
        <v>男</v>
      </c>
      <c r="N11" s="88" t="str">
        <f>_xlfn.XLOOKUP($C11,DBGenzai[社員№],DBGenzai[国籍],"",0,1)</f>
        <v>ﾍﾞﾄﾅﾑ</v>
      </c>
      <c r="O11" s="89">
        <f>_xlfn.XLOOKUP($C11,DBGenzai[社員№],DBGenzai[生年月日],"",0,1)</f>
        <v>34820</v>
      </c>
      <c r="P11" s="88">
        <f>_xlfn.XLOOKUP($F$1&amp;B11,Filtro!B:B,Filtro!O:O,"",0,1)</f>
        <v>30</v>
      </c>
      <c r="Q11" s="88">
        <f>_xlfn.XLOOKUP($F$1&amp;B11,Filtro!B:B,Filtro!P:P,"",0,1)</f>
        <v>1310</v>
      </c>
      <c r="R11" s="426">
        <f>_xlfn.XLOOKUP($F$1&amp;B11,Filtro!B:B,Filtro!R:R,"",0,1)</f>
        <v>1710</v>
      </c>
      <c r="S11" s="88" t="str">
        <f>_xlfn.XLOOKUP($C11,DBGenzai[社員№],DBGenzai[〒],"",0,1)</f>
        <v>498-0017</v>
      </c>
      <c r="T11" s="88" t="str">
        <f>_xlfn.XLOOKUP($C11,DBGenzai[社員№],DBGenzai[住所],"",0,1)</f>
        <v>愛知県弥富市前ヶ須町西勘助207</v>
      </c>
      <c r="U11" s="88" t="str">
        <f>_xlfn.XLOOKUP($C11,DBGenzai[社員№],DBGenzai[ｱﾊﾟｰﾄ],"",0,1)</f>
        <v>CASA弥冨B203</v>
      </c>
      <c r="V11" s="89">
        <f>_xlfn.XLOOKUP($C11,DBGenzai[社員№],DBGenzai[入居],"",0,1)</f>
        <v>44678</v>
      </c>
      <c r="W11" s="89">
        <f>_xlfn.XLOOKUP($F$1&amp;B11,Filtro!B:B,Filtro!AF:AF,"",0,1)</f>
        <v>44690</v>
      </c>
      <c r="X11" s="89">
        <f>_xlfn.XLOOKUP($C11,DBGenzai[社員№],DBGenzai[退社日],"",0,1)</f>
        <v>0</v>
      </c>
      <c r="Y11" s="88">
        <f>_xlfn.XLOOKUP($C11,DBGenzai[社員№],DBGenzai[退去],"",0,1)</f>
        <v>0</v>
      </c>
      <c r="Z11" s="88">
        <f>_xlfn.XLOOKUP($C11,DBGenzai[社員№],DBGenzai[備考],"",0,1)</f>
        <v>0</v>
      </c>
      <c r="AA11" s="422">
        <f>_xlfn.XLOOKUP($F$1&amp;B11,Filtro!B:B,Filtro!AL:AL,"",0,1)</f>
        <v>44690</v>
      </c>
      <c r="AB11" s="157" t="str" cm="1">
        <f t="array" aca="1" ref="AB1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11" s="436">
        <f ca="1">_xlfn.XLOOKUP(TablaTransfor[[#This Row],[ライン]],TBKaishaInfo[ライン],TBKaishaInfo[まで],"NohayMarrano",0,1)</f>
        <v>46295</v>
      </c>
    </row>
    <row r="12" spans="1:29" hidden="1">
      <c r="A12" s="424">
        <f>SUBTOTAL(103,$C$3:C12)</f>
        <v>0</v>
      </c>
      <c r="B12" s="159">
        <v>31</v>
      </c>
      <c r="C12" s="88">
        <f>_xlfn.XLOOKUP($F$1&amp;B12,Filtro!B:B,Filtro!D:D,"",0,1)</f>
        <v>220213</v>
      </c>
      <c r="D12" s="88" t="str">
        <f>_xlfn.XLOOKUP($F$1&amp;B12,Filtro!B:B,Filtro!C:C,"",0,1)</f>
        <v>退社</v>
      </c>
      <c r="E12" s="88">
        <f>_xlfn.XLOOKUP($F$1&amp;B12,Filtro!B:B,Filtro!E:E,"",0,1)</f>
        <v>0</v>
      </c>
      <c r="F12" s="88" t="str">
        <f>_xlfn.XLOOKUP($F$1&amp;B12,Filtro!B:B,Filtro!G:G,"",0,1)</f>
        <v>高雄工業株式会社 愛知事業所本社工場製作課</v>
      </c>
      <c r="G12" s="88" t="str">
        <f ca="1">MID(TablaTransfor[[#This Row],[配属先]],1,8)</f>
        <v>高雄工業株式会社</v>
      </c>
      <c r="H12" s="88" t="str">
        <f ca="1">MID(TablaTransfor[[#This Row],[配属先]],9,6)</f>
        <v xml:space="preserve"> 愛知事業所</v>
      </c>
      <c r="I12" s="88">
        <f>_xlfn.XLOOKUP($C12,DBGenzai[社員№],DBGenzai[仕事内容],"",0,1)</f>
        <v>0</v>
      </c>
      <c r="J12" s="88">
        <f>_xlfn.XLOOKUP($F$1&amp;B12,Filtro!B:B,Filtro!H:H,"",0,1)</f>
        <v>0</v>
      </c>
      <c r="K12" s="88" t="str">
        <f>_xlfn.XLOOKUP($F$1&amp;B12,Filtro!B:B,Filtro!J:J,"",0,1)</f>
        <v>NGUYEN SON TUNG</v>
      </c>
      <c r="L12" s="88" t="str">
        <f ca="1">IF(TablaTransfor[[#This Row],[氏名]]="","",IF(TablaTransfor[[#This Row],[氏名]]&lt;"0","記号",IF(NOT(EXACT(UPPER(TablaTransfor[[#This Row],[氏名]]),LOWER(TablaTransfor[[#This Row],[氏名]]))),_xlfn.XLOOKUP($C12,DBGenzai[社員№],DBGenzai[カナ],"",0,1),_xlfn.XLOOKUP($C12,DBGenzai[社員№],DBGenzai[氏名],"",0,1))))</f>
        <v>グエン　ソン　トゥン</v>
      </c>
      <c r="M12" s="88" t="str">
        <f>_xlfn.XLOOKUP($C12,DBGenzai[社員№],DBGenzai[性別],"",0,1)</f>
        <v>男</v>
      </c>
      <c r="N12" s="88" t="str">
        <f>_xlfn.XLOOKUP($C12,DBGenzai[社員№],DBGenzai[国籍],"",0,1)</f>
        <v>ﾍﾞﾄﾅﾑ</v>
      </c>
      <c r="O12" s="89">
        <f>_xlfn.XLOOKUP($C12,DBGenzai[社員№],DBGenzai[生年月日],"",0,1)</f>
        <v>34150</v>
      </c>
      <c r="P12" s="88">
        <f>_xlfn.XLOOKUP($F$1&amp;B12,Filtro!B:B,Filtro!O:O,"",0,1)</f>
        <v>32</v>
      </c>
      <c r="Q12" s="88">
        <f>_xlfn.XLOOKUP($F$1&amp;B12,Filtro!B:B,Filtro!P:P,"",0,1)</f>
        <v>1360</v>
      </c>
      <c r="R12" s="426">
        <f>_xlfn.XLOOKUP($F$1&amp;B12,Filtro!B:B,Filtro!R:R,"",0,1)</f>
        <v>1750</v>
      </c>
      <c r="S12" s="88" t="str">
        <f>_xlfn.XLOOKUP($C12,DBGenzai[社員№],DBGenzai[〒],"",0,1)</f>
        <v>498-0028</v>
      </c>
      <c r="T12" s="88" t="str">
        <f>_xlfn.XLOOKUP($C12,DBGenzai[社員№],DBGenzai[住所],"",0,1)</f>
        <v>愛知県弥富市鯏浦町中六109-1</v>
      </c>
      <c r="U12" s="88" t="str">
        <f>_xlfn.XLOOKUP($C12,DBGenzai[社員№],DBGenzai[ｱﾊﾟｰﾄ],"",0,1)</f>
        <v>ｾﾗﾀｳﾝ弥富C棟201</v>
      </c>
      <c r="V12" s="89">
        <f>_xlfn.XLOOKUP($C12,DBGenzai[社員№],DBGenzai[入居],"",0,1)</f>
        <v>44602</v>
      </c>
      <c r="W12" s="89">
        <f>_xlfn.XLOOKUP($F$1&amp;B12,Filtro!B:B,Filtro!AF:AF,"",0,1)</f>
        <v>44606</v>
      </c>
      <c r="X12" s="89">
        <f>_xlfn.XLOOKUP($C12,DBGenzai[社員№],DBGenzai[退社日],"",0,1)</f>
        <v>44680</v>
      </c>
      <c r="Y12" s="88">
        <f>_xlfn.XLOOKUP($C12,DBGenzai[社員№],DBGenzai[退去],"",0,1)</f>
        <v>0</v>
      </c>
      <c r="Z12" s="88">
        <f>_xlfn.XLOOKUP($C12,DBGenzai[社員№],DBGenzai[備考],"",0,1)</f>
        <v>0</v>
      </c>
      <c r="AA12" s="422">
        <f>_xlfn.XLOOKUP($F$1&amp;B12,Filtro!B:B,Filtro!AL:AL,"",0,1)</f>
        <v>44606</v>
      </c>
      <c r="AB12" s="157">
        <v>45566</v>
      </c>
      <c r="AC12" s="436" t="str">
        <f ca="1">_xlfn.XLOOKUP(TablaTransfor[[#This Row],[ライン]],TBKaishaInfo[ライン],TBKaishaInfo[まで],"NohayMarrano",0,1)</f>
        <v>NohayMarrano</v>
      </c>
    </row>
    <row r="13" spans="1:29" hidden="1">
      <c r="A13" s="424">
        <f>SUBTOTAL(103,$C$3:C13)</f>
        <v>0</v>
      </c>
      <c r="B13" s="159">
        <v>9</v>
      </c>
      <c r="C13" s="88">
        <f>_xlfn.XLOOKUP($F$1&amp;B13,Filtro!B:B,Filtro!D:D,"",0,1)</f>
        <v>221102</v>
      </c>
      <c r="D13" s="88" t="str">
        <f>_xlfn.XLOOKUP($F$1&amp;B13,Filtro!B:B,Filtro!C:C,"",0,1)</f>
        <v>在職中</v>
      </c>
      <c r="E13" s="88">
        <f>_xlfn.XLOOKUP($F$1&amp;B13,Filtro!B:B,Filtro!E:E,"",0,1)</f>
        <v>212032</v>
      </c>
      <c r="F13" s="88" t="str">
        <f>_xlfn.XLOOKUP($F$1&amp;B13,Filtro!B:B,Filtro!G:G,"",0,1)</f>
        <v>高雄工業株式会社 愛知事業所本社工場製作課</v>
      </c>
      <c r="G13" s="88" t="str">
        <f ca="1">MID(TablaTransfor[[#This Row],[配属先]],1,8)</f>
        <v>高雄工業株式会社</v>
      </c>
      <c r="H13" s="88" t="str">
        <f ca="1">MID(TablaTransfor[[#This Row],[配属先]],9,6)</f>
        <v xml:space="preserve"> 愛知事業所</v>
      </c>
      <c r="I13" s="88" t="str">
        <f>_xlfn.XLOOKUP($C13,DBGenzai[社員№],DBGenzai[仕事内容],"",0,1)</f>
        <v>CVJ部品短軸品の施削加工、NCプログラム修正</v>
      </c>
      <c r="J13" s="88" t="str">
        <f>_xlfn.XLOOKUP($F$1&amp;B13,Filtro!B:B,Filtro!H:H,"",0,1)</f>
        <v>Fライン</v>
      </c>
      <c r="K13" s="88" t="str">
        <f>_xlfn.XLOOKUP($F$1&amp;B13,Filtro!B:B,Filtro!J:J,"",0,1)</f>
        <v>NGUYEN QUOC DAT</v>
      </c>
      <c r="L13" s="88" t="str">
        <f ca="1">IF(TablaTransfor[[#This Row],[氏名]]="","",IF(TablaTransfor[[#This Row],[氏名]]&lt;"0","記号",IF(NOT(EXACT(UPPER(TablaTransfor[[#This Row],[氏名]]),LOWER(TablaTransfor[[#This Row],[氏名]]))),_xlfn.XLOOKUP($C13,DBGenzai[社員№],DBGenzai[カナ],"",0,1),_xlfn.XLOOKUP($C13,DBGenzai[社員№],DBGenzai[氏名],"",0,1))))</f>
        <v>グエン　クオック　ダット</v>
      </c>
      <c r="M13" s="88" t="str">
        <f>_xlfn.XLOOKUP($C13,DBGenzai[社員№],DBGenzai[性別],"",0,1)</f>
        <v>男</v>
      </c>
      <c r="N13" s="88" t="str">
        <f>_xlfn.XLOOKUP($C13,DBGenzai[社員№],DBGenzai[国籍],"",0,1)</f>
        <v>ﾍﾞﾄﾅﾑ</v>
      </c>
      <c r="O13" s="89">
        <f>_xlfn.XLOOKUP($C13,DBGenzai[社員№],DBGenzai[生年月日],"",0,1)</f>
        <v>34790</v>
      </c>
      <c r="P13" s="88">
        <f>_xlfn.XLOOKUP($F$1&amp;B13,Filtro!B:B,Filtro!O:O,"",0,1)</f>
        <v>30</v>
      </c>
      <c r="Q13" s="88">
        <f>_xlfn.XLOOKUP($F$1&amp;B13,Filtro!B:B,Filtro!P:P,"",0,1)</f>
        <v>1310</v>
      </c>
      <c r="R13" s="426">
        <f>_xlfn.XLOOKUP($F$1&amp;B13,Filtro!B:B,Filtro!R:R,"",0,1)</f>
        <v>1710</v>
      </c>
      <c r="S13" s="88" t="str">
        <f>_xlfn.XLOOKUP($C13,DBGenzai[社員№],DBGenzai[〒],"",0,1)</f>
        <v>498-0025</v>
      </c>
      <c r="T13" s="88" t="str">
        <f>_xlfn.XLOOKUP($C13,DBGenzai[社員№],DBGenzai[住所],"",0,1)</f>
        <v>愛知県弥富市前ヶ須町西勘助207</v>
      </c>
      <c r="U13" s="88" t="str">
        <f>_xlfn.XLOOKUP($C13,DBGenzai[社員№],DBGenzai[ｱﾊﾟｰﾄ],"",0,1)</f>
        <v>CASA弥冨A203</v>
      </c>
      <c r="V13" s="89">
        <f>_xlfn.XLOOKUP($C13,DBGenzai[社員№],DBGenzai[入居],"",0,1)</f>
        <v>44869</v>
      </c>
      <c r="W13" s="89">
        <f>_xlfn.XLOOKUP($F$1&amp;B13,Filtro!B:B,Filtro!AF:AF,"",0,1)</f>
        <v>44874</v>
      </c>
      <c r="X13" s="89">
        <f>_xlfn.XLOOKUP($C13,DBGenzai[社員№],DBGenzai[退社日],"",0,1)</f>
        <v>45989</v>
      </c>
      <c r="Y13" s="88">
        <f>_xlfn.XLOOKUP($C13,DBGenzai[社員№],DBGenzai[退去],"",0,1)</f>
        <v>0</v>
      </c>
      <c r="Z13" s="88">
        <f>_xlfn.XLOOKUP($C13,DBGenzai[社員№],DBGenzai[備考],"",0,1)</f>
        <v>0</v>
      </c>
      <c r="AA13" s="422">
        <f>_xlfn.XLOOKUP($F$1&amp;B13,Filtro!B:B,Filtro!AL:AL,"",0,1)</f>
        <v>44874</v>
      </c>
      <c r="AB13" s="157" t="str" cm="1">
        <f t="array" aca="1" ref="AB1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13" s="436">
        <f ca="1">_xlfn.XLOOKUP(TablaTransfor[[#This Row],[ライン]],TBKaishaInfo[ライン],TBKaishaInfo[まで],"NohayMarrano",0,1)</f>
        <v>46295</v>
      </c>
    </row>
    <row r="14" spans="1:29" hidden="1">
      <c r="A14" s="424">
        <f>SUBTOTAL(103,$C$3:C14)</f>
        <v>0</v>
      </c>
      <c r="B14" s="159">
        <v>10</v>
      </c>
      <c r="C14" s="88">
        <f>_xlfn.XLOOKUP($F$1&amp;B14,Filtro!B:B,Filtro!D:D,"",0,1)</f>
        <v>210208</v>
      </c>
      <c r="D14" s="88" t="str">
        <f>_xlfn.XLOOKUP($F$1&amp;B14,Filtro!B:B,Filtro!C:C,"",0,1)</f>
        <v>退社</v>
      </c>
      <c r="E14" s="88">
        <f>_xlfn.XLOOKUP($F$1&amp;B14,Filtro!B:B,Filtro!E:E,"",0,1)</f>
        <v>212008</v>
      </c>
      <c r="F14" s="88" t="str">
        <f>_xlfn.XLOOKUP($F$1&amp;B14,Filtro!B:B,Filtro!G:G,"",0,1)</f>
        <v>高雄工業株式会社 愛知事業所本社工場製作課</v>
      </c>
      <c r="G14" s="88" t="str">
        <f ca="1">MID(TablaTransfor[[#This Row],[配属先]],1,8)</f>
        <v>高雄工業株式会社</v>
      </c>
      <c r="H14" s="88" t="str">
        <f ca="1">MID(TablaTransfor[[#This Row],[配属先]],9,6)</f>
        <v xml:space="preserve"> 愛知事業所</v>
      </c>
      <c r="I14" s="88" t="str">
        <f>_xlfn.XLOOKUP($C14,DBGenzai[社員№],DBGenzai[仕事内容],"",0,1)</f>
        <v>CVJ部品短軸品の施削加工、NCプログラム修正</v>
      </c>
      <c r="J14" s="88" t="str">
        <f>_xlfn.XLOOKUP($F$1&amp;B14,Filtro!B:B,Filtro!H:H,"",0,1)</f>
        <v>Aライン</v>
      </c>
      <c r="K14" s="88" t="str">
        <f>_xlfn.XLOOKUP($F$1&amp;B14,Filtro!B:B,Filtro!J:J,"",0,1)</f>
        <v>MAI VAN DO</v>
      </c>
      <c r="L14" s="88" t="str">
        <f ca="1">IF(TablaTransfor[[#This Row],[氏名]]="","",IF(TablaTransfor[[#This Row],[氏名]]&lt;"0","記号",IF(NOT(EXACT(UPPER(TablaTransfor[[#This Row],[氏名]]),LOWER(TablaTransfor[[#This Row],[氏名]]))),_xlfn.XLOOKUP($C14,DBGenzai[社員№],DBGenzai[カナ],"",0,1),_xlfn.XLOOKUP($C14,DBGenzai[社員№],DBGenzai[氏名],"",0,1))))</f>
        <v>マイ　ヴァン　ドー</v>
      </c>
      <c r="M14" s="88" t="str">
        <f>_xlfn.XLOOKUP($C14,DBGenzai[社員№],DBGenzai[性別],"",0,1)</f>
        <v>男</v>
      </c>
      <c r="N14" s="88" t="str">
        <f>_xlfn.XLOOKUP($C14,DBGenzai[社員№],DBGenzai[国籍],"",0,1)</f>
        <v>ﾍﾞﾄﾅﾑ</v>
      </c>
      <c r="O14" s="89">
        <f>_xlfn.XLOOKUP($C14,DBGenzai[社員№],DBGenzai[生年月日],"",0,1)</f>
        <v>33087</v>
      </c>
      <c r="P14" s="88">
        <f>_xlfn.XLOOKUP($F$1&amp;B14,Filtro!B:B,Filtro!O:O,"",0,1)</f>
        <v>35</v>
      </c>
      <c r="Q14" s="88">
        <f>_xlfn.XLOOKUP($F$1&amp;B14,Filtro!B:B,Filtro!P:P,"",0,1)</f>
        <v>1410</v>
      </c>
      <c r="R14" s="426">
        <f>_xlfn.XLOOKUP($F$1&amp;B14,Filtro!B:B,Filtro!R:R,"",0,1)</f>
        <v>1840</v>
      </c>
      <c r="S14" s="88" t="str">
        <f>_xlfn.XLOOKUP($C14,DBGenzai[社員№],DBGenzai[〒],"",0,1)</f>
        <v>498-0031</v>
      </c>
      <c r="T14" s="88" t="str">
        <f>_xlfn.XLOOKUP($C14,DBGenzai[社員№],DBGenzai[住所],"",0,1)</f>
        <v>愛知県弥富市平島町中新田128</v>
      </c>
      <c r="U14" s="88" t="str">
        <f>_xlfn.XLOOKUP($C14,DBGenzai[社員№],DBGenzai[ｱﾊﾟｰﾄ],"",0,1)</f>
        <v>ﾊｲﾂ大富B棟1</v>
      </c>
      <c r="V14" s="89">
        <f>_xlfn.XLOOKUP($C14,DBGenzai[社員№],DBGenzai[入居],"",0,1)</f>
        <v>44232</v>
      </c>
      <c r="W14" s="89">
        <f>_xlfn.XLOOKUP($F$1&amp;B14,Filtro!B:B,Filtro!AF:AF,"",0,1)</f>
        <v>44243</v>
      </c>
      <c r="X14" s="89">
        <f>_xlfn.XLOOKUP($C14,DBGenzai[社員№],DBGenzai[退社日],"",0,1)</f>
        <v>45813</v>
      </c>
      <c r="Y14" s="88">
        <f>_xlfn.XLOOKUP($C14,DBGenzai[社員№],DBGenzai[退去],"",0,1)</f>
        <v>0</v>
      </c>
      <c r="Z14" s="88">
        <f>_xlfn.XLOOKUP($C14,DBGenzai[社員№],DBGenzai[備考],"",0,1)</f>
        <v>0</v>
      </c>
      <c r="AA14" s="422">
        <f>_xlfn.XLOOKUP($F$1&amp;B14,Filtro!B:B,Filtro!AL:AL,"",0,1)</f>
        <v>44243</v>
      </c>
      <c r="AB14" s="157" t="str" cm="1">
        <f t="array" aca="1" ref="AB1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14" s="436">
        <f ca="1">_xlfn.XLOOKUP(TablaTransfor[[#This Row],[ライン]],TBKaishaInfo[ライン],TBKaishaInfo[まで],"NohayMarrano",0,1)</f>
        <v>46295</v>
      </c>
    </row>
    <row r="15" spans="1:29" hidden="1">
      <c r="A15" s="424">
        <f>SUBTOTAL(103,$C$3:C15)</f>
        <v>0</v>
      </c>
      <c r="B15" s="159">
        <v>12</v>
      </c>
      <c r="C15" s="88">
        <f>_xlfn.XLOOKUP($F$1&amp;B15,Filtro!B:B,Filtro!D:D,"",0,1)</f>
        <v>210410</v>
      </c>
      <c r="D15" s="88" t="str">
        <f>_xlfn.XLOOKUP($F$1&amp;B15,Filtro!B:B,Filtro!C:C,"",0,1)</f>
        <v>退社</v>
      </c>
      <c r="E15" s="88">
        <f>_xlfn.XLOOKUP($F$1&amp;B15,Filtro!B:B,Filtro!E:E,"",0,1)</f>
        <v>212011</v>
      </c>
      <c r="F15" s="88" t="str">
        <f>_xlfn.XLOOKUP($F$1&amp;B15,Filtro!B:B,Filtro!G:G,"",0,1)</f>
        <v>高雄工業株式会社 愛知事業所本社工場製作課</v>
      </c>
      <c r="G15" s="88" t="str">
        <f ca="1">MID(TablaTransfor[[#This Row],[配属先]],1,8)</f>
        <v>高雄工業株式会社</v>
      </c>
      <c r="H15" s="88" t="str">
        <f ca="1">MID(TablaTransfor[[#This Row],[配属先]],9,6)</f>
        <v xml:space="preserve"> 愛知事業所</v>
      </c>
      <c r="I15" s="88">
        <f>_xlfn.XLOOKUP($C15,DBGenzai[社員№],DBGenzai[仕事内容],"",0,1)</f>
        <v>0</v>
      </c>
      <c r="J15" s="88" t="str">
        <f>_xlfn.XLOOKUP($F$1&amp;B15,Filtro!B:B,Filtro!H:H,"",0,1)</f>
        <v>六面加工</v>
      </c>
      <c r="K15" s="88" t="str">
        <f>_xlfn.XLOOKUP($F$1&amp;B15,Filtro!B:B,Filtro!J:J,"",0,1)</f>
        <v>LE DINH TUAN</v>
      </c>
      <c r="L15" s="88" t="str">
        <f ca="1">IF(TablaTransfor[[#This Row],[氏名]]="","",IF(TablaTransfor[[#This Row],[氏名]]&lt;"0","記号",IF(NOT(EXACT(UPPER(TablaTransfor[[#This Row],[氏名]]),LOWER(TablaTransfor[[#This Row],[氏名]]))),_xlfn.XLOOKUP($C15,DBGenzai[社員№],DBGenzai[カナ],"",0,1),_xlfn.XLOOKUP($C15,DBGenzai[社員№],DBGenzai[氏名],"",0,1))))</f>
        <v>レ　ディン　トゥアン</v>
      </c>
      <c r="M15" s="88" t="str">
        <f>_xlfn.XLOOKUP($C15,DBGenzai[社員№],DBGenzai[性別],"",0,1)</f>
        <v>男</v>
      </c>
      <c r="N15" s="88" t="str">
        <f>_xlfn.XLOOKUP($C15,DBGenzai[社員№],DBGenzai[国籍],"",0,1)</f>
        <v>ﾍﾞﾄﾅﾑ</v>
      </c>
      <c r="O15" s="89">
        <f>_xlfn.XLOOKUP($C15,DBGenzai[社員№],DBGenzai[生年月日],"",0,1)</f>
        <v>35048</v>
      </c>
      <c r="P15" s="88">
        <f>_xlfn.XLOOKUP($F$1&amp;B15,Filtro!B:B,Filtro!O:O,"",0,1)</f>
        <v>29</v>
      </c>
      <c r="Q15" s="88">
        <f>_xlfn.XLOOKUP($F$1&amp;B15,Filtro!B:B,Filtro!P:P,"",0,1)</f>
        <v>1400</v>
      </c>
      <c r="R15" s="426">
        <f>_xlfn.XLOOKUP($F$1&amp;B15,Filtro!B:B,Filtro!R:R,"",0,1)</f>
        <v>1770</v>
      </c>
      <c r="S15" s="88" t="str">
        <f>_xlfn.XLOOKUP($C15,DBGenzai[社員№],DBGenzai[〒],"",0,1)</f>
        <v>498-0017</v>
      </c>
      <c r="T15" s="88" t="str">
        <f>_xlfn.XLOOKUP($C15,DBGenzai[社員№],DBGenzai[住所],"",0,1)</f>
        <v>愛知県弥富市前ヶ須町南本田522-１</v>
      </c>
      <c r="U15" s="88" t="str">
        <f>_xlfn.XLOOKUP($C15,DBGenzai[社員№],DBGenzai[ｱﾊﾟｰﾄ],"",0,1)</f>
        <v>ﾐﾉﾔ弥冨ﾊｲﾂ502</v>
      </c>
      <c r="V15" s="89">
        <f>_xlfn.XLOOKUP($C15,DBGenzai[社員№],DBGenzai[入居],"",0,1)</f>
        <v>44287</v>
      </c>
      <c r="W15" s="89">
        <f>_xlfn.XLOOKUP($F$1&amp;B15,Filtro!B:B,Filtro!AF:AF,"",0,1)</f>
        <v>44295</v>
      </c>
      <c r="X15" s="89">
        <f>_xlfn.XLOOKUP($C15,DBGenzai[社員№],DBGenzai[退社日],"",0,1)</f>
        <v>44915</v>
      </c>
      <c r="Y15" s="88">
        <f>_xlfn.XLOOKUP($C15,DBGenzai[社員№],DBGenzai[退去],"",0,1)</f>
        <v>0</v>
      </c>
      <c r="Z15" s="88">
        <f>_xlfn.XLOOKUP($C15,DBGenzai[社員№],DBGenzai[備考],"",0,1)</f>
        <v>0</v>
      </c>
      <c r="AA15" s="422">
        <f>_xlfn.XLOOKUP($F$1&amp;B15,Filtro!B:B,Filtro!AL:AL,"",0,1)</f>
        <v>44295</v>
      </c>
      <c r="AB15" s="157" t="str" cm="1">
        <f t="array" aca="1" ref="AB1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15" s="436">
        <f ca="1">_xlfn.XLOOKUP(TablaTransfor[[#This Row],[ライン]],TBKaishaInfo[ライン],TBKaishaInfo[まで],"NohayMarrano",0,1)</f>
        <v>46295</v>
      </c>
    </row>
    <row r="16" spans="1:29">
      <c r="A16" s="424">
        <f>SUBTOTAL(103,$C$3:C16)</f>
        <v>1</v>
      </c>
      <c r="B16" s="159">
        <v>39</v>
      </c>
      <c r="C16" s="88">
        <f>_xlfn.XLOOKUP($F$1&amp;B16,Filtro!B:B,Filtro!D:D,"",0,1)</f>
        <v>230812</v>
      </c>
      <c r="D16" s="88" t="str">
        <f>_xlfn.XLOOKUP($F$1&amp;B16,Filtro!B:B,Filtro!C:C,"",0,1)</f>
        <v>在職中</v>
      </c>
      <c r="E16" s="88">
        <f>_xlfn.XLOOKUP($F$1&amp;B16,Filtro!B:B,Filtro!E:E,"",0,1)</f>
        <v>212040</v>
      </c>
      <c r="F16" s="88" t="str">
        <f>_xlfn.XLOOKUP($F$1&amp;B16,Filtro!B:B,Filtro!G:G,"",0,1)</f>
        <v>高雄工業株式会社 愛知事業所本社工場製作課</v>
      </c>
      <c r="G16" s="88" t="str">
        <f ca="1">MID(TablaTransfor[[#This Row],[配属先]],1,8)</f>
        <v>高雄工業株式会社</v>
      </c>
      <c r="H16" s="88" t="str">
        <f ca="1">MID(TablaTransfor[[#This Row],[配属先]],9,6)</f>
        <v xml:space="preserve"> 愛知事業所</v>
      </c>
      <c r="I16" s="88" t="str">
        <f>_xlfn.XLOOKUP($C16,DBGenzai[社員№],DBGenzai[仕事内容],"",0,1)</f>
        <v>CVJ部品長軸品の施削加工、NCプログラム修正</v>
      </c>
      <c r="J16" s="88" t="str">
        <f>_xlfn.XLOOKUP($F$1&amp;B16,Filtro!B:B,Filtro!H:H,"",0,1)</f>
        <v>Gライン</v>
      </c>
      <c r="K16" s="88" t="str">
        <f>_xlfn.XLOOKUP($F$1&amp;B16,Filtro!B:B,Filtro!J:J,"",0,1)</f>
        <v>NGUYEN NGOC THANH</v>
      </c>
      <c r="L16" s="88" t="str">
        <f ca="1">IF(TablaTransfor[[#This Row],[氏名]]="","",IF(TablaTransfor[[#This Row],[氏名]]&lt;"0","記号",IF(NOT(EXACT(UPPER(TablaTransfor[[#This Row],[氏名]]),LOWER(TablaTransfor[[#This Row],[氏名]]))),_xlfn.XLOOKUP($C16,DBGenzai[社員№],DBGenzai[カナ],"",0,1),_xlfn.XLOOKUP($C16,DBGenzai[社員№],DBGenzai[氏名],"",0,1))))</f>
        <v>グエン　ゴック　タイン</v>
      </c>
      <c r="M16" s="88" t="str">
        <f>_xlfn.XLOOKUP($C16,DBGenzai[社員№],DBGenzai[性別],"",0,1)</f>
        <v>男</v>
      </c>
      <c r="N16" s="88" t="str">
        <f>_xlfn.XLOOKUP($C16,DBGenzai[社員№],DBGenzai[国籍],"",0,1)</f>
        <v>ﾍﾞﾄﾅﾑ</v>
      </c>
      <c r="O16" s="89">
        <f>_xlfn.XLOOKUP($C16,DBGenzai[社員№],DBGenzai[生年月日],"",0,1)</f>
        <v>34092</v>
      </c>
      <c r="P16" s="88">
        <f>_xlfn.XLOOKUP($F$1&amp;B16,Filtro!B:B,Filtro!O:O,"",0,1)</f>
        <v>32</v>
      </c>
      <c r="Q16" s="88">
        <f>_xlfn.XLOOKUP($F$1&amp;B16,Filtro!B:B,Filtro!P:P,"",0,1)</f>
        <v>1310</v>
      </c>
      <c r="R16" s="426">
        <f>_xlfn.XLOOKUP($F$1&amp;B16,Filtro!B:B,Filtro!R:R,"",0,1)</f>
        <v>1680</v>
      </c>
      <c r="S16" s="88" t="str">
        <f>_xlfn.XLOOKUP($C16,DBGenzai[社員№],DBGenzai[〒],"",0,1)</f>
        <v>498-0026</v>
      </c>
      <c r="T16" s="88" t="str">
        <f>_xlfn.XLOOKUP($C16,DBGenzai[社員№],DBGenzai[住所],"",0,1)</f>
        <v>愛知県弥富市鯏浦町西前新田159-1</v>
      </c>
      <c r="U16" s="88" t="str">
        <f>_xlfn.XLOOKUP($C16,DBGenzai[社員№],DBGenzai[ｱﾊﾟｰﾄ],"",0,1)</f>
        <v>ﾗﾌｨﾈYS C-101</v>
      </c>
      <c r="V16" s="89">
        <f>_xlfn.XLOOKUP($C16,DBGenzai[社員№],DBGenzai[入居],"",0,1)</f>
        <v>45133</v>
      </c>
      <c r="W16" s="89">
        <f>_xlfn.XLOOKUP($F$1&amp;B16,Filtro!B:B,Filtro!AF:AF,"",0,1)</f>
        <v>45139</v>
      </c>
      <c r="X16" s="89">
        <f>_xlfn.XLOOKUP($C16,DBGenzai[社員№],DBGenzai[退社日],"",0,1)</f>
        <v>0</v>
      </c>
      <c r="Y16" s="88">
        <f>_xlfn.XLOOKUP($C16,DBGenzai[社員№],DBGenzai[退去],"",0,1)</f>
        <v>0</v>
      </c>
      <c r="Z16" s="88">
        <f>_xlfn.XLOOKUP($C16,DBGenzai[社員№],DBGenzai[備考],"",0,1)</f>
        <v>0</v>
      </c>
      <c r="AA16" s="422">
        <f>_xlfn.XLOOKUP($F$1&amp;B16,Filtro!B:B,Filtro!AL:AL,"",0,1)</f>
        <v>45139</v>
      </c>
      <c r="AB16" s="157">
        <v>45931</v>
      </c>
      <c r="AC16" s="436">
        <f ca="1">_xlfn.XLOOKUP(TablaTransfor[[#This Row],[ライン]],TBKaishaInfo[ライン],TBKaishaInfo[まで],"NohayMarrano",0,1)</f>
        <v>46295</v>
      </c>
    </row>
    <row r="17" spans="1:29">
      <c r="A17" s="424">
        <f>SUBTOTAL(103,$C$3:C17)</f>
        <v>2</v>
      </c>
      <c r="B17" s="159">
        <v>46</v>
      </c>
      <c r="C17" s="88">
        <f>_xlfn.XLOOKUP($F$1&amp;B17,Filtro!B:B,Filtro!D:D,"",0,1)</f>
        <v>221210</v>
      </c>
      <c r="D17" s="88" t="str">
        <f>_xlfn.XLOOKUP($F$1&amp;B17,Filtro!B:B,Filtro!C:C,"",0,1)</f>
        <v>退社</v>
      </c>
      <c r="E17" s="88">
        <f>_xlfn.XLOOKUP($F$1&amp;B17,Filtro!B:B,Filtro!E:E,"",0,1)</f>
        <v>212036</v>
      </c>
      <c r="F17" s="88" t="str">
        <f>_xlfn.XLOOKUP($F$1&amp;B17,Filtro!B:B,Filtro!G:G,"",0,1)</f>
        <v>高雄工業株式会社 愛知事業所本社工場製作課</v>
      </c>
      <c r="G17" s="88" t="str">
        <f ca="1">MID(TablaTransfor[[#This Row],[配属先]],1,8)</f>
        <v>高雄工業株式会社</v>
      </c>
      <c r="H17" s="88" t="str">
        <f ca="1">MID(TablaTransfor[[#This Row],[配属先]],9,6)</f>
        <v xml:space="preserve"> 愛知事業所</v>
      </c>
      <c r="I17" s="88" t="str">
        <f>_xlfn.XLOOKUP($C17,DBGenzai[社員№],DBGenzai[仕事内容],"",0,1)</f>
        <v>CVJ部品短軸品の施削加工、NCプログラム修正</v>
      </c>
      <c r="J17" s="88" t="str">
        <f>_xlfn.XLOOKUP($F$1&amp;B17,Filtro!B:B,Filtro!H:H,"",0,1)</f>
        <v>Fライン</v>
      </c>
      <c r="K17" s="88" t="str">
        <f>_xlfn.XLOOKUP($F$1&amp;B17,Filtro!B:B,Filtro!J:J,"",0,1)</f>
        <v>VU VAN DINH</v>
      </c>
      <c r="L17" s="88" t="str">
        <f ca="1">IF(TablaTransfor[[#This Row],[氏名]]="","",IF(TablaTransfor[[#This Row],[氏名]]&lt;"0","記号",IF(NOT(EXACT(UPPER(TablaTransfor[[#This Row],[氏名]]),LOWER(TablaTransfor[[#This Row],[氏名]]))),_xlfn.XLOOKUP($C17,DBGenzai[社員№],DBGenzai[カナ],"",0,1),_xlfn.XLOOKUP($C17,DBGenzai[社員№],DBGenzai[氏名],"",0,1))))</f>
        <v>ヴー　ヴァン　ディン</v>
      </c>
      <c r="M17" s="88" t="str">
        <f>_xlfn.XLOOKUP($C17,DBGenzai[社員№],DBGenzai[性別],"",0,1)</f>
        <v>男</v>
      </c>
      <c r="N17" s="88" t="str">
        <f>_xlfn.XLOOKUP($C17,DBGenzai[社員№],DBGenzai[国籍],"",0,1)</f>
        <v>ﾍﾞﾄﾅﾑ</v>
      </c>
      <c r="O17" s="89">
        <f>_xlfn.XLOOKUP($C17,DBGenzai[社員№],DBGenzai[生年月日],"",0,1)</f>
        <v>31986</v>
      </c>
      <c r="P17" s="88">
        <f>_xlfn.XLOOKUP($F$1&amp;B17,Filtro!B:B,Filtro!O:O,"",0,1)</f>
        <v>38</v>
      </c>
      <c r="Q17" s="88">
        <f>_xlfn.XLOOKUP($F$1&amp;B17,Filtro!B:B,Filtro!P:P,"",0,1)</f>
        <v>1250</v>
      </c>
      <c r="R17" s="426">
        <f>_xlfn.XLOOKUP($F$1&amp;B17,Filtro!B:B,Filtro!R:R,"",0,1)</f>
        <v>1650</v>
      </c>
      <c r="S17" s="88" t="str">
        <f>_xlfn.XLOOKUP($C17,DBGenzai[社員№],DBGenzai[〒],"",0,1)</f>
        <v>498-0025</v>
      </c>
      <c r="T17" s="88" t="str">
        <f>_xlfn.XLOOKUP($C17,DBGenzai[社員№],DBGenzai[住所],"",0,1)</f>
        <v>愛知県弥富市前ヶ須町西勘助207</v>
      </c>
      <c r="U17" s="88" t="str">
        <f>_xlfn.XLOOKUP($C17,DBGenzai[社員№],DBGenzai[ｱﾊﾟｰﾄ],"",0,1)</f>
        <v>CASA弥冨B203</v>
      </c>
      <c r="V17" s="89">
        <f>_xlfn.XLOOKUP($C17,DBGenzai[社員№],DBGenzai[入居],"",0,1)</f>
        <v>44904</v>
      </c>
      <c r="W17" s="89">
        <f>_xlfn.XLOOKUP($F$1&amp;B17,Filtro!B:B,Filtro!AF:AF,"",0,1)</f>
        <v>44907</v>
      </c>
      <c r="X17" s="89">
        <f>_xlfn.XLOOKUP($C17,DBGenzai[社員№],DBGenzai[退社日],"",0,1)</f>
        <v>45338</v>
      </c>
      <c r="Y17" s="88">
        <f>_xlfn.XLOOKUP($C17,DBGenzai[社員№],DBGenzai[退去],"",0,1)</f>
        <v>0</v>
      </c>
      <c r="Z17" s="88">
        <f>_xlfn.XLOOKUP($C17,DBGenzai[社員№],DBGenzai[備考],"",0,1)</f>
        <v>0</v>
      </c>
      <c r="AA17" s="422">
        <f>_xlfn.XLOOKUP($F$1&amp;B17,Filtro!B:B,Filtro!AL:AL,"",0,1)</f>
        <v>44907</v>
      </c>
      <c r="AB17" s="157">
        <v>45931</v>
      </c>
      <c r="AC17" s="436">
        <f ca="1">_xlfn.XLOOKUP(TablaTransfor[[#This Row],[ライン]],TBKaishaInfo[ライン],TBKaishaInfo[まで],"NohayMarrano",0,1)</f>
        <v>46295</v>
      </c>
    </row>
    <row r="18" spans="1:29" hidden="1">
      <c r="A18" s="424">
        <f>SUBTOTAL(103,$C$3:C18)</f>
        <v>2</v>
      </c>
      <c r="B18" s="159">
        <v>14</v>
      </c>
      <c r="C18" s="88">
        <f>_xlfn.XLOOKUP($F$1&amp;B18,Filtro!B:B,Filtro!D:D,"",0,1)</f>
        <v>210613</v>
      </c>
      <c r="D18" s="88" t="str">
        <f>_xlfn.XLOOKUP($F$1&amp;B18,Filtro!B:B,Filtro!C:C,"",0,1)</f>
        <v>退社</v>
      </c>
      <c r="E18" s="88">
        <f>_xlfn.XLOOKUP($F$1&amp;B18,Filtro!B:B,Filtro!E:E,"",0,1)</f>
        <v>0</v>
      </c>
      <c r="F18" s="88" t="str">
        <f>_xlfn.XLOOKUP($F$1&amp;B18,Filtro!B:B,Filtro!G:G,"",0,1)</f>
        <v>高雄工業株式会社 愛知事業所本社工場製作課</v>
      </c>
      <c r="G18" s="88" t="str">
        <f ca="1">MID(TablaTransfor[[#This Row],[配属先]],1,8)</f>
        <v>高雄工業株式会社</v>
      </c>
      <c r="H18" s="88" t="str">
        <f ca="1">MID(TablaTransfor[[#This Row],[配属先]],9,6)</f>
        <v xml:space="preserve"> 愛知事業所</v>
      </c>
      <c r="I18" s="88">
        <f>_xlfn.XLOOKUP($C18,DBGenzai[社員№],DBGenzai[仕事内容],"",0,1)</f>
        <v>0</v>
      </c>
      <c r="J18" s="88" t="str">
        <f>_xlfn.XLOOKUP($F$1&amp;B18,Filtro!B:B,Filtro!H:H,"",0,1)</f>
        <v>CVJ短軸旋盤係</v>
      </c>
      <c r="K18" s="88" t="str">
        <f>_xlfn.XLOOKUP($F$1&amp;B18,Filtro!B:B,Filtro!J:J,"",0,1)</f>
        <v>VAN THE LUONG</v>
      </c>
      <c r="L18" s="88" t="str">
        <f ca="1">IF(TablaTransfor[[#This Row],[氏名]]="","",IF(TablaTransfor[[#This Row],[氏名]]&lt;"0","記号",IF(NOT(EXACT(UPPER(TablaTransfor[[#This Row],[氏名]]),LOWER(TablaTransfor[[#This Row],[氏名]]))),_xlfn.XLOOKUP($C18,DBGenzai[社員№],DBGenzai[カナ],"",0,1),_xlfn.XLOOKUP($C18,DBGenzai[社員№],DBGenzai[氏名],"",0,1))))</f>
        <v>ヴァン　テエ　ルオン</v>
      </c>
      <c r="M18" s="88" t="str">
        <f>_xlfn.XLOOKUP($C18,DBGenzai[社員№],DBGenzai[性別],"",0,1)</f>
        <v>男</v>
      </c>
      <c r="N18" s="88" t="str">
        <f>_xlfn.XLOOKUP($C18,DBGenzai[社員№],DBGenzai[国籍],"",0,1)</f>
        <v>ﾍﾞﾄﾅﾑ</v>
      </c>
      <c r="O18" s="89">
        <f>_xlfn.XLOOKUP($C18,DBGenzai[社員№],DBGenzai[生年月日],"",0,1)</f>
        <v>35664</v>
      </c>
      <c r="P18" s="88">
        <f>_xlfn.XLOOKUP($F$1&amp;B18,Filtro!B:B,Filtro!O:O,"",0,1)</f>
        <v>28</v>
      </c>
      <c r="Q18" s="88">
        <f>_xlfn.XLOOKUP($F$1&amp;B18,Filtro!B:B,Filtro!P:P,"",0,1)</f>
        <v>1400</v>
      </c>
      <c r="R18" s="426">
        <f>_xlfn.XLOOKUP($F$1&amp;B18,Filtro!B:B,Filtro!R:R,"",0,1)</f>
        <v>1750</v>
      </c>
      <c r="S18" s="88" t="str">
        <f>_xlfn.XLOOKUP($C18,DBGenzai[社員№],DBGenzai[〒],"",0,1)</f>
        <v>498-0017</v>
      </c>
      <c r="T18" s="88" t="str">
        <f>_xlfn.XLOOKUP($C18,DBGenzai[社員№],DBGenzai[住所],"",0,1)</f>
        <v>愛知県弥富市前ヶ須町東勘助138</v>
      </c>
      <c r="U18" s="88" t="str">
        <f>_xlfn.XLOOKUP($C18,DBGenzai[社員№],DBGenzai[ｱﾊﾟｰﾄ],"",0,1)</f>
        <v>安井ﾋﾞﾙ2C</v>
      </c>
      <c r="V18" s="89">
        <f>_xlfn.XLOOKUP($C18,DBGenzai[社員№],DBGenzai[入居],"",0,1)</f>
        <v>44367</v>
      </c>
      <c r="W18" s="89">
        <f>_xlfn.XLOOKUP($F$1&amp;B18,Filtro!B:B,Filtro!AF:AF,"",0,1)</f>
        <v>44368</v>
      </c>
      <c r="X18" s="89">
        <f>_xlfn.XLOOKUP($C18,DBGenzai[社員№],DBGenzai[退社日],"",0,1)</f>
        <v>44680</v>
      </c>
      <c r="Y18" s="88">
        <f>_xlfn.XLOOKUP($C18,DBGenzai[社員№],DBGenzai[退去],"",0,1)</f>
        <v>0</v>
      </c>
      <c r="Z18" s="88">
        <f>_xlfn.XLOOKUP($C18,DBGenzai[社員№],DBGenzai[備考],"",0,1)</f>
        <v>0</v>
      </c>
      <c r="AA18" s="422">
        <f>_xlfn.XLOOKUP($F$1&amp;B18,Filtro!B:B,Filtro!AL:AL,"",0,1)</f>
        <v>44368</v>
      </c>
      <c r="AB18" s="157" t="str" cm="1">
        <f t="array" aca="1" ref="AB1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18" s="436">
        <f ca="1">_xlfn.XLOOKUP(TablaTransfor[[#This Row],[ライン]],TBKaishaInfo[ライン],TBKaishaInfo[まで],"NohayMarrano",0,1)</f>
        <v>45930</v>
      </c>
    </row>
    <row r="19" spans="1:29" hidden="1">
      <c r="A19" s="424">
        <f>SUBTOTAL(103,$C$3:C19)</f>
        <v>2</v>
      </c>
      <c r="B19" s="159">
        <v>40</v>
      </c>
      <c r="C19" s="88">
        <f>_xlfn.XLOOKUP($F$1&amp;B19,Filtro!B:B,Filtro!D:D,"",0,1)</f>
        <v>231206</v>
      </c>
      <c r="D19" s="88" t="str">
        <f>_xlfn.XLOOKUP($F$1&amp;B19,Filtro!B:B,Filtro!C:C,"",0,1)</f>
        <v>在職中</v>
      </c>
      <c r="E19" s="88">
        <f>_xlfn.XLOOKUP($F$1&amp;B19,Filtro!B:B,Filtro!E:E,"",0,1)</f>
        <v>212046</v>
      </c>
      <c r="F19" s="88" t="str">
        <f>_xlfn.XLOOKUP($F$1&amp;B19,Filtro!B:B,Filtro!G:G,"",0,1)</f>
        <v>高雄工業株式会社 愛知事業所本社工場製作課</v>
      </c>
      <c r="G19" s="88" t="str">
        <f ca="1">MID(TablaTransfor[[#This Row],[配属先]],1,8)</f>
        <v>高雄工業株式会社</v>
      </c>
      <c r="H19" s="88" t="str">
        <f ca="1">MID(TablaTransfor[[#This Row],[配属先]],9,6)</f>
        <v xml:space="preserve"> 愛知事業所</v>
      </c>
      <c r="I19" s="88" t="str">
        <f>_xlfn.XLOOKUP($C19,DBGenzai[社員№],DBGenzai[仕事内容],"",0,1)</f>
        <v>CVJ部品長軸品の施削加工、NCプログラム修正</v>
      </c>
      <c r="J19" s="88" t="str">
        <f>_xlfn.XLOOKUP($F$1&amp;B19,Filtro!B:B,Filtro!H:H,"",0,1)</f>
        <v>Gライン</v>
      </c>
      <c r="K19" s="88" t="str">
        <f>_xlfn.XLOOKUP($F$1&amp;B19,Filtro!B:B,Filtro!J:J,"",0,1)</f>
        <v>PHAM VAN PHUONG</v>
      </c>
      <c r="L19" s="88" t="str">
        <f ca="1">IF(TablaTransfor[[#This Row],[氏名]]="","",IF(TablaTransfor[[#This Row],[氏名]]&lt;"0","記号",IF(NOT(EXACT(UPPER(TablaTransfor[[#This Row],[氏名]]),LOWER(TablaTransfor[[#This Row],[氏名]]))),_xlfn.XLOOKUP($C19,DBGenzai[社員№],DBGenzai[カナ],"",0,1),_xlfn.XLOOKUP($C19,DBGenzai[社員№],DBGenzai[氏名],"",0,1))))</f>
        <v>ファム　ヴァン　フォン</v>
      </c>
      <c r="M19" s="88" t="str">
        <f>_xlfn.XLOOKUP($C19,DBGenzai[社員№],DBGenzai[性別],"",0,1)</f>
        <v>男</v>
      </c>
      <c r="N19" s="88" t="str">
        <f>_xlfn.XLOOKUP($C19,DBGenzai[社員№],DBGenzai[国籍],"",0,1)</f>
        <v>ﾍﾞﾄﾅﾑ</v>
      </c>
      <c r="O19" s="89">
        <f>_xlfn.XLOOKUP($C19,DBGenzai[社員№],DBGenzai[生年月日],"",0,1)</f>
        <v>36983</v>
      </c>
      <c r="P19" s="88">
        <f>_xlfn.XLOOKUP($F$1&amp;B19,Filtro!B:B,Filtro!O:O,"",0,1)</f>
        <v>24</v>
      </c>
      <c r="Q19" s="88">
        <f>_xlfn.XLOOKUP($F$1&amp;B19,Filtro!B:B,Filtro!P:P,"",0,1)</f>
        <v>1300</v>
      </c>
      <c r="R19" s="426">
        <f>_xlfn.XLOOKUP($F$1&amp;B19,Filtro!B:B,Filtro!R:R,"",0,1)</f>
        <v>1680</v>
      </c>
      <c r="S19" s="88" t="str">
        <f>_xlfn.XLOOKUP($C19,DBGenzai[社員№],DBGenzai[〒],"",0,1)</f>
        <v>498-0025</v>
      </c>
      <c r="T19" s="88" t="str">
        <f>_xlfn.XLOOKUP($C19,DBGenzai[社員№],DBGenzai[住所],"",0,1)</f>
        <v>愛知県弥富市平島町喜右味名78-1</v>
      </c>
      <c r="U19" s="88" t="str">
        <f>_xlfn.XLOOKUP($C19,DBGenzai[社員№],DBGenzai[ｱﾊﾟｰﾄ],"",0,1)</f>
        <v>ﾌﾚｸﾞﾗﾝｽ桂A棟201号</v>
      </c>
      <c r="V19" s="89">
        <f>_xlfn.XLOOKUP($C19,DBGenzai[社員№],DBGenzai[入居],"",0,1)</f>
        <v>45257</v>
      </c>
      <c r="W19" s="89">
        <f>_xlfn.XLOOKUP($F$1&amp;B19,Filtro!B:B,Filtro!AF:AF,"",0,1)</f>
        <v>45261</v>
      </c>
      <c r="X19" s="89">
        <f>_xlfn.XLOOKUP($C19,DBGenzai[社員№],DBGenzai[退社日],"",0,1)</f>
        <v>0</v>
      </c>
      <c r="Y19" s="88">
        <f>_xlfn.XLOOKUP($C19,DBGenzai[社員№],DBGenzai[退去],"",0,1)</f>
        <v>0</v>
      </c>
      <c r="Z19" s="88">
        <f>_xlfn.XLOOKUP($C19,DBGenzai[社員№],DBGenzai[備考],"",0,1)</f>
        <v>0</v>
      </c>
      <c r="AA19" s="422">
        <f>_xlfn.XLOOKUP($F$1&amp;B19,Filtro!B:B,Filtro!AL:AL,"",0,1)</f>
        <v>45261</v>
      </c>
      <c r="AB19" s="157" t="str" cm="1">
        <f t="array" aca="1" ref="AB1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19" s="436">
        <f ca="1">_xlfn.XLOOKUP(TablaTransfor[[#This Row],[ライン]],TBKaishaInfo[ライン],TBKaishaInfo[まで],"NohayMarrano",0,1)</f>
        <v>46295</v>
      </c>
    </row>
    <row r="20" spans="1:29" hidden="1">
      <c r="A20" s="424">
        <f>SUBTOTAL(103,$C$3:C20)</f>
        <v>2</v>
      </c>
      <c r="B20" s="159">
        <v>15</v>
      </c>
      <c r="C20" s="88">
        <f>_xlfn.XLOOKUP($F$1&amp;B20,Filtro!B:B,Filtro!D:D,"",0,1)</f>
        <v>210614</v>
      </c>
      <c r="D20" s="88" t="str">
        <f>_xlfn.XLOOKUP($F$1&amp;B20,Filtro!B:B,Filtro!C:C,"",0,1)</f>
        <v>退社</v>
      </c>
      <c r="E20" s="88">
        <f>_xlfn.XLOOKUP($F$1&amp;B20,Filtro!B:B,Filtro!E:E,"",0,1)</f>
        <v>0</v>
      </c>
      <c r="F20" s="88" t="str">
        <f>_xlfn.XLOOKUP($F$1&amp;B20,Filtro!B:B,Filtro!G:G,"",0,1)</f>
        <v>高雄工業株式会社 愛知事業所本社工場製作課</v>
      </c>
      <c r="G20" s="88" t="str">
        <f ca="1">MID(TablaTransfor[[#This Row],[配属先]],1,8)</f>
        <v>高雄工業株式会社</v>
      </c>
      <c r="H20" s="88" t="str">
        <f ca="1">MID(TablaTransfor[[#This Row],[配属先]],9,6)</f>
        <v xml:space="preserve"> 愛知事業所</v>
      </c>
      <c r="I20" s="88">
        <f>_xlfn.XLOOKUP($C20,DBGenzai[社員№],DBGenzai[仕事内容],"",0,1)</f>
        <v>0</v>
      </c>
      <c r="J20" s="88">
        <f>_xlfn.XLOOKUP($F$1&amp;B20,Filtro!B:B,Filtro!H:H,"",0,1)</f>
        <v>0</v>
      </c>
      <c r="K20" s="88" t="str">
        <f>_xlfn.XLOOKUP($F$1&amp;B20,Filtro!B:B,Filtro!J:J,"",0,1)</f>
        <v>NGUYEN VIET HOANG</v>
      </c>
      <c r="L20" s="88" t="str">
        <f ca="1">IF(TablaTransfor[[#This Row],[氏名]]="","",IF(TablaTransfor[[#This Row],[氏名]]&lt;"0","記号",IF(NOT(EXACT(UPPER(TablaTransfor[[#This Row],[氏名]]),LOWER(TablaTransfor[[#This Row],[氏名]]))),_xlfn.XLOOKUP($C20,DBGenzai[社員№],DBGenzai[カナ],"",0,1),_xlfn.XLOOKUP($C20,DBGenzai[社員№],DBGenzai[氏名],"",0,1))))</f>
        <v>グエン　ヴィエン　ホアン</v>
      </c>
      <c r="M20" s="88" t="str">
        <f>_xlfn.XLOOKUP($C20,DBGenzai[社員№],DBGenzai[性別],"",0,1)</f>
        <v>男</v>
      </c>
      <c r="N20" s="88" t="str">
        <f>_xlfn.XLOOKUP($C20,DBGenzai[社員№],DBGenzai[国籍],"",0,1)</f>
        <v>ﾍﾞﾄﾅﾑ</v>
      </c>
      <c r="O20" s="89">
        <f>_xlfn.XLOOKUP($C20,DBGenzai[社員№],DBGenzai[生年月日],"",0,1)</f>
        <v>35371</v>
      </c>
      <c r="P20" s="88">
        <f>_xlfn.XLOOKUP($F$1&amp;B20,Filtro!B:B,Filtro!O:O,"",0,1)</f>
        <v>29</v>
      </c>
      <c r="Q20" s="88">
        <f>_xlfn.XLOOKUP($F$1&amp;B20,Filtro!B:B,Filtro!P:P,"",0,1)</f>
        <v>1400</v>
      </c>
      <c r="R20" s="426">
        <f>_xlfn.XLOOKUP($F$1&amp;B20,Filtro!B:B,Filtro!R:R,"",0,1)</f>
        <v>1750</v>
      </c>
      <c r="S20" s="88" t="str">
        <f>_xlfn.XLOOKUP($C20,DBGenzai[社員№],DBGenzai[〒],"",0,1)</f>
        <v>498-0017</v>
      </c>
      <c r="T20" s="88" t="str">
        <f>_xlfn.XLOOKUP($C20,DBGenzai[社員№],DBGenzai[住所],"",0,1)</f>
        <v>愛知県弥富市前ヶ須町東勘助138</v>
      </c>
      <c r="U20" s="88" t="str">
        <f>_xlfn.XLOOKUP($C20,DBGenzai[社員№],DBGenzai[ｱﾊﾟｰﾄ],"",0,1)</f>
        <v>安井ﾋﾞﾙ2C</v>
      </c>
      <c r="V20" s="89">
        <f>_xlfn.XLOOKUP($C20,DBGenzai[社員№],DBGenzai[入居],"",0,1)</f>
        <v>44367</v>
      </c>
      <c r="W20" s="89">
        <f>_xlfn.XLOOKUP($F$1&amp;B20,Filtro!B:B,Filtro!AF:AF,"",0,1)</f>
        <v>44368</v>
      </c>
      <c r="X20" s="89">
        <f>_xlfn.XLOOKUP($C20,DBGenzai[社員№],DBGenzai[退社日],"",0,1)</f>
        <v>44602</v>
      </c>
      <c r="Y20" s="88">
        <f>_xlfn.XLOOKUP($C20,DBGenzai[社員№],DBGenzai[退去],"",0,1)</f>
        <v>0</v>
      </c>
      <c r="Z20" s="88">
        <f>_xlfn.XLOOKUP($C20,DBGenzai[社員№],DBGenzai[備考],"",0,1)</f>
        <v>0</v>
      </c>
      <c r="AA20" s="422">
        <f>_xlfn.XLOOKUP($F$1&amp;B20,Filtro!B:B,Filtro!AL:AL,"",0,1)</f>
        <v>44368</v>
      </c>
      <c r="AB20" s="157">
        <v>45566</v>
      </c>
      <c r="AC20" s="436" t="str">
        <f ca="1">_xlfn.XLOOKUP(TablaTransfor[[#This Row],[ライン]],TBKaishaInfo[ライン],TBKaishaInfo[まで],"NohayMarrano",0,1)</f>
        <v>NohayMarrano</v>
      </c>
    </row>
    <row r="21" spans="1:29" hidden="1">
      <c r="A21" s="424">
        <f>SUBTOTAL(103,$C$3:C21)</f>
        <v>2</v>
      </c>
      <c r="B21" s="159">
        <v>33</v>
      </c>
      <c r="C21" s="88">
        <f>_xlfn.XLOOKUP($F$1&amp;B21,Filtro!B:B,Filtro!D:D,"",0,1)</f>
        <v>250224</v>
      </c>
      <c r="D21" s="88" t="str">
        <f>_xlfn.XLOOKUP($F$1&amp;B21,Filtro!B:B,Filtro!C:C,"",0,1)</f>
        <v>在職中</v>
      </c>
      <c r="E21" s="88">
        <f>_xlfn.XLOOKUP($F$1&amp;B21,Filtro!B:B,Filtro!E:E,"",0,1)</f>
        <v>212054</v>
      </c>
      <c r="F21" s="88" t="str">
        <f>_xlfn.XLOOKUP($F$1&amp;B21,Filtro!B:B,Filtro!G:G,"",0,1)</f>
        <v>高雄工業株式会社 愛知事業所本社工場製作課</v>
      </c>
      <c r="G21" s="88" t="str">
        <f ca="1">MID(TablaTransfor[[#This Row],[配属先]],1,8)</f>
        <v>高雄工業株式会社</v>
      </c>
      <c r="H21" s="88" t="str">
        <f ca="1">MID(TablaTransfor[[#This Row],[配属先]],9,6)</f>
        <v xml:space="preserve"> 愛知事業所</v>
      </c>
      <c r="I21" s="88" t="str">
        <f>_xlfn.XLOOKUP($C21,DBGenzai[社員№],DBGenzai[仕事内容],"",0,1)</f>
        <v>CVJ部品短軸品の施削加工、NCプログラム修正</v>
      </c>
      <c r="J21" s="88" t="str">
        <f>_xlfn.XLOOKUP($F$1&amp;B21,Filtro!B:B,Filtro!H:H,"",0,1)</f>
        <v>Fライン</v>
      </c>
      <c r="K21" s="88" t="str">
        <f>_xlfn.XLOOKUP($F$1&amp;B21,Filtro!B:B,Filtro!J:J,"",0,1)</f>
        <v>NONG DUC HUNG</v>
      </c>
      <c r="L21" s="88" t="str">
        <f ca="1">IF(TablaTransfor[[#This Row],[氏名]]="","",IF(TablaTransfor[[#This Row],[氏名]]&lt;"0","記号",IF(NOT(EXACT(UPPER(TablaTransfor[[#This Row],[氏名]]),LOWER(TablaTransfor[[#This Row],[氏名]]))),_xlfn.XLOOKUP($C21,DBGenzai[社員№],DBGenzai[カナ],"",0,1),_xlfn.XLOOKUP($C21,DBGenzai[社員№],DBGenzai[氏名],"",0,1))))</f>
        <v>ノン　ドゥック　フン</v>
      </c>
      <c r="M21" s="88" t="str">
        <f>_xlfn.XLOOKUP($C21,DBGenzai[社員№],DBGenzai[性別],"",0,1)</f>
        <v>男</v>
      </c>
      <c r="N21" s="88" t="str">
        <f>_xlfn.XLOOKUP($C21,DBGenzai[社員№],DBGenzai[国籍],"",0,1)</f>
        <v>ﾍﾞﾄﾅﾑ</v>
      </c>
      <c r="O21" s="89">
        <f>_xlfn.XLOOKUP($C21,DBGenzai[社員№],DBGenzai[生年月日],"",0,1)</f>
        <v>36739</v>
      </c>
      <c r="P21" s="88">
        <f>_xlfn.XLOOKUP($F$1&amp;B21,Filtro!B:B,Filtro!O:O,"",0,1)</f>
        <v>25</v>
      </c>
      <c r="Q21" s="88">
        <f>_xlfn.XLOOKUP($F$1&amp;B21,Filtro!B:B,Filtro!P:P,"",0,1)</f>
        <v>1250</v>
      </c>
      <c r="R21" s="426">
        <f>_xlfn.XLOOKUP($F$1&amp;B21,Filtro!B:B,Filtro!R:R,"",0,1)</f>
        <v>1650</v>
      </c>
      <c r="S21" s="88" t="str">
        <f>_xlfn.XLOOKUP($C21,DBGenzai[社員№],DBGenzai[〒],"",0,1)</f>
        <v>498-0031</v>
      </c>
      <c r="T21" s="88" t="str">
        <f>_xlfn.XLOOKUP($C21,DBGenzai[社員№],DBGenzai[住所],"",0,1)</f>
        <v>愛知県弥富市平島町北広畑10-1</v>
      </c>
      <c r="U21" s="88" t="str">
        <f>_xlfn.XLOOKUP($C21,DBGenzai[社員№],DBGenzai[ｱﾊﾟｰﾄ],"",0,1)</f>
        <v>ﾚﾌﾞﾗﾝｶﾐｰﾘｱB205</v>
      </c>
      <c r="V21" s="89">
        <f>_xlfn.XLOOKUP($C21,DBGenzai[社員№],DBGenzai[入居],"",0,1)</f>
        <v>45702</v>
      </c>
      <c r="W21" s="89">
        <f>_xlfn.XLOOKUP($F$1&amp;B21,Filtro!B:B,Filtro!AF:AF,"",0,1)</f>
        <v>45707</v>
      </c>
      <c r="X21" s="89">
        <f>_xlfn.XLOOKUP($C21,DBGenzai[社員№],DBGenzai[退社日],"",0,1)</f>
        <v>0</v>
      </c>
      <c r="Y21" s="88">
        <f>_xlfn.XLOOKUP($C21,DBGenzai[社員№],DBGenzai[退去],"",0,1)</f>
        <v>0</v>
      </c>
      <c r="Z21" s="88">
        <f>_xlfn.XLOOKUP($C21,DBGenzai[社員№],DBGenzai[備考],"",0,1)</f>
        <v>0</v>
      </c>
      <c r="AA21" s="422">
        <f>_xlfn.XLOOKUP($F$1&amp;B21,Filtro!B:B,Filtro!AL:AL,"",0,1)</f>
        <v>45707</v>
      </c>
      <c r="AB21" s="157">
        <v>45566</v>
      </c>
      <c r="AC21" s="436">
        <f ca="1">_xlfn.XLOOKUP(TablaTransfor[[#This Row],[ライン]],TBKaishaInfo[ライン],TBKaishaInfo[まで],"NohayMarrano",0,1)</f>
        <v>46295</v>
      </c>
    </row>
    <row r="22" spans="1:29">
      <c r="A22" s="424">
        <f>SUBTOTAL(103,$C$3:C22)</f>
        <v>3</v>
      </c>
      <c r="B22" s="159">
        <v>49</v>
      </c>
      <c r="C22" s="88">
        <f>_xlfn.XLOOKUP($F$1&amp;B22,Filtro!B:B,Filtro!D:D,"",0,1)</f>
        <v>231205</v>
      </c>
      <c r="D22" s="88" t="str">
        <f>_xlfn.XLOOKUP($F$1&amp;B22,Filtro!B:B,Filtro!C:C,"",0,1)</f>
        <v>退社</v>
      </c>
      <c r="E22" s="88">
        <f>_xlfn.XLOOKUP($F$1&amp;B22,Filtro!B:B,Filtro!E:E,"",0,1)</f>
        <v>222061</v>
      </c>
      <c r="F22" s="88" t="str">
        <f>_xlfn.XLOOKUP($F$1&amp;B22,Filtro!B:B,Filtro!G:G,"",0,1)</f>
        <v>高雄工業株式会社 愛知事業所本社工場製作課</v>
      </c>
      <c r="G22" s="88" t="str">
        <f ca="1">MID(TablaTransfor[[#This Row],[配属先]],1,8)</f>
        <v>高雄工業株式会社</v>
      </c>
      <c r="H22" s="88" t="str">
        <f ca="1">MID(TablaTransfor[[#This Row],[配属先]],9,6)</f>
        <v xml:space="preserve"> 愛知事業所</v>
      </c>
      <c r="I22" s="88" t="str">
        <f>_xlfn.XLOOKUP($C22,DBGenzai[社員№],DBGenzai[仕事内容],"",0,1)</f>
        <v>CVJ部品短軸品の施削加工、NCプログラム修正</v>
      </c>
      <c r="J22" s="88" t="str">
        <f>_xlfn.XLOOKUP($F$1&amp;B22,Filtro!B:B,Filtro!H:H,"",0,1)</f>
        <v>Fライン</v>
      </c>
      <c r="K22" s="88" t="str">
        <f>_xlfn.XLOOKUP($F$1&amp;B22,Filtro!B:B,Filtro!J:J,"",0,1)</f>
        <v>TRAN VAN TRUONG DUY</v>
      </c>
      <c r="L22" s="88" t="str">
        <f ca="1">IF(TablaTransfor[[#This Row],[氏名]]="","",IF(TablaTransfor[[#This Row],[氏名]]&lt;"0","記号",IF(NOT(EXACT(UPPER(TablaTransfor[[#This Row],[氏名]]),LOWER(TablaTransfor[[#This Row],[氏名]]))),_xlfn.XLOOKUP($C22,DBGenzai[社員№],DBGenzai[カナ],"",0,1),_xlfn.XLOOKUP($C22,DBGenzai[社員№],DBGenzai[氏名],"",0,1))))</f>
        <v>チャン　ヴァン　チュオン　ズイ</v>
      </c>
      <c r="M22" s="88" t="str">
        <f>_xlfn.XLOOKUP($C22,DBGenzai[社員№],DBGenzai[性別],"",0,1)</f>
        <v>男</v>
      </c>
      <c r="N22" s="88" t="str">
        <f>_xlfn.XLOOKUP($C22,DBGenzai[社員№],DBGenzai[国籍],"",0,1)</f>
        <v>ﾍﾞﾄﾅﾑ</v>
      </c>
      <c r="O22" s="89">
        <f>_xlfn.XLOOKUP($C22,DBGenzai[社員№],DBGenzai[生年月日],"",0,1)</f>
        <v>35805</v>
      </c>
      <c r="P22" s="88">
        <f>_xlfn.XLOOKUP($F$1&amp;B22,Filtro!B:B,Filtro!O:O,"",0,1)</f>
        <v>27</v>
      </c>
      <c r="Q22" s="88">
        <f>_xlfn.XLOOKUP($F$1&amp;B22,Filtro!B:B,Filtro!P:P,"",0,1)</f>
        <v>1300</v>
      </c>
      <c r="R22" s="426">
        <f>_xlfn.XLOOKUP($F$1&amp;B22,Filtro!B:B,Filtro!R:R,"",0,1)</f>
        <v>1660</v>
      </c>
      <c r="S22" s="88" t="str">
        <f>_xlfn.XLOOKUP($C22,DBGenzai[社員№],DBGenzai[〒],"",0,1)</f>
        <v>498-0031</v>
      </c>
      <c r="T22" s="88" t="str">
        <f>_xlfn.XLOOKUP($C22,DBGenzai[社員№],DBGenzai[住所],"",0,1)</f>
        <v>愛知県弥富市平島町北広畑10-1</v>
      </c>
      <c r="U22" s="88" t="str">
        <f>_xlfn.XLOOKUP($C22,DBGenzai[社員№],DBGenzai[ｱﾊﾟｰﾄ],"",0,1)</f>
        <v>ﾚﾌﾞﾗﾝｶﾐｰﾘｱB205</v>
      </c>
      <c r="V22" s="89">
        <f>_xlfn.XLOOKUP($C22,DBGenzai[社員№],DBGenzai[入居],"",0,1)</f>
        <v>45257</v>
      </c>
      <c r="W22" s="89">
        <f>_xlfn.XLOOKUP($F$1&amp;B22,Filtro!B:B,Filtro!AF:AF,"",0,1)</f>
        <v>45261</v>
      </c>
      <c r="X22" s="89">
        <f>_xlfn.XLOOKUP($C22,DBGenzai[社員№],DBGenzai[退社日],"",0,1)</f>
        <v>45721</v>
      </c>
      <c r="Y22" s="88">
        <f>_xlfn.XLOOKUP($C22,DBGenzai[社員№],DBGenzai[退去],"",0,1)</f>
        <v>0</v>
      </c>
      <c r="Z22" s="88" t="str">
        <f>_xlfn.XLOOKUP($C22,DBGenzai[社員№],DBGenzai[備考],"",0,1)</f>
        <v>2024/1/22海南2から本社に異動</v>
      </c>
      <c r="AA22" s="422">
        <f>_xlfn.XLOOKUP($F$1&amp;B22,Filtro!B:B,Filtro!AL:AL,"",0,1)</f>
        <v>45261</v>
      </c>
      <c r="AB22" s="157">
        <v>45931</v>
      </c>
      <c r="AC22" s="436">
        <f ca="1">_xlfn.XLOOKUP(TablaTransfor[[#This Row],[ライン]],TBKaishaInfo[ライン],TBKaishaInfo[まで],"NohayMarrano",0,1)</f>
        <v>46295</v>
      </c>
    </row>
    <row r="23" spans="1:29" hidden="1">
      <c r="A23" s="424">
        <f>SUBTOTAL(103,$C$3:C23)</f>
        <v>3</v>
      </c>
      <c r="B23" s="159">
        <v>43</v>
      </c>
      <c r="C23" s="88">
        <f>_xlfn.XLOOKUP($F$1&amp;B23,Filtro!B:B,Filtro!D:D,"",0,1)</f>
        <v>220121</v>
      </c>
      <c r="D23" s="88" t="str">
        <f>_xlfn.XLOOKUP($F$1&amp;B23,Filtro!B:B,Filtro!C:C,"",0,1)</f>
        <v>在職中</v>
      </c>
      <c r="E23" s="88">
        <f>_xlfn.XLOOKUP($F$1&amp;B23,Filtro!B:B,Filtro!E:E,"",0,1)</f>
        <v>212018</v>
      </c>
      <c r="F23" s="88" t="str">
        <f>_xlfn.XLOOKUP($F$1&amp;B23,Filtro!B:B,Filtro!G:G,"",0,1)</f>
        <v>高雄工業株式会社 愛知事業所本社工場製作課</v>
      </c>
      <c r="G23" s="88" t="str">
        <f ca="1">MID(TablaTransfor[[#This Row],[配属先]],1,8)</f>
        <v>高雄工業株式会社</v>
      </c>
      <c r="H23" s="88" t="str">
        <f ca="1">MID(TablaTransfor[[#This Row],[配属先]],9,6)</f>
        <v xml:space="preserve"> 愛知事業所</v>
      </c>
      <c r="I23" s="88" t="str">
        <f>_xlfn.XLOOKUP($C23,DBGenzai[社員№],DBGenzai[仕事内容],"",0,1)</f>
        <v>CVJ部品長軸品の施削加工、NCプログラム修正</v>
      </c>
      <c r="J23" s="88" t="str">
        <f>_xlfn.XLOOKUP($F$1&amp;B23,Filtro!B:B,Filtro!H:H,"",0,1)</f>
        <v>Gライン</v>
      </c>
      <c r="K23" s="88" t="str">
        <f>_xlfn.XLOOKUP($F$1&amp;B23,Filtro!B:B,Filtro!J:J,"",0,1)</f>
        <v>NGO VAN HIEP</v>
      </c>
      <c r="L23" s="88" t="str">
        <f ca="1">IF(TablaTransfor[[#This Row],[氏名]]="","",IF(TablaTransfor[[#This Row],[氏名]]&lt;"0","記号",IF(NOT(EXACT(UPPER(TablaTransfor[[#This Row],[氏名]]),LOWER(TablaTransfor[[#This Row],[氏名]]))),_xlfn.XLOOKUP($C23,DBGenzai[社員№],DBGenzai[カナ],"",0,1),_xlfn.XLOOKUP($C23,DBGenzai[社員№],DBGenzai[氏名],"",0,1))))</f>
        <v>ゴー　ヴァン　ヒエップ</v>
      </c>
      <c r="M23" s="88" t="str">
        <f>_xlfn.XLOOKUP($C23,DBGenzai[社員№],DBGenzai[性別],"",0,1)</f>
        <v>男</v>
      </c>
      <c r="N23" s="88" t="str">
        <f>_xlfn.XLOOKUP($C23,DBGenzai[社員№],DBGenzai[国籍],"",0,1)</f>
        <v>ﾍﾞﾄﾅﾑ</v>
      </c>
      <c r="O23" s="89">
        <f>_xlfn.XLOOKUP($C23,DBGenzai[社員№],DBGenzai[生年月日],"",0,1)</f>
        <v>35377</v>
      </c>
      <c r="P23" s="88">
        <f>_xlfn.XLOOKUP($F$1&amp;B23,Filtro!B:B,Filtro!O:O,"",0,1)</f>
        <v>29</v>
      </c>
      <c r="Q23" s="88">
        <f>_xlfn.XLOOKUP($F$1&amp;B23,Filtro!B:B,Filtro!P:P,"",0,1)</f>
        <v>1410</v>
      </c>
      <c r="R23" s="426">
        <f>_xlfn.XLOOKUP($F$1&amp;B23,Filtro!B:B,Filtro!R:R,"",0,1)</f>
        <v>1830</v>
      </c>
      <c r="S23" s="88" t="str">
        <f>_xlfn.XLOOKUP($C23,DBGenzai[社員№],DBGenzai[〒],"",0,1)</f>
        <v>498-0031</v>
      </c>
      <c r="T23" s="88" t="str">
        <f>_xlfn.XLOOKUP($C23,DBGenzai[社員№],DBGenzai[住所],"",0,1)</f>
        <v>愛知県弥富市平島町中新田194-1</v>
      </c>
      <c r="U23" s="88" t="str">
        <f>_xlfn.XLOOKUP($C23,DBGenzai[社員№],DBGenzai[ｱﾊﾟｰﾄ],"",0,1)</f>
        <v>ｺﾝﾂｪﾙﾊｳｽⅡD棟202</v>
      </c>
      <c r="V23" s="89">
        <f>_xlfn.XLOOKUP($C23,DBGenzai[社員№],DBGenzai[入居],"",0,1)</f>
        <v>44558</v>
      </c>
      <c r="W23" s="89">
        <f>_xlfn.XLOOKUP($F$1&amp;B23,Filtro!B:B,Filtro!AF:AF,"",0,1)</f>
        <v>45901</v>
      </c>
      <c r="X23" s="89">
        <f>_xlfn.XLOOKUP($C23,DBGenzai[社員№],DBGenzai[退社日],"",0,1)</f>
        <v>45889</v>
      </c>
      <c r="Y23" s="88">
        <f>_xlfn.XLOOKUP($C23,DBGenzai[社員№],DBGenzai[退去],"",0,1)</f>
        <v>0</v>
      </c>
      <c r="Z23" s="88">
        <f>_xlfn.XLOOKUP($C23,DBGenzai[社員№],DBGenzai[備考],"",0,1)</f>
        <v>0</v>
      </c>
      <c r="AA23" s="422">
        <f>_xlfn.XLOOKUP($F$1&amp;B23,Filtro!B:B,Filtro!AL:AL,"",0,1)</f>
        <v>45901</v>
      </c>
      <c r="AB23" s="157" cm="1">
        <f t="array" aca="1" ref="AB2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45901</v>
      </c>
      <c r="AC23" s="436">
        <f ca="1">_xlfn.XLOOKUP(TablaTransfor[[#This Row],[ライン]],TBKaishaInfo[ライン],TBKaishaInfo[まで],"NohayMarrano",0,1)</f>
        <v>46295</v>
      </c>
    </row>
    <row r="24" spans="1:29" hidden="1">
      <c r="A24" s="424">
        <f>SUBTOTAL(103,$C$3:C24)</f>
        <v>3</v>
      </c>
      <c r="B24" s="159">
        <v>45</v>
      </c>
      <c r="C24" s="88">
        <f>_xlfn.XLOOKUP($F$1&amp;B24,Filtro!B:B,Filtro!D:D,"",0,1)</f>
        <v>221201</v>
      </c>
      <c r="D24" s="88" t="str">
        <f>_xlfn.XLOOKUP($F$1&amp;B24,Filtro!B:B,Filtro!C:C,"",0,1)</f>
        <v>退社</v>
      </c>
      <c r="E24" s="88">
        <f>_xlfn.XLOOKUP($F$1&amp;B24,Filtro!B:B,Filtro!E:E,"",0,1)</f>
        <v>0</v>
      </c>
      <c r="F24" s="88" t="str">
        <f>_xlfn.XLOOKUP($F$1&amp;B24,Filtro!B:B,Filtro!G:G,"",0,1)</f>
        <v>高雄工業株式会社 愛知事業所本社工場製作課</v>
      </c>
      <c r="G24" s="88" t="str">
        <f ca="1">MID(TablaTransfor[[#This Row],[配属先]],1,8)</f>
        <v>高雄工業株式会社</v>
      </c>
      <c r="H24" s="88" t="str">
        <f ca="1">MID(TablaTransfor[[#This Row],[配属先]],9,6)</f>
        <v xml:space="preserve"> 愛知事業所</v>
      </c>
      <c r="I24" s="88">
        <f>_xlfn.XLOOKUP($C24,DBGenzai[社員№],DBGenzai[仕事内容],"",0,1)</f>
        <v>0</v>
      </c>
      <c r="J24" s="88">
        <f>_xlfn.XLOOKUP($F$1&amp;B24,Filtro!B:B,Filtro!H:H,"",0,1)</f>
        <v>0</v>
      </c>
      <c r="K24" s="88" t="str">
        <f>_xlfn.XLOOKUP($F$1&amp;B24,Filtro!B:B,Filtro!J:J,"",0,1)</f>
        <v>NGUYEN THANH DAT</v>
      </c>
      <c r="L24" s="88" t="str">
        <f ca="1">IF(TablaTransfor[[#This Row],[氏名]]="","",IF(TablaTransfor[[#This Row],[氏名]]&lt;"0","記号",IF(NOT(EXACT(UPPER(TablaTransfor[[#This Row],[氏名]]),LOWER(TablaTransfor[[#This Row],[氏名]]))),_xlfn.XLOOKUP($C24,DBGenzai[社員№],DBGenzai[カナ],"",0,1),_xlfn.XLOOKUP($C24,DBGenzai[社員№],DBGenzai[氏名],"",0,1))))</f>
        <v>グエン　タイン　ダット</v>
      </c>
      <c r="M24" s="88" t="str">
        <f>_xlfn.XLOOKUP($C24,DBGenzai[社員№],DBGenzai[性別],"",0,1)</f>
        <v>男</v>
      </c>
      <c r="N24" s="88" t="str">
        <f>_xlfn.XLOOKUP($C24,DBGenzai[社員№],DBGenzai[国籍],"",0,1)</f>
        <v>ﾍﾞﾄﾅﾑ</v>
      </c>
      <c r="O24" s="89">
        <f>_xlfn.XLOOKUP($C24,DBGenzai[社員№],DBGenzai[生年月日],"",0,1)</f>
        <v>36517</v>
      </c>
      <c r="P24" s="88">
        <f>_xlfn.XLOOKUP($F$1&amp;B24,Filtro!B:B,Filtro!O:O,"",0,1)</f>
        <v>25</v>
      </c>
      <c r="Q24" s="88">
        <f>_xlfn.XLOOKUP($F$1&amp;B24,Filtro!B:B,Filtro!P:P,"",0,1)</f>
        <v>1200</v>
      </c>
      <c r="R24" s="426">
        <f>_xlfn.XLOOKUP($F$1&amp;B24,Filtro!B:B,Filtro!R:R,"",0,1)</f>
        <v>1650</v>
      </c>
      <c r="S24" s="88" t="str">
        <f>_xlfn.XLOOKUP($C24,DBGenzai[社員№],DBGenzai[〒],"",0,1)</f>
        <v>498-0032</v>
      </c>
      <c r="T24" s="88" t="str">
        <f>_xlfn.XLOOKUP($C24,DBGenzai[社員№],DBGenzai[住所],"",0,1)</f>
        <v>愛知県弥富市平島中4丁目128</v>
      </c>
      <c r="U24" s="88" t="str">
        <f>_xlfn.XLOOKUP($C24,DBGenzai[社員№],DBGenzai[ｱﾊﾟｰﾄ],"",0,1)</f>
        <v>村上貸家</v>
      </c>
      <c r="V24" s="89">
        <f>_xlfn.XLOOKUP($C24,DBGenzai[社員№],DBGenzai[入居],"",0,1)</f>
        <v>44893</v>
      </c>
      <c r="W24" s="89">
        <f>_xlfn.XLOOKUP($F$1&amp;B24,Filtro!B:B,Filtro!AF:AF,"",0,1)</f>
        <v>44896</v>
      </c>
      <c r="X24" s="89">
        <f>_xlfn.XLOOKUP($C24,DBGenzai[社員№],DBGenzai[退社日],"",0,1)</f>
        <v>44985</v>
      </c>
      <c r="Y24" s="88">
        <f>_xlfn.XLOOKUP($C24,DBGenzai[社員№],DBGenzai[退去],"",0,1)</f>
        <v>0</v>
      </c>
      <c r="Z24" s="88">
        <f>_xlfn.XLOOKUP($C24,DBGenzai[社員№],DBGenzai[備考],"",0,1)</f>
        <v>0</v>
      </c>
      <c r="AA24" s="422">
        <f>_xlfn.XLOOKUP($F$1&amp;B24,Filtro!B:B,Filtro!AL:AL,"",0,1)</f>
        <v>44896</v>
      </c>
      <c r="AB24" s="157" t="str" cm="1">
        <f t="array" aca="1" ref="AB2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24" s="436" t="str">
        <f ca="1">_xlfn.XLOOKUP(TablaTransfor[[#This Row],[ライン]],TBKaishaInfo[ライン],TBKaishaInfo[まで],"NohayMarrano",0,1)</f>
        <v>NohayMarrano</v>
      </c>
    </row>
    <row r="25" spans="1:29" hidden="1">
      <c r="A25" s="424">
        <f>SUBTOTAL(103,$C$3:C25)</f>
        <v>3</v>
      </c>
      <c r="B25" s="159">
        <v>16</v>
      </c>
      <c r="C25" s="88">
        <f>_xlfn.XLOOKUP($F$1&amp;B25,Filtro!B:B,Filtro!D:D,"",0,1)</f>
        <v>210702</v>
      </c>
      <c r="D25" s="88" t="str">
        <f>_xlfn.XLOOKUP($F$1&amp;B25,Filtro!B:B,Filtro!C:C,"",0,1)</f>
        <v>退社</v>
      </c>
      <c r="E25" s="88">
        <f>_xlfn.XLOOKUP($F$1&amp;B25,Filtro!B:B,Filtro!E:E,"",0,1)</f>
        <v>0</v>
      </c>
      <c r="F25" s="88" t="str">
        <f>_xlfn.XLOOKUP($F$1&amp;B25,Filtro!B:B,Filtro!G:G,"",0,1)</f>
        <v>高雄工業株式会社 愛知事業所本社工場製作課</v>
      </c>
      <c r="G25" s="88" t="str">
        <f ca="1">MID(TablaTransfor[[#This Row],[配属先]],1,8)</f>
        <v>高雄工業株式会社</v>
      </c>
      <c r="H25" s="88" t="str">
        <f ca="1">MID(TablaTransfor[[#This Row],[配属先]],9,6)</f>
        <v xml:space="preserve"> 愛知事業所</v>
      </c>
      <c r="I25" s="88">
        <f>_xlfn.XLOOKUP($C25,DBGenzai[社員№],DBGenzai[仕事内容],"",0,1)</f>
        <v>0</v>
      </c>
      <c r="J25" s="88">
        <f>_xlfn.XLOOKUP($F$1&amp;B25,Filtro!B:B,Filtro!H:H,"",0,1)</f>
        <v>0</v>
      </c>
      <c r="K25" s="88" t="str">
        <f>_xlfn.XLOOKUP($F$1&amp;B25,Filtro!B:B,Filtro!J:J,"",0,1)</f>
        <v>LE TIEN THANH</v>
      </c>
      <c r="L25" s="88" t="str">
        <f ca="1">IF(TablaTransfor[[#This Row],[氏名]]="","",IF(TablaTransfor[[#This Row],[氏名]]&lt;"0","記号",IF(NOT(EXACT(UPPER(TablaTransfor[[#This Row],[氏名]]),LOWER(TablaTransfor[[#This Row],[氏名]]))),_xlfn.XLOOKUP($C25,DBGenzai[社員№],DBGenzai[カナ],"",0,1),_xlfn.XLOOKUP($C25,DBGenzai[社員№],DBGenzai[氏名],"",0,1))))</f>
        <v>レ　ティエン　タイン</v>
      </c>
      <c r="M25" s="88" t="str">
        <f>_xlfn.XLOOKUP($C25,DBGenzai[社員№],DBGenzai[性別],"",0,1)</f>
        <v>男</v>
      </c>
      <c r="N25" s="88" t="str">
        <f>_xlfn.XLOOKUP($C25,DBGenzai[社員№],DBGenzai[国籍],"",0,1)</f>
        <v>ﾍﾞﾄﾅﾑ</v>
      </c>
      <c r="O25" s="89">
        <f>_xlfn.XLOOKUP($C25,DBGenzai[社員№],DBGenzai[生年月日],"",0,1)</f>
        <v>34612</v>
      </c>
      <c r="P25" s="88">
        <f>_xlfn.XLOOKUP($F$1&amp;B25,Filtro!B:B,Filtro!O:O,"",0,1)</f>
        <v>31</v>
      </c>
      <c r="Q25" s="88">
        <f>_xlfn.XLOOKUP($F$1&amp;B25,Filtro!B:B,Filtro!P:P,"",0,1)</f>
        <v>1370</v>
      </c>
      <c r="R25" s="426">
        <f>_xlfn.XLOOKUP($F$1&amp;B25,Filtro!B:B,Filtro!R:R,"",0,1)</f>
        <v>1770</v>
      </c>
      <c r="S25" s="88" t="str">
        <f>_xlfn.XLOOKUP($C25,DBGenzai[社員№],DBGenzai[〒],"",0,1)</f>
        <v>498-0031</v>
      </c>
      <c r="T25" s="88" t="str">
        <f>_xlfn.XLOOKUP($C25,DBGenzai[社員№],DBGenzai[住所],"",0,1)</f>
        <v>愛知県弥富市平島町北広畑10-1</v>
      </c>
      <c r="U25" s="88" t="str">
        <f>_xlfn.XLOOKUP($C25,DBGenzai[社員№],DBGenzai[ｱﾊﾟｰﾄ],"",0,1)</f>
        <v>ﾚﾌﾞﾗﾝｶﾐｰﾘｱA201</v>
      </c>
      <c r="V25" s="89">
        <f>_xlfn.XLOOKUP($C25,DBGenzai[社員№],DBGenzai[入居],"",0,1)</f>
        <v>44379</v>
      </c>
      <c r="W25" s="89">
        <f>_xlfn.XLOOKUP($F$1&amp;B25,Filtro!B:B,Filtro!AF:AF,"",0,1)</f>
        <v>44382</v>
      </c>
      <c r="X25" s="89">
        <f>_xlfn.XLOOKUP($C25,DBGenzai[社員№],DBGenzai[退社日],"",0,1)</f>
        <v>44520</v>
      </c>
      <c r="Y25" s="88">
        <f>_xlfn.XLOOKUP($C25,DBGenzai[社員№],DBGenzai[退去],"",0,1)</f>
        <v>0</v>
      </c>
      <c r="Z25" s="88">
        <f>_xlfn.XLOOKUP($C25,DBGenzai[社員№],DBGenzai[備考],"",0,1)</f>
        <v>0</v>
      </c>
      <c r="AA25" s="422">
        <f>_xlfn.XLOOKUP($F$1&amp;B25,Filtro!B:B,Filtro!AL:AL,"",0,1)</f>
        <v>44382</v>
      </c>
      <c r="AB25" s="157" t="str" cm="1">
        <f t="array" aca="1" ref="AB2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25" s="436" t="str">
        <f ca="1">_xlfn.XLOOKUP(TablaTransfor[[#This Row],[ライン]],TBKaishaInfo[ライン],TBKaishaInfo[まで],"NohayMarrano",0,1)</f>
        <v>NohayMarrano</v>
      </c>
    </row>
    <row r="26" spans="1:29" hidden="1">
      <c r="A26" s="424">
        <f>SUBTOTAL(103,$C$3:C26)</f>
        <v>3</v>
      </c>
      <c r="B26" s="159">
        <v>18</v>
      </c>
      <c r="C26" s="88">
        <f>_xlfn.XLOOKUP($F$1&amp;B26,Filtro!B:B,Filtro!D:D,"",0,1)</f>
        <v>231102</v>
      </c>
      <c r="D26" s="88" t="str">
        <f>_xlfn.XLOOKUP($F$1&amp;B26,Filtro!B:B,Filtro!C:C,"",0,1)</f>
        <v>在職中</v>
      </c>
      <c r="E26" s="88">
        <f>_xlfn.XLOOKUP($F$1&amp;B26,Filtro!B:B,Filtro!E:E,"",0,1)</f>
        <v>212044</v>
      </c>
      <c r="F26" s="88" t="str">
        <f>_xlfn.XLOOKUP($F$1&amp;B26,Filtro!B:B,Filtro!G:G,"",0,1)</f>
        <v>高雄工業株式会社 愛知事業所本社工場製作課</v>
      </c>
      <c r="G26" s="88" t="str">
        <f ca="1">MID(TablaTransfor[[#This Row],[配属先]],1,8)</f>
        <v>高雄工業株式会社</v>
      </c>
      <c r="H26" s="88" t="str">
        <f ca="1">MID(TablaTransfor[[#This Row],[配属先]],9,6)</f>
        <v xml:space="preserve"> 愛知事業所</v>
      </c>
      <c r="I26" s="88" t="str">
        <f>_xlfn.XLOOKUP($C26,DBGenzai[社員№],DBGenzai[仕事内容],"",0,1)</f>
        <v>CVJ部品短軸品の施削加工、NCプログラム修正</v>
      </c>
      <c r="J26" s="88" t="str">
        <f>_xlfn.XLOOKUP($F$1&amp;B26,Filtro!B:B,Filtro!H:H,"",0,1)</f>
        <v>Fライン</v>
      </c>
      <c r="K26" s="88" t="str">
        <f>_xlfn.XLOOKUP($F$1&amp;B26,Filtro!B:B,Filtro!J:J,"",0,1)</f>
        <v>DUONG THANH TUNG</v>
      </c>
      <c r="L26" s="88" t="str">
        <f ca="1">IF(TablaTransfor[[#This Row],[氏名]]="","",IF(TablaTransfor[[#This Row],[氏名]]&lt;"0","記号",IF(NOT(EXACT(UPPER(TablaTransfor[[#This Row],[氏名]]),LOWER(TablaTransfor[[#This Row],[氏名]]))),_xlfn.XLOOKUP($C26,DBGenzai[社員№],DBGenzai[カナ],"",0,1),_xlfn.XLOOKUP($C26,DBGenzai[社員№],DBGenzai[氏名],"",0,1))))</f>
        <v>ズオン　タイン　トゥン</v>
      </c>
      <c r="M26" s="88" t="str">
        <f>_xlfn.XLOOKUP($C26,DBGenzai[社員№],DBGenzai[性別],"",0,1)</f>
        <v>男</v>
      </c>
      <c r="N26" s="88" t="str">
        <f>_xlfn.XLOOKUP($C26,DBGenzai[社員№],DBGenzai[国籍],"",0,1)</f>
        <v>ﾍﾞﾄﾅﾑ</v>
      </c>
      <c r="O26" s="89">
        <f>_xlfn.XLOOKUP($C26,DBGenzai[社員№],DBGenzai[生年月日],"",0,1)</f>
        <v>35497</v>
      </c>
      <c r="P26" s="88">
        <f>_xlfn.XLOOKUP($F$1&amp;B26,Filtro!B:B,Filtro!O:O,"",0,1)</f>
        <v>28</v>
      </c>
      <c r="Q26" s="88">
        <f>_xlfn.XLOOKUP($F$1&amp;B26,Filtro!B:B,Filtro!P:P,"",0,1)</f>
        <v>1300</v>
      </c>
      <c r="R26" s="426">
        <f>_xlfn.XLOOKUP($F$1&amp;B26,Filtro!B:B,Filtro!R:R,"",0,1)</f>
        <v>1710</v>
      </c>
      <c r="S26" s="88" t="str">
        <f>_xlfn.XLOOKUP($C26,DBGenzai[社員№],DBGenzai[〒],"",0,1)</f>
        <v>498-0034</v>
      </c>
      <c r="T26" s="88" t="str">
        <f>_xlfn.XLOOKUP($C26,DBGenzai[社員№],DBGenzai[住所],"",0,1)</f>
        <v>愛知県弥富市平島東2-18</v>
      </c>
      <c r="U26" s="88" t="str">
        <f>_xlfn.XLOOKUP($C26,DBGenzai[社員№],DBGenzai[ｱﾊﾟｰﾄ],"",0,1)</f>
        <v>ｸﾞﾗﾝﾂｺｰﾄ402</v>
      </c>
      <c r="V26" s="89">
        <f>_xlfn.XLOOKUP($C26,DBGenzai[社員№],DBGenzai[入居],"",0,1)</f>
        <v>45226</v>
      </c>
      <c r="W26" s="89">
        <f>_xlfn.XLOOKUP($F$1&amp;B26,Filtro!B:B,Filtro!AF:AF,"",0,1)</f>
        <v>45231</v>
      </c>
      <c r="X26" s="89">
        <f>_xlfn.XLOOKUP($C26,DBGenzai[社員№],DBGenzai[退社日],"",0,1)</f>
        <v>0</v>
      </c>
      <c r="Y26" s="88">
        <f>_xlfn.XLOOKUP($C26,DBGenzai[社員№],DBGenzai[退去],"",0,1)</f>
        <v>0</v>
      </c>
      <c r="Z26" s="88">
        <f>_xlfn.XLOOKUP($C26,DBGenzai[社員№],DBGenzai[備考],"",0,1)</f>
        <v>0</v>
      </c>
      <c r="AA26" s="422">
        <f>_xlfn.XLOOKUP($F$1&amp;B26,Filtro!B:B,Filtro!AL:AL,"",0,1)</f>
        <v>45231</v>
      </c>
      <c r="AB26" s="157" t="str" cm="1">
        <f t="array" aca="1" ref="AB2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26" s="436">
        <f ca="1">_xlfn.XLOOKUP(TablaTransfor[[#This Row],[ライン]],TBKaishaInfo[ライン],TBKaishaInfo[まで],"NohayMarrano",0,1)</f>
        <v>46295</v>
      </c>
    </row>
    <row r="27" spans="1:29">
      <c r="A27" s="424">
        <f>SUBTOTAL(103,$C$3:C27)</f>
        <v>4</v>
      </c>
      <c r="B27" s="159">
        <v>53</v>
      </c>
      <c r="C27" s="88">
        <f>_xlfn.XLOOKUP($F$1&amp;B27,Filtro!B:B,Filtro!D:D,"",0,1)</f>
        <v>240903</v>
      </c>
      <c r="D27" s="88" t="str">
        <f>_xlfn.XLOOKUP($F$1&amp;B27,Filtro!B:B,Filtro!C:C,"",0,1)</f>
        <v>退社</v>
      </c>
      <c r="E27" s="88">
        <f>_xlfn.XLOOKUP($F$1&amp;B27,Filtro!B:B,Filtro!E:E,"",0,1)</f>
        <v>212051</v>
      </c>
      <c r="F27" s="88" t="str">
        <f>_xlfn.XLOOKUP($F$1&amp;B27,Filtro!B:B,Filtro!G:G,"",0,1)</f>
        <v>高雄工業株式会社第一営業部本社営業課</v>
      </c>
      <c r="G27" s="88" t="str">
        <f ca="1">MID(TablaTransfor[[#This Row],[配属先]],1,8)</f>
        <v>高雄工業株式会社</v>
      </c>
      <c r="H27" s="88" t="str">
        <f ca="1">MID(TablaTransfor[[#This Row],[配属先]],9,6)</f>
        <v>第一営業部本</v>
      </c>
      <c r="I27" s="88" t="str">
        <f>_xlfn.XLOOKUP($C27,DBGenzai[社員№],DBGenzai[仕事内容],"",0,1)</f>
        <v>鋳造材料の工場内加工ラインへの供給</v>
      </c>
      <c r="J27" s="88" t="str">
        <f>_xlfn.XLOOKUP($F$1&amp;B27,Filtro!B:B,Filtro!H:H,"",0,1)</f>
        <v>リフト作業</v>
      </c>
      <c r="K27" s="88" t="str">
        <f>_xlfn.XLOOKUP($F$1&amp;B27,Filtro!B:B,Filtro!J:J,"",0,1)</f>
        <v>ABE NUNES ERICO KENJI</v>
      </c>
      <c r="L27" s="88" t="str">
        <f ca="1">IF(TablaTransfor[[#This Row],[氏名]]="","",IF(TablaTransfor[[#This Row],[氏名]]&lt;"0","記号",IF(NOT(EXACT(UPPER(TablaTransfor[[#This Row],[氏名]]),LOWER(TablaTransfor[[#This Row],[氏名]]))),_xlfn.XLOOKUP($C27,DBGenzai[社員№],DBGenzai[カナ],"",0,1),_xlfn.XLOOKUP($C27,DBGenzai[社員№],DBGenzai[氏名],"",0,1))))</f>
        <v>アベ　ケンジ</v>
      </c>
      <c r="M27" s="88" t="str">
        <f>_xlfn.XLOOKUP($C27,DBGenzai[社員№],DBGenzai[性別],"",0,1)</f>
        <v>男</v>
      </c>
      <c r="N27" s="88" t="str">
        <f>_xlfn.XLOOKUP($C27,DBGenzai[社員№],DBGenzai[国籍],"",0,1)</f>
        <v>ﾌﾞﾗｼﾞﾙ</v>
      </c>
      <c r="O27" s="89">
        <f>_xlfn.XLOOKUP($C27,DBGenzai[社員№],DBGenzai[生年月日],"",0,1)</f>
        <v>28501</v>
      </c>
      <c r="P27" s="88">
        <f>_xlfn.XLOOKUP($F$1&amp;B27,Filtro!B:B,Filtro!O:O,"",0,1)</f>
        <v>47</v>
      </c>
      <c r="Q27" s="88">
        <f>_xlfn.XLOOKUP($F$1&amp;B27,Filtro!B:B,Filtro!P:P,"",0,1)</f>
        <v>1400</v>
      </c>
      <c r="R27" s="426">
        <f>_xlfn.XLOOKUP($F$1&amp;B27,Filtro!B:B,Filtro!R:R,"",0,1)</f>
        <v>1750</v>
      </c>
      <c r="S27" s="88" t="str">
        <f>_xlfn.XLOOKUP($C27,DBGenzai[社員№],DBGenzai[〒],"",0,1)</f>
        <v>454-0981</v>
      </c>
      <c r="T27" s="88" t="str">
        <f>_xlfn.XLOOKUP($C27,DBGenzai[社員№],DBGenzai[住所],"",0,1)</f>
        <v>愛知県名古屋市中川区吉津3-1004</v>
      </c>
      <c r="U27" s="88" t="str">
        <f>_xlfn.XLOOKUP($C27,DBGenzai[社員№],DBGenzai[ｱﾊﾟｰﾄ],"",0,1)</f>
        <v>松下荘T-2棟204</v>
      </c>
      <c r="V27" s="89" t="str">
        <f>_xlfn.XLOOKUP($C27,DBGenzai[社員№],DBGenzai[入居],"",0,1)</f>
        <v>個人</v>
      </c>
      <c r="W27" s="89">
        <f>_xlfn.XLOOKUP($F$1&amp;B27,Filtro!B:B,Filtro!AF:AF,"",0,1)</f>
        <v>45537</v>
      </c>
      <c r="X27" s="89">
        <f>_xlfn.XLOOKUP($C27,DBGenzai[社員№],DBGenzai[退社日],"",0,1)</f>
        <v>45730</v>
      </c>
      <c r="Y27" s="88">
        <f>_xlfn.XLOOKUP($C27,DBGenzai[社員№],DBGenzai[退去],"",0,1)</f>
        <v>0</v>
      </c>
      <c r="Z27" s="88">
        <f>_xlfn.XLOOKUP($C27,DBGenzai[社員№],DBGenzai[備考],"",0,1)</f>
        <v>0</v>
      </c>
      <c r="AA27" s="422">
        <f>_xlfn.XLOOKUP($F$1&amp;B27,Filtro!B:B,Filtro!AL:AL,"",0,1)</f>
        <v>45537</v>
      </c>
      <c r="AB27" s="157">
        <v>45931</v>
      </c>
      <c r="AC27" s="436">
        <f ca="1">_xlfn.XLOOKUP(TablaTransfor[[#This Row],[ライン]],TBKaishaInfo[ライン],TBKaishaInfo[まで],"NohayMarrano",0,1)</f>
        <v>46295</v>
      </c>
    </row>
    <row r="28" spans="1:29" hidden="1">
      <c r="A28" s="424">
        <f>SUBTOTAL(103,$C$3:C28)</f>
        <v>4</v>
      </c>
      <c r="B28" s="159">
        <v>17</v>
      </c>
      <c r="C28" s="88">
        <f>_xlfn.XLOOKUP($F$1&amp;B28,Filtro!B:B,Filtro!D:D,"",0,1)</f>
        <v>230811</v>
      </c>
      <c r="D28" s="88" t="str">
        <f>_xlfn.XLOOKUP($F$1&amp;B28,Filtro!B:B,Filtro!C:C,"",0,1)</f>
        <v>在職中</v>
      </c>
      <c r="E28" s="88">
        <f>_xlfn.XLOOKUP($F$1&amp;B28,Filtro!B:B,Filtro!E:E,"",0,1)</f>
        <v>212042</v>
      </c>
      <c r="F28" s="88" t="str">
        <f>_xlfn.XLOOKUP($F$1&amp;B28,Filtro!B:B,Filtro!G:G,"",0,1)</f>
        <v>高雄工業株式会社 愛知事業所本社工場製作課</v>
      </c>
      <c r="G28" s="88" t="str">
        <f ca="1">MID(TablaTransfor[[#This Row],[配属先]],1,8)</f>
        <v>高雄工業株式会社</v>
      </c>
      <c r="H28" s="88" t="str">
        <f ca="1">MID(TablaTransfor[[#This Row],[配属先]],9,6)</f>
        <v xml:space="preserve"> 愛知事業所</v>
      </c>
      <c r="I28" s="88" t="str">
        <f>_xlfn.XLOOKUP($C28,DBGenzai[社員№],DBGenzai[仕事内容],"",0,1)</f>
        <v>CVJ部品短軸品の施削加工、NCプログラム修正</v>
      </c>
      <c r="J28" s="88" t="str">
        <f>_xlfn.XLOOKUP($F$1&amp;B28,Filtro!B:B,Filtro!H:H,"",0,1)</f>
        <v>Fライン</v>
      </c>
      <c r="K28" s="88" t="str">
        <f>_xlfn.XLOOKUP($F$1&amp;B28,Filtro!B:B,Filtro!J:J,"",0,1)</f>
        <v>NGUYEN VAN QUY</v>
      </c>
      <c r="L28" s="88" t="str">
        <f ca="1">IF(TablaTransfor[[#This Row],[氏名]]="","",IF(TablaTransfor[[#This Row],[氏名]]&lt;"0","記号",IF(NOT(EXACT(UPPER(TablaTransfor[[#This Row],[氏名]]),LOWER(TablaTransfor[[#This Row],[氏名]]))),_xlfn.XLOOKUP($C28,DBGenzai[社員№],DBGenzai[カナ],"",0,1),_xlfn.XLOOKUP($C28,DBGenzai[社員№],DBGenzai[氏名],"",0,1))))</f>
        <v>グエン　ヴァン　クイ</v>
      </c>
      <c r="M28" s="88" t="str">
        <f>_xlfn.XLOOKUP($C28,DBGenzai[社員№],DBGenzai[性別],"",0,1)</f>
        <v>男</v>
      </c>
      <c r="N28" s="88" t="str">
        <f>_xlfn.XLOOKUP($C28,DBGenzai[社員№],DBGenzai[国籍],"",0,1)</f>
        <v>ﾍﾞﾄﾅﾑ</v>
      </c>
      <c r="O28" s="89">
        <f>_xlfn.XLOOKUP($C28,DBGenzai[社員№],DBGenzai[生年月日],"",0,1)</f>
        <v>37213</v>
      </c>
      <c r="P28" s="88">
        <f>_xlfn.XLOOKUP($F$1&amp;B28,Filtro!B:B,Filtro!O:O,"",0,1)</f>
        <v>24</v>
      </c>
      <c r="Q28" s="88">
        <f>_xlfn.XLOOKUP($F$1&amp;B28,Filtro!B:B,Filtro!P:P,"",0,1)</f>
        <v>1310</v>
      </c>
      <c r="R28" s="426">
        <f>_xlfn.XLOOKUP($F$1&amp;B28,Filtro!B:B,Filtro!R:R,"",0,1)</f>
        <v>1700</v>
      </c>
      <c r="S28" s="88" t="str">
        <f>_xlfn.XLOOKUP($C28,DBGenzai[社員№],DBGenzai[〒],"",0,1)</f>
        <v>498-0026</v>
      </c>
      <c r="T28" s="88" t="str">
        <f>_xlfn.XLOOKUP($C28,DBGenzai[社員№],DBGenzai[住所],"",0,1)</f>
        <v>愛知県弥富市鯏浦町西前新田119-1</v>
      </c>
      <c r="U28" s="88" t="str">
        <f>_xlfn.XLOOKUP($C28,DBGenzai[社員№],DBGenzai[ｱﾊﾟｰﾄ],"",0,1)</f>
        <v>ﾗｲﾌｺｱ119　301号</v>
      </c>
      <c r="V28" s="89">
        <f>_xlfn.XLOOKUP($C28,DBGenzai[社員№],DBGenzai[入居],"",0,1)</f>
        <v>45133</v>
      </c>
      <c r="W28" s="89">
        <f>_xlfn.XLOOKUP($F$1&amp;B28,Filtro!B:B,Filtro!AF:AF,"",0,1)</f>
        <v>45139</v>
      </c>
      <c r="X28" s="89">
        <f>_xlfn.XLOOKUP($C28,DBGenzai[社員№],DBGenzai[退社日],"",0,1)</f>
        <v>0</v>
      </c>
      <c r="Y28" s="88">
        <f>_xlfn.XLOOKUP($C28,DBGenzai[社員№],DBGenzai[退去],"",0,1)</f>
        <v>0</v>
      </c>
      <c r="Z28" s="88">
        <f>_xlfn.XLOOKUP($C28,DBGenzai[社員№],DBGenzai[備考],"",0,1)</f>
        <v>0</v>
      </c>
      <c r="AA28" s="422">
        <f>_xlfn.XLOOKUP($F$1&amp;B28,Filtro!B:B,Filtro!AL:AL,"",0,1)</f>
        <v>45139</v>
      </c>
      <c r="AB28" s="157">
        <v>45566</v>
      </c>
      <c r="AC28" s="436">
        <f ca="1">_xlfn.XLOOKUP(TablaTransfor[[#This Row],[ライン]],TBKaishaInfo[ライン],TBKaishaInfo[まで],"NohayMarrano",0,1)</f>
        <v>46295</v>
      </c>
    </row>
    <row r="29" spans="1:29" hidden="1">
      <c r="A29" s="424">
        <f>SUBTOTAL(103,$C$3:C29)</f>
        <v>4</v>
      </c>
      <c r="B29" s="159">
        <v>19</v>
      </c>
      <c r="C29" s="88">
        <f>_xlfn.XLOOKUP($F$1&amp;B29,Filtro!B:B,Filtro!D:D,"",0,1)</f>
        <v>211102</v>
      </c>
      <c r="D29" s="88" t="str">
        <f>_xlfn.XLOOKUP($F$1&amp;B29,Filtro!B:B,Filtro!C:C,"",0,1)</f>
        <v>退社</v>
      </c>
      <c r="E29" s="88">
        <f>_xlfn.XLOOKUP($F$1&amp;B29,Filtro!B:B,Filtro!E:E,"",0,1)</f>
        <v>212016</v>
      </c>
      <c r="F29" s="88" t="str">
        <f>_xlfn.XLOOKUP($F$1&amp;B29,Filtro!B:B,Filtro!G:G,"",0,1)</f>
        <v>高雄工業株式会社 愛知事業所本社工場製作課</v>
      </c>
      <c r="G29" s="88" t="str">
        <f ca="1">MID(TablaTransfor[[#This Row],[配属先]],1,8)</f>
        <v>高雄工業株式会社</v>
      </c>
      <c r="H29" s="88" t="str">
        <f ca="1">MID(TablaTransfor[[#This Row],[配属先]],9,6)</f>
        <v xml:space="preserve"> 愛知事業所</v>
      </c>
      <c r="I29" s="88">
        <f>_xlfn.XLOOKUP($C29,DBGenzai[社員№],DBGenzai[仕事内容],"",0,1)</f>
        <v>0</v>
      </c>
      <c r="J29" s="88" t="str">
        <f>_xlfn.XLOOKUP($F$1&amp;B29,Filtro!B:B,Filtro!H:H,"",0,1)</f>
        <v>Gライン</v>
      </c>
      <c r="K29" s="88" t="str">
        <f>_xlfn.XLOOKUP($F$1&amp;B29,Filtro!B:B,Filtro!J:J,"",0,1)</f>
        <v>LAM VAN THANH</v>
      </c>
      <c r="L29" s="88" t="str">
        <f ca="1">IF(TablaTransfor[[#This Row],[氏名]]="","",IF(TablaTransfor[[#This Row],[氏名]]&lt;"0","記号",IF(NOT(EXACT(UPPER(TablaTransfor[[#This Row],[氏名]]),LOWER(TablaTransfor[[#This Row],[氏名]]))),_xlfn.XLOOKUP($C29,DBGenzai[社員№],DBGenzai[カナ],"",0,1),_xlfn.XLOOKUP($C29,DBGenzai[社員№],DBGenzai[氏名],"",0,1))))</f>
        <v>ラム　ヴァン　タン</v>
      </c>
      <c r="M29" s="88" t="str">
        <f>_xlfn.XLOOKUP($C29,DBGenzai[社員№],DBGenzai[性別],"",0,1)</f>
        <v>男</v>
      </c>
      <c r="N29" s="88" t="str">
        <f>_xlfn.XLOOKUP($C29,DBGenzai[社員№],DBGenzai[国籍],"",0,1)</f>
        <v>ﾍﾞﾄﾅﾑ</v>
      </c>
      <c r="O29" s="89">
        <f>_xlfn.XLOOKUP($C29,DBGenzai[社員№],DBGenzai[生年月日],"",0,1)</f>
        <v>31725</v>
      </c>
      <c r="P29" s="88">
        <f>_xlfn.XLOOKUP($F$1&amp;B29,Filtro!B:B,Filtro!O:O,"",0,1)</f>
        <v>39</v>
      </c>
      <c r="Q29" s="88">
        <f>_xlfn.XLOOKUP($F$1&amp;B29,Filtro!B:B,Filtro!P:P,"",0,1)</f>
        <v>1410</v>
      </c>
      <c r="R29" s="426">
        <f>_xlfn.XLOOKUP($F$1&amp;B29,Filtro!B:B,Filtro!R:R,"",0,1)</f>
        <v>1770</v>
      </c>
      <c r="S29" s="88" t="str">
        <f>_xlfn.XLOOKUP($C29,DBGenzai[社員№],DBGenzai[〒],"",0,1)</f>
        <v>453-0844</v>
      </c>
      <c r="T29" s="88" t="str">
        <f>_xlfn.XLOOKUP($C29,DBGenzai[社員№],DBGenzai[住所],"",0,1)</f>
        <v>愛知県名古屋市中村区小鴨町72番地</v>
      </c>
      <c r="U29" s="88" t="str">
        <f>_xlfn.XLOOKUP($C29,DBGenzai[社員№],DBGenzai[ｱﾊﾟｰﾄ],"",0,1)</f>
        <v>ﾏﾝｼｮﾝ早河302号室</v>
      </c>
      <c r="V29" s="89" t="str">
        <f>_xlfn.XLOOKUP($C29,DBGenzai[社員№],DBGenzai[入居],"",0,1)</f>
        <v>個人</v>
      </c>
      <c r="W29" s="89">
        <f>_xlfn.XLOOKUP($F$1&amp;B29,Filtro!B:B,Filtro!AF:AF,"",0,1)</f>
        <v>44501</v>
      </c>
      <c r="X29" s="89">
        <f>_xlfn.XLOOKUP($C29,DBGenzai[社員№],DBGenzai[退社日],"",0,1)</f>
        <v>44923</v>
      </c>
      <c r="Y29" s="88">
        <f>_xlfn.XLOOKUP($C29,DBGenzai[社員№],DBGenzai[退去],"",0,1)</f>
        <v>0</v>
      </c>
      <c r="Z29" s="88" t="str">
        <f>_xlfn.XLOOKUP($C29,DBGenzai[社員№],DBGenzai[備考],"",0,1)</f>
        <v>2021/11/１（アルバイト）＝2021/11/16から　派遣社員</v>
      </c>
      <c r="AA29" s="422">
        <f>_xlfn.XLOOKUP($F$1&amp;B29,Filtro!B:B,Filtro!AL:AL,"",0,1)</f>
        <v>44501</v>
      </c>
      <c r="AB29" s="157" t="str" cm="1">
        <f t="array" aca="1" ref="AB2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29" s="436">
        <f ca="1">_xlfn.XLOOKUP(TablaTransfor[[#This Row],[ライン]],TBKaishaInfo[ライン],TBKaishaInfo[まで],"NohayMarrano",0,1)</f>
        <v>46295</v>
      </c>
    </row>
    <row r="30" spans="1:29" hidden="1">
      <c r="A30" s="424">
        <f>SUBTOTAL(103,$C$3:C30)</f>
        <v>4</v>
      </c>
      <c r="B30" s="159">
        <v>23</v>
      </c>
      <c r="C30" s="88">
        <f>_xlfn.XLOOKUP($F$1&amp;B30,Filtro!B:B,Filtro!D:D,"",0,1)</f>
        <v>210105</v>
      </c>
      <c r="D30" s="88" t="str">
        <f>_xlfn.XLOOKUP($F$1&amp;B30,Filtro!B:B,Filtro!C:C,"",0,1)</f>
        <v>退社</v>
      </c>
      <c r="E30" s="88">
        <f>_xlfn.XLOOKUP($F$1&amp;B30,Filtro!B:B,Filtro!E:E,"",0,1)</f>
        <v>212019</v>
      </c>
      <c r="F30" s="88" t="str">
        <f>_xlfn.XLOOKUP($F$1&amp;B30,Filtro!B:B,Filtro!G:G,"",0,1)</f>
        <v>高雄工業株式会社 愛知事業所本社工場製作課</v>
      </c>
      <c r="G30" s="88" t="str">
        <f ca="1">MID(TablaTransfor[[#This Row],[配属先]],1,8)</f>
        <v>高雄工業株式会社</v>
      </c>
      <c r="H30" s="88" t="str">
        <f ca="1">MID(TablaTransfor[[#This Row],[配属先]],9,6)</f>
        <v xml:space="preserve"> 愛知事業所</v>
      </c>
      <c r="I30" s="88" t="str">
        <f>_xlfn.XLOOKUP($C30,DBGenzai[社員№],DBGenzai[仕事内容],"",0,1)</f>
        <v>ATミッション部品をはじめとする、各種自動車部品の製造</v>
      </c>
      <c r="J30" s="88" t="str">
        <f>_xlfn.XLOOKUP($F$1&amp;B30,Filtro!B:B,Filtro!H:H,"",0,1)</f>
        <v>Aライン</v>
      </c>
      <c r="K30" s="88" t="str">
        <f>_xlfn.XLOOKUP($F$1&amp;B30,Filtro!B:B,Filtro!J:J,"",0,1)</f>
        <v>PHAM CONG HA</v>
      </c>
      <c r="L30" s="88" t="str">
        <f ca="1">IF(TablaTransfor[[#This Row],[氏名]]="","",IF(TablaTransfor[[#This Row],[氏名]]&lt;"0","記号",IF(NOT(EXACT(UPPER(TablaTransfor[[#This Row],[氏名]]),LOWER(TablaTransfor[[#This Row],[氏名]]))),_xlfn.XLOOKUP($C30,DBGenzai[社員№],DBGenzai[カナ],"",0,1),_xlfn.XLOOKUP($C30,DBGenzai[社員№],DBGenzai[氏名],"",0,1))))</f>
        <v>ファム　コン　ハー</v>
      </c>
      <c r="M30" s="88" t="str">
        <f>_xlfn.XLOOKUP($C30,DBGenzai[社員№],DBGenzai[性別],"",0,1)</f>
        <v>男</v>
      </c>
      <c r="N30" s="88" t="str">
        <f>_xlfn.XLOOKUP($C30,DBGenzai[社員№],DBGenzai[国籍],"",0,1)</f>
        <v>ﾍﾞﾄﾅﾑ</v>
      </c>
      <c r="O30" s="89">
        <f>_xlfn.XLOOKUP($C30,DBGenzai[社員№],DBGenzai[生年月日],"",0,1)</f>
        <v>35053</v>
      </c>
      <c r="P30" s="88">
        <f>_xlfn.XLOOKUP($F$1&amp;B30,Filtro!B:B,Filtro!O:O,"",0,1)</f>
        <v>29</v>
      </c>
      <c r="Q30" s="88">
        <f>_xlfn.XLOOKUP($F$1&amp;B30,Filtro!B:B,Filtro!P:P,"",0,1)</f>
        <v>1400</v>
      </c>
      <c r="R30" s="426">
        <f>_xlfn.XLOOKUP($F$1&amp;B30,Filtro!B:B,Filtro!R:R,"",0,1)</f>
        <v>1770</v>
      </c>
      <c r="S30" s="88" t="str">
        <f>_xlfn.XLOOKUP($C30,DBGenzai[社員№],DBGenzai[〒],"",0,1)</f>
        <v>455-0046</v>
      </c>
      <c r="T30" s="88" t="str">
        <f>_xlfn.XLOOKUP($C30,DBGenzai[社員№],DBGenzai[住所],"",0,1)</f>
        <v>愛知県名古屋市港区大手町2丁目31</v>
      </c>
      <c r="U30" s="88" t="str">
        <f>_xlfn.XLOOKUP($C30,DBGenzai[社員№],DBGenzai[ｱﾊﾟｰﾄ],"",0,1)</f>
        <v>ﾀﾞｲｺｰﾏﾝｼｮﾝ302</v>
      </c>
      <c r="V30" s="89">
        <f>_xlfn.XLOOKUP($C30,DBGenzai[社員№],DBGenzai[入居],"",0,1)</f>
        <v>44201</v>
      </c>
      <c r="W30" s="89">
        <f>_xlfn.XLOOKUP($F$1&amp;B30,Filtro!B:B,Filtro!AF:AF,"",0,1)</f>
        <v>44585</v>
      </c>
      <c r="X30" s="89">
        <f>_xlfn.XLOOKUP($C30,DBGenzai[社員№],DBGenzai[退社日],"",0,1)</f>
        <v>44309</v>
      </c>
      <c r="Y30" s="88">
        <f>_xlfn.XLOOKUP($C30,DBGenzai[社員№],DBGenzai[退去],"",0,1)</f>
        <v>0</v>
      </c>
      <c r="Z30" s="88">
        <f>_xlfn.XLOOKUP($C30,DBGenzai[社員№],DBGenzai[備考],"",0,1)</f>
        <v>0</v>
      </c>
      <c r="AA30" s="422">
        <f>_xlfn.XLOOKUP($F$1&amp;B30,Filtro!B:B,Filtro!AL:AL,"",0,1)</f>
        <v>44585</v>
      </c>
      <c r="AB30" s="157" t="str" cm="1">
        <f t="array" aca="1" ref="AB3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30" s="436">
        <f ca="1">_xlfn.XLOOKUP(TablaTransfor[[#This Row],[ライン]],TBKaishaInfo[ライン],TBKaishaInfo[まで],"NohayMarrano",0,1)</f>
        <v>46295</v>
      </c>
    </row>
    <row r="31" spans="1:29" hidden="1">
      <c r="A31" s="424">
        <f>SUBTOTAL(103,$C$3:C31)</f>
        <v>4</v>
      </c>
      <c r="B31" s="159">
        <v>20</v>
      </c>
      <c r="C31" s="88">
        <f>_xlfn.XLOOKUP($F$1&amp;B31,Filtro!B:B,Filtro!D:D,"",0,1)</f>
        <v>220105</v>
      </c>
      <c r="D31" s="88" t="str">
        <f>_xlfn.XLOOKUP($F$1&amp;B31,Filtro!B:B,Filtro!C:C,"",0,1)</f>
        <v>退社</v>
      </c>
      <c r="E31" s="88">
        <f>_xlfn.XLOOKUP($F$1&amp;B31,Filtro!B:B,Filtro!E:E,"",0,1)</f>
        <v>0</v>
      </c>
      <c r="F31" s="88" t="str">
        <f>_xlfn.XLOOKUP($F$1&amp;B31,Filtro!B:B,Filtro!G:G,"",0,1)</f>
        <v>高雄工業株式会社 愛知事業所本社工場製作課</v>
      </c>
      <c r="G31" s="88" t="str">
        <f ca="1">MID(TablaTransfor[[#This Row],[配属先]],1,8)</f>
        <v>高雄工業株式会社</v>
      </c>
      <c r="H31" s="88" t="str">
        <f ca="1">MID(TablaTransfor[[#This Row],[配属先]],9,6)</f>
        <v xml:space="preserve"> 愛知事業所</v>
      </c>
      <c r="I31" s="88">
        <f>_xlfn.XLOOKUP($C31,DBGenzai[社員№],DBGenzai[仕事内容],"",0,1)</f>
        <v>0</v>
      </c>
      <c r="J31" s="88">
        <f>_xlfn.XLOOKUP($F$1&amp;B31,Filtro!B:B,Filtro!H:H,"",0,1)</f>
        <v>0</v>
      </c>
      <c r="K31" s="88" t="str">
        <f>_xlfn.XLOOKUP($F$1&amp;B31,Filtro!B:B,Filtro!J:J,"",0,1)</f>
        <v>PHAM LE PUONG DUY</v>
      </c>
      <c r="L31" s="88" t="str">
        <f ca="1">IF(TablaTransfor[[#This Row],[氏名]]="","",IF(TablaTransfor[[#This Row],[氏名]]&lt;"0","記号",IF(NOT(EXACT(UPPER(TablaTransfor[[#This Row],[氏名]]),LOWER(TablaTransfor[[#This Row],[氏名]]))),_xlfn.XLOOKUP($C31,DBGenzai[社員№],DBGenzai[カナ],"",0,1),_xlfn.XLOOKUP($C31,DBGenzai[社員№],DBGenzai[氏名],"",0,1))))</f>
        <v>ファム　レー　フウノ　ユイ</v>
      </c>
      <c r="M31" s="88" t="str">
        <f>_xlfn.XLOOKUP($C31,DBGenzai[社員№],DBGenzai[性別],"",0,1)</f>
        <v>男</v>
      </c>
      <c r="N31" s="88" t="str">
        <f>_xlfn.XLOOKUP($C31,DBGenzai[社員№],DBGenzai[国籍],"",0,1)</f>
        <v>ﾍﾞﾄﾅﾑ</v>
      </c>
      <c r="O31" s="89">
        <f>_xlfn.XLOOKUP($C31,DBGenzai[社員№],DBGenzai[生年月日],"",0,1)</f>
        <v>35053</v>
      </c>
      <c r="P31" s="88">
        <f>_xlfn.XLOOKUP($F$1&amp;B31,Filtro!B:B,Filtro!O:O,"",0,1)</f>
        <v>29</v>
      </c>
      <c r="Q31" s="88">
        <f>_xlfn.XLOOKUP($F$1&amp;B31,Filtro!B:B,Filtro!P:P,"",0,1)</f>
        <v>1350</v>
      </c>
      <c r="R31" s="426">
        <f>_xlfn.XLOOKUP($F$1&amp;B31,Filtro!B:B,Filtro!R:R,"",0,1)</f>
        <v>1750</v>
      </c>
      <c r="S31" s="88">
        <f>_xlfn.XLOOKUP($C31,DBGenzai[社員№],DBGenzai[〒],"",0,1)</f>
        <v>0</v>
      </c>
      <c r="T31" s="88" t="str">
        <f>_xlfn.XLOOKUP($C31,DBGenzai[社員№],DBGenzai[住所],"",0,1)</f>
        <v>愛知県弥富市平島町中新田194-1</v>
      </c>
      <c r="U31" s="88" t="str">
        <f>_xlfn.XLOOKUP($C31,DBGenzai[社員№],DBGenzai[ｱﾊﾟｰﾄ],"",0,1)</f>
        <v>ｺﾝﾂｪﾙﾊｳｽⅡD棟202</v>
      </c>
      <c r="V31" s="89">
        <f>_xlfn.XLOOKUP($C31,DBGenzai[社員№],DBGenzai[入居],"",0,1)</f>
        <v>0</v>
      </c>
      <c r="W31" s="89">
        <f>_xlfn.XLOOKUP($F$1&amp;B31,Filtro!B:B,Filtro!AF:AF,"",0,1)</f>
        <v>44567</v>
      </c>
      <c r="X31" s="89">
        <f>_xlfn.XLOOKUP($C31,DBGenzai[社員№],DBGenzai[退社日],"",0,1)</f>
        <v>44573</v>
      </c>
      <c r="Y31" s="88">
        <f>_xlfn.XLOOKUP($C31,DBGenzai[社員№],DBGenzai[退去],"",0,1)</f>
        <v>0</v>
      </c>
      <c r="Z31" s="88">
        <f>_xlfn.XLOOKUP($C31,DBGenzai[社員№],DBGenzai[備考],"",0,1)</f>
        <v>0</v>
      </c>
      <c r="AA31" s="422">
        <f>_xlfn.XLOOKUP($F$1&amp;B31,Filtro!B:B,Filtro!AL:AL,"",0,1)</f>
        <v>44567</v>
      </c>
      <c r="AB31" s="157">
        <v>45566</v>
      </c>
      <c r="AC31" s="436" t="str">
        <f ca="1">_xlfn.XLOOKUP(TablaTransfor[[#This Row],[ライン]],TBKaishaInfo[ライン],TBKaishaInfo[まで],"NohayMarrano",0,1)</f>
        <v>NohayMarrano</v>
      </c>
    </row>
    <row r="32" spans="1:29">
      <c r="A32" s="424">
        <f>SUBTOTAL(103,$C$3:C32)</f>
        <v>5</v>
      </c>
      <c r="B32" s="159">
        <v>44</v>
      </c>
      <c r="C32" s="88">
        <f>_xlfn.XLOOKUP($F$1&amp;B32,Filtro!B:B,Filtro!D:D,"",0,1)</f>
        <v>221104</v>
      </c>
      <c r="D32" s="88" t="str">
        <f>_xlfn.XLOOKUP($F$1&amp;B32,Filtro!B:B,Filtro!C:C,"",0,1)</f>
        <v>退社</v>
      </c>
      <c r="E32" s="88">
        <f>_xlfn.XLOOKUP($F$1&amp;B32,Filtro!B:B,Filtro!E:E,"",0,1)</f>
        <v>212033</v>
      </c>
      <c r="F32" s="88" t="str">
        <f>_xlfn.XLOOKUP($F$1&amp;B32,Filtro!B:B,Filtro!G:G,"",0,1)</f>
        <v>高雄工業株式会社 愛知事業所本社工場製作課</v>
      </c>
      <c r="G32" s="88" t="str">
        <f ca="1">MID(TablaTransfor[[#This Row],[配属先]],1,8)</f>
        <v>高雄工業株式会社</v>
      </c>
      <c r="H32" s="88" t="str">
        <f ca="1">MID(TablaTransfor[[#This Row],[配属先]],9,6)</f>
        <v xml:space="preserve"> 愛知事業所</v>
      </c>
      <c r="I32" s="88" t="str">
        <f>_xlfn.XLOOKUP($C32,DBGenzai[社員№],DBGenzai[仕事内容],"",0,1)</f>
        <v>CVJ部品長軸品の施削加工、NCプログラム修正</v>
      </c>
      <c r="J32" s="88" t="str">
        <f>_xlfn.XLOOKUP($F$1&amp;B32,Filtro!B:B,Filtro!H:H,"",0,1)</f>
        <v>Gライン</v>
      </c>
      <c r="K32" s="88" t="str">
        <f>_xlfn.XLOOKUP($F$1&amp;B32,Filtro!B:B,Filtro!J:J,"",0,1)</f>
        <v>HOANG DUY THANG</v>
      </c>
      <c r="L32" s="88" t="str">
        <f ca="1">IF(TablaTransfor[[#This Row],[氏名]]="","",IF(TablaTransfor[[#This Row],[氏名]]&lt;"0","記号",IF(NOT(EXACT(UPPER(TablaTransfor[[#This Row],[氏名]]),LOWER(TablaTransfor[[#This Row],[氏名]]))),_xlfn.XLOOKUP($C32,DBGenzai[社員№],DBGenzai[カナ],"",0,1),_xlfn.XLOOKUP($C32,DBGenzai[社員№],DBGenzai[氏名],"",0,1))))</f>
        <v>ホアン　ズイ　タン</v>
      </c>
      <c r="M32" s="88" t="str">
        <f>_xlfn.XLOOKUP($C32,DBGenzai[社員№],DBGenzai[性別],"",0,1)</f>
        <v>男</v>
      </c>
      <c r="N32" s="88" t="str">
        <f>_xlfn.XLOOKUP($C32,DBGenzai[社員№],DBGenzai[国籍],"",0,1)</f>
        <v>ﾍﾞﾄﾅﾑ</v>
      </c>
      <c r="O32" s="89">
        <f>_xlfn.XLOOKUP($C32,DBGenzai[社員№],DBGenzai[生年月日],"",0,1)</f>
        <v>35422</v>
      </c>
      <c r="P32" s="88">
        <f>_xlfn.XLOOKUP($F$1&amp;B32,Filtro!B:B,Filtro!O:O,"",0,1)</f>
        <v>28</v>
      </c>
      <c r="Q32" s="88">
        <f>_xlfn.XLOOKUP($F$1&amp;B32,Filtro!B:B,Filtro!P:P,"",0,1)</f>
        <v>1300</v>
      </c>
      <c r="R32" s="426">
        <f>_xlfn.XLOOKUP($F$1&amp;B32,Filtro!B:B,Filtro!R:R,"",0,1)</f>
        <v>1650</v>
      </c>
      <c r="S32" s="88" t="str">
        <f>_xlfn.XLOOKUP($C32,DBGenzai[社員№],DBGenzai[〒],"",0,1)</f>
        <v>498-0032</v>
      </c>
      <c r="T32" s="88" t="str">
        <f>_xlfn.XLOOKUP($C32,DBGenzai[社員№],DBGenzai[住所],"",0,1)</f>
        <v>愛知県弥富市平島中4丁目128</v>
      </c>
      <c r="U32" s="88" t="str">
        <f>_xlfn.XLOOKUP($C32,DBGenzai[社員№],DBGenzai[ｱﾊﾟｰﾄ],"",0,1)</f>
        <v>村上貸家</v>
      </c>
      <c r="V32" s="89">
        <f>_xlfn.XLOOKUP($C32,DBGenzai[社員№],DBGenzai[入居],"",0,1)</f>
        <v>44879</v>
      </c>
      <c r="W32" s="89">
        <f>_xlfn.XLOOKUP($F$1&amp;B32,Filtro!B:B,Filtro!AF:AF,"",0,1)</f>
        <v>44882</v>
      </c>
      <c r="X32" s="89">
        <f>_xlfn.XLOOKUP($C32,DBGenzai[社員№],DBGenzai[退社日],"",0,1)</f>
        <v>45380</v>
      </c>
      <c r="Y32" s="88">
        <f>_xlfn.XLOOKUP($C32,DBGenzai[社員№],DBGenzai[退去],"",0,1)</f>
        <v>0</v>
      </c>
      <c r="Z32" s="88">
        <f>_xlfn.XLOOKUP($C32,DBGenzai[社員№],DBGenzai[備考],"",0,1)</f>
        <v>0</v>
      </c>
      <c r="AA32" s="422">
        <f>_xlfn.XLOOKUP($F$1&amp;B32,Filtro!B:B,Filtro!AL:AL,"",0,1)</f>
        <v>44882</v>
      </c>
      <c r="AB32" s="157">
        <v>45931</v>
      </c>
      <c r="AC32" s="436">
        <f ca="1">_xlfn.XLOOKUP(TablaTransfor[[#This Row],[ライン]],TBKaishaInfo[ライン],TBKaishaInfo[まで],"NohayMarrano",0,1)</f>
        <v>46295</v>
      </c>
    </row>
    <row r="33" spans="1:29">
      <c r="A33" s="424">
        <f>SUBTOTAL(103,$C$3:C33)</f>
        <v>6</v>
      </c>
      <c r="B33" s="159">
        <v>42</v>
      </c>
      <c r="C33" s="88">
        <f>_xlfn.XLOOKUP($F$1&amp;B33,Filtro!B:B,Filtro!D:D,"",0,1)</f>
        <v>220209</v>
      </c>
      <c r="D33" s="88" t="str">
        <f>_xlfn.XLOOKUP($F$1&amp;B33,Filtro!B:B,Filtro!C:C,"",0,1)</f>
        <v>在職中</v>
      </c>
      <c r="E33" s="88">
        <f>_xlfn.XLOOKUP($F$1&amp;B33,Filtro!B:B,Filtro!E:E,"",0,1)</f>
        <v>212023</v>
      </c>
      <c r="F33" s="88" t="str">
        <f>_xlfn.XLOOKUP($F$1&amp;B33,Filtro!B:B,Filtro!G:G,"",0,1)</f>
        <v>高雄工業株式会社 愛知事業所本社工場製作課</v>
      </c>
      <c r="G33" s="88" t="str">
        <f ca="1">MID(TablaTransfor[[#This Row],[配属先]],1,8)</f>
        <v>高雄工業株式会社</v>
      </c>
      <c r="H33" s="88" t="str">
        <f ca="1">MID(TablaTransfor[[#This Row],[配属先]],9,6)</f>
        <v xml:space="preserve"> 愛知事業所</v>
      </c>
      <c r="I33" s="88" t="str">
        <f>_xlfn.XLOOKUP($C33,DBGenzai[社員№],DBGenzai[仕事内容],"",0,1)</f>
        <v>CVJ部品長軸品の施削加工、NCプログラム修正</v>
      </c>
      <c r="J33" s="88" t="str">
        <f>_xlfn.XLOOKUP($F$1&amp;B33,Filtro!B:B,Filtro!H:H,"",0,1)</f>
        <v>Gライン</v>
      </c>
      <c r="K33" s="88" t="str">
        <f>_xlfn.XLOOKUP($F$1&amp;B33,Filtro!B:B,Filtro!J:J,"",0,1)</f>
        <v>NGUYEN VAN LAP</v>
      </c>
      <c r="L33" s="88" t="str">
        <f ca="1">IF(TablaTransfor[[#This Row],[氏名]]="","",IF(TablaTransfor[[#This Row],[氏名]]&lt;"0","記号",IF(NOT(EXACT(UPPER(TablaTransfor[[#This Row],[氏名]]),LOWER(TablaTransfor[[#This Row],[氏名]]))),_xlfn.XLOOKUP($C33,DBGenzai[社員№],DBGenzai[カナ],"",0,1),_xlfn.XLOOKUP($C33,DBGenzai[社員№],DBGenzai[氏名],"",0,1))))</f>
        <v>グエン　ヴァン　ラップ</v>
      </c>
      <c r="M33" s="88" t="str">
        <f>_xlfn.XLOOKUP($C33,DBGenzai[社員№],DBGenzai[性別],"",0,1)</f>
        <v>男</v>
      </c>
      <c r="N33" s="88" t="str">
        <f>_xlfn.XLOOKUP($C33,DBGenzai[社員№],DBGenzai[国籍],"",0,1)</f>
        <v>ﾍﾞﾄﾅﾑ</v>
      </c>
      <c r="O33" s="89">
        <f>_xlfn.XLOOKUP($C33,DBGenzai[社員№],DBGenzai[生年月日],"",0,1)</f>
        <v>35544</v>
      </c>
      <c r="P33" s="88">
        <f>_xlfn.XLOOKUP($F$1&amp;B33,Filtro!B:B,Filtro!O:O,"",0,1)</f>
        <v>28</v>
      </c>
      <c r="Q33" s="88">
        <f>_xlfn.XLOOKUP($F$1&amp;B33,Filtro!B:B,Filtro!P:P,"",0,1)</f>
        <v>1410</v>
      </c>
      <c r="R33" s="426">
        <f>_xlfn.XLOOKUP($F$1&amp;B33,Filtro!B:B,Filtro!R:R,"",0,1)</f>
        <v>1830</v>
      </c>
      <c r="S33" s="88" t="str">
        <f>_xlfn.XLOOKUP($C33,DBGenzai[社員№],DBGenzai[〒],"",0,1)</f>
        <v>498-0031</v>
      </c>
      <c r="T33" s="88" t="str">
        <f>_xlfn.XLOOKUP($C33,DBGenzai[社員№],DBGenzai[住所],"",0,1)</f>
        <v>愛知県弥富市平島町甲新田82番地１</v>
      </c>
      <c r="U33" s="88" t="str">
        <f>_xlfn.XLOOKUP($C33,DBGenzai[社員№],DBGenzai[ｱﾊﾟｰﾄ],"",0,1)</f>
        <v>ﾊﾟｰｸﾀｳﾝ平島D201</v>
      </c>
      <c r="V33" s="89">
        <f>_xlfn.XLOOKUP($C33,DBGenzai[社員№],DBGenzai[入居],"",0,1)</f>
        <v>44632</v>
      </c>
      <c r="W33" s="89">
        <f>_xlfn.XLOOKUP($F$1&amp;B33,Filtro!B:B,Filtro!AF:AF,"",0,1)</f>
        <v>45789</v>
      </c>
      <c r="X33" s="89">
        <f>_xlfn.XLOOKUP($C33,DBGenzai[社員№],DBGenzai[退社日],"",0,1)</f>
        <v>45751</v>
      </c>
      <c r="Y33" s="88">
        <f>_xlfn.XLOOKUP($C33,DBGenzai[社員№],DBGenzai[退去],"",0,1)</f>
        <v>0</v>
      </c>
      <c r="Z33" s="88">
        <f>_xlfn.XLOOKUP($C33,DBGenzai[社員№],DBGenzai[備考],"",0,1)</f>
        <v>0</v>
      </c>
      <c r="AA33" s="422">
        <f>_xlfn.XLOOKUP($F$1&amp;B33,Filtro!B:B,Filtro!AL:AL,"",0,1)</f>
        <v>45789</v>
      </c>
      <c r="AB33" s="157">
        <v>45931</v>
      </c>
      <c r="AC33" s="436">
        <f ca="1">_xlfn.XLOOKUP(TablaTransfor[[#This Row],[ライン]],TBKaishaInfo[ライン],TBKaishaInfo[まで],"NohayMarrano",0,1)</f>
        <v>46295</v>
      </c>
    </row>
    <row r="34" spans="1:29">
      <c r="A34" s="424">
        <f>SUBTOTAL(103,$C$3:C34)</f>
        <v>7</v>
      </c>
      <c r="B34" s="159">
        <v>35</v>
      </c>
      <c r="C34" s="88">
        <f>_xlfn.XLOOKUP($F$1&amp;B34,Filtro!B:B,Filtro!D:D,"",0,1)</f>
        <v>220505</v>
      </c>
      <c r="D34" s="88" t="str">
        <f>_xlfn.XLOOKUP($F$1&amp;B34,Filtro!B:B,Filtro!C:C,"",0,1)</f>
        <v>在職中</v>
      </c>
      <c r="E34" s="88">
        <f>_xlfn.XLOOKUP($F$1&amp;B34,Filtro!B:B,Filtro!E:E,"",0,1)</f>
        <v>212028</v>
      </c>
      <c r="F34" s="88" t="str">
        <f>_xlfn.XLOOKUP($F$1&amp;B34,Filtro!B:B,Filtro!G:G,"",0,1)</f>
        <v>高雄工業株式会社 愛知事業所本社工場製作課</v>
      </c>
      <c r="G34" s="88" t="str">
        <f ca="1">MID(TablaTransfor[[#This Row],[配属先]],1,8)</f>
        <v>高雄工業株式会社</v>
      </c>
      <c r="H34" s="88" t="str">
        <f ca="1">MID(TablaTransfor[[#This Row],[配属先]],9,6)</f>
        <v xml:space="preserve"> 愛知事業所</v>
      </c>
      <c r="I34" s="88" t="str">
        <f>_xlfn.XLOOKUP($C34,DBGenzai[社員№],DBGenzai[仕事内容],"",0,1)</f>
        <v>CVJ部品長軸品の施削加工、NCプログラム修正</v>
      </c>
      <c r="J34" s="88" t="str">
        <f>_xlfn.XLOOKUP($F$1&amp;B34,Filtro!B:B,Filtro!H:H,"",0,1)</f>
        <v>Gライン</v>
      </c>
      <c r="K34" s="88" t="str">
        <f>_xlfn.XLOOKUP($F$1&amp;B34,Filtro!B:B,Filtro!J:J,"",0,1)</f>
        <v>DANG THIN VIET</v>
      </c>
      <c r="L34" s="88" t="str">
        <f ca="1">IF(TablaTransfor[[#This Row],[氏名]]="","",IF(TablaTransfor[[#This Row],[氏名]]&lt;"0","記号",IF(NOT(EXACT(UPPER(TablaTransfor[[#This Row],[氏名]]),LOWER(TablaTransfor[[#This Row],[氏名]]))),_xlfn.XLOOKUP($C34,DBGenzai[社員№],DBGenzai[カナ],"",0,1),_xlfn.XLOOKUP($C34,DBGenzai[社員№],DBGenzai[氏名],"",0,1))))</f>
        <v>ダン　ティン　ヴィエット</v>
      </c>
      <c r="M34" s="88" t="str">
        <f>_xlfn.XLOOKUP($C34,DBGenzai[社員№],DBGenzai[性別],"",0,1)</f>
        <v>男</v>
      </c>
      <c r="N34" s="88" t="str">
        <f>_xlfn.XLOOKUP($C34,DBGenzai[社員№],DBGenzai[国籍],"",0,1)</f>
        <v>ﾍﾞﾄﾅﾑ</v>
      </c>
      <c r="O34" s="89">
        <f>_xlfn.XLOOKUP($C34,DBGenzai[社員№],DBGenzai[生年月日],"",0,1)</f>
        <v>35477</v>
      </c>
      <c r="P34" s="88">
        <f>_xlfn.XLOOKUP($F$1&amp;B34,Filtro!B:B,Filtro!O:O,"",0,1)</f>
        <v>28</v>
      </c>
      <c r="Q34" s="88">
        <f>_xlfn.XLOOKUP($F$1&amp;B34,Filtro!B:B,Filtro!P:P,"",0,1)</f>
        <v>1310</v>
      </c>
      <c r="R34" s="426">
        <f>_xlfn.XLOOKUP($F$1&amp;B34,Filtro!B:B,Filtro!R:R,"",0,1)</f>
        <v>1720</v>
      </c>
      <c r="S34" s="88" t="str">
        <f>_xlfn.XLOOKUP($C34,DBGenzai[社員№],DBGenzai[〒],"",0,1)</f>
        <v>498-0017</v>
      </c>
      <c r="T34" s="88" t="str">
        <f>_xlfn.XLOOKUP($C34,DBGenzai[社員№],DBGenzai[住所],"",0,1)</f>
        <v>愛知県弥富市前ヶ須町西勘助207</v>
      </c>
      <c r="U34" s="88" t="str">
        <f>_xlfn.XLOOKUP($C34,DBGenzai[社員№],DBGenzai[ｱﾊﾟｰﾄ],"",0,1)</f>
        <v>CASA弥冨B203</v>
      </c>
      <c r="V34" s="89">
        <f>_xlfn.XLOOKUP($C34,DBGenzai[社員№],DBGenzai[入居],"",0,1)</f>
        <v>44675</v>
      </c>
      <c r="W34" s="89">
        <f>_xlfn.XLOOKUP($F$1&amp;B34,Filtro!B:B,Filtro!AF:AF,"",0,1)</f>
        <v>44690</v>
      </c>
      <c r="X34" s="89">
        <f>_xlfn.XLOOKUP($C34,DBGenzai[社員№],DBGenzai[退社日],"",0,1)</f>
        <v>0</v>
      </c>
      <c r="Y34" s="88">
        <f>_xlfn.XLOOKUP($C34,DBGenzai[社員№],DBGenzai[退去],"",0,1)</f>
        <v>0</v>
      </c>
      <c r="Z34" s="88">
        <f>_xlfn.XLOOKUP($C34,DBGenzai[社員№],DBGenzai[備考],"",0,1)</f>
        <v>0</v>
      </c>
      <c r="AA34" s="422">
        <f>_xlfn.XLOOKUP($F$1&amp;B34,Filtro!B:B,Filtro!AL:AL,"",0,1)</f>
        <v>44690</v>
      </c>
      <c r="AB34" s="157">
        <v>45931</v>
      </c>
      <c r="AC34" s="436">
        <f ca="1">_xlfn.XLOOKUP(TablaTransfor[[#This Row],[ライン]],TBKaishaInfo[ライン],TBKaishaInfo[まで],"NohayMarrano",0,1)</f>
        <v>46295</v>
      </c>
    </row>
    <row r="35" spans="1:29">
      <c r="A35" s="424">
        <f>SUBTOTAL(103,$C$3:C35)</f>
        <v>8</v>
      </c>
      <c r="B35" s="159">
        <v>24</v>
      </c>
      <c r="C35" s="88">
        <f>_xlfn.XLOOKUP($F$1&amp;B35,Filtro!B:B,Filtro!D:D,"",0,1)</f>
        <v>220132</v>
      </c>
      <c r="D35" s="88" t="str">
        <f>_xlfn.XLOOKUP($F$1&amp;B35,Filtro!B:B,Filtro!C:C,"",0,1)</f>
        <v>退社</v>
      </c>
      <c r="E35" s="88">
        <f>_xlfn.XLOOKUP($F$1&amp;B35,Filtro!B:B,Filtro!E:E,"",0,1)</f>
        <v>0</v>
      </c>
      <c r="F35" s="88" t="str">
        <f>_xlfn.XLOOKUP($F$1&amp;B35,Filtro!B:B,Filtro!G:G,"",0,1)</f>
        <v>高雄工業株式会社 愛知事業所本社工場製作課</v>
      </c>
      <c r="G35" s="88" t="str">
        <f ca="1">MID(TablaTransfor[[#This Row],[配属先]],1,8)</f>
        <v>高雄工業株式会社</v>
      </c>
      <c r="H35" s="88" t="str">
        <f ca="1">MID(TablaTransfor[[#This Row],[配属先]],9,6)</f>
        <v xml:space="preserve"> 愛知事業所</v>
      </c>
      <c r="I35" s="88">
        <f>_xlfn.XLOOKUP($C35,DBGenzai[社員№],DBGenzai[仕事内容],"",0,1)</f>
        <v>0</v>
      </c>
      <c r="J35" s="88">
        <f>_xlfn.XLOOKUP($F$1&amp;B35,Filtro!B:B,Filtro!H:H,"",0,1)</f>
        <v>0</v>
      </c>
      <c r="K35" s="88" t="str">
        <f>_xlfn.XLOOKUP($F$1&amp;B35,Filtro!B:B,Filtro!J:J,"",0,1)</f>
        <v>THAN TRUNG TIEN</v>
      </c>
      <c r="L35" s="88" t="str">
        <f ca="1">IF(TablaTransfor[[#This Row],[氏名]]="","",IF(TablaTransfor[[#This Row],[氏名]]&lt;"0","記号",IF(NOT(EXACT(UPPER(TablaTransfor[[#This Row],[氏名]]),LOWER(TablaTransfor[[#This Row],[氏名]]))),_xlfn.XLOOKUP($C35,DBGenzai[社員№],DBGenzai[カナ],"",0,1),_xlfn.XLOOKUP($C35,DBGenzai[社員№],DBGenzai[氏名],"",0,1))))</f>
        <v>タン　チュン　ティエン</v>
      </c>
      <c r="M35" s="88" t="str">
        <f>_xlfn.XLOOKUP($C35,DBGenzai[社員№],DBGenzai[性別],"",0,1)</f>
        <v>男</v>
      </c>
      <c r="N35" s="88" t="str">
        <f>_xlfn.XLOOKUP($C35,DBGenzai[社員№],DBGenzai[国籍],"",0,1)</f>
        <v>ﾍﾞﾄﾅﾑ</v>
      </c>
      <c r="O35" s="89">
        <f>_xlfn.XLOOKUP($C35,DBGenzai[社員№],DBGenzai[生年月日],"",0,1)</f>
        <v>33937</v>
      </c>
      <c r="P35" s="88">
        <f>_xlfn.XLOOKUP($F$1&amp;B35,Filtro!B:B,Filtro!O:O,"",0,1)</f>
        <v>33</v>
      </c>
      <c r="Q35" s="88">
        <f>_xlfn.XLOOKUP($F$1&amp;B35,Filtro!B:B,Filtro!P:P,"",0,1)</f>
        <v>1350</v>
      </c>
      <c r="R35" s="426">
        <f>_xlfn.XLOOKUP($F$1&amp;B35,Filtro!B:B,Filtro!R:R,"",0,1)</f>
        <v>1750</v>
      </c>
      <c r="S35" s="88" t="str">
        <f>_xlfn.XLOOKUP($C35,DBGenzai[社員№],DBGenzai[〒],"",0,1)</f>
        <v>498-0017</v>
      </c>
      <c r="T35" s="88" t="str">
        <f>_xlfn.XLOOKUP($C35,DBGenzai[社員№],DBGenzai[住所],"",0,1)</f>
        <v>愛知県弥富市前ヶ須町東勘助138</v>
      </c>
      <c r="U35" s="88" t="str">
        <f>_xlfn.XLOOKUP($C35,DBGenzai[社員№],DBGenzai[ｱﾊﾟｰﾄ],"",0,1)</f>
        <v>安井ﾋﾞﾙ2C</v>
      </c>
      <c r="V35" s="89">
        <f>_xlfn.XLOOKUP($C35,DBGenzai[社員№],DBGenzai[入居],"",0,1)</f>
        <v>0</v>
      </c>
      <c r="W35" s="89">
        <f>_xlfn.XLOOKUP($F$1&amp;B35,Filtro!B:B,Filtro!AF:AF,"",0,1)</f>
        <v>44592</v>
      </c>
      <c r="X35" s="89">
        <f>_xlfn.XLOOKUP($C35,DBGenzai[社員№],DBGenzai[退社日],"",0,1)</f>
        <v>44601</v>
      </c>
      <c r="Y35" s="88">
        <f>_xlfn.XLOOKUP($C35,DBGenzai[社員№],DBGenzai[退去],"",0,1)</f>
        <v>0</v>
      </c>
      <c r="Z35" s="88">
        <f>_xlfn.XLOOKUP($C35,DBGenzai[社員№],DBGenzai[備考],"",0,1)</f>
        <v>0</v>
      </c>
      <c r="AA35" s="422">
        <f>_xlfn.XLOOKUP($F$1&amp;B35,Filtro!B:B,Filtro!AL:AL,"",0,1)</f>
        <v>44592</v>
      </c>
      <c r="AB35" s="157">
        <v>45931</v>
      </c>
      <c r="AC35" s="436" t="str">
        <f ca="1">_xlfn.XLOOKUP(TablaTransfor[[#This Row],[ライン]],TBKaishaInfo[ライン],TBKaishaInfo[まで],"NohayMarrano",0,1)</f>
        <v>NohayMarrano</v>
      </c>
    </row>
    <row r="36" spans="1:29" hidden="1">
      <c r="A36" s="424">
        <f>SUBTOTAL(103,$C$3:C36)</f>
        <v>8</v>
      </c>
      <c r="B36" s="159">
        <v>56</v>
      </c>
      <c r="C36" s="88" t="str">
        <f>_xlfn.XLOOKUP($F$1&amp;B36,Filtro!B:B,Filtro!D:D,"",0,1)</f>
        <v/>
      </c>
      <c r="D36" s="88" t="str">
        <f>_xlfn.XLOOKUP($F$1&amp;B36,Filtro!B:B,Filtro!C:C,"",0,1)</f>
        <v/>
      </c>
      <c r="E36" s="88" t="str">
        <f>_xlfn.XLOOKUP($F$1&amp;B36,Filtro!B:B,Filtro!E:E,"",0,1)</f>
        <v/>
      </c>
      <c r="F36" s="88" t="str">
        <f>_xlfn.XLOOKUP($F$1&amp;B36,Filtro!B:B,Filtro!G:G,"",0,1)</f>
        <v/>
      </c>
      <c r="G36" s="88" t="str">
        <f ca="1">MID(TablaTransfor[[#This Row],[配属先]],1,8)</f>
        <v/>
      </c>
      <c r="H36" s="88" t="str">
        <f ca="1">MID(TablaTransfor[[#This Row],[配属先]],9,6)</f>
        <v/>
      </c>
      <c r="I36" s="88" t="str">
        <f>_xlfn.XLOOKUP($C36,DBGenzai[社員№],DBGenzai[仕事内容],"",0,1)</f>
        <v/>
      </c>
      <c r="J36" s="88" t="str">
        <f>_xlfn.XLOOKUP($F$1&amp;B36,Filtro!B:B,Filtro!H:H,"",0,1)</f>
        <v/>
      </c>
      <c r="K36" s="88" t="str">
        <f>_xlfn.XLOOKUP($F$1&amp;B36,Filtro!B:B,Filtro!J:J,"",0,1)</f>
        <v/>
      </c>
      <c r="L36" s="88" t="str">
        <f ca="1">IF(TablaTransfor[[#This Row],[氏名]]="","",IF(TablaTransfor[[#This Row],[氏名]]&lt;"0","記号",IF(NOT(EXACT(UPPER(TablaTransfor[[#This Row],[氏名]]),LOWER(TablaTransfor[[#This Row],[氏名]]))),_xlfn.XLOOKUP($C36,DBGenzai[社員№],DBGenzai[カナ],"",0,1),_xlfn.XLOOKUP($C36,DBGenzai[社員№],DBGenzai[氏名],"",0,1))))</f>
        <v/>
      </c>
      <c r="M36" s="88" t="str">
        <f>_xlfn.XLOOKUP($C36,DBGenzai[社員№],DBGenzai[性別],"",0,1)</f>
        <v/>
      </c>
      <c r="N36" s="88" t="str">
        <f>_xlfn.XLOOKUP($C36,DBGenzai[社員№],DBGenzai[国籍],"",0,1)</f>
        <v/>
      </c>
      <c r="O36" s="89" t="str">
        <f>_xlfn.XLOOKUP($C36,DBGenzai[社員№],DBGenzai[生年月日],"",0,1)</f>
        <v/>
      </c>
      <c r="P36" s="88" t="str">
        <f>_xlfn.XLOOKUP($F$1&amp;B36,Filtro!B:B,Filtro!O:O,"",0,1)</f>
        <v/>
      </c>
      <c r="Q36" s="88" t="str">
        <f>_xlfn.XLOOKUP($F$1&amp;B36,Filtro!B:B,Filtro!P:P,"",0,1)</f>
        <v/>
      </c>
      <c r="R36" s="426" t="str">
        <f>_xlfn.XLOOKUP($F$1&amp;B36,Filtro!B:B,Filtro!R:R,"",0,1)</f>
        <v/>
      </c>
      <c r="S36" s="88" t="str">
        <f>_xlfn.XLOOKUP($C36,DBGenzai[社員№],DBGenzai[〒],"",0,1)</f>
        <v/>
      </c>
      <c r="T36" s="88" t="str">
        <f>_xlfn.XLOOKUP($C36,DBGenzai[社員№],DBGenzai[住所],"",0,1)</f>
        <v/>
      </c>
      <c r="U36" s="88" t="str">
        <f>_xlfn.XLOOKUP($C36,DBGenzai[社員№],DBGenzai[ｱﾊﾟｰﾄ],"",0,1)</f>
        <v/>
      </c>
      <c r="V36" s="89" t="str">
        <f>_xlfn.XLOOKUP($C36,DBGenzai[社員№],DBGenzai[入居],"",0,1)</f>
        <v/>
      </c>
      <c r="W36" s="89" t="str">
        <f>_xlfn.XLOOKUP($F$1&amp;B36,Filtro!B:B,Filtro!AF:AF,"",0,1)</f>
        <v/>
      </c>
      <c r="X36" s="89" t="str">
        <f>_xlfn.XLOOKUP($C36,DBGenzai[社員№],DBGenzai[退社日],"",0,1)</f>
        <v/>
      </c>
      <c r="Y36" s="88" t="str">
        <f>_xlfn.XLOOKUP($C36,DBGenzai[社員№],DBGenzai[退去],"",0,1)</f>
        <v/>
      </c>
      <c r="Z36" s="88" t="str">
        <f>_xlfn.XLOOKUP($C36,DBGenzai[社員№],DBGenzai[備考],"",0,1)</f>
        <v/>
      </c>
      <c r="AA36" s="422" t="str">
        <f>_xlfn.XLOOKUP($F$1&amp;B36,Filtro!B:B,Filtro!AL:AL,"",0,1)</f>
        <v/>
      </c>
      <c r="AB36" s="157" t="str" cm="1">
        <f t="array" aca="1" ref="AB3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36" s="436" t="str">
        <f ca="1">_xlfn.XLOOKUP(TablaTransfor[[#This Row],[ライン]],TBKaishaInfo[ライン],TBKaishaInfo[まで],"NohayMarrano",0,1)</f>
        <v>NohayMarrano</v>
      </c>
    </row>
    <row r="37" spans="1:29" hidden="1">
      <c r="A37" s="424">
        <f>SUBTOTAL(103,$C$3:C37)</f>
        <v>8</v>
      </c>
      <c r="B37" s="159">
        <v>28</v>
      </c>
      <c r="C37" s="88">
        <f>_xlfn.XLOOKUP($F$1&amp;B37,Filtro!B:B,Filtro!D:D,"",0,1)</f>
        <v>220209</v>
      </c>
      <c r="D37" s="88" t="str">
        <f>_xlfn.XLOOKUP($F$1&amp;B37,Filtro!B:B,Filtro!C:C,"",0,1)</f>
        <v>退社</v>
      </c>
      <c r="E37" s="88">
        <f>_xlfn.XLOOKUP($F$1&amp;B37,Filtro!B:B,Filtro!E:E,"",0,1)</f>
        <v>212023</v>
      </c>
      <c r="F37" s="88" t="str">
        <f>_xlfn.XLOOKUP($F$1&amp;B37,Filtro!B:B,Filtro!G:G,"",0,1)</f>
        <v>高雄工業株式会社 愛知事業所本社工場製作課</v>
      </c>
      <c r="G37" s="88" t="str">
        <f ca="1">MID(TablaTransfor[[#This Row],[配属先]],1,8)</f>
        <v>高雄工業株式会社</v>
      </c>
      <c r="H37" s="88" t="str">
        <f ca="1">MID(TablaTransfor[[#This Row],[配属先]],9,6)</f>
        <v xml:space="preserve"> 愛知事業所</v>
      </c>
      <c r="I37" s="88" t="str">
        <f>_xlfn.XLOOKUP($C37,DBGenzai[社員№],DBGenzai[仕事内容],"",0,1)</f>
        <v>CVJ部品長軸品の施削加工、NCプログラム修正</v>
      </c>
      <c r="J37" s="88" t="str">
        <f>_xlfn.XLOOKUP($F$1&amp;B37,Filtro!B:B,Filtro!H:H,"",0,1)</f>
        <v>Gライン</v>
      </c>
      <c r="K37" s="88" t="str">
        <f>_xlfn.XLOOKUP($F$1&amp;B37,Filtro!B:B,Filtro!J:J,"",0,1)</f>
        <v>NGUYEN VAN LAP</v>
      </c>
      <c r="L37" s="88" t="str">
        <f ca="1">IF(TablaTransfor[[#This Row],[氏名]]="","",IF(TablaTransfor[[#This Row],[氏名]]&lt;"0","記号",IF(NOT(EXACT(UPPER(TablaTransfor[[#This Row],[氏名]]),LOWER(TablaTransfor[[#This Row],[氏名]]))),_xlfn.XLOOKUP($C37,DBGenzai[社員№],DBGenzai[カナ],"",0,1),_xlfn.XLOOKUP($C37,DBGenzai[社員№],DBGenzai[氏名],"",0,1))))</f>
        <v>グエン　ヴァン　ラップ</v>
      </c>
      <c r="M37" s="88" t="str">
        <f>_xlfn.XLOOKUP($C37,DBGenzai[社員№],DBGenzai[性別],"",0,1)</f>
        <v>男</v>
      </c>
      <c r="N37" s="88" t="str">
        <f>_xlfn.XLOOKUP($C37,DBGenzai[社員№],DBGenzai[国籍],"",0,1)</f>
        <v>ﾍﾞﾄﾅﾑ</v>
      </c>
      <c r="O37" s="89">
        <f>_xlfn.XLOOKUP($C37,DBGenzai[社員№],DBGenzai[生年月日],"",0,1)</f>
        <v>35544</v>
      </c>
      <c r="P37" s="88">
        <f>_xlfn.XLOOKUP($F$1&amp;B37,Filtro!B:B,Filtro!O:O,"",0,1)</f>
        <v>28</v>
      </c>
      <c r="Q37" s="88">
        <f>_xlfn.XLOOKUP($F$1&amp;B37,Filtro!B:B,Filtro!P:P,"",0,1)</f>
        <v>1410</v>
      </c>
      <c r="R37" s="426">
        <f>_xlfn.XLOOKUP($F$1&amp;B37,Filtro!B:B,Filtro!R:R,"",0,1)</f>
        <v>1830</v>
      </c>
      <c r="S37" s="88" t="str">
        <f>_xlfn.XLOOKUP($C37,DBGenzai[社員№],DBGenzai[〒],"",0,1)</f>
        <v>498-0031</v>
      </c>
      <c r="T37" s="88" t="str">
        <f>_xlfn.XLOOKUP($C37,DBGenzai[社員№],DBGenzai[住所],"",0,1)</f>
        <v>愛知県弥富市平島町甲新田82番地１</v>
      </c>
      <c r="U37" s="88" t="str">
        <f>_xlfn.XLOOKUP($C37,DBGenzai[社員№],DBGenzai[ｱﾊﾟｰﾄ],"",0,1)</f>
        <v>ﾊﾟｰｸﾀｳﾝ平島D201</v>
      </c>
      <c r="V37" s="89">
        <f>_xlfn.XLOOKUP($C37,DBGenzai[社員№],DBGenzai[入居],"",0,1)</f>
        <v>44632</v>
      </c>
      <c r="W37" s="89">
        <f>_xlfn.XLOOKUP($F$1&amp;B37,Filtro!B:B,Filtro!AF:AF,"",0,1)</f>
        <v>44599</v>
      </c>
      <c r="X37" s="89">
        <f>_xlfn.XLOOKUP($C37,DBGenzai[社員№],DBGenzai[退社日],"",0,1)</f>
        <v>45751</v>
      </c>
      <c r="Y37" s="88">
        <f>_xlfn.XLOOKUP($C37,DBGenzai[社員№],DBGenzai[退去],"",0,1)</f>
        <v>0</v>
      </c>
      <c r="Z37" s="88">
        <f>_xlfn.XLOOKUP($C37,DBGenzai[社員№],DBGenzai[備考],"",0,1)</f>
        <v>0</v>
      </c>
      <c r="AA37" s="422">
        <f>_xlfn.XLOOKUP($F$1&amp;B37,Filtro!B:B,Filtro!AL:AL,"",0,1)</f>
        <v>44599</v>
      </c>
      <c r="AB37" s="157">
        <v>45566</v>
      </c>
      <c r="AC37" s="436">
        <f ca="1">_xlfn.XLOOKUP(TablaTransfor[[#This Row],[ライン]],TBKaishaInfo[ライン],TBKaishaInfo[まで],"NohayMarrano",0,1)</f>
        <v>46295</v>
      </c>
    </row>
    <row r="38" spans="1:29" hidden="1">
      <c r="A38" s="424">
        <f>SUBTOTAL(103,$C$3:C38)</f>
        <v>8</v>
      </c>
      <c r="B38" s="159">
        <v>57</v>
      </c>
      <c r="C38" s="88" t="str">
        <f>_xlfn.XLOOKUP($F$1&amp;B38,Filtro!B:B,Filtro!D:D,"",0,1)</f>
        <v/>
      </c>
      <c r="D38" s="88" t="str">
        <f>_xlfn.XLOOKUP($F$1&amp;B38,Filtro!B:B,Filtro!C:C,"",0,1)</f>
        <v/>
      </c>
      <c r="E38" s="88" t="str">
        <f>_xlfn.XLOOKUP($F$1&amp;B38,Filtro!B:B,Filtro!E:E,"",0,1)</f>
        <v/>
      </c>
      <c r="F38" s="88" t="str">
        <f>_xlfn.XLOOKUP($F$1&amp;B38,Filtro!B:B,Filtro!G:G,"",0,1)</f>
        <v/>
      </c>
      <c r="G38" s="88" t="str">
        <f ca="1">MID(TablaTransfor[[#This Row],[配属先]],1,8)</f>
        <v/>
      </c>
      <c r="H38" s="88" t="str">
        <f ca="1">MID(TablaTransfor[[#This Row],[配属先]],9,6)</f>
        <v/>
      </c>
      <c r="I38" s="88" t="str">
        <f>_xlfn.XLOOKUP($C38,DBGenzai[社員№],DBGenzai[仕事内容],"",0,1)</f>
        <v/>
      </c>
      <c r="J38" s="88" t="str">
        <f>_xlfn.XLOOKUP($F$1&amp;B38,Filtro!B:B,Filtro!H:H,"",0,1)</f>
        <v/>
      </c>
      <c r="K38" s="88" t="str">
        <f>_xlfn.XLOOKUP($F$1&amp;B38,Filtro!B:B,Filtro!J:J,"",0,1)</f>
        <v/>
      </c>
      <c r="L38" s="88" t="str">
        <f ca="1">IF(TablaTransfor[[#This Row],[氏名]]="","",IF(TablaTransfor[[#This Row],[氏名]]&lt;"0","記号",IF(NOT(EXACT(UPPER(TablaTransfor[[#This Row],[氏名]]),LOWER(TablaTransfor[[#This Row],[氏名]]))),_xlfn.XLOOKUP($C38,DBGenzai[社員№],DBGenzai[カナ],"",0,1),_xlfn.XLOOKUP($C38,DBGenzai[社員№],DBGenzai[氏名],"",0,1))))</f>
        <v/>
      </c>
      <c r="M38" s="88" t="str">
        <f>_xlfn.XLOOKUP($C38,DBGenzai[社員№],DBGenzai[性別],"",0,1)</f>
        <v/>
      </c>
      <c r="N38" s="88" t="str">
        <f>_xlfn.XLOOKUP($C38,DBGenzai[社員№],DBGenzai[国籍],"",0,1)</f>
        <v/>
      </c>
      <c r="O38" s="89" t="str">
        <f>_xlfn.XLOOKUP($C38,DBGenzai[社員№],DBGenzai[生年月日],"",0,1)</f>
        <v/>
      </c>
      <c r="P38" s="88" t="str">
        <f>_xlfn.XLOOKUP($F$1&amp;B38,Filtro!B:B,Filtro!O:O,"",0,1)</f>
        <v/>
      </c>
      <c r="Q38" s="88" t="str">
        <f>_xlfn.XLOOKUP($F$1&amp;B38,Filtro!B:B,Filtro!P:P,"",0,1)</f>
        <v/>
      </c>
      <c r="R38" s="426" t="str">
        <f>_xlfn.XLOOKUP($F$1&amp;B38,Filtro!B:B,Filtro!R:R,"",0,1)</f>
        <v/>
      </c>
      <c r="S38" s="88" t="str">
        <f>_xlfn.XLOOKUP($C38,DBGenzai[社員№],DBGenzai[〒],"",0,1)</f>
        <v/>
      </c>
      <c r="T38" s="88" t="str">
        <f>_xlfn.XLOOKUP($C38,DBGenzai[社員№],DBGenzai[住所],"",0,1)</f>
        <v/>
      </c>
      <c r="U38" s="88" t="str">
        <f>_xlfn.XLOOKUP($C38,DBGenzai[社員№],DBGenzai[ｱﾊﾟｰﾄ],"",0,1)</f>
        <v/>
      </c>
      <c r="V38" s="89" t="str">
        <f>_xlfn.XLOOKUP($C38,DBGenzai[社員№],DBGenzai[入居],"",0,1)</f>
        <v/>
      </c>
      <c r="W38" s="89" t="str">
        <f>_xlfn.XLOOKUP($F$1&amp;B38,Filtro!B:B,Filtro!AF:AF,"",0,1)</f>
        <v/>
      </c>
      <c r="X38" s="89" t="str">
        <f>_xlfn.XLOOKUP($C38,DBGenzai[社員№],DBGenzai[退社日],"",0,1)</f>
        <v/>
      </c>
      <c r="Y38" s="88" t="str">
        <f>_xlfn.XLOOKUP($C38,DBGenzai[社員№],DBGenzai[退去],"",0,1)</f>
        <v/>
      </c>
      <c r="Z38" s="88" t="str">
        <f>_xlfn.XLOOKUP($C38,DBGenzai[社員№],DBGenzai[備考],"",0,1)</f>
        <v/>
      </c>
      <c r="AA38" s="422" t="str">
        <f>_xlfn.XLOOKUP($F$1&amp;B38,Filtro!B:B,Filtro!AL:AL,"",0,1)</f>
        <v/>
      </c>
      <c r="AB38" s="157" t="str" cm="1">
        <f t="array" aca="1" ref="AB3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38" s="436" t="str">
        <f ca="1">_xlfn.XLOOKUP(TablaTransfor[[#This Row],[ライン]],TBKaishaInfo[ライン],TBKaishaInfo[まで],"NohayMarrano",0,1)</f>
        <v>NohayMarrano</v>
      </c>
    </row>
    <row r="39" spans="1:29" hidden="1">
      <c r="A39" s="424">
        <f>SUBTOTAL(103,$C$3:C39)</f>
        <v>8</v>
      </c>
      <c r="B39" s="159">
        <v>97</v>
      </c>
      <c r="C39" s="88" t="str">
        <f>_xlfn.XLOOKUP($F$1&amp;B39,Filtro!B:B,Filtro!D:D,"",0,1)</f>
        <v/>
      </c>
      <c r="D39" s="88" t="str">
        <f>_xlfn.XLOOKUP($F$1&amp;B39,Filtro!B:B,Filtro!C:C,"",0,1)</f>
        <v/>
      </c>
      <c r="E39" s="88" t="str">
        <f>_xlfn.XLOOKUP($F$1&amp;B39,Filtro!B:B,Filtro!E:E,"",0,1)</f>
        <v/>
      </c>
      <c r="F39" s="88" t="str">
        <f>_xlfn.XLOOKUP($F$1&amp;B39,Filtro!B:B,Filtro!G:G,"",0,1)</f>
        <v/>
      </c>
      <c r="G39" s="88" t="str">
        <f ca="1">MID(TablaTransfor[[#This Row],[配属先]],1,8)</f>
        <v/>
      </c>
      <c r="H39" s="88" t="str">
        <f ca="1">MID(TablaTransfor[[#This Row],[配属先]],9,6)</f>
        <v/>
      </c>
      <c r="I39" s="88" t="str">
        <f>_xlfn.XLOOKUP($C39,DBGenzai[社員№],DBGenzai[仕事内容],"",0,1)</f>
        <v/>
      </c>
      <c r="J39" s="88" t="str">
        <f>_xlfn.XLOOKUP($F$1&amp;B39,Filtro!B:B,Filtro!H:H,"",0,1)</f>
        <v/>
      </c>
      <c r="K39" s="88" t="str">
        <f>_xlfn.XLOOKUP($F$1&amp;B39,Filtro!B:B,Filtro!J:J,"",0,1)</f>
        <v/>
      </c>
      <c r="L39" s="88" t="str">
        <f ca="1">IF(TablaTransfor[[#This Row],[氏名]]="","",IF(TablaTransfor[[#This Row],[氏名]]&lt;"0","記号",IF(NOT(EXACT(UPPER(TablaTransfor[[#This Row],[氏名]]),LOWER(TablaTransfor[[#This Row],[氏名]]))),_xlfn.XLOOKUP($C39,DBGenzai[社員№],DBGenzai[カナ],"",0,1),_xlfn.XLOOKUP($C39,DBGenzai[社員№],DBGenzai[氏名],"",0,1))))</f>
        <v/>
      </c>
      <c r="M39" s="88" t="str">
        <f>_xlfn.XLOOKUP($C39,DBGenzai[社員№],DBGenzai[性別],"",0,1)</f>
        <v/>
      </c>
      <c r="N39" s="88" t="str">
        <f>_xlfn.XLOOKUP($C39,DBGenzai[社員№],DBGenzai[国籍],"",0,1)</f>
        <v/>
      </c>
      <c r="O39" s="89" t="str">
        <f>_xlfn.XLOOKUP($C39,DBGenzai[社員№],DBGenzai[生年月日],"",0,1)</f>
        <v/>
      </c>
      <c r="P39" s="88" t="str">
        <f>_xlfn.XLOOKUP($F$1&amp;B39,Filtro!B:B,Filtro!O:O,"",0,1)</f>
        <v/>
      </c>
      <c r="Q39" s="88" t="str">
        <f>_xlfn.XLOOKUP($F$1&amp;B39,Filtro!B:B,Filtro!P:P,"",0,1)</f>
        <v/>
      </c>
      <c r="R39" s="426" t="str">
        <f>_xlfn.XLOOKUP($F$1&amp;B39,Filtro!B:B,Filtro!R:R,"",0,1)</f>
        <v/>
      </c>
      <c r="S39" s="88" t="str">
        <f>_xlfn.XLOOKUP($C39,DBGenzai[社員№],DBGenzai[〒],"",0,1)</f>
        <v/>
      </c>
      <c r="T39" s="88" t="str">
        <f>_xlfn.XLOOKUP($C39,DBGenzai[社員№],DBGenzai[住所],"",0,1)</f>
        <v/>
      </c>
      <c r="U39" s="88" t="str">
        <f>_xlfn.XLOOKUP($C39,DBGenzai[社員№],DBGenzai[ｱﾊﾟｰﾄ],"",0,1)</f>
        <v/>
      </c>
      <c r="V39" s="89" t="str">
        <f>_xlfn.XLOOKUP($C39,DBGenzai[社員№],DBGenzai[入居],"",0,1)</f>
        <v/>
      </c>
      <c r="W39" s="89" t="str">
        <f>_xlfn.XLOOKUP($F$1&amp;B39,Filtro!B:B,Filtro!AF:AF,"",0,1)</f>
        <v/>
      </c>
      <c r="X39" s="89" t="str">
        <f>_xlfn.XLOOKUP($C39,DBGenzai[社員№],DBGenzai[退社日],"",0,1)</f>
        <v/>
      </c>
      <c r="Y39" s="88" t="str">
        <f>_xlfn.XLOOKUP($C39,DBGenzai[社員№],DBGenzai[退去],"",0,1)</f>
        <v/>
      </c>
      <c r="Z39" s="88" t="str">
        <f>_xlfn.XLOOKUP($C39,DBGenzai[社員№],DBGenzai[備考],"",0,1)</f>
        <v/>
      </c>
      <c r="AA39" s="422" t="str">
        <f>_xlfn.XLOOKUP($F$1&amp;B39,Filtro!B:B,Filtro!AL:AL,"",0,1)</f>
        <v/>
      </c>
      <c r="AB39" s="157" t="str" cm="1">
        <f t="array" aca="1" ref="AB3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39" s="436" t="str">
        <f ca="1">_xlfn.XLOOKUP(TablaTransfor[[#This Row],[ライン]],TBKaishaInfo[ライン],TBKaishaInfo[まで],"NohayMarrano",0,1)</f>
        <v>NohayMarrano</v>
      </c>
    </row>
    <row r="40" spans="1:29">
      <c r="A40" s="424">
        <f>SUBTOTAL(103,$C$3:C40)</f>
        <v>9</v>
      </c>
      <c r="B40" s="159">
        <v>27</v>
      </c>
      <c r="C40" s="88">
        <f>_xlfn.XLOOKUP($F$1&amp;B40,Filtro!B:B,Filtro!D:D,"",0,1)</f>
        <v>220208</v>
      </c>
      <c r="D40" s="88" t="str">
        <f>_xlfn.XLOOKUP($F$1&amp;B40,Filtro!B:B,Filtro!C:C,"",0,1)</f>
        <v>退社</v>
      </c>
      <c r="E40" s="88">
        <f>_xlfn.XLOOKUP($F$1&amp;B40,Filtro!B:B,Filtro!E:E,"",0,1)</f>
        <v>212024</v>
      </c>
      <c r="F40" s="88" t="str">
        <f>_xlfn.XLOOKUP($F$1&amp;B40,Filtro!B:B,Filtro!G:G,"",0,1)</f>
        <v>高雄工業株式会社 愛知事業所本社工場製作課</v>
      </c>
      <c r="G40" s="88" t="str">
        <f ca="1">MID(TablaTransfor[[#This Row],[配属先]],1,8)</f>
        <v>高雄工業株式会社</v>
      </c>
      <c r="H40" s="88" t="str">
        <f ca="1">MID(TablaTransfor[[#This Row],[配属先]],9,6)</f>
        <v xml:space="preserve"> 愛知事業所</v>
      </c>
      <c r="I40" s="88">
        <f>_xlfn.XLOOKUP($C40,DBGenzai[社員№],DBGenzai[仕事内容],"",0,1)</f>
        <v>0</v>
      </c>
      <c r="J40" s="88" t="str">
        <f>_xlfn.XLOOKUP($F$1&amp;B40,Filtro!B:B,Filtro!H:H,"",0,1)</f>
        <v>Gライン</v>
      </c>
      <c r="K40" s="88" t="str">
        <f>_xlfn.XLOOKUP($F$1&amp;B40,Filtro!B:B,Filtro!J:J,"",0,1)</f>
        <v>NGO QUOC THINH</v>
      </c>
      <c r="L40" s="88" t="str">
        <f ca="1">IF(TablaTransfor[[#This Row],[氏名]]="","",IF(TablaTransfor[[#This Row],[氏名]]&lt;"0","記号",IF(NOT(EXACT(UPPER(TablaTransfor[[#This Row],[氏名]]),LOWER(TablaTransfor[[#This Row],[氏名]]))),_xlfn.XLOOKUP($C40,DBGenzai[社員№],DBGenzai[カナ],"",0,1),_xlfn.XLOOKUP($C40,DBGenzai[社員№],DBGenzai[氏名],"",0,1))))</f>
        <v>ゴ　クオック　テイン</v>
      </c>
      <c r="M40" s="88" t="str">
        <f>_xlfn.XLOOKUP($C40,DBGenzai[社員№],DBGenzai[性別],"",0,1)</f>
        <v>男</v>
      </c>
      <c r="N40" s="88" t="str">
        <f>_xlfn.XLOOKUP($C40,DBGenzai[社員№],DBGenzai[国籍],"",0,1)</f>
        <v>ﾍﾞﾄﾅﾑ</v>
      </c>
      <c r="O40" s="89">
        <f>_xlfn.XLOOKUP($C40,DBGenzai[社員№],DBGenzai[生年月日],"",0,1)</f>
        <v>35358</v>
      </c>
      <c r="P40" s="88">
        <f>_xlfn.XLOOKUP($F$1&amp;B40,Filtro!B:B,Filtro!O:O,"",0,1)</f>
        <v>29</v>
      </c>
      <c r="Q40" s="88">
        <f>_xlfn.XLOOKUP($F$1&amp;B40,Filtro!B:B,Filtro!P:P,"",0,1)</f>
        <v>1400</v>
      </c>
      <c r="R40" s="426">
        <f>_xlfn.XLOOKUP($F$1&amp;B40,Filtro!B:B,Filtro!R:R,"",0,1)</f>
        <v>1760</v>
      </c>
      <c r="S40" s="88" t="str">
        <f>_xlfn.XLOOKUP($C40,DBGenzai[社員№],DBGenzai[〒],"",0,1)</f>
        <v>498-0031</v>
      </c>
      <c r="T40" s="88" t="str">
        <f>_xlfn.XLOOKUP($C40,DBGenzai[社員№],DBGenzai[住所],"",0,1)</f>
        <v>愛知県弥富市平島町甲新田82番地１</v>
      </c>
      <c r="U40" s="88" t="str">
        <f>_xlfn.XLOOKUP($C40,DBGenzai[社員№],DBGenzai[ｱﾊﾟｰﾄ],"",0,1)</f>
        <v>ﾊﾟｰｸﾀｳﾝ平島D201</v>
      </c>
      <c r="V40" s="89">
        <f>_xlfn.XLOOKUP($C40,DBGenzai[社員№],DBGenzai[入居],"",0,1)</f>
        <v>44632</v>
      </c>
      <c r="W40" s="89">
        <f>_xlfn.XLOOKUP($F$1&amp;B40,Filtro!B:B,Filtro!AF:AF,"",0,1)</f>
        <v>44599</v>
      </c>
      <c r="X40" s="89">
        <f>_xlfn.XLOOKUP($C40,DBGenzai[社員№],DBGenzai[退社日],"",0,1)</f>
        <v>45002</v>
      </c>
      <c r="Y40" s="88">
        <f>_xlfn.XLOOKUP($C40,DBGenzai[社員№],DBGenzai[退去],"",0,1)</f>
        <v>44995</v>
      </c>
      <c r="Z40" s="88">
        <f>_xlfn.XLOOKUP($C40,DBGenzai[社員№],DBGenzai[備考],"",0,1)</f>
        <v>0</v>
      </c>
      <c r="AA40" s="422">
        <f>_xlfn.XLOOKUP($F$1&amp;B40,Filtro!B:B,Filtro!AL:AL,"",0,1)</f>
        <v>44599</v>
      </c>
      <c r="AB40" s="157">
        <v>45931</v>
      </c>
      <c r="AC40" s="436">
        <f ca="1">_xlfn.XLOOKUP(TablaTransfor[[#This Row],[ライン]],TBKaishaInfo[ライン],TBKaishaInfo[まで],"NohayMarrano",0,1)</f>
        <v>46295</v>
      </c>
    </row>
    <row r="41" spans="1:29">
      <c r="A41" s="424">
        <f>SUBTOTAL(103,$C$3:C41)</f>
        <v>10</v>
      </c>
      <c r="B41" s="159">
        <v>38</v>
      </c>
      <c r="C41" s="88">
        <f>_xlfn.XLOOKUP($F$1&amp;B41,Filtro!B:B,Filtro!D:D,"",0,1)</f>
        <v>221209</v>
      </c>
      <c r="D41" s="88" t="str">
        <f>_xlfn.XLOOKUP($F$1&amp;B41,Filtro!B:B,Filtro!C:C,"",0,1)</f>
        <v>在職中</v>
      </c>
      <c r="E41" s="88">
        <f>_xlfn.XLOOKUP($F$1&amp;B41,Filtro!B:B,Filtro!E:E,"",0,1)</f>
        <v>212037</v>
      </c>
      <c r="F41" s="88" t="str">
        <f>_xlfn.XLOOKUP($F$1&amp;B41,Filtro!B:B,Filtro!G:G,"",0,1)</f>
        <v>高雄工業株式会社 愛知事業所本社工場製作課</v>
      </c>
      <c r="G41" s="88" t="str">
        <f ca="1">MID(TablaTransfor[[#This Row],[配属先]],1,8)</f>
        <v>高雄工業株式会社</v>
      </c>
      <c r="H41" s="88" t="str">
        <f ca="1">MID(TablaTransfor[[#This Row],[配属先]],9,6)</f>
        <v xml:space="preserve"> 愛知事業所</v>
      </c>
      <c r="I41" s="88" t="str">
        <f>_xlfn.XLOOKUP($C41,DBGenzai[社員№],DBGenzai[仕事内容],"",0,1)</f>
        <v>CVJ部品長軸品の施削加工、NCプログラム修正</v>
      </c>
      <c r="J41" s="88" t="str">
        <f>_xlfn.XLOOKUP($F$1&amp;B41,Filtro!B:B,Filtro!H:H,"",0,1)</f>
        <v>Gライン</v>
      </c>
      <c r="K41" s="88" t="str">
        <f>_xlfn.XLOOKUP($F$1&amp;B41,Filtro!B:B,Filtro!J:J,"",0,1)</f>
        <v>TRAN DUC TRUONG</v>
      </c>
      <c r="L41" s="88" t="str">
        <f ca="1">IF(TablaTransfor[[#This Row],[氏名]]="","",IF(TablaTransfor[[#This Row],[氏名]]&lt;"0","記号",IF(NOT(EXACT(UPPER(TablaTransfor[[#This Row],[氏名]]),LOWER(TablaTransfor[[#This Row],[氏名]]))),_xlfn.XLOOKUP($C41,DBGenzai[社員№],DBGenzai[カナ],"",0,1),_xlfn.XLOOKUP($C41,DBGenzai[社員№],DBGenzai[氏名],"",0,1))))</f>
        <v>チャン　ドゥック　チュオン</v>
      </c>
      <c r="M41" s="88" t="str">
        <f>_xlfn.XLOOKUP($C41,DBGenzai[社員№],DBGenzai[性別],"",0,1)</f>
        <v>男</v>
      </c>
      <c r="N41" s="88" t="str">
        <f>_xlfn.XLOOKUP($C41,DBGenzai[社員№],DBGenzai[国籍],"",0,1)</f>
        <v>ﾍﾞﾄﾅﾑ</v>
      </c>
      <c r="O41" s="89">
        <f>_xlfn.XLOOKUP($C41,DBGenzai[社員№],DBGenzai[生年月日],"",0,1)</f>
        <v>34048</v>
      </c>
      <c r="P41" s="88">
        <f>_xlfn.XLOOKUP($F$1&amp;B41,Filtro!B:B,Filtro!O:O,"",0,1)</f>
        <v>32</v>
      </c>
      <c r="Q41" s="88">
        <f>_xlfn.XLOOKUP($F$1&amp;B41,Filtro!B:B,Filtro!P:P,"",0,1)</f>
        <v>1310</v>
      </c>
      <c r="R41" s="426">
        <f>_xlfn.XLOOKUP($F$1&amp;B41,Filtro!B:B,Filtro!R:R,"",0,1)</f>
        <v>1720</v>
      </c>
      <c r="S41" s="88" t="str">
        <f>_xlfn.XLOOKUP($C41,DBGenzai[社員№],DBGenzai[〒],"",0,1)</f>
        <v>498-0017</v>
      </c>
      <c r="T41" s="88" t="str">
        <f>_xlfn.XLOOKUP($C41,DBGenzai[社員№],DBGenzai[住所],"",0,1)</f>
        <v>愛知県弥富市前ヶ須町勘助走34-1</v>
      </c>
      <c r="U41" s="88" t="str">
        <f>_xlfn.XLOOKUP($C41,DBGenzai[社員№],DBGenzai[ｱﾊﾟｰﾄ],"",0,1)</f>
        <v>ｱﾄﾚA棟106</v>
      </c>
      <c r="V41" s="89">
        <f>_xlfn.XLOOKUP($C41,DBGenzai[社員№],DBGenzai[入居],"",0,1)</f>
        <v>45500</v>
      </c>
      <c r="W41" s="89">
        <f>_xlfn.XLOOKUP($F$1&amp;B41,Filtro!B:B,Filtro!AF:AF,"",0,1)</f>
        <v>44907</v>
      </c>
      <c r="X41" s="89">
        <f>_xlfn.XLOOKUP($C41,DBGenzai[社員№],DBGenzai[退社日],"",0,1)</f>
        <v>0</v>
      </c>
      <c r="Y41" s="88">
        <f>_xlfn.XLOOKUP($C41,DBGenzai[社員№],DBGenzai[退去],"",0,1)</f>
        <v>0</v>
      </c>
      <c r="Z41" s="88">
        <f>_xlfn.XLOOKUP($C41,DBGenzai[社員№],DBGenzai[備考],"",0,1)</f>
        <v>0</v>
      </c>
      <c r="AA41" s="422">
        <f>_xlfn.XLOOKUP($F$1&amp;B41,Filtro!B:B,Filtro!AL:AL,"",0,1)</f>
        <v>44907</v>
      </c>
      <c r="AB41" s="157">
        <v>45931</v>
      </c>
      <c r="AC41" s="436">
        <f ca="1">_xlfn.XLOOKUP(TablaTransfor[[#This Row],[ライン]],TBKaishaInfo[ライン],TBKaishaInfo[まで],"NohayMarrano",0,1)</f>
        <v>46295</v>
      </c>
    </row>
    <row r="42" spans="1:29" hidden="1">
      <c r="A42" s="424">
        <f>SUBTOTAL(103,$C$3:C42)</f>
        <v>10</v>
      </c>
      <c r="B42" s="159">
        <v>58</v>
      </c>
      <c r="C42" s="88" t="str">
        <f>_xlfn.XLOOKUP($F$1&amp;B42,Filtro!B:B,Filtro!D:D,"",0,1)</f>
        <v/>
      </c>
      <c r="D42" s="88" t="str">
        <f>_xlfn.XLOOKUP($F$1&amp;B42,Filtro!B:B,Filtro!C:C,"",0,1)</f>
        <v/>
      </c>
      <c r="E42" s="88" t="str">
        <f>_xlfn.XLOOKUP($F$1&amp;B42,Filtro!B:B,Filtro!E:E,"",0,1)</f>
        <v/>
      </c>
      <c r="F42" s="88" t="str">
        <f>_xlfn.XLOOKUP($F$1&amp;B42,Filtro!B:B,Filtro!G:G,"",0,1)</f>
        <v/>
      </c>
      <c r="G42" s="88" t="str">
        <f ca="1">MID(TablaTransfor[[#This Row],[配属先]],1,8)</f>
        <v/>
      </c>
      <c r="H42" s="88" t="str">
        <f ca="1">MID(TablaTransfor[[#This Row],[配属先]],9,6)</f>
        <v/>
      </c>
      <c r="I42" s="88" t="str">
        <f>_xlfn.XLOOKUP($C42,DBGenzai[社員№],DBGenzai[仕事内容],"",0,1)</f>
        <v/>
      </c>
      <c r="J42" s="88" t="str">
        <f>_xlfn.XLOOKUP($F$1&amp;B42,Filtro!B:B,Filtro!H:H,"",0,1)</f>
        <v/>
      </c>
      <c r="K42" s="88" t="str">
        <f>_xlfn.XLOOKUP($F$1&amp;B42,Filtro!B:B,Filtro!J:J,"",0,1)</f>
        <v/>
      </c>
      <c r="L42" s="88" t="str">
        <f ca="1">IF(TablaTransfor[[#This Row],[氏名]]="","",IF(TablaTransfor[[#This Row],[氏名]]&lt;"0","記号",IF(NOT(EXACT(UPPER(TablaTransfor[[#This Row],[氏名]]),LOWER(TablaTransfor[[#This Row],[氏名]]))),_xlfn.XLOOKUP($C42,DBGenzai[社員№],DBGenzai[カナ],"",0,1),_xlfn.XLOOKUP($C42,DBGenzai[社員№],DBGenzai[氏名],"",0,1))))</f>
        <v/>
      </c>
      <c r="M42" s="88" t="str">
        <f>_xlfn.XLOOKUP($C42,DBGenzai[社員№],DBGenzai[性別],"",0,1)</f>
        <v/>
      </c>
      <c r="N42" s="88" t="str">
        <f>_xlfn.XLOOKUP($C42,DBGenzai[社員№],DBGenzai[国籍],"",0,1)</f>
        <v/>
      </c>
      <c r="O42" s="89" t="str">
        <f>_xlfn.XLOOKUP($C42,DBGenzai[社員№],DBGenzai[生年月日],"",0,1)</f>
        <v/>
      </c>
      <c r="P42" s="88" t="str">
        <f>_xlfn.XLOOKUP($F$1&amp;B42,Filtro!B:B,Filtro!O:O,"",0,1)</f>
        <v/>
      </c>
      <c r="Q42" s="88" t="str">
        <f>_xlfn.XLOOKUP($F$1&amp;B42,Filtro!B:B,Filtro!P:P,"",0,1)</f>
        <v/>
      </c>
      <c r="R42" s="426" t="str">
        <f>_xlfn.XLOOKUP($F$1&amp;B42,Filtro!B:B,Filtro!R:R,"",0,1)</f>
        <v/>
      </c>
      <c r="S42" s="88" t="str">
        <f>_xlfn.XLOOKUP($C42,DBGenzai[社員№],DBGenzai[〒],"",0,1)</f>
        <v/>
      </c>
      <c r="T42" s="88" t="str">
        <f>_xlfn.XLOOKUP($C42,DBGenzai[社員№],DBGenzai[住所],"",0,1)</f>
        <v/>
      </c>
      <c r="U42" s="88" t="str">
        <f>_xlfn.XLOOKUP($C42,DBGenzai[社員№],DBGenzai[ｱﾊﾟｰﾄ],"",0,1)</f>
        <v/>
      </c>
      <c r="V42" s="89" t="str">
        <f>_xlfn.XLOOKUP($C42,DBGenzai[社員№],DBGenzai[入居],"",0,1)</f>
        <v/>
      </c>
      <c r="W42" s="89" t="str">
        <f>_xlfn.XLOOKUP($F$1&amp;B42,Filtro!B:B,Filtro!AF:AF,"",0,1)</f>
        <v/>
      </c>
      <c r="X42" s="89" t="str">
        <f>_xlfn.XLOOKUP($C42,DBGenzai[社員№],DBGenzai[退社日],"",0,1)</f>
        <v/>
      </c>
      <c r="Y42" s="88" t="str">
        <f>_xlfn.XLOOKUP($C42,DBGenzai[社員№],DBGenzai[退去],"",0,1)</f>
        <v/>
      </c>
      <c r="Z42" s="88" t="str">
        <f>_xlfn.XLOOKUP($C42,DBGenzai[社員№],DBGenzai[備考],"",0,1)</f>
        <v/>
      </c>
      <c r="AA42" s="422" t="str">
        <f>_xlfn.XLOOKUP($F$1&amp;B42,Filtro!B:B,Filtro!AL:AL,"",0,1)</f>
        <v/>
      </c>
      <c r="AB42" s="157" t="str" cm="1">
        <f t="array" aca="1" ref="AB4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42" s="436" t="str">
        <f ca="1">_xlfn.XLOOKUP(TablaTransfor[[#This Row],[ライン]],TBKaishaInfo[ライン],TBKaishaInfo[まで],"NohayMarrano",0,1)</f>
        <v>NohayMarrano</v>
      </c>
    </row>
    <row r="43" spans="1:29" hidden="1">
      <c r="A43" s="424">
        <f>SUBTOTAL(103,$C$3:C43)</f>
        <v>10</v>
      </c>
      <c r="B43" s="159">
        <v>60</v>
      </c>
      <c r="C43" s="88" t="str">
        <f>_xlfn.XLOOKUP($F$1&amp;B43,Filtro!B:B,Filtro!D:D,"",0,1)</f>
        <v/>
      </c>
      <c r="D43" s="88" t="str">
        <f>_xlfn.XLOOKUP($F$1&amp;B43,Filtro!B:B,Filtro!C:C,"",0,1)</f>
        <v/>
      </c>
      <c r="E43" s="88" t="str">
        <f>_xlfn.XLOOKUP($F$1&amp;B43,Filtro!B:B,Filtro!E:E,"",0,1)</f>
        <v/>
      </c>
      <c r="F43" s="88" t="str">
        <f>_xlfn.XLOOKUP($F$1&amp;B43,Filtro!B:B,Filtro!G:G,"",0,1)</f>
        <v/>
      </c>
      <c r="G43" s="88" t="str">
        <f ca="1">MID(TablaTransfor[[#This Row],[配属先]],1,8)</f>
        <v/>
      </c>
      <c r="H43" s="88" t="str">
        <f ca="1">MID(TablaTransfor[[#This Row],[配属先]],9,6)</f>
        <v/>
      </c>
      <c r="I43" s="88" t="str">
        <f>_xlfn.XLOOKUP($C43,DBGenzai[社員№],DBGenzai[仕事内容],"",0,1)</f>
        <v/>
      </c>
      <c r="J43" s="88" t="str">
        <f>_xlfn.XLOOKUP($F$1&amp;B43,Filtro!B:B,Filtro!H:H,"",0,1)</f>
        <v/>
      </c>
      <c r="K43" s="88" t="str">
        <f>_xlfn.XLOOKUP($F$1&amp;B43,Filtro!B:B,Filtro!J:J,"",0,1)</f>
        <v/>
      </c>
      <c r="L43" s="88" t="str">
        <f ca="1">IF(TablaTransfor[[#This Row],[氏名]]="","",IF(TablaTransfor[[#This Row],[氏名]]&lt;"0","記号",IF(NOT(EXACT(UPPER(TablaTransfor[[#This Row],[氏名]]),LOWER(TablaTransfor[[#This Row],[氏名]]))),_xlfn.XLOOKUP($C43,DBGenzai[社員№],DBGenzai[カナ],"",0,1),_xlfn.XLOOKUP($C43,DBGenzai[社員№],DBGenzai[氏名],"",0,1))))</f>
        <v/>
      </c>
      <c r="M43" s="88" t="str">
        <f>_xlfn.XLOOKUP($C43,DBGenzai[社員№],DBGenzai[性別],"",0,1)</f>
        <v/>
      </c>
      <c r="N43" s="88" t="str">
        <f>_xlfn.XLOOKUP($C43,DBGenzai[社員№],DBGenzai[国籍],"",0,1)</f>
        <v/>
      </c>
      <c r="O43" s="89" t="str">
        <f>_xlfn.XLOOKUP($C43,DBGenzai[社員№],DBGenzai[生年月日],"",0,1)</f>
        <v/>
      </c>
      <c r="P43" s="88" t="str">
        <f>_xlfn.XLOOKUP($F$1&amp;B43,Filtro!B:B,Filtro!O:O,"",0,1)</f>
        <v/>
      </c>
      <c r="Q43" s="88" t="str">
        <f>_xlfn.XLOOKUP($F$1&amp;B43,Filtro!B:B,Filtro!P:P,"",0,1)</f>
        <v/>
      </c>
      <c r="R43" s="426" t="str">
        <f>_xlfn.XLOOKUP($F$1&amp;B43,Filtro!B:B,Filtro!R:R,"",0,1)</f>
        <v/>
      </c>
      <c r="S43" s="88" t="str">
        <f>_xlfn.XLOOKUP($C43,DBGenzai[社員№],DBGenzai[〒],"",0,1)</f>
        <v/>
      </c>
      <c r="T43" s="88" t="str">
        <f>_xlfn.XLOOKUP($C43,DBGenzai[社員№],DBGenzai[住所],"",0,1)</f>
        <v/>
      </c>
      <c r="U43" s="88" t="str">
        <f>_xlfn.XLOOKUP($C43,DBGenzai[社員№],DBGenzai[ｱﾊﾟｰﾄ],"",0,1)</f>
        <v/>
      </c>
      <c r="V43" s="89" t="str">
        <f>_xlfn.XLOOKUP($C43,DBGenzai[社員№],DBGenzai[入居],"",0,1)</f>
        <v/>
      </c>
      <c r="W43" s="89" t="str">
        <f>_xlfn.XLOOKUP($F$1&amp;B43,Filtro!B:B,Filtro!AF:AF,"",0,1)</f>
        <v/>
      </c>
      <c r="X43" s="89" t="str">
        <f>_xlfn.XLOOKUP($C43,DBGenzai[社員№],DBGenzai[退社日],"",0,1)</f>
        <v/>
      </c>
      <c r="Y43" s="88" t="str">
        <f>_xlfn.XLOOKUP($C43,DBGenzai[社員№],DBGenzai[退去],"",0,1)</f>
        <v/>
      </c>
      <c r="Z43" s="88" t="str">
        <f>_xlfn.XLOOKUP($C43,DBGenzai[社員№],DBGenzai[備考],"",0,1)</f>
        <v/>
      </c>
      <c r="AA43" s="422" t="str">
        <f>_xlfn.XLOOKUP($F$1&amp;B43,Filtro!B:B,Filtro!AL:AL,"",0,1)</f>
        <v/>
      </c>
      <c r="AB43" s="157" t="str" cm="1">
        <f t="array" aca="1" ref="AB4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43" s="436" t="str">
        <f ca="1">_xlfn.XLOOKUP(TablaTransfor[[#This Row],[ライン]],TBKaishaInfo[ライン],TBKaishaInfo[まで],"NohayMarrano",0,1)</f>
        <v>NohayMarrano</v>
      </c>
    </row>
    <row r="44" spans="1:29" hidden="1">
      <c r="A44" s="424">
        <f>SUBTOTAL(103,$C$3:C44)</f>
        <v>10</v>
      </c>
      <c r="B44" s="159">
        <v>62</v>
      </c>
      <c r="C44" s="88" t="str">
        <f>_xlfn.XLOOKUP($F$1&amp;B44,Filtro!B:B,Filtro!D:D,"",0,1)</f>
        <v/>
      </c>
      <c r="D44" s="88" t="str">
        <f>_xlfn.XLOOKUP($F$1&amp;B44,Filtro!B:B,Filtro!C:C,"",0,1)</f>
        <v/>
      </c>
      <c r="E44" s="88" t="str">
        <f>_xlfn.XLOOKUP($F$1&amp;B44,Filtro!B:B,Filtro!E:E,"",0,1)</f>
        <v/>
      </c>
      <c r="F44" s="88" t="str">
        <f>_xlfn.XLOOKUP($F$1&amp;B44,Filtro!B:B,Filtro!G:G,"",0,1)</f>
        <v/>
      </c>
      <c r="G44" s="88" t="str">
        <f ca="1">MID(TablaTransfor[[#This Row],[配属先]],1,8)</f>
        <v/>
      </c>
      <c r="H44" s="88" t="str">
        <f ca="1">MID(TablaTransfor[[#This Row],[配属先]],9,6)</f>
        <v/>
      </c>
      <c r="I44" s="88" t="str">
        <f>_xlfn.XLOOKUP($C44,DBGenzai[社員№],DBGenzai[仕事内容],"",0,1)</f>
        <v/>
      </c>
      <c r="J44" s="88" t="str">
        <f>_xlfn.XLOOKUP($F$1&amp;B44,Filtro!B:B,Filtro!H:H,"",0,1)</f>
        <v/>
      </c>
      <c r="K44" s="88" t="str">
        <f>_xlfn.XLOOKUP($F$1&amp;B44,Filtro!B:B,Filtro!J:J,"",0,1)</f>
        <v/>
      </c>
      <c r="L44" s="88" t="str">
        <f ca="1">IF(TablaTransfor[[#This Row],[氏名]]="","",IF(TablaTransfor[[#This Row],[氏名]]&lt;"0","記号",IF(NOT(EXACT(UPPER(TablaTransfor[[#This Row],[氏名]]),LOWER(TablaTransfor[[#This Row],[氏名]]))),_xlfn.XLOOKUP($C44,DBGenzai[社員№],DBGenzai[カナ],"",0,1),_xlfn.XLOOKUP($C44,DBGenzai[社員№],DBGenzai[氏名],"",0,1))))</f>
        <v/>
      </c>
      <c r="M44" s="88" t="str">
        <f>_xlfn.XLOOKUP($C44,DBGenzai[社員№],DBGenzai[性別],"",0,1)</f>
        <v/>
      </c>
      <c r="N44" s="88" t="str">
        <f>_xlfn.XLOOKUP($C44,DBGenzai[社員№],DBGenzai[国籍],"",0,1)</f>
        <v/>
      </c>
      <c r="O44" s="89" t="str">
        <f>_xlfn.XLOOKUP($C44,DBGenzai[社員№],DBGenzai[生年月日],"",0,1)</f>
        <v/>
      </c>
      <c r="P44" s="88" t="str">
        <f>_xlfn.XLOOKUP($F$1&amp;B44,Filtro!B:B,Filtro!O:O,"",0,1)</f>
        <v/>
      </c>
      <c r="Q44" s="88" t="str">
        <f>_xlfn.XLOOKUP($F$1&amp;B44,Filtro!B:B,Filtro!P:P,"",0,1)</f>
        <v/>
      </c>
      <c r="R44" s="426" t="str">
        <f>_xlfn.XLOOKUP($F$1&amp;B44,Filtro!B:B,Filtro!R:R,"",0,1)</f>
        <v/>
      </c>
      <c r="S44" s="88" t="str">
        <f>_xlfn.XLOOKUP($C44,DBGenzai[社員№],DBGenzai[〒],"",0,1)</f>
        <v/>
      </c>
      <c r="T44" s="88" t="str">
        <f>_xlfn.XLOOKUP($C44,DBGenzai[社員№],DBGenzai[住所],"",0,1)</f>
        <v/>
      </c>
      <c r="U44" s="88" t="str">
        <f>_xlfn.XLOOKUP($C44,DBGenzai[社員№],DBGenzai[ｱﾊﾟｰﾄ],"",0,1)</f>
        <v/>
      </c>
      <c r="V44" s="89" t="str">
        <f>_xlfn.XLOOKUP($C44,DBGenzai[社員№],DBGenzai[入居],"",0,1)</f>
        <v/>
      </c>
      <c r="W44" s="89" t="str">
        <f>_xlfn.XLOOKUP($F$1&amp;B44,Filtro!B:B,Filtro!AF:AF,"",0,1)</f>
        <v/>
      </c>
      <c r="X44" s="89" t="str">
        <f>_xlfn.XLOOKUP($C44,DBGenzai[社員№],DBGenzai[退社日],"",0,1)</f>
        <v/>
      </c>
      <c r="Y44" s="88" t="str">
        <f>_xlfn.XLOOKUP($C44,DBGenzai[社員№],DBGenzai[退去],"",0,1)</f>
        <v/>
      </c>
      <c r="Z44" s="88" t="str">
        <f>_xlfn.XLOOKUP($C44,DBGenzai[社員№],DBGenzai[備考],"",0,1)</f>
        <v/>
      </c>
      <c r="AA44" s="422" t="str">
        <f>_xlfn.XLOOKUP($F$1&amp;B44,Filtro!B:B,Filtro!AL:AL,"",0,1)</f>
        <v/>
      </c>
      <c r="AB44" s="157" t="str" cm="1">
        <f t="array" aca="1" ref="AB4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44" s="436" t="str">
        <f ca="1">_xlfn.XLOOKUP(TablaTransfor[[#This Row],[ライン]],TBKaishaInfo[ライン],TBKaishaInfo[まで],"NohayMarrano",0,1)</f>
        <v>NohayMarrano</v>
      </c>
    </row>
    <row r="45" spans="1:29">
      <c r="A45" s="424">
        <f>SUBTOTAL(103,$C$3:C45)</f>
        <v>11</v>
      </c>
      <c r="B45" s="159">
        <v>34</v>
      </c>
      <c r="C45" s="88">
        <f>_xlfn.XLOOKUP($F$1&amp;B45,Filtro!B:B,Filtro!D:D,"",0,1)</f>
        <v>250608</v>
      </c>
      <c r="D45" s="88" t="str">
        <f>_xlfn.XLOOKUP($F$1&amp;B45,Filtro!B:B,Filtro!C:C,"",0,1)</f>
        <v>在職中</v>
      </c>
      <c r="E45" s="88">
        <f>_xlfn.XLOOKUP($F$1&amp;B45,Filtro!B:B,Filtro!E:E,"",0,1)</f>
        <v>212058</v>
      </c>
      <c r="F45" s="88" t="str">
        <f>_xlfn.XLOOKUP($F$1&amp;B45,Filtro!B:B,Filtro!G:G,"",0,1)</f>
        <v>高雄工業株式会社 愛知事業所本社工場製作課</v>
      </c>
      <c r="G45" s="88" t="str">
        <f ca="1">MID(TablaTransfor[[#This Row],[配属先]],1,8)</f>
        <v>高雄工業株式会社</v>
      </c>
      <c r="H45" s="88" t="str">
        <f ca="1">MID(TablaTransfor[[#This Row],[配属先]],9,6)</f>
        <v xml:space="preserve"> 愛知事業所</v>
      </c>
      <c r="I45" s="88" t="str">
        <f>_xlfn.XLOOKUP($C45,DBGenzai[社員№],DBGenzai[仕事内容],"",0,1)</f>
        <v>CVJ部品短軸品の旋削加工、NCプログラム修正</v>
      </c>
      <c r="J45" s="88" t="str">
        <f>_xlfn.XLOOKUP($F$1&amp;B45,Filtro!B:B,Filtro!H:H,"",0,1)</f>
        <v>Fライン</v>
      </c>
      <c r="K45" s="88" t="str">
        <f>_xlfn.XLOOKUP($F$1&amp;B45,Filtro!B:B,Filtro!J:J,"",0,1)</f>
        <v>DO TRUNG KIEN</v>
      </c>
      <c r="L45" s="88" t="str">
        <f ca="1">IF(TablaTransfor[[#This Row],[氏名]]="","",IF(TablaTransfor[[#This Row],[氏名]]&lt;"0","記号",IF(NOT(EXACT(UPPER(TablaTransfor[[#This Row],[氏名]]),LOWER(TablaTransfor[[#This Row],[氏名]]))),_xlfn.XLOOKUP($C45,DBGenzai[社員№],DBGenzai[カナ],"",0,1),_xlfn.XLOOKUP($C45,DBGenzai[社員№],DBGenzai[氏名],"",0,1))))</f>
        <v>ド　チュン　キエン</v>
      </c>
      <c r="M45" s="88" t="str">
        <f>_xlfn.XLOOKUP($C45,DBGenzai[社員№],DBGenzai[性別],"",0,1)</f>
        <v>男</v>
      </c>
      <c r="N45" s="88" t="str">
        <f>_xlfn.XLOOKUP($C45,DBGenzai[社員№],DBGenzai[国籍],"",0,1)</f>
        <v>ﾍﾞﾄﾅﾑ</v>
      </c>
      <c r="O45" s="89">
        <f>_xlfn.XLOOKUP($C45,DBGenzai[社員№],DBGenzai[生年月日],"",0,1)</f>
        <v>36548</v>
      </c>
      <c r="P45" s="88">
        <f>_xlfn.XLOOKUP($F$1&amp;B45,Filtro!B:B,Filtro!O:O,"",0,1)</f>
        <v>25</v>
      </c>
      <c r="Q45" s="88">
        <f>_xlfn.XLOOKUP($F$1&amp;B45,Filtro!B:B,Filtro!P:P,"",0,1)</f>
        <v>1200</v>
      </c>
      <c r="R45" s="426">
        <f>_xlfn.XLOOKUP($F$1&amp;B45,Filtro!B:B,Filtro!R:R,"",0,1)</f>
        <v>1650</v>
      </c>
      <c r="S45" s="88" t="str">
        <f>_xlfn.XLOOKUP($C45,DBGenzai[社員№],DBGenzai[〒],"",0,1)</f>
        <v>498-0017</v>
      </c>
      <c r="T45" s="88" t="str">
        <f>_xlfn.XLOOKUP($C45,DBGenzai[社員№],DBGenzai[住所],"",0,1)</f>
        <v>愛知県弥富市前ヶ須町西勘助207</v>
      </c>
      <c r="U45" s="88" t="str">
        <f>_xlfn.XLOOKUP($C45,DBGenzai[社員№],DBGenzai[ｱﾊﾟｰﾄ],"",0,1)</f>
        <v>CASA弥冨B203</v>
      </c>
      <c r="V45" s="89">
        <f>_xlfn.XLOOKUP($C45,DBGenzai[社員№],DBGenzai[入居],"",0,1)</f>
        <v>45830</v>
      </c>
      <c r="W45" s="89">
        <f>_xlfn.XLOOKUP($F$1&amp;B45,Filtro!B:B,Filtro!AF:AF,"",0,1)</f>
        <v>45838</v>
      </c>
      <c r="X45" s="89">
        <f>_xlfn.XLOOKUP($C45,DBGenzai[社員№],DBGenzai[退社日],"",0,1)</f>
        <v>0</v>
      </c>
      <c r="Y45" s="88">
        <f>_xlfn.XLOOKUP($C45,DBGenzai[社員№],DBGenzai[退去],"",0,1)</f>
        <v>0</v>
      </c>
      <c r="Z45" s="88" t="str">
        <f>_xlfn.XLOOKUP($C45,DBGenzai[社員№],DBGenzai[備考],"",0,1)</f>
        <v>2025/4/1~2025/6/20まで請負</v>
      </c>
      <c r="AA45" s="422">
        <f>_xlfn.XLOOKUP($F$1&amp;B45,Filtro!B:B,Filtro!AL:AL,"",0,1)</f>
        <v>45838</v>
      </c>
      <c r="AB45" s="157">
        <v>45931</v>
      </c>
      <c r="AC45" s="436">
        <f ca="1">_xlfn.XLOOKUP(TablaTransfor[[#This Row],[ライン]],TBKaishaInfo[ライン],TBKaishaInfo[まで],"NohayMarrano",0,1)</f>
        <v>46295</v>
      </c>
    </row>
    <row r="46" spans="1:29">
      <c r="A46" s="424">
        <f>SUBTOTAL(103,$C$3:C46)</f>
        <v>12</v>
      </c>
      <c r="B46" s="159">
        <v>47</v>
      </c>
      <c r="C46" s="88">
        <f>_xlfn.XLOOKUP($F$1&amp;B46,Filtro!B:B,Filtro!D:D,"",0,1)</f>
        <v>230220</v>
      </c>
      <c r="D46" s="88" t="str">
        <f>_xlfn.XLOOKUP($F$1&amp;B46,Filtro!B:B,Filtro!C:C,"",0,1)</f>
        <v>退社</v>
      </c>
      <c r="E46" s="88">
        <f>_xlfn.XLOOKUP($F$1&amp;B46,Filtro!B:B,Filtro!E:E,"",0,1)</f>
        <v>212038</v>
      </c>
      <c r="F46" s="88" t="str">
        <f>_xlfn.XLOOKUP($F$1&amp;B46,Filtro!B:B,Filtro!G:G,"",0,1)</f>
        <v>高雄工業株式会社 愛知事業所本社工場製作課</v>
      </c>
      <c r="G46" s="88" t="str">
        <f ca="1">MID(TablaTransfor[[#This Row],[配属先]],1,8)</f>
        <v>高雄工業株式会社</v>
      </c>
      <c r="H46" s="88" t="str">
        <f ca="1">MID(TablaTransfor[[#This Row],[配属先]],9,6)</f>
        <v xml:space="preserve"> 愛知事業所</v>
      </c>
      <c r="I46" s="88" t="str">
        <f>_xlfn.XLOOKUP($C46,DBGenzai[社員№],DBGenzai[仕事内容],"",0,1)</f>
        <v>鋳造材料の工場内加工ラインへの供給</v>
      </c>
      <c r="J46" s="88" t="str">
        <f>_xlfn.XLOOKUP($F$1&amp;B46,Filtro!B:B,Filtro!H:H,"",0,1)</f>
        <v>リフト作業</v>
      </c>
      <c r="K46" s="88" t="str">
        <f>_xlfn.XLOOKUP($F$1&amp;B46,Filtro!B:B,Filtro!J:J,"",0,1)</f>
        <v>SIDO SERGIO HIROJI</v>
      </c>
      <c r="L46" s="88" t="str">
        <f ca="1">IF(TablaTransfor[[#This Row],[氏名]]="","",IF(TablaTransfor[[#This Row],[氏名]]&lt;"0","記号",IF(NOT(EXACT(UPPER(TablaTransfor[[#This Row],[氏名]]),LOWER(TablaTransfor[[#This Row],[氏名]]))),_xlfn.XLOOKUP($C46,DBGenzai[社員№],DBGenzai[カナ],"",0,1),_xlfn.XLOOKUP($C46,DBGenzai[社員№],DBGenzai[氏名],"",0,1))))</f>
        <v>シドウ　セルジオ　ヒロジ</v>
      </c>
      <c r="M46" s="88" t="str">
        <f>_xlfn.XLOOKUP($C46,DBGenzai[社員№],DBGenzai[性別],"",0,1)</f>
        <v>男</v>
      </c>
      <c r="N46" s="88" t="str">
        <f>_xlfn.XLOOKUP($C46,DBGenzai[社員№],DBGenzai[国籍],"",0,1)</f>
        <v>ﾌﾞﾗｼﾞﾙ</v>
      </c>
      <c r="O46" s="89">
        <f>_xlfn.XLOOKUP($C46,DBGenzai[社員№],DBGenzai[生年月日],"",0,1)</f>
        <v>21815</v>
      </c>
      <c r="P46" s="88">
        <f>_xlfn.XLOOKUP($F$1&amp;B46,Filtro!B:B,Filtro!O:O,"",0,1)</f>
        <v>66</v>
      </c>
      <c r="Q46" s="88">
        <f>_xlfn.XLOOKUP($F$1&amp;B46,Filtro!B:B,Filtro!P:P,"",0,1)</f>
        <v>1400</v>
      </c>
      <c r="R46" s="426">
        <f>_xlfn.XLOOKUP($F$1&amp;B46,Filtro!B:B,Filtro!R:R,"",0,1)</f>
        <v>1780</v>
      </c>
      <c r="S46" s="88" t="str">
        <f>_xlfn.XLOOKUP($C46,DBGenzai[社員№],DBGenzai[〒],"",0,1)</f>
        <v>478-0054</v>
      </c>
      <c r="T46" s="88" t="str">
        <f>_xlfn.XLOOKUP($C46,DBGenzai[社員№],DBGenzai[住所],"",0,1)</f>
        <v>愛知県知多市つづじヶ丘1丁目14番地</v>
      </c>
      <c r="U46" s="88" t="str">
        <f>_xlfn.XLOOKUP($C46,DBGenzai[社員№],DBGenzai[ｱﾊﾟｰﾄ],"",0,1)</f>
        <v>2号棟306号</v>
      </c>
      <c r="V46" s="89" t="str">
        <f>_xlfn.XLOOKUP($C46,DBGenzai[社員№],DBGenzai[入居],"",0,1)</f>
        <v>個人</v>
      </c>
      <c r="W46" s="89">
        <f>_xlfn.XLOOKUP($F$1&amp;B46,Filtro!B:B,Filtro!AF:AF,"",0,1)</f>
        <v>44985</v>
      </c>
      <c r="X46" s="89">
        <f>_xlfn.XLOOKUP($C46,DBGenzai[社員№],DBGenzai[退社日],"",0,1)</f>
        <v>45562</v>
      </c>
      <c r="Y46" s="88">
        <f>_xlfn.XLOOKUP($C46,DBGenzai[社員№],DBGenzai[退去],"",0,1)</f>
        <v>0</v>
      </c>
      <c r="Z46" s="88">
        <f>_xlfn.XLOOKUP($C46,DBGenzai[社員№],DBGenzai[備考],"",0,1)</f>
        <v>0</v>
      </c>
      <c r="AA46" s="422">
        <f>_xlfn.XLOOKUP($F$1&amp;B46,Filtro!B:B,Filtro!AL:AL,"",0,1)</f>
        <v>44985</v>
      </c>
      <c r="AB46" s="157">
        <v>45931</v>
      </c>
      <c r="AC46" s="436">
        <f ca="1">_xlfn.XLOOKUP(TablaTransfor[[#This Row],[ライン]],TBKaishaInfo[ライン],TBKaishaInfo[まで],"NohayMarrano",0,1)</f>
        <v>46295</v>
      </c>
    </row>
    <row r="47" spans="1:29" hidden="1">
      <c r="A47" s="424">
        <f>SUBTOTAL(103,$C$3:C47)</f>
        <v>12</v>
      </c>
      <c r="B47" s="159">
        <v>101</v>
      </c>
      <c r="C47" s="88" t="str">
        <f>_xlfn.XLOOKUP($F$1&amp;B47,Filtro!B:B,Filtro!D:D,"",0,1)</f>
        <v/>
      </c>
      <c r="D47" s="88" t="str">
        <f>_xlfn.XLOOKUP($F$1&amp;B47,Filtro!B:B,Filtro!C:C,"",0,1)</f>
        <v/>
      </c>
      <c r="E47" s="88" t="str">
        <f>_xlfn.XLOOKUP($F$1&amp;B47,Filtro!B:B,Filtro!E:E,"",0,1)</f>
        <v/>
      </c>
      <c r="F47" s="88" t="str">
        <f>_xlfn.XLOOKUP($F$1&amp;B47,Filtro!B:B,Filtro!G:G,"",0,1)</f>
        <v/>
      </c>
      <c r="G47" s="88" t="str">
        <f ca="1">MID(TablaTransfor[[#This Row],[配属先]],1,8)</f>
        <v/>
      </c>
      <c r="H47" s="88" t="str">
        <f ca="1">MID(TablaTransfor[[#This Row],[配属先]],9,6)</f>
        <v/>
      </c>
      <c r="I47" s="88" t="str">
        <f>_xlfn.XLOOKUP($C47,DBGenzai[社員№],DBGenzai[仕事内容],"",0,1)</f>
        <v/>
      </c>
      <c r="J47" s="88" t="str">
        <f>_xlfn.XLOOKUP($F$1&amp;B47,Filtro!B:B,Filtro!H:H,"",0,1)</f>
        <v/>
      </c>
      <c r="K47" s="88" t="str">
        <f>_xlfn.XLOOKUP($F$1&amp;B47,Filtro!B:B,Filtro!J:J,"",0,1)</f>
        <v/>
      </c>
      <c r="L47" s="88" t="str">
        <f ca="1">IF(TablaTransfor[[#This Row],[氏名]]="","",IF(TablaTransfor[[#This Row],[氏名]]&lt;"0","記号",IF(NOT(EXACT(UPPER(TablaTransfor[[#This Row],[氏名]]),LOWER(TablaTransfor[[#This Row],[氏名]]))),_xlfn.XLOOKUP($C47,DBGenzai[社員№],DBGenzai[カナ],"",0,1),_xlfn.XLOOKUP($C47,DBGenzai[社員№],DBGenzai[氏名],"",0,1))))</f>
        <v/>
      </c>
      <c r="M47" s="88" t="str">
        <f>_xlfn.XLOOKUP($C47,DBGenzai[社員№],DBGenzai[性別],"",0,1)</f>
        <v/>
      </c>
      <c r="N47" s="88" t="str">
        <f>_xlfn.XLOOKUP($C47,DBGenzai[社員№],DBGenzai[国籍],"",0,1)</f>
        <v/>
      </c>
      <c r="O47" s="89" t="str">
        <f>_xlfn.XLOOKUP($C47,DBGenzai[社員№],DBGenzai[生年月日],"",0,1)</f>
        <v/>
      </c>
      <c r="P47" s="88" t="str">
        <f>_xlfn.XLOOKUP($F$1&amp;B47,Filtro!B:B,Filtro!O:O,"",0,1)</f>
        <v/>
      </c>
      <c r="Q47" s="88" t="str">
        <f>_xlfn.XLOOKUP($F$1&amp;B47,Filtro!B:B,Filtro!P:P,"",0,1)</f>
        <v/>
      </c>
      <c r="R47" s="426" t="str">
        <f>_xlfn.XLOOKUP($F$1&amp;B47,Filtro!B:B,Filtro!R:R,"",0,1)</f>
        <v/>
      </c>
      <c r="S47" s="88" t="str">
        <f>_xlfn.XLOOKUP($C47,DBGenzai[社員№],DBGenzai[〒],"",0,1)</f>
        <v/>
      </c>
      <c r="T47" s="88" t="str">
        <f>_xlfn.XLOOKUP($C47,DBGenzai[社員№],DBGenzai[住所],"",0,1)</f>
        <v/>
      </c>
      <c r="U47" s="88" t="str">
        <f>_xlfn.XLOOKUP($C47,DBGenzai[社員№],DBGenzai[ｱﾊﾟｰﾄ],"",0,1)</f>
        <v/>
      </c>
      <c r="V47" s="89" t="str">
        <f>_xlfn.XLOOKUP($C47,DBGenzai[社員№],DBGenzai[入居],"",0,1)</f>
        <v/>
      </c>
      <c r="W47" s="89" t="str">
        <f>_xlfn.XLOOKUP($F$1&amp;B47,Filtro!B:B,Filtro!AF:AF,"",0,1)</f>
        <v/>
      </c>
      <c r="X47" s="89" t="str">
        <f>_xlfn.XLOOKUP($C47,DBGenzai[社員№],DBGenzai[退社日],"",0,1)</f>
        <v/>
      </c>
      <c r="Y47" s="88" t="str">
        <f>_xlfn.XLOOKUP($C47,DBGenzai[社員№],DBGenzai[退去],"",0,1)</f>
        <v/>
      </c>
      <c r="Z47" s="88" t="str">
        <f>_xlfn.XLOOKUP($C47,DBGenzai[社員№],DBGenzai[備考],"",0,1)</f>
        <v/>
      </c>
      <c r="AA47" s="422" t="str">
        <f>_xlfn.XLOOKUP($F$1&amp;B47,Filtro!B:B,Filtro!AL:AL,"",0,1)</f>
        <v/>
      </c>
      <c r="AB47" s="157" t="str" cm="1">
        <f t="array" aca="1" ref="AB4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47" s="436" t="str">
        <f ca="1">_xlfn.XLOOKUP(TablaTransfor[[#This Row],[ライン]],TBKaishaInfo[ライン],TBKaishaInfo[まで],"NohayMarrano",0,1)</f>
        <v>NohayMarrano</v>
      </c>
    </row>
    <row r="48" spans="1:29" hidden="1">
      <c r="A48" s="424">
        <f>SUBTOTAL(103,$C$3:C48)</f>
        <v>12</v>
      </c>
      <c r="B48" s="159">
        <v>65</v>
      </c>
      <c r="C48" s="88" t="str">
        <f>_xlfn.XLOOKUP($F$1&amp;B48,Filtro!B:B,Filtro!D:D,"",0,1)</f>
        <v/>
      </c>
      <c r="D48" s="88" t="str">
        <f>_xlfn.XLOOKUP($F$1&amp;B48,Filtro!B:B,Filtro!C:C,"",0,1)</f>
        <v/>
      </c>
      <c r="E48" s="88" t="str">
        <f>_xlfn.XLOOKUP($F$1&amp;B48,Filtro!B:B,Filtro!E:E,"",0,1)</f>
        <v/>
      </c>
      <c r="F48" s="88" t="str">
        <f>_xlfn.XLOOKUP($F$1&amp;B48,Filtro!B:B,Filtro!G:G,"",0,1)</f>
        <v/>
      </c>
      <c r="G48" s="88" t="str">
        <f ca="1">MID(TablaTransfor[[#This Row],[配属先]],1,8)</f>
        <v/>
      </c>
      <c r="H48" s="88" t="str">
        <f ca="1">MID(TablaTransfor[[#This Row],[配属先]],9,6)</f>
        <v/>
      </c>
      <c r="I48" s="88" t="str">
        <f>_xlfn.XLOOKUP($C48,DBGenzai[社員№],DBGenzai[仕事内容],"",0,1)</f>
        <v/>
      </c>
      <c r="J48" s="88" t="str">
        <f>_xlfn.XLOOKUP($F$1&amp;B48,Filtro!B:B,Filtro!H:H,"",0,1)</f>
        <v/>
      </c>
      <c r="K48" s="88" t="str">
        <f>_xlfn.XLOOKUP($F$1&amp;B48,Filtro!B:B,Filtro!J:J,"",0,1)</f>
        <v/>
      </c>
      <c r="L48" s="88" t="str">
        <f ca="1">IF(TablaTransfor[[#This Row],[氏名]]="","",IF(TablaTransfor[[#This Row],[氏名]]&lt;"0","記号",IF(NOT(EXACT(UPPER(TablaTransfor[[#This Row],[氏名]]),LOWER(TablaTransfor[[#This Row],[氏名]]))),_xlfn.XLOOKUP($C48,DBGenzai[社員№],DBGenzai[カナ],"",0,1),_xlfn.XLOOKUP($C48,DBGenzai[社員№],DBGenzai[氏名],"",0,1))))</f>
        <v/>
      </c>
      <c r="M48" s="88" t="str">
        <f>_xlfn.XLOOKUP($C48,DBGenzai[社員№],DBGenzai[性別],"",0,1)</f>
        <v/>
      </c>
      <c r="N48" s="88" t="str">
        <f>_xlfn.XLOOKUP($C48,DBGenzai[社員№],DBGenzai[国籍],"",0,1)</f>
        <v/>
      </c>
      <c r="O48" s="89" t="str">
        <f>_xlfn.XLOOKUP($C48,DBGenzai[社員№],DBGenzai[生年月日],"",0,1)</f>
        <v/>
      </c>
      <c r="P48" s="88" t="str">
        <f>_xlfn.XLOOKUP($F$1&amp;B48,Filtro!B:B,Filtro!O:O,"",0,1)</f>
        <v/>
      </c>
      <c r="Q48" s="88" t="str">
        <f>_xlfn.XLOOKUP($F$1&amp;B48,Filtro!B:B,Filtro!P:P,"",0,1)</f>
        <v/>
      </c>
      <c r="R48" s="426" t="str">
        <f>_xlfn.XLOOKUP($F$1&amp;B48,Filtro!B:B,Filtro!R:R,"",0,1)</f>
        <v/>
      </c>
      <c r="S48" s="88" t="str">
        <f>_xlfn.XLOOKUP($C48,DBGenzai[社員№],DBGenzai[〒],"",0,1)</f>
        <v/>
      </c>
      <c r="T48" s="88" t="str">
        <f>_xlfn.XLOOKUP($C48,DBGenzai[社員№],DBGenzai[住所],"",0,1)</f>
        <v/>
      </c>
      <c r="U48" s="88" t="str">
        <f>_xlfn.XLOOKUP($C48,DBGenzai[社員№],DBGenzai[ｱﾊﾟｰﾄ],"",0,1)</f>
        <v/>
      </c>
      <c r="V48" s="89" t="str">
        <f>_xlfn.XLOOKUP($C48,DBGenzai[社員№],DBGenzai[入居],"",0,1)</f>
        <v/>
      </c>
      <c r="W48" s="89" t="str">
        <f>_xlfn.XLOOKUP($F$1&amp;B48,Filtro!B:B,Filtro!AF:AF,"",0,1)</f>
        <v/>
      </c>
      <c r="X48" s="89" t="str">
        <f>_xlfn.XLOOKUP($C48,DBGenzai[社員№],DBGenzai[退社日],"",0,1)</f>
        <v/>
      </c>
      <c r="Y48" s="88" t="str">
        <f>_xlfn.XLOOKUP($C48,DBGenzai[社員№],DBGenzai[退去],"",0,1)</f>
        <v/>
      </c>
      <c r="Z48" s="88" t="str">
        <f>_xlfn.XLOOKUP($C48,DBGenzai[社員№],DBGenzai[備考],"",0,1)</f>
        <v/>
      </c>
      <c r="AA48" s="422" t="str">
        <f>_xlfn.XLOOKUP($F$1&amp;B48,Filtro!B:B,Filtro!AL:AL,"",0,1)</f>
        <v/>
      </c>
      <c r="AB48" s="157" t="str" cm="1">
        <f t="array" aca="1" ref="AB4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48" s="436" t="str">
        <f ca="1">_xlfn.XLOOKUP(TablaTransfor[[#This Row],[ライン]],TBKaishaInfo[ライン],TBKaishaInfo[まで],"NohayMarrano",0,1)</f>
        <v>NohayMarrano</v>
      </c>
    </row>
    <row r="49" spans="1:29">
      <c r="A49" s="424">
        <f>SUBTOTAL(103,$C$3:C49)</f>
        <v>13</v>
      </c>
      <c r="B49" s="159">
        <v>36</v>
      </c>
      <c r="C49" s="88">
        <f>_xlfn.XLOOKUP($F$1&amp;B49,Filtro!B:B,Filtro!D:D,"",0,1)</f>
        <v>220510</v>
      </c>
      <c r="D49" s="88" t="str">
        <f>_xlfn.XLOOKUP($F$1&amp;B49,Filtro!B:B,Filtro!C:C,"",0,1)</f>
        <v>退社</v>
      </c>
      <c r="E49" s="88">
        <f>_xlfn.XLOOKUP($F$1&amp;B49,Filtro!B:B,Filtro!E:E,"",0,1)</f>
        <v>212031</v>
      </c>
      <c r="F49" s="88" t="str">
        <f>_xlfn.XLOOKUP($F$1&amp;B49,Filtro!B:B,Filtro!G:G,"",0,1)</f>
        <v>高雄工業株式会社 愛知事業所本社工場製作課</v>
      </c>
      <c r="G49" s="88" t="str">
        <f ca="1">MID(TablaTransfor[[#This Row],[配属先]],1,8)</f>
        <v>高雄工業株式会社</v>
      </c>
      <c r="H49" s="88" t="str">
        <f ca="1">MID(TablaTransfor[[#This Row],[配属先]],9,6)</f>
        <v xml:space="preserve"> 愛知事業所</v>
      </c>
      <c r="I49" s="88" t="str">
        <f>_xlfn.XLOOKUP($C49,DBGenzai[社員№],DBGenzai[仕事内容],"",0,1)</f>
        <v>CVJ部品長軸品の施削加工、NCプログラム修正</v>
      </c>
      <c r="J49" s="88" t="str">
        <f>_xlfn.XLOOKUP($F$1&amp;B49,Filtro!B:B,Filtro!H:H,"",0,1)</f>
        <v>Gライン</v>
      </c>
      <c r="K49" s="88" t="str">
        <f>_xlfn.XLOOKUP($F$1&amp;B49,Filtro!B:B,Filtro!J:J,"",0,1)</f>
        <v>HO HUYNH DINH NGHIEM</v>
      </c>
      <c r="L49" s="88" t="str">
        <f ca="1">IF(TablaTransfor[[#This Row],[氏名]]="","",IF(TablaTransfor[[#This Row],[氏名]]&lt;"0","記号",IF(NOT(EXACT(UPPER(TablaTransfor[[#This Row],[氏名]]),LOWER(TablaTransfor[[#This Row],[氏名]]))),_xlfn.XLOOKUP($C49,DBGenzai[社員№],DBGenzai[カナ],"",0,1),_xlfn.XLOOKUP($C49,DBGenzai[社員№],DBGenzai[氏名],"",0,1))))</f>
        <v>ホー　フィン　ディン　ギエム</v>
      </c>
      <c r="M49" s="88" t="str">
        <f>_xlfn.XLOOKUP($C49,DBGenzai[社員№],DBGenzai[性別],"",0,1)</f>
        <v>男</v>
      </c>
      <c r="N49" s="88" t="str">
        <f>_xlfn.XLOOKUP($C49,DBGenzai[社員№],DBGenzai[国籍],"",0,1)</f>
        <v>ﾍﾞﾄﾅﾑ</v>
      </c>
      <c r="O49" s="89">
        <f>_xlfn.XLOOKUP($C49,DBGenzai[社員№],DBGenzai[生年月日],"",0,1)</f>
        <v>35784</v>
      </c>
      <c r="P49" s="88">
        <f>_xlfn.XLOOKUP($F$1&amp;B49,Filtro!B:B,Filtro!O:O,"",0,1)</f>
        <v>27</v>
      </c>
      <c r="Q49" s="88">
        <f>_xlfn.XLOOKUP($F$1&amp;B49,Filtro!B:B,Filtro!P:P,"",0,1)</f>
        <v>1250</v>
      </c>
      <c r="R49" s="426">
        <f>_xlfn.XLOOKUP($F$1&amp;B49,Filtro!B:B,Filtro!R:R,"",0,1)</f>
        <v>1660</v>
      </c>
      <c r="S49" s="88" t="str">
        <f>_xlfn.XLOOKUP($C49,DBGenzai[社員№],DBGenzai[〒],"",0,1)</f>
        <v>498-0031</v>
      </c>
      <c r="T49" s="88" t="str">
        <f>_xlfn.XLOOKUP($C49,DBGenzai[社員№],DBGenzai[住所],"",0,1)</f>
        <v>愛知県弥富市平島町北広畑10-1</v>
      </c>
      <c r="U49" s="88" t="str">
        <f>_xlfn.XLOOKUP($C49,DBGenzai[社員№],DBGenzai[ｱﾊﾟｰﾄ],"",0,1)</f>
        <v>ﾚﾌﾞﾗﾝｶﾐｰﾘｱB205</v>
      </c>
      <c r="V49" s="89">
        <f>_xlfn.XLOOKUP($C49,DBGenzai[社員№],DBGenzai[入居],"",0,1)</f>
        <v>45039</v>
      </c>
      <c r="W49" s="89">
        <f>_xlfn.XLOOKUP($F$1&amp;B49,Filtro!B:B,Filtro!AF:AF,"",0,1)</f>
        <v>44692</v>
      </c>
      <c r="X49" s="89">
        <f>_xlfn.XLOOKUP($C49,DBGenzai[社員№],DBGenzai[退社日],"",0,1)</f>
        <v>45107</v>
      </c>
      <c r="Y49" s="88">
        <f>_xlfn.XLOOKUP($C49,DBGenzai[社員№],DBGenzai[退去],"",0,1)</f>
        <v>0</v>
      </c>
      <c r="Z49" s="88">
        <f>_xlfn.XLOOKUP($C49,DBGenzai[社員№],DBGenzai[備考],"",0,1)</f>
        <v>0</v>
      </c>
      <c r="AA49" s="422">
        <f>_xlfn.XLOOKUP($F$1&amp;B49,Filtro!B:B,Filtro!AL:AL,"",0,1)</f>
        <v>44692</v>
      </c>
      <c r="AB49" s="157">
        <v>45931</v>
      </c>
      <c r="AC49" s="436">
        <f ca="1">_xlfn.XLOOKUP(TablaTransfor[[#This Row],[ライン]],TBKaishaInfo[ライン],TBKaishaInfo[まで],"NohayMarrano",0,1)</f>
        <v>46295</v>
      </c>
    </row>
    <row r="50" spans="1:29" hidden="1">
      <c r="A50" s="424">
        <f>SUBTOTAL(103,$C$3:C50)</f>
        <v>13</v>
      </c>
      <c r="B50" s="159">
        <v>37</v>
      </c>
      <c r="C50" s="88">
        <f>_xlfn.XLOOKUP($F$1&amp;B50,Filtro!B:B,Filtro!D:D,"",0,1)</f>
        <v>221202</v>
      </c>
      <c r="D50" s="88" t="str">
        <f>_xlfn.XLOOKUP($F$1&amp;B50,Filtro!B:B,Filtro!C:C,"",0,1)</f>
        <v>在職中</v>
      </c>
      <c r="E50" s="88">
        <f>_xlfn.XLOOKUP($F$1&amp;B50,Filtro!B:B,Filtro!E:E,"",0,1)</f>
        <v>212035</v>
      </c>
      <c r="F50" s="88" t="str">
        <f>_xlfn.XLOOKUP($F$1&amp;B50,Filtro!B:B,Filtro!G:G,"",0,1)</f>
        <v>高雄工業株式会社 愛知事業所本社工場製作課</v>
      </c>
      <c r="G50" s="88" t="str">
        <f ca="1">MID(TablaTransfor[[#This Row],[配属先]],1,8)</f>
        <v>高雄工業株式会社</v>
      </c>
      <c r="H50" s="88" t="str">
        <f ca="1">MID(TablaTransfor[[#This Row],[配属先]],9,6)</f>
        <v xml:space="preserve"> 愛知事業所</v>
      </c>
      <c r="I50" s="88" t="str">
        <f>_xlfn.XLOOKUP($C50,DBGenzai[社員№],DBGenzai[仕事内容],"",0,1)</f>
        <v>CVJ部品長軸品の施削加工、NCプログラム修正</v>
      </c>
      <c r="J50" s="88" t="str">
        <f>_xlfn.XLOOKUP($F$1&amp;B50,Filtro!B:B,Filtro!H:H,"",0,1)</f>
        <v>Gライン</v>
      </c>
      <c r="K50" s="88" t="str">
        <f>_xlfn.XLOOKUP($F$1&amp;B50,Filtro!B:B,Filtro!J:J,"",0,1)</f>
        <v>LE VIET DUNG</v>
      </c>
      <c r="L50" s="88" t="str">
        <f ca="1">IF(TablaTransfor[[#This Row],[氏名]]="","",IF(TablaTransfor[[#This Row],[氏名]]&lt;"0","記号",IF(NOT(EXACT(UPPER(TablaTransfor[[#This Row],[氏名]]),LOWER(TablaTransfor[[#This Row],[氏名]]))),_xlfn.XLOOKUP($C50,DBGenzai[社員№],DBGenzai[カナ],"",0,1),_xlfn.XLOOKUP($C50,DBGenzai[社員№],DBGenzai[氏名],"",0,1))))</f>
        <v>レー　ヴィエット　ズン</v>
      </c>
      <c r="M50" s="88" t="str">
        <f>_xlfn.XLOOKUP($C50,DBGenzai[社員№],DBGenzai[性別],"",0,1)</f>
        <v>男</v>
      </c>
      <c r="N50" s="88" t="str">
        <f>_xlfn.XLOOKUP($C50,DBGenzai[社員№],DBGenzai[国籍],"",0,1)</f>
        <v>ﾍﾞﾄﾅﾑ</v>
      </c>
      <c r="O50" s="89">
        <f>_xlfn.XLOOKUP($C50,DBGenzai[社員№],DBGenzai[生年月日],"",0,1)</f>
        <v>35703</v>
      </c>
      <c r="P50" s="88">
        <f>_xlfn.XLOOKUP($F$1&amp;B50,Filtro!B:B,Filtro!O:O,"",0,1)</f>
        <v>28</v>
      </c>
      <c r="Q50" s="88">
        <f>_xlfn.XLOOKUP($F$1&amp;B50,Filtro!B:B,Filtro!P:P,"",0,1)</f>
        <v>1310</v>
      </c>
      <c r="R50" s="426">
        <f>_xlfn.XLOOKUP($F$1&amp;B50,Filtro!B:B,Filtro!R:R,"",0,1)</f>
        <v>1690</v>
      </c>
      <c r="S50" s="88" t="str">
        <f>_xlfn.XLOOKUP($C50,DBGenzai[社員№],DBGenzai[〒],"",0,1)</f>
        <v>498-0032</v>
      </c>
      <c r="T50" s="88" t="str">
        <f>_xlfn.XLOOKUP($C50,DBGenzai[社員№],DBGenzai[住所],"",0,1)</f>
        <v>愛知県弥富市平島中4丁目128</v>
      </c>
      <c r="U50" s="88" t="str">
        <f>_xlfn.XLOOKUP($C50,DBGenzai[社員№],DBGenzai[ｱﾊﾟｰﾄ],"",0,1)</f>
        <v>村上貸家</v>
      </c>
      <c r="V50" s="89">
        <f>_xlfn.XLOOKUP($C50,DBGenzai[社員№],DBGenzai[入居],"",0,1)</f>
        <v>44893</v>
      </c>
      <c r="W50" s="89">
        <f>_xlfn.XLOOKUP($F$1&amp;B50,Filtro!B:B,Filtro!AF:AF,"",0,1)</f>
        <v>44896</v>
      </c>
      <c r="X50" s="89">
        <f>_xlfn.XLOOKUP($C50,DBGenzai[社員№],DBGenzai[退社日],"",0,1)</f>
        <v>0</v>
      </c>
      <c r="Y50" s="88">
        <f>_xlfn.XLOOKUP($C50,DBGenzai[社員№],DBGenzai[退去],"",0,1)</f>
        <v>0</v>
      </c>
      <c r="Z50" s="88">
        <f>_xlfn.XLOOKUP($C50,DBGenzai[社員№],DBGenzai[備考],"",0,1)</f>
        <v>0</v>
      </c>
      <c r="AA50" s="422">
        <f>_xlfn.XLOOKUP($F$1&amp;B50,Filtro!B:B,Filtro!AL:AL,"",0,1)</f>
        <v>44896</v>
      </c>
      <c r="AB50" s="157">
        <v>45566</v>
      </c>
      <c r="AC50" s="436">
        <f ca="1">_xlfn.XLOOKUP(TablaTransfor[[#This Row],[ライン]],TBKaishaInfo[ライン],TBKaishaInfo[まで],"NohayMarrano",0,1)</f>
        <v>46295</v>
      </c>
    </row>
    <row r="51" spans="1:29" hidden="1">
      <c r="A51" s="424">
        <f>SUBTOTAL(103,$C$3:C51)</f>
        <v>13</v>
      </c>
      <c r="B51" s="159">
        <v>11</v>
      </c>
      <c r="C51" s="88">
        <f>_xlfn.XLOOKUP($F$1&amp;B51,Filtro!B:B,Filtro!D:D,"",0,1)</f>
        <v>230505</v>
      </c>
      <c r="D51" s="88" t="str">
        <f>_xlfn.XLOOKUP($F$1&amp;B51,Filtro!B:B,Filtro!C:C,"",0,1)</f>
        <v>在職中</v>
      </c>
      <c r="E51" s="88">
        <f>_xlfn.XLOOKUP($F$1&amp;B51,Filtro!B:B,Filtro!E:E,"",0,1)</f>
        <v>212039</v>
      </c>
      <c r="F51" s="88" t="str">
        <f>_xlfn.XLOOKUP($F$1&amp;B51,Filtro!B:B,Filtro!G:G,"",0,1)</f>
        <v>高雄工業株式会社 愛知事業所本社工場製作課</v>
      </c>
      <c r="G51" s="88" t="str">
        <f ca="1">MID(TablaTransfor[[#This Row],[配属先]],1,8)</f>
        <v>高雄工業株式会社</v>
      </c>
      <c r="H51" s="88" t="str">
        <f ca="1">MID(TablaTransfor[[#This Row],[配属先]],9,6)</f>
        <v xml:space="preserve"> 愛知事業所</v>
      </c>
      <c r="I51" s="88" t="str">
        <f>_xlfn.XLOOKUP($C51,DBGenzai[社員№],DBGenzai[仕事内容],"",0,1)</f>
        <v>CVJ部品短軸品の施削加工、NCプログラム修正</v>
      </c>
      <c r="J51" s="88" t="str">
        <f>_xlfn.XLOOKUP($F$1&amp;B51,Filtro!B:B,Filtro!H:H,"",0,1)</f>
        <v>Fライン</v>
      </c>
      <c r="K51" s="88" t="str">
        <f>_xlfn.XLOOKUP($F$1&amp;B51,Filtro!B:B,Filtro!J:J,"",0,1)</f>
        <v>NGUYEN VAN TY</v>
      </c>
      <c r="L51" s="88" t="str">
        <f ca="1">IF(TablaTransfor[[#This Row],[氏名]]="","",IF(TablaTransfor[[#This Row],[氏名]]&lt;"0","記号",IF(NOT(EXACT(UPPER(TablaTransfor[[#This Row],[氏名]]),LOWER(TablaTransfor[[#This Row],[氏名]]))),_xlfn.XLOOKUP($C51,DBGenzai[社員№],DBGenzai[カナ],"",0,1),_xlfn.XLOOKUP($C51,DBGenzai[社員№],DBGenzai[氏名],"",0,1))))</f>
        <v>グエン　ヴァン　ティ</v>
      </c>
      <c r="M51" s="88" t="str">
        <f>_xlfn.XLOOKUP($C51,DBGenzai[社員№],DBGenzai[性別],"",0,1)</f>
        <v>男</v>
      </c>
      <c r="N51" s="88" t="str">
        <f>_xlfn.XLOOKUP($C51,DBGenzai[社員№],DBGenzai[国籍],"",0,1)</f>
        <v>ﾍﾞﾄﾅﾑ</v>
      </c>
      <c r="O51" s="89">
        <f>_xlfn.XLOOKUP($C51,DBGenzai[社員№],DBGenzai[生年月日],"",0,1)</f>
        <v>35429</v>
      </c>
      <c r="P51" s="88">
        <f>_xlfn.XLOOKUP($F$1&amp;B51,Filtro!B:B,Filtro!O:O,"",0,1)</f>
        <v>28</v>
      </c>
      <c r="Q51" s="88">
        <f>_xlfn.XLOOKUP($F$1&amp;B51,Filtro!B:B,Filtro!P:P,"",0,1)</f>
        <v>1310</v>
      </c>
      <c r="R51" s="426">
        <f>_xlfn.XLOOKUP($F$1&amp;B51,Filtro!B:B,Filtro!R:R,"",0,1)</f>
        <v>1720</v>
      </c>
      <c r="S51" s="88" t="str">
        <f>_xlfn.XLOOKUP($C51,DBGenzai[社員№],DBGenzai[〒],"",0,1)</f>
        <v>498-0017</v>
      </c>
      <c r="T51" s="88" t="str">
        <f>_xlfn.XLOOKUP($C51,DBGenzai[社員№],DBGenzai[住所],"",0,1)</f>
        <v>愛知県弥富市前ケ須町西勘助207番地</v>
      </c>
      <c r="U51" s="88" t="str">
        <f>_xlfn.XLOOKUP($C51,DBGenzai[社員№],DBGenzai[ｱﾊﾟｰﾄ],"",0,1)</f>
        <v>CASA弥富A105</v>
      </c>
      <c r="V51" s="89">
        <f>_xlfn.XLOOKUP($C51,DBGenzai[社員№],DBGenzai[入居],"",0,1)</f>
        <v>45056</v>
      </c>
      <c r="W51" s="89">
        <f>_xlfn.XLOOKUP($F$1&amp;B51,Filtro!B:B,Filtro!AF:AF,"",0,1)</f>
        <v>45061</v>
      </c>
      <c r="X51" s="89">
        <f>_xlfn.XLOOKUP($C51,DBGenzai[社員№],DBGenzai[退社日],"",0,1)</f>
        <v>0</v>
      </c>
      <c r="Y51" s="88">
        <f>_xlfn.XLOOKUP($C51,DBGenzai[社員№],DBGenzai[退去],"",0,1)</f>
        <v>0</v>
      </c>
      <c r="Z51" s="88">
        <f>_xlfn.XLOOKUP($C51,DBGenzai[社員№],DBGenzai[備考],"",0,1)</f>
        <v>0</v>
      </c>
      <c r="AA51" s="422">
        <f>_xlfn.XLOOKUP($F$1&amp;B51,Filtro!B:B,Filtro!AL:AL,"",0,1)</f>
        <v>45061</v>
      </c>
      <c r="AB51" s="157">
        <v>45566</v>
      </c>
      <c r="AC51" s="436">
        <f ca="1">_xlfn.XLOOKUP(TablaTransfor[[#This Row],[ライン]],TBKaishaInfo[ライン],TBKaishaInfo[まで],"NohayMarrano",0,1)</f>
        <v>46295</v>
      </c>
    </row>
    <row r="52" spans="1:29" hidden="1">
      <c r="A52" s="424">
        <f>SUBTOTAL(103,$C$3:C52)</f>
        <v>13</v>
      </c>
      <c r="B52" s="159">
        <v>70</v>
      </c>
      <c r="C52" s="88" t="str">
        <f>_xlfn.XLOOKUP($F$1&amp;B52,Filtro!B:B,Filtro!D:D,"",0,1)</f>
        <v/>
      </c>
      <c r="D52" s="88" t="str">
        <f>_xlfn.XLOOKUP($F$1&amp;B52,Filtro!B:B,Filtro!C:C,"",0,1)</f>
        <v/>
      </c>
      <c r="E52" s="88" t="str">
        <f>_xlfn.XLOOKUP($F$1&amp;B52,Filtro!B:B,Filtro!E:E,"",0,1)</f>
        <v/>
      </c>
      <c r="F52" s="88" t="str">
        <f>_xlfn.XLOOKUP($F$1&amp;B52,Filtro!B:B,Filtro!G:G,"",0,1)</f>
        <v/>
      </c>
      <c r="G52" s="88" t="str">
        <f ca="1">MID(TablaTransfor[[#This Row],[配属先]],1,8)</f>
        <v/>
      </c>
      <c r="H52" s="88" t="str">
        <f ca="1">MID(TablaTransfor[[#This Row],[配属先]],9,6)</f>
        <v/>
      </c>
      <c r="I52" s="88" t="str">
        <f>_xlfn.XLOOKUP($C52,DBGenzai[社員№],DBGenzai[仕事内容],"",0,1)</f>
        <v/>
      </c>
      <c r="J52" s="88" t="str">
        <f>_xlfn.XLOOKUP($F$1&amp;B52,Filtro!B:B,Filtro!H:H,"",0,1)</f>
        <v/>
      </c>
      <c r="K52" s="88" t="str">
        <f>_xlfn.XLOOKUP($F$1&amp;B52,Filtro!B:B,Filtro!J:J,"",0,1)</f>
        <v/>
      </c>
      <c r="L52" s="88" t="str">
        <f ca="1">IF(TablaTransfor[[#This Row],[氏名]]="","",IF(TablaTransfor[[#This Row],[氏名]]&lt;"0","記号",IF(NOT(EXACT(UPPER(TablaTransfor[[#This Row],[氏名]]),LOWER(TablaTransfor[[#This Row],[氏名]]))),_xlfn.XLOOKUP($C52,DBGenzai[社員№],DBGenzai[カナ],"",0,1),_xlfn.XLOOKUP($C52,DBGenzai[社員№],DBGenzai[氏名],"",0,1))))</f>
        <v/>
      </c>
      <c r="M52" s="88" t="str">
        <f>_xlfn.XLOOKUP($C52,DBGenzai[社員№],DBGenzai[性別],"",0,1)</f>
        <v/>
      </c>
      <c r="N52" s="88" t="str">
        <f>_xlfn.XLOOKUP($C52,DBGenzai[社員№],DBGenzai[国籍],"",0,1)</f>
        <v/>
      </c>
      <c r="O52" s="89" t="str">
        <f>_xlfn.XLOOKUP($C52,DBGenzai[社員№],DBGenzai[生年月日],"",0,1)</f>
        <v/>
      </c>
      <c r="P52" s="88" t="str">
        <f>_xlfn.XLOOKUP($F$1&amp;B52,Filtro!B:B,Filtro!O:O,"",0,1)</f>
        <v/>
      </c>
      <c r="Q52" s="88" t="str">
        <f>_xlfn.XLOOKUP($F$1&amp;B52,Filtro!B:B,Filtro!P:P,"",0,1)</f>
        <v/>
      </c>
      <c r="R52" s="426" t="str">
        <f>_xlfn.XLOOKUP($F$1&amp;B52,Filtro!B:B,Filtro!R:R,"",0,1)</f>
        <v/>
      </c>
      <c r="S52" s="88" t="str">
        <f>_xlfn.XLOOKUP($C52,DBGenzai[社員№],DBGenzai[〒],"",0,1)</f>
        <v/>
      </c>
      <c r="T52" s="88" t="str">
        <f>_xlfn.XLOOKUP($C52,DBGenzai[社員№],DBGenzai[住所],"",0,1)</f>
        <v/>
      </c>
      <c r="U52" s="88" t="str">
        <f>_xlfn.XLOOKUP($C52,DBGenzai[社員№],DBGenzai[ｱﾊﾟｰﾄ],"",0,1)</f>
        <v/>
      </c>
      <c r="V52" s="89" t="str">
        <f>_xlfn.XLOOKUP($C52,DBGenzai[社員№],DBGenzai[入居],"",0,1)</f>
        <v/>
      </c>
      <c r="W52" s="89" t="str">
        <f>_xlfn.XLOOKUP($F$1&amp;B52,Filtro!B:B,Filtro!AF:AF,"",0,1)</f>
        <v/>
      </c>
      <c r="X52" s="89" t="str">
        <f>_xlfn.XLOOKUP($C52,DBGenzai[社員№],DBGenzai[退社日],"",0,1)</f>
        <v/>
      </c>
      <c r="Y52" s="88" t="str">
        <f>_xlfn.XLOOKUP($C52,DBGenzai[社員№],DBGenzai[退去],"",0,1)</f>
        <v/>
      </c>
      <c r="Z52" s="88" t="str">
        <f>_xlfn.XLOOKUP($C52,DBGenzai[社員№],DBGenzai[備考],"",0,1)</f>
        <v/>
      </c>
      <c r="AA52" s="422" t="str">
        <f>_xlfn.XLOOKUP($F$1&amp;B52,Filtro!B:B,Filtro!AL:AL,"",0,1)</f>
        <v/>
      </c>
      <c r="AB52" s="157" t="str" cm="1">
        <f t="array" aca="1" ref="AB5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52" s="436" t="str">
        <f ca="1">_xlfn.XLOOKUP(TablaTransfor[[#This Row],[ライン]],TBKaishaInfo[ライン],TBKaishaInfo[まで],"NohayMarrano",0,1)</f>
        <v>NohayMarrano</v>
      </c>
    </row>
    <row r="53" spans="1:29">
      <c r="A53" s="424">
        <f>SUBTOTAL(103,$C$3:C53)</f>
        <v>14</v>
      </c>
      <c r="B53" s="159">
        <v>41</v>
      </c>
      <c r="C53" s="88">
        <f>_xlfn.XLOOKUP($F$1&amp;B53,Filtro!B:B,Filtro!D:D,"",0,1)</f>
        <v>250117</v>
      </c>
      <c r="D53" s="88" t="str">
        <f>_xlfn.XLOOKUP($F$1&amp;B53,Filtro!B:B,Filtro!C:C,"",0,1)</f>
        <v>在職中</v>
      </c>
      <c r="E53" s="88">
        <f>_xlfn.XLOOKUP($F$1&amp;B53,Filtro!B:B,Filtro!E:E,"",0,1)</f>
        <v>212053</v>
      </c>
      <c r="F53" s="88" t="str">
        <f>_xlfn.XLOOKUP($F$1&amp;B53,Filtro!B:B,Filtro!G:G,"",0,1)</f>
        <v>高雄工業株式会社 愛知事業所本社工場製作課</v>
      </c>
      <c r="G53" s="88" t="str">
        <f ca="1">MID(TablaTransfor[[#This Row],[配属先]],1,8)</f>
        <v>高雄工業株式会社</v>
      </c>
      <c r="H53" s="88" t="str">
        <f ca="1">MID(TablaTransfor[[#This Row],[配属先]],9,6)</f>
        <v xml:space="preserve"> 愛知事業所</v>
      </c>
      <c r="I53" s="88" t="str">
        <f>_xlfn.XLOOKUP($C53,DBGenzai[社員№],DBGenzai[仕事内容],"",0,1)</f>
        <v>CVJ部品長軸品の施削加工、NCプログラム修正</v>
      </c>
      <c r="J53" s="88" t="str">
        <f>_xlfn.XLOOKUP($F$1&amp;B53,Filtro!B:B,Filtro!H:H,"",0,1)</f>
        <v>Gライン</v>
      </c>
      <c r="K53" s="88" t="str">
        <f>_xlfn.XLOOKUP($F$1&amp;B53,Filtro!B:B,Filtro!J:J,"",0,1)</f>
        <v>LAI VAN SON</v>
      </c>
      <c r="L53" s="88" t="str">
        <f ca="1">IF(TablaTransfor[[#This Row],[氏名]]="","",IF(TablaTransfor[[#This Row],[氏名]]&lt;"0","記号",IF(NOT(EXACT(UPPER(TablaTransfor[[#This Row],[氏名]]),LOWER(TablaTransfor[[#This Row],[氏名]]))),_xlfn.XLOOKUP($C53,DBGenzai[社員№],DBGenzai[カナ],"",0,1),_xlfn.XLOOKUP($C53,DBGenzai[社員№],DBGenzai[氏名],"",0,1))))</f>
        <v>ライ　ヴァン　ソン</v>
      </c>
      <c r="M53" s="88" t="str">
        <f>_xlfn.XLOOKUP($C53,DBGenzai[社員№],DBGenzai[性別],"",0,1)</f>
        <v>男</v>
      </c>
      <c r="N53" s="88" t="str">
        <f>_xlfn.XLOOKUP($C53,DBGenzai[社員№],DBGenzai[国籍],"",0,1)</f>
        <v>ﾍﾞﾄﾅﾑ</v>
      </c>
      <c r="O53" s="89">
        <f>_xlfn.XLOOKUP($C53,DBGenzai[社員№],DBGenzai[生年月日],"",0,1)</f>
        <v>36656</v>
      </c>
      <c r="P53" s="88">
        <f>_xlfn.XLOOKUP($F$1&amp;B53,Filtro!B:B,Filtro!O:O,"",0,1)</f>
        <v>25</v>
      </c>
      <c r="Q53" s="88">
        <f>_xlfn.XLOOKUP($F$1&amp;B53,Filtro!B:B,Filtro!P:P,"",0,1)</f>
        <v>1250</v>
      </c>
      <c r="R53" s="426">
        <f>_xlfn.XLOOKUP($F$1&amp;B53,Filtro!B:B,Filtro!R:R,"",0,1)</f>
        <v>1650</v>
      </c>
      <c r="S53" s="88" t="str">
        <f>_xlfn.XLOOKUP($C53,DBGenzai[社員№],DBGenzai[〒],"",0,1)</f>
        <v>498-0032</v>
      </c>
      <c r="T53" s="88" t="str">
        <f>_xlfn.XLOOKUP($C53,DBGenzai[社員№],DBGenzai[住所],"",0,1)</f>
        <v>愛知県弥富市平島中4-125</v>
      </c>
      <c r="U53" s="88" t="str">
        <f>_xlfn.XLOOKUP($C53,DBGenzai[社員№],DBGenzai[ｱﾊﾟｰﾄ],"",0,1)</f>
        <v>平島中四丁目賃家</v>
      </c>
      <c r="V53" s="89">
        <f>_xlfn.XLOOKUP($C53,DBGenzai[社員№],DBGenzai[入居],"",0,1)</f>
        <v>0</v>
      </c>
      <c r="W53" s="89">
        <f>_xlfn.XLOOKUP($F$1&amp;B53,Filtro!B:B,Filtro!AF:AF,"",0,1)</f>
        <v>45680</v>
      </c>
      <c r="X53" s="89">
        <f>_xlfn.XLOOKUP($C53,DBGenzai[社員№],DBGenzai[退社日],"",0,1)</f>
        <v>0</v>
      </c>
      <c r="Y53" s="88">
        <f>_xlfn.XLOOKUP($C53,DBGenzai[社員№],DBGenzai[退去],"",0,1)</f>
        <v>0</v>
      </c>
      <c r="Z53" s="88">
        <f>_xlfn.XLOOKUP($C53,DBGenzai[社員№],DBGenzai[備考],"",0,1)</f>
        <v>0</v>
      </c>
      <c r="AA53" s="422">
        <f>_xlfn.XLOOKUP($F$1&amp;B53,Filtro!B:B,Filtro!AL:AL,"",0,1)</f>
        <v>45680</v>
      </c>
      <c r="AB53" s="157">
        <v>45931</v>
      </c>
      <c r="AC53" s="436">
        <f ca="1">_xlfn.XLOOKUP(TablaTransfor[[#This Row],[ライン]],TBKaishaInfo[ライン],TBKaishaInfo[まで],"NohayMarrano",0,1)</f>
        <v>46295</v>
      </c>
    </row>
    <row r="54" spans="1:29" hidden="1">
      <c r="A54" s="424">
        <f>SUBTOTAL(103,$C$3:C54)</f>
        <v>14</v>
      </c>
      <c r="B54" s="159">
        <v>26</v>
      </c>
      <c r="C54" s="88">
        <f>_xlfn.XLOOKUP($F$1&amp;B54,Filtro!B:B,Filtro!D:D,"",0,1)</f>
        <v>220205</v>
      </c>
      <c r="D54" s="88" t="str">
        <f>_xlfn.XLOOKUP($F$1&amp;B54,Filtro!B:B,Filtro!C:C,"",0,1)</f>
        <v>退社</v>
      </c>
      <c r="E54" s="88">
        <f>_xlfn.XLOOKUP($F$1&amp;B54,Filtro!B:B,Filtro!E:E,"",0,1)</f>
        <v>0</v>
      </c>
      <c r="F54" s="88" t="str">
        <f>_xlfn.XLOOKUP($F$1&amp;B54,Filtro!B:B,Filtro!G:G,"",0,1)</f>
        <v>高雄工業株式会社 愛知事業所本社工場製作課</v>
      </c>
      <c r="G54" s="88" t="str">
        <f ca="1">MID(TablaTransfor[[#This Row],[配属先]],1,8)</f>
        <v>高雄工業株式会社</v>
      </c>
      <c r="H54" s="88" t="str">
        <f ca="1">MID(TablaTransfor[[#This Row],[配属先]],9,6)</f>
        <v xml:space="preserve"> 愛知事業所</v>
      </c>
      <c r="I54" s="88">
        <f>_xlfn.XLOOKUP($C54,DBGenzai[社員№],DBGenzai[仕事内容],"",0,1)</f>
        <v>0</v>
      </c>
      <c r="J54" s="88">
        <f>_xlfn.XLOOKUP($F$1&amp;B54,Filtro!B:B,Filtro!H:H,"",0,1)</f>
        <v>0</v>
      </c>
      <c r="K54" s="88" t="str">
        <f>_xlfn.XLOOKUP($F$1&amp;B54,Filtro!B:B,Filtro!J:J,"",0,1)</f>
        <v>NGO VAN CHUONG</v>
      </c>
      <c r="L54" s="88" t="str">
        <f ca="1">IF(TablaTransfor[[#This Row],[氏名]]="","",IF(TablaTransfor[[#This Row],[氏名]]&lt;"0","記号",IF(NOT(EXACT(UPPER(TablaTransfor[[#This Row],[氏名]]),LOWER(TablaTransfor[[#This Row],[氏名]]))),_xlfn.XLOOKUP($C54,DBGenzai[社員№],DBGenzai[カナ],"",0,1),_xlfn.XLOOKUP($C54,DBGenzai[社員№],DBGenzai[氏名],"",0,1))))</f>
        <v>ゴー　バン　チュオン</v>
      </c>
      <c r="M54" s="88" t="str">
        <f>_xlfn.XLOOKUP($C54,DBGenzai[社員№],DBGenzai[性別],"",0,1)</f>
        <v>男</v>
      </c>
      <c r="N54" s="88" t="str">
        <f>_xlfn.XLOOKUP($C54,DBGenzai[社員№],DBGenzai[国籍],"",0,1)</f>
        <v>ﾍﾞﾄﾅﾑ</v>
      </c>
      <c r="O54" s="89">
        <f>_xlfn.XLOOKUP($C54,DBGenzai[社員№],DBGenzai[生年月日],"",0,1)</f>
        <v>34726</v>
      </c>
      <c r="P54" s="88">
        <f>_xlfn.XLOOKUP($F$1&amp;B54,Filtro!B:B,Filtro!O:O,"",0,1)</f>
        <v>30</v>
      </c>
      <c r="Q54" s="88">
        <f>_xlfn.XLOOKUP($F$1&amp;B54,Filtro!B:B,Filtro!P:P,"",0,1)</f>
        <v>1350</v>
      </c>
      <c r="R54" s="426">
        <f>_xlfn.XLOOKUP($F$1&amp;B54,Filtro!B:B,Filtro!R:R,"",0,1)</f>
        <v>1760</v>
      </c>
      <c r="S54" s="88" t="str">
        <f>_xlfn.XLOOKUP($C54,DBGenzai[社員№],DBGenzai[〒],"",0,1)</f>
        <v>498-0025</v>
      </c>
      <c r="T54" s="88" t="str">
        <f>_xlfn.XLOOKUP($C54,DBGenzai[社員№],DBGenzai[住所],"",0,1)</f>
        <v>愛知県弥富市平島町喜右味名78-1</v>
      </c>
      <c r="U54" s="88" t="str">
        <f>_xlfn.XLOOKUP($C54,DBGenzai[社員№],DBGenzai[ｱﾊﾟｰﾄ],"",0,1)</f>
        <v>ﾌﾚｸﾞﾗﾝｽ桂E棟102号</v>
      </c>
      <c r="V54" s="89">
        <f>_xlfn.XLOOKUP($C54,DBGenzai[社員№],DBGenzai[入居],"",0,1)</f>
        <v>44602</v>
      </c>
      <c r="W54" s="89">
        <f>_xlfn.XLOOKUP($F$1&amp;B54,Filtro!B:B,Filtro!AF:AF,"",0,1)</f>
        <v>44599</v>
      </c>
      <c r="X54" s="89">
        <f>_xlfn.XLOOKUP($C54,DBGenzai[社員№],DBGenzai[退社日],"",0,1)</f>
        <v>44680</v>
      </c>
      <c r="Y54" s="88">
        <f>_xlfn.XLOOKUP($C54,DBGenzai[社員№],DBGenzai[退去],"",0,1)</f>
        <v>0</v>
      </c>
      <c r="Z54" s="88">
        <f>_xlfn.XLOOKUP($C54,DBGenzai[社員№],DBGenzai[備考],"",0,1)</f>
        <v>0</v>
      </c>
      <c r="AA54" s="422">
        <f>_xlfn.XLOOKUP($F$1&amp;B54,Filtro!B:B,Filtro!AL:AL,"",0,1)</f>
        <v>44599</v>
      </c>
      <c r="AB54" s="157" t="str" cm="1">
        <f t="array" aca="1" ref="AB5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54" s="436" t="str">
        <f ca="1">_xlfn.XLOOKUP(TablaTransfor[[#This Row],[ライン]],TBKaishaInfo[ライン],TBKaishaInfo[まで],"NohayMarrano",0,1)</f>
        <v>NohayMarrano</v>
      </c>
    </row>
    <row r="55" spans="1:29" hidden="1">
      <c r="A55" s="424">
        <f>SUBTOTAL(103,$C$3:C55)</f>
        <v>14</v>
      </c>
      <c r="B55" s="159">
        <v>85</v>
      </c>
      <c r="C55" s="88" t="str">
        <f>_xlfn.XLOOKUP($F$1&amp;B55,Filtro!B:B,Filtro!D:D,"",0,1)</f>
        <v/>
      </c>
      <c r="D55" s="88" t="str">
        <f>_xlfn.XLOOKUP($F$1&amp;B55,Filtro!B:B,Filtro!C:C,"",0,1)</f>
        <v/>
      </c>
      <c r="E55" s="88" t="str">
        <f>_xlfn.XLOOKUP($F$1&amp;B55,Filtro!B:B,Filtro!E:E,"",0,1)</f>
        <v/>
      </c>
      <c r="F55" s="88" t="str">
        <f>_xlfn.XLOOKUP($F$1&amp;B55,Filtro!B:B,Filtro!G:G,"",0,1)</f>
        <v/>
      </c>
      <c r="G55" s="88" t="str">
        <f ca="1">MID(TablaTransfor[[#This Row],[配属先]],1,8)</f>
        <v/>
      </c>
      <c r="H55" s="88" t="str">
        <f ca="1">MID(TablaTransfor[[#This Row],[配属先]],9,6)</f>
        <v/>
      </c>
      <c r="I55" s="88" t="str">
        <f>_xlfn.XLOOKUP($C55,DBGenzai[社員№],DBGenzai[仕事内容],"",0,1)</f>
        <v/>
      </c>
      <c r="J55" s="88" t="str">
        <f>_xlfn.XLOOKUP($F$1&amp;B55,Filtro!B:B,Filtro!H:H,"",0,1)</f>
        <v/>
      </c>
      <c r="K55" s="88" t="str">
        <f>_xlfn.XLOOKUP($F$1&amp;B55,Filtro!B:B,Filtro!J:J,"",0,1)</f>
        <v/>
      </c>
      <c r="L55" s="88" t="str">
        <f ca="1">IF(TablaTransfor[[#This Row],[氏名]]="","",IF(TablaTransfor[[#This Row],[氏名]]&lt;"0","記号",IF(NOT(EXACT(UPPER(TablaTransfor[[#This Row],[氏名]]),LOWER(TablaTransfor[[#This Row],[氏名]]))),_xlfn.XLOOKUP($C55,DBGenzai[社員№],DBGenzai[カナ],"",0,1),_xlfn.XLOOKUP($C55,DBGenzai[社員№],DBGenzai[氏名],"",0,1))))</f>
        <v/>
      </c>
      <c r="M55" s="88" t="str">
        <f>_xlfn.XLOOKUP($C55,DBGenzai[社員№],DBGenzai[性別],"",0,1)</f>
        <v/>
      </c>
      <c r="N55" s="88" t="str">
        <f>_xlfn.XLOOKUP($C55,DBGenzai[社員№],DBGenzai[国籍],"",0,1)</f>
        <v/>
      </c>
      <c r="O55" s="89" t="str">
        <f>_xlfn.XLOOKUP($C55,DBGenzai[社員№],DBGenzai[生年月日],"",0,1)</f>
        <v/>
      </c>
      <c r="P55" s="88" t="str">
        <f>_xlfn.XLOOKUP($F$1&amp;B55,Filtro!B:B,Filtro!O:O,"",0,1)</f>
        <v/>
      </c>
      <c r="Q55" s="88" t="str">
        <f>_xlfn.XLOOKUP($F$1&amp;B55,Filtro!B:B,Filtro!P:P,"",0,1)</f>
        <v/>
      </c>
      <c r="R55" s="426" t="str">
        <f>_xlfn.XLOOKUP($F$1&amp;B55,Filtro!B:B,Filtro!R:R,"",0,1)</f>
        <v/>
      </c>
      <c r="S55" s="88" t="str">
        <f>_xlfn.XLOOKUP($C55,DBGenzai[社員№],DBGenzai[〒],"",0,1)</f>
        <v/>
      </c>
      <c r="T55" s="88" t="str">
        <f>_xlfn.XLOOKUP($C55,DBGenzai[社員№],DBGenzai[住所],"",0,1)</f>
        <v/>
      </c>
      <c r="U55" s="88" t="str">
        <f>_xlfn.XLOOKUP($C55,DBGenzai[社員№],DBGenzai[ｱﾊﾟｰﾄ],"",0,1)</f>
        <v/>
      </c>
      <c r="V55" s="89" t="str">
        <f>_xlfn.XLOOKUP($C55,DBGenzai[社員№],DBGenzai[入居],"",0,1)</f>
        <v/>
      </c>
      <c r="W55" s="89" t="str">
        <f>_xlfn.XLOOKUP($F$1&amp;B55,Filtro!B:B,Filtro!AF:AF,"",0,1)</f>
        <v/>
      </c>
      <c r="X55" s="89" t="str">
        <f>_xlfn.XLOOKUP($C55,DBGenzai[社員№],DBGenzai[退社日],"",0,1)</f>
        <v/>
      </c>
      <c r="Y55" s="88" t="str">
        <f>_xlfn.XLOOKUP($C55,DBGenzai[社員№],DBGenzai[退去],"",0,1)</f>
        <v/>
      </c>
      <c r="Z55" s="88" t="str">
        <f>_xlfn.XLOOKUP($C55,DBGenzai[社員№],DBGenzai[備考],"",0,1)</f>
        <v/>
      </c>
      <c r="AA55" s="422" t="str">
        <f>_xlfn.XLOOKUP($F$1&amp;B55,Filtro!B:B,Filtro!AL:AL,"",0,1)</f>
        <v/>
      </c>
      <c r="AB55" s="157" t="str" cm="1">
        <f t="array" aca="1" ref="AB5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55" s="436" t="str">
        <f ca="1">_xlfn.XLOOKUP(TablaTransfor[[#This Row],[ライン]],TBKaishaInfo[ライン],TBKaishaInfo[まで],"NohayMarrano",0,1)</f>
        <v>NohayMarrano</v>
      </c>
    </row>
    <row r="56" spans="1:29" hidden="1">
      <c r="A56" s="424">
        <f>SUBTOTAL(103,$C$3:C56)</f>
        <v>14</v>
      </c>
      <c r="B56" s="159">
        <v>87</v>
      </c>
      <c r="C56" s="88" t="str">
        <f>_xlfn.XLOOKUP($F$1&amp;B56,Filtro!B:B,Filtro!D:D,"",0,1)</f>
        <v/>
      </c>
      <c r="D56" s="88" t="str">
        <f>_xlfn.XLOOKUP($F$1&amp;B56,Filtro!B:B,Filtro!C:C,"",0,1)</f>
        <v/>
      </c>
      <c r="E56" s="88" t="str">
        <f>_xlfn.XLOOKUP($F$1&amp;B56,Filtro!B:B,Filtro!E:E,"",0,1)</f>
        <v/>
      </c>
      <c r="F56" s="88" t="str">
        <f>_xlfn.XLOOKUP($F$1&amp;B56,Filtro!B:B,Filtro!G:G,"",0,1)</f>
        <v/>
      </c>
      <c r="G56" s="88" t="str">
        <f ca="1">MID(TablaTransfor[[#This Row],[配属先]],1,8)</f>
        <v/>
      </c>
      <c r="H56" s="88" t="str">
        <f ca="1">MID(TablaTransfor[[#This Row],[配属先]],9,6)</f>
        <v/>
      </c>
      <c r="I56" s="88" t="str">
        <f>_xlfn.XLOOKUP($C56,DBGenzai[社員№],DBGenzai[仕事内容],"",0,1)</f>
        <v/>
      </c>
      <c r="J56" s="88" t="str">
        <f>_xlfn.XLOOKUP($F$1&amp;B56,Filtro!B:B,Filtro!H:H,"",0,1)</f>
        <v/>
      </c>
      <c r="K56" s="88" t="str">
        <f>_xlfn.XLOOKUP($F$1&amp;B56,Filtro!B:B,Filtro!J:J,"",0,1)</f>
        <v/>
      </c>
      <c r="L56" s="88" t="str">
        <f ca="1">IF(TablaTransfor[[#This Row],[氏名]]="","",IF(TablaTransfor[[#This Row],[氏名]]&lt;"0","記号",IF(NOT(EXACT(UPPER(TablaTransfor[[#This Row],[氏名]]),LOWER(TablaTransfor[[#This Row],[氏名]]))),_xlfn.XLOOKUP($C56,DBGenzai[社員№],DBGenzai[カナ],"",0,1),_xlfn.XLOOKUP($C56,DBGenzai[社員№],DBGenzai[氏名],"",0,1))))</f>
        <v/>
      </c>
      <c r="M56" s="88" t="str">
        <f>_xlfn.XLOOKUP($C56,DBGenzai[社員№],DBGenzai[性別],"",0,1)</f>
        <v/>
      </c>
      <c r="N56" s="88" t="str">
        <f>_xlfn.XLOOKUP($C56,DBGenzai[社員№],DBGenzai[国籍],"",0,1)</f>
        <v/>
      </c>
      <c r="O56" s="89" t="str">
        <f>_xlfn.XLOOKUP($C56,DBGenzai[社員№],DBGenzai[生年月日],"",0,1)</f>
        <v/>
      </c>
      <c r="P56" s="88" t="str">
        <f>_xlfn.XLOOKUP($F$1&amp;B56,Filtro!B:B,Filtro!O:O,"",0,1)</f>
        <v/>
      </c>
      <c r="Q56" s="88" t="str">
        <f>_xlfn.XLOOKUP($F$1&amp;B56,Filtro!B:B,Filtro!P:P,"",0,1)</f>
        <v/>
      </c>
      <c r="R56" s="426" t="str">
        <f>_xlfn.XLOOKUP($F$1&amp;B56,Filtro!B:B,Filtro!R:R,"",0,1)</f>
        <v/>
      </c>
      <c r="S56" s="88" t="str">
        <f>_xlfn.XLOOKUP($C56,DBGenzai[社員№],DBGenzai[〒],"",0,1)</f>
        <v/>
      </c>
      <c r="T56" s="88" t="str">
        <f>_xlfn.XLOOKUP($C56,DBGenzai[社員№],DBGenzai[住所],"",0,1)</f>
        <v/>
      </c>
      <c r="U56" s="88" t="str">
        <f>_xlfn.XLOOKUP($C56,DBGenzai[社員№],DBGenzai[ｱﾊﾟｰﾄ],"",0,1)</f>
        <v/>
      </c>
      <c r="V56" s="89" t="str">
        <f>_xlfn.XLOOKUP($C56,DBGenzai[社員№],DBGenzai[入居],"",0,1)</f>
        <v/>
      </c>
      <c r="W56" s="89" t="str">
        <f>_xlfn.XLOOKUP($F$1&amp;B56,Filtro!B:B,Filtro!AF:AF,"",0,1)</f>
        <v/>
      </c>
      <c r="X56" s="89" t="str">
        <f>_xlfn.XLOOKUP($C56,DBGenzai[社員№],DBGenzai[退社日],"",0,1)</f>
        <v/>
      </c>
      <c r="Y56" s="88" t="str">
        <f>_xlfn.XLOOKUP($C56,DBGenzai[社員№],DBGenzai[退去],"",0,1)</f>
        <v/>
      </c>
      <c r="Z56" s="88" t="str">
        <f>_xlfn.XLOOKUP($C56,DBGenzai[社員№],DBGenzai[備考],"",0,1)</f>
        <v/>
      </c>
      <c r="AA56" s="422" t="str">
        <f>_xlfn.XLOOKUP($F$1&amp;B56,Filtro!B:B,Filtro!AL:AL,"",0,1)</f>
        <v/>
      </c>
      <c r="AB56" s="157" t="str" cm="1">
        <f t="array" aca="1" ref="AB5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56" s="436" t="str">
        <f ca="1">_xlfn.XLOOKUP(TablaTransfor[[#This Row],[ライン]],TBKaishaInfo[ライン],TBKaishaInfo[まで],"NohayMarrano",0,1)</f>
        <v>NohayMarrano</v>
      </c>
    </row>
    <row r="57" spans="1:29" hidden="1">
      <c r="A57" s="424">
        <f>SUBTOTAL(103,$C$3:C57)</f>
        <v>14</v>
      </c>
      <c r="B57" s="159">
        <v>75</v>
      </c>
      <c r="C57" s="88" t="str">
        <f>_xlfn.XLOOKUP($F$1&amp;B57,Filtro!B:B,Filtro!D:D,"",0,1)</f>
        <v/>
      </c>
      <c r="D57" s="88" t="str">
        <f>_xlfn.XLOOKUP($F$1&amp;B57,Filtro!B:B,Filtro!C:C,"",0,1)</f>
        <v/>
      </c>
      <c r="E57" s="88" t="str">
        <f>_xlfn.XLOOKUP($F$1&amp;B57,Filtro!B:B,Filtro!E:E,"",0,1)</f>
        <v/>
      </c>
      <c r="F57" s="88" t="str">
        <f>_xlfn.XLOOKUP($F$1&amp;B57,Filtro!B:B,Filtro!G:G,"",0,1)</f>
        <v/>
      </c>
      <c r="G57" s="88" t="str">
        <f ca="1">MID(TablaTransfor[[#This Row],[配属先]],1,8)</f>
        <v/>
      </c>
      <c r="H57" s="88" t="str">
        <f ca="1">MID(TablaTransfor[[#This Row],[配属先]],9,6)</f>
        <v/>
      </c>
      <c r="I57" s="88" t="str">
        <f>_xlfn.XLOOKUP($C57,DBGenzai[社員№],DBGenzai[仕事内容],"",0,1)</f>
        <v/>
      </c>
      <c r="J57" s="88" t="str">
        <f>_xlfn.XLOOKUP($F$1&amp;B57,Filtro!B:B,Filtro!H:H,"",0,1)</f>
        <v/>
      </c>
      <c r="K57" s="88" t="str">
        <f>_xlfn.XLOOKUP($F$1&amp;B57,Filtro!B:B,Filtro!J:J,"",0,1)</f>
        <v/>
      </c>
      <c r="L57" s="88" t="str">
        <f ca="1">IF(TablaTransfor[[#This Row],[氏名]]="","",IF(TablaTransfor[[#This Row],[氏名]]&lt;"0","記号",IF(NOT(EXACT(UPPER(TablaTransfor[[#This Row],[氏名]]),LOWER(TablaTransfor[[#This Row],[氏名]]))),_xlfn.XLOOKUP($C57,DBGenzai[社員№],DBGenzai[カナ],"",0,1),_xlfn.XLOOKUP($C57,DBGenzai[社員№],DBGenzai[氏名],"",0,1))))</f>
        <v/>
      </c>
      <c r="M57" s="88" t="str">
        <f>_xlfn.XLOOKUP($C57,DBGenzai[社員№],DBGenzai[性別],"",0,1)</f>
        <v/>
      </c>
      <c r="N57" s="88" t="str">
        <f>_xlfn.XLOOKUP($C57,DBGenzai[社員№],DBGenzai[国籍],"",0,1)</f>
        <v/>
      </c>
      <c r="O57" s="89" t="str">
        <f>_xlfn.XLOOKUP($C57,DBGenzai[社員№],DBGenzai[生年月日],"",0,1)</f>
        <v/>
      </c>
      <c r="P57" s="88" t="str">
        <f>_xlfn.XLOOKUP($F$1&amp;B57,Filtro!B:B,Filtro!O:O,"",0,1)</f>
        <v/>
      </c>
      <c r="Q57" s="88" t="str">
        <f>_xlfn.XLOOKUP($F$1&amp;B57,Filtro!B:B,Filtro!P:P,"",0,1)</f>
        <v/>
      </c>
      <c r="R57" s="426" t="str">
        <f>_xlfn.XLOOKUP($F$1&amp;B57,Filtro!B:B,Filtro!R:R,"",0,1)</f>
        <v/>
      </c>
      <c r="S57" s="88" t="str">
        <f>_xlfn.XLOOKUP($C57,DBGenzai[社員№],DBGenzai[〒],"",0,1)</f>
        <v/>
      </c>
      <c r="T57" s="88" t="str">
        <f>_xlfn.XLOOKUP($C57,DBGenzai[社員№],DBGenzai[住所],"",0,1)</f>
        <v/>
      </c>
      <c r="U57" s="88" t="str">
        <f>_xlfn.XLOOKUP($C57,DBGenzai[社員№],DBGenzai[ｱﾊﾟｰﾄ],"",0,1)</f>
        <v/>
      </c>
      <c r="V57" s="89" t="str">
        <f>_xlfn.XLOOKUP($C57,DBGenzai[社員№],DBGenzai[入居],"",0,1)</f>
        <v/>
      </c>
      <c r="W57" s="89" t="str">
        <f>_xlfn.XLOOKUP($F$1&amp;B57,Filtro!B:B,Filtro!AF:AF,"",0,1)</f>
        <v/>
      </c>
      <c r="X57" s="89" t="str">
        <f>_xlfn.XLOOKUP($C57,DBGenzai[社員№],DBGenzai[退社日],"",0,1)</f>
        <v/>
      </c>
      <c r="Y57" s="88" t="str">
        <f>_xlfn.XLOOKUP($C57,DBGenzai[社員№],DBGenzai[退去],"",0,1)</f>
        <v/>
      </c>
      <c r="Z57" s="88" t="str">
        <f>_xlfn.XLOOKUP($C57,DBGenzai[社員№],DBGenzai[備考],"",0,1)</f>
        <v/>
      </c>
      <c r="AA57" s="422" t="str">
        <f>_xlfn.XLOOKUP($F$1&amp;B57,Filtro!B:B,Filtro!AL:AL,"",0,1)</f>
        <v/>
      </c>
      <c r="AB57" s="157" t="str" cm="1">
        <f t="array" aca="1" ref="AB5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57" s="436" t="str">
        <f ca="1">_xlfn.XLOOKUP(TablaTransfor[[#This Row],[ライン]],TBKaishaInfo[ライン],TBKaishaInfo[まで],"NohayMarrano",0,1)</f>
        <v>NohayMarrano</v>
      </c>
    </row>
    <row r="58" spans="1:29" hidden="1">
      <c r="A58" s="424">
        <f>SUBTOTAL(103,$C$3:C58)</f>
        <v>14</v>
      </c>
      <c r="B58" s="159">
        <v>76</v>
      </c>
      <c r="C58" s="88" t="str">
        <f>_xlfn.XLOOKUP($F$1&amp;B58,Filtro!B:B,Filtro!D:D,"",0,1)</f>
        <v/>
      </c>
      <c r="D58" s="88" t="str">
        <f>_xlfn.XLOOKUP($F$1&amp;B58,Filtro!B:B,Filtro!C:C,"",0,1)</f>
        <v/>
      </c>
      <c r="E58" s="88" t="str">
        <f>_xlfn.XLOOKUP($F$1&amp;B58,Filtro!B:B,Filtro!E:E,"",0,1)</f>
        <v/>
      </c>
      <c r="F58" s="88" t="str">
        <f>_xlfn.XLOOKUP($F$1&amp;B58,Filtro!B:B,Filtro!G:G,"",0,1)</f>
        <v/>
      </c>
      <c r="G58" s="88" t="str">
        <f ca="1">MID(TablaTransfor[[#This Row],[配属先]],1,8)</f>
        <v/>
      </c>
      <c r="H58" s="88" t="str">
        <f ca="1">MID(TablaTransfor[[#This Row],[配属先]],9,6)</f>
        <v/>
      </c>
      <c r="I58" s="88" t="str">
        <f>_xlfn.XLOOKUP($C58,DBGenzai[社員№],DBGenzai[仕事内容],"",0,1)</f>
        <v/>
      </c>
      <c r="J58" s="88" t="str">
        <f>_xlfn.XLOOKUP($F$1&amp;B58,Filtro!B:B,Filtro!H:H,"",0,1)</f>
        <v/>
      </c>
      <c r="K58" s="88" t="str">
        <f>_xlfn.XLOOKUP($F$1&amp;B58,Filtro!B:B,Filtro!J:J,"",0,1)</f>
        <v/>
      </c>
      <c r="L58" s="88" t="str">
        <f ca="1">IF(TablaTransfor[[#This Row],[氏名]]="","",IF(TablaTransfor[[#This Row],[氏名]]&lt;"0","記号",IF(NOT(EXACT(UPPER(TablaTransfor[[#This Row],[氏名]]),LOWER(TablaTransfor[[#This Row],[氏名]]))),_xlfn.XLOOKUP($C58,DBGenzai[社員№],DBGenzai[カナ],"",0,1),_xlfn.XLOOKUP($C58,DBGenzai[社員№],DBGenzai[氏名],"",0,1))))</f>
        <v/>
      </c>
      <c r="M58" s="88" t="str">
        <f>_xlfn.XLOOKUP($C58,DBGenzai[社員№],DBGenzai[性別],"",0,1)</f>
        <v/>
      </c>
      <c r="N58" s="88" t="str">
        <f>_xlfn.XLOOKUP($C58,DBGenzai[社員№],DBGenzai[国籍],"",0,1)</f>
        <v/>
      </c>
      <c r="O58" s="89" t="str">
        <f>_xlfn.XLOOKUP($C58,DBGenzai[社員№],DBGenzai[生年月日],"",0,1)</f>
        <v/>
      </c>
      <c r="P58" s="88" t="str">
        <f>_xlfn.XLOOKUP($F$1&amp;B58,Filtro!B:B,Filtro!O:O,"",0,1)</f>
        <v/>
      </c>
      <c r="Q58" s="88" t="str">
        <f>_xlfn.XLOOKUP($F$1&amp;B58,Filtro!B:B,Filtro!P:P,"",0,1)</f>
        <v/>
      </c>
      <c r="R58" s="426" t="str">
        <f>_xlfn.XLOOKUP($F$1&amp;B58,Filtro!B:B,Filtro!R:R,"",0,1)</f>
        <v/>
      </c>
      <c r="S58" s="88" t="str">
        <f>_xlfn.XLOOKUP($C58,DBGenzai[社員№],DBGenzai[〒],"",0,1)</f>
        <v/>
      </c>
      <c r="T58" s="88" t="str">
        <f>_xlfn.XLOOKUP($C58,DBGenzai[社員№],DBGenzai[住所],"",0,1)</f>
        <v/>
      </c>
      <c r="U58" s="88" t="str">
        <f>_xlfn.XLOOKUP($C58,DBGenzai[社員№],DBGenzai[ｱﾊﾟｰﾄ],"",0,1)</f>
        <v/>
      </c>
      <c r="V58" s="89" t="str">
        <f>_xlfn.XLOOKUP($C58,DBGenzai[社員№],DBGenzai[入居],"",0,1)</f>
        <v/>
      </c>
      <c r="W58" s="89" t="str">
        <f>_xlfn.XLOOKUP($F$1&amp;B58,Filtro!B:B,Filtro!AF:AF,"",0,1)</f>
        <v/>
      </c>
      <c r="X58" s="89" t="str">
        <f>_xlfn.XLOOKUP($C58,DBGenzai[社員№],DBGenzai[退社日],"",0,1)</f>
        <v/>
      </c>
      <c r="Y58" s="88" t="str">
        <f>_xlfn.XLOOKUP($C58,DBGenzai[社員№],DBGenzai[退去],"",0,1)</f>
        <v/>
      </c>
      <c r="Z58" s="88" t="str">
        <f>_xlfn.XLOOKUP($C58,DBGenzai[社員№],DBGenzai[備考],"",0,1)</f>
        <v/>
      </c>
      <c r="AA58" s="422" t="str">
        <f>_xlfn.XLOOKUP($F$1&amp;B58,Filtro!B:B,Filtro!AL:AL,"",0,1)</f>
        <v/>
      </c>
      <c r="AB58" s="157" t="str" cm="1">
        <f t="array" aca="1" ref="AB5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58" s="436" t="str">
        <f ca="1">_xlfn.XLOOKUP(TablaTransfor[[#This Row],[ライン]],TBKaishaInfo[ライン],TBKaishaInfo[まで],"NohayMarrano",0,1)</f>
        <v>NohayMarrano</v>
      </c>
    </row>
    <row r="59" spans="1:29" hidden="1">
      <c r="A59" s="424">
        <f>SUBTOTAL(103,$C$3:C59)</f>
        <v>14</v>
      </c>
      <c r="B59" s="159">
        <v>29</v>
      </c>
      <c r="C59" s="88">
        <f>_xlfn.XLOOKUP($F$1&amp;B59,Filtro!B:B,Filtro!D:D,"",0,1)</f>
        <v>240504</v>
      </c>
      <c r="D59" s="88" t="str">
        <f>_xlfn.XLOOKUP($F$1&amp;B59,Filtro!B:B,Filtro!C:C,"",0,1)</f>
        <v>在職中</v>
      </c>
      <c r="E59" s="88">
        <f>_xlfn.XLOOKUP($F$1&amp;B59,Filtro!B:B,Filtro!E:E,"",0,1)</f>
        <v>212050</v>
      </c>
      <c r="F59" s="88" t="str">
        <f>_xlfn.XLOOKUP($F$1&amp;B59,Filtro!B:B,Filtro!G:G,"",0,1)</f>
        <v>高雄工業株式会社 愛知事業所本社工場製作課</v>
      </c>
      <c r="G59" s="88" t="str">
        <f ca="1">MID(TablaTransfor[[#This Row],[配属先]],1,8)</f>
        <v>高雄工業株式会社</v>
      </c>
      <c r="H59" s="88" t="str">
        <f ca="1">MID(TablaTransfor[[#This Row],[配属先]],9,6)</f>
        <v xml:space="preserve"> 愛知事業所</v>
      </c>
      <c r="I59" s="88" t="str">
        <f>_xlfn.XLOOKUP($C59,DBGenzai[社員№],DBGenzai[仕事内容],"",0,1)</f>
        <v>CVJ部品短軸品の施削加工、NCプログラム修正</v>
      </c>
      <c r="J59" s="88" t="str">
        <f>_xlfn.XLOOKUP($F$1&amp;B59,Filtro!B:B,Filtro!H:H,"",0,1)</f>
        <v>Fライン</v>
      </c>
      <c r="K59" s="88" t="str">
        <f>_xlfn.XLOOKUP($F$1&amp;B59,Filtro!B:B,Filtro!J:J,"",0,1)</f>
        <v>NGUYEN HOANG TRUNG</v>
      </c>
      <c r="L59" s="88" t="str">
        <f ca="1">IF(TablaTransfor[[#This Row],[氏名]]="","",IF(TablaTransfor[[#This Row],[氏名]]&lt;"0","記号",IF(NOT(EXACT(UPPER(TablaTransfor[[#This Row],[氏名]]),LOWER(TablaTransfor[[#This Row],[氏名]]))),_xlfn.XLOOKUP($C59,DBGenzai[社員№],DBGenzai[カナ],"",0,1),_xlfn.XLOOKUP($C59,DBGenzai[社員№],DBGenzai[氏名],"",0,1))))</f>
        <v>グエン　ホアン　チュン</v>
      </c>
      <c r="M59" s="88" t="str">
        <f>_xlfn.XLOOKUP($C59,DBGenzai[社員№],DBGenzai[性別],"",0,1)</f>
        <v>男</v>
      </c>
      <c r="N59" s="88" t="str">
        <f>_xlfn.XLOOKUP($C59,DBGenzai[社員№],DBGenzai[国籍],"",0,1)</f>
        <v>ﾍﾞﾄﾅﾑ</v>
      </c>
      <c r="O59" s="89">
        <f>_xlfn.XLOOKUP($C59,DBGenzai[社員№],DBGenzai[生年月日],"",0,1)</f>
        <v>36870</v>
      </c>
      <c r="P59" s="88">
        <f>_xlfn.XLOOKUP($F$1&amp;B59,Filtro!B:B,Filtro!O:O,"",0,1)</f>
        <v>24</v>
      </c>
      <c r="Q59" s="88">
        <f>_xlfn.XLOOKUP($F$1&amp;B59,Filtro!B:B,Filtro!P:P,"",0,1)</f>
        <v>1310</v>
      </c>
      <c r="R59" s="426">
        <f>_xlfn.XLOOKUP($F$1&amp;B59,Filtro!B:B,Filtro!R:R,"",0,1)</f>
        <v>1660</v>
      </c>
      <c r="S59" s="88" t="str">
        <f>_xlfn.XLOOKUP($C59,DBGenzai[社員№],DBGenzai[〒],"",0,1)</f>
        <v>498-0017</v>
      </c>
      <c r="T59" s="88" t="str">
        <f>_xlfn.XLOOKUP($C59,DBGenzai[社員№],DBGenzai[住所],"",0,1)</f>
        <v>愛知県弥富市前ケ須町勘助走29-1</v>
      </c>
      <c r="U59" s="88" t="str">
        <f>_xlfn.XLOOKUP($C59,DBGenzai[社員№],DBGenzai[ｱﾊﾟｰﾄ],"",0,1)</f>
        <v>ﾌﾟﾚｼﾞｵC202</v>
      </c>
      <c r="V59" s="89">
        <f>_xlfn.XLOOKUP($C59,DBGenzai[社員№],DBGenzai[入居],"",0,1)</f>
        <v>0</v>
      </c>
      <c r="W59" s="89">
        <f>_xlfn.XLOOKUP($F$1&amp;B59,Filtro!B:B,Filtro!AF:AF,"",0,1)</f>
        <v>45422</v>
      </c>
      <c r="X59" s="89">
        <f>_xlfn.XLOOKUP($C59,DBGenzai[社員№],DBGenzai[退社日],"",0,1)</f>
        <v>0</v>
      </c>
      <c r="Y59" s="88">
        <f>_xlfn.XLOOKUP($C59,DBGenzai[社員№],DBGenzai[退去],"",0,1)</f>
        <v>0</v>
      </c>
      <c r="Z59" s="88">
        <f>_xlfn.XLOOKUP($C59,DBGenzai[社員№],DBGenzai[備考],"",0,1)</f>
        <v>0</v>
      </c>
      <c r="AA59" s="422">
        <f>_xlfn.XLOOKUP($F$1&amp;B59,Filtro!B:B,Filtro!AL:AL,"",0,1)</f>
        <v>45422</v>
      </c>
      <c r="AB59" s="157" t="str" cm="1">
        <f t="array" aca="1" ref="AB5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59" s="436">
        <f ca="1">_xlfn.XLOOKUP(TablaTransfor[[#This Row],[ライン]],TBKaishaInfo[ライン],TBKaishaInfo[まで],"NohayMarrano",0,1)</f>
        <v>46295</v>
      </c>
    </row>
    <row r="60" spans="1:29" hidden="1">
      <c r="A60" s="424">
        <f>SUBTOTAL(103,$C$3:C60)</f>
        <v>14</v>
      </c>
      <c r="B60" s="159">
        <v>103</v>
      </c>
      <c r="C60" s="88" t="str">
        <f>_xlfn.XLOOKUP($F$1&amp;B60,Filtro!B:B,Filtro!D:D,"",0,1)</f>
        <v/>
      </c>
      <c r="D60" s="88" t="str">
        <f>_xlfn.XLOOKUP($F$1&amp;B60,Filtro!B:B,Filtro!C:C,"",0,1)</f>
        <v/>
      </c>
      <c r="E60" s="88" t="str">
        <f>_xlfn.XLOOKUP($F$1&amp;B60,Filtro!B:B,Filtro!E:E,"",0,1)</f>
        <v/>
      </c>
      <c r="F60" s="88" t="str">
        <f>_xlfn.XLOOKUP($F$1&amp;B60,Filtro!B:B,Filtro!G:G,"",0,1)</f>
        <v/>
      </c>
      <c r="G60" s="88" t="str">
        <f ca="1">MID(TablaTransfor[[#This Row],[配属先]],1,8)</f>
        <v/>
      </c>
      <c r="H60" s="88" t="str">
        <f ca="1">MID(TablaTransfor[[#This Row],[配属先]],9,6)</f>
        <v/>
      </c>
      <c r="I60" s="88" t="str">
        <f>_xlfn.XLOOKUP($C60,DBGenzai[社員№],DBGenzai[仕事内容],"",0,1)</f>
        <v/>
      </c>
      <c r="J60" s="88" t="str">
        <f>_xlfn.XLOOKUP($F$1&amp;B60,Filtro!B:B,Filtro!H:H,"",0,1)</f>
        <v/>
      </c>
      <c r="K60" s="88" t="str">
        <f>_xlfn.XLOOKUP($F$1&amp;B60,Filtro!B:B,Filtro!J:J,"",0,1)</f>
        <v/>
      </c>
      <c r="L60" s="88" t="str">
        <f ca="1">IF(TablaTransfor[[#This Row],[氏名]]="","",IF(TablaTransfor[[#This Row],[氏名]]&lt;"0","記号",IF(NOT(EXACT(UPPER(TablaTransfor[[#This Row],[氏名]]),LOWER(TablaTransfor[[#This Row],[氏名]]))),_xlfn.XLOOKUP($C60,DBGenzai[社員№],DBGenzai[カナ],"",0,1),_xlfn.XLOOKUP($C60,DBGenzai[社員№],DBGenzai[氏名],"",0,1))))</f>
        <v/>
      </c>
      <c r="M60" s="88" t="str">
        <f>_xlfn.XLOOKUP($C60,DBGenzai[社員№],DBGenzai[性別],"",0,1)</f>
        <v/>
      </c>
      <c r="N60" s="88" t="str">
        <f>_xlfn.XLOOKUP($C60,DBGenzai[社員№],DBGenzai[国籍],"",0,1)</f>
        <v/>
      </c>
      <c r="O60" s="89" t="str">
        <f>_xlfn.XLOOKUP($C60,DBGenzai[社員№],DBGenzai[生年月日],"",0,1)</f>
        <v/>
      </c>
      <c r="P60" s="88" t="str">
        <f>_xlfn.XLOOKUP($F$1&amp;B60,Filtro!B:B,Filtro!O:O,"",0,1)</f>
        <v/>
      </c>
      <c r="Q60" s="88" t="str">
        <f>_xlfn.XLOOKUP($F$1&amp;B60,Filtro!B:B,Filtro!P:P,"",0,1)</f>
        <v/>
      </c>
      <c r="R60" s="426" t="str">
        <f>_xlfn.XLOOKUP($F$1&amp;B60,Filtro!B:B,Filtro!R:R,"",0,1)</f>
        <v/>
      </c>
      <c r="S60" s="88" t="str">
        <f>_xlfn.XLOOKUP($C60,DBGenzai[社員№],DBGenzai[〒],"",0,1)</f>
        <v/>
      </c>
      <c r="T60" s="88" t="str">
        <f>_xlfn.XLOOKUP($C60,DBGenzai[社員№],DBGenzai[住所],"",0,1)</f>
        <v/>
      </c>
      <c r="U60" s="88" t="str">
        <f>_xlfn.XLOOKUP($C60,DBGenzai[社員№],DBGenzai[ｱﾊﾟｰﾄ],"",0,1)</f>
        <v/>
      </c>
      <c r="V60" s="89" t="str">
        <f>_xlfn.XLOOKUP($C60,DBGenzai[社員№],DBGenzai[入居],"",0,1)</f>
        <v/>
      </c>
      <c r="W60" s="89" t="str">
        <f>_xlfn.XLOOKUP($F$1&amp;B60,Filtro!B:B,Filtro!AF:AF,"",0,1)</f>
        <v/>
      </c>
      <c r="X60" s="89" t="str">
        <f>_xlfn.XLOOKUP($C60,DBGenzai[社員№],DBGenzai[退社日],"",0,1)</f>
        <v/>
      </c>
      <c r="Y60" s="88" t="str">
        <f>_xlfn.XLOOKUP($C60,DBGenzai[社員№],DBGenzai[退去],"",0,1)</f>
        <v/>
      </c>
      <c r="Z60" s="88" t="str">
        <f>_xlfn.XLOOKUP($C60,DBGenzai[社員№],DBGenzai[備考],"",0,1)</f>
        <v/>
      </c>
      <c r="AA60" s="422" t="str">
        <f>_xlfn.XLOOKUP($F$1&amp;B60,Filtro!B:B,Filtro!AL:AL,"",0,1)</f>
        <v/>
      </c>
      <c r="AB60" s="157" t="str" cm="1">
        <f t="array" aca="1" ref="AB6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0" s="436" t="str">
        <f ca="1">_xlfn.XLOOKUP(TablaTransfor[[#This Row],[ライン]],TBKaishaInfo[ライン],TBKaishaInfo[まで],"NohayMarrano",0,1)</f>
        <v>NohayMarrano</v>
      </c>
    </row>
    <row r="61" spans="1:29" hidden="1">
      <c r="A61" s="424">
        <f>SUBTOTAL(103,$C$3:C61)</f>
        <v>14</v>
      </c>
      <c r="B61" s="159">
        <v>86</v>
      </c>
      <c r="C61" s="88" t="str">
        <f>_xlfn.XLOOKUP($F$1&amp;B61,Filtro!B:B,Filtro!D:D,"",0,1)</f>
        <v/>
      </c>
      <c r="D61" s="88" t="str">
        <f>_xlfn.XLOOKUP($F$1&amp;B61,Filtro!B:B,Filtro!C:C,"",0,1)</f>
        <v/>
      </c>
      <c r="E61" s="88" t="str">
        <f>_xlfn.XLOOKUP($F$1&amp;B61,Filtro!B:B,Filtro!E:E,"",0,1)</f>
        <v/>
      </c>
      <c r="F61" s="88" t="str">
        <f>_xlfn.XLOOKUP($F$1&amp;B61,Filtro!B:B,Filtro!G:G,"",0,1)</f>
        <v/>
      </c>
      <c r="G61" s="88" t="str">
        <f ca="1">MID(TablaTransfor[[#This Row],[配属先]],1,8)</f>
        <v/>
      </c>
      <c r="H61" s="88" t="str">
        <f ca="1">MID(TablaTransfor[[#This Row],[配属先]],9,6)</f>
        <v/>
      </c>
      <c r="I61" s="88" t="str">
        <f>_xlfn.XLOOKUP($C61,DBGenzai[社員№],DBGenzai[仕事内容],"",0,1)</f>
        <v/>
      </c>
      <c r="J61" s="88" t="str">
        <f>_xlfn.XLOOKUP($F$1&amp;B61,Filtro!B:B,Filtro!H:H,"",0,1)</f>
        <v/>
      </c>
      <c r="K61" s="88" t="str">
        <f>_xlfn.XLOOKUP($F$1&amp;B61,Filtro!B:B,Filtro!J:J,"",0,1)</f>
        <v/>
      </c>
      <c r="L61" s="88" t="str">
        <f ca="1">IF(TablaTransfor[[#This Row],[氏名]]="","",IF(TablaTransfor[[#This Row],[氏名]]&lt;"0","記号",IF(NOT(EXACT(UPPER(TablaTransfor[[#This Row],[氏名]]),LOWER(TablaTransfor[[#This Row],[氏名]]))),_xlfn.XLOOKUP($C61,DBGenzai[社員№],DBGenzai[カナ],"",0,1),_xlfn.XLOOKUP($C61,DBGenzai[社員№],DBGenzai[氏名],"",0,1))))</f>
        <v/>
      </c>
      <c r="M61" s="88" t="str">
        <f>_xlfn.XLOOKUP($C61,DBGenzai[社員№],DBGenzai[性別],"",0,1)</f>
        <v/>
      </c>
      <c r="N61" s="88" t="str">
        <f>_xlfn.XLOOKUP($C61,DBGenzai[社員№],DBGenzai[国籍],"",0,1)</f>
        <v/>
      </c>
      <c r="O61" s="89" t="str">
        <f>_xlfn.XLOOKUP($C61,DBGenzai[社員№],DBGenzai[生年月日],"",0,1)</f>
        <v/>
      </c>
      <c r="P61" s="88" t="str">
        <f>_xlfn.XLOOKUP($F$1&amp;B61,Filtro!B:B,Filtro!O:O,"",0,1)</f>
        <v/>
      </c>
      <c r="Q61" s="88" t="str">
        <f>_xlfn.XLOOKUP($F$1&amp;B61,Filtro!B:B,Filtro!P:P,"",0,1)</f>
        <v/>
      </c>
      <c r="R61" s="426" t="str">
        <f>_xlfn.XLOOKUP($F$1&amp;B61,Filtro!B:B,Filtro!R:R,"",0,1)</f>
        <v/>
      </c>
      <c r="S61" s="88" t="str">
        <f>_xlfn.XLOOKUP($C61,DBGenzai[社員№],DBGenzai[〒],"",0,1)</f>
        <v/>
      </c>
      <c r="T61" s="88" t="str">
        <f>_xlfn.XLOOKUP($C61,DBGenzai[社員№],DBGenzai[住所],"",0,1)</f>
        <v/>
      </c>
      <c r="U61" s="88" t="str">
        <f>_xlfn.XLOOKUP($C61,DBGenzai[社員№],DBGenzai[ｱﾊﾟｰﾄ],"",0,1)</f>
        <v/>
      </c>
      <c r="V61" s="89" t="str">
        <f>_xlfn.XLOOKUP($C61,DBGenzai[社員№],DBGenzai[入居],"",0,1)</f>
        <v/>
      </c>
      <c r="W61" s="89" t="str">
        <f>_xlfn.XLOOKUP($F$1&amp;B61,Filtro!B:B,Filtro!AF:AF,"",0,1)</f>
        <v/>
      </c>
      <c r="X61" s="89" t="str">
        <f>_xlfn.XLOOKUP($C61,DBGenzai[社員№],DBGenzai[退社日],"",0,1)</f>
        <v/>
      </c>
      <c r="Y61" s="88" t="str">
        <f>_xlfn.XLOOKUP($C61,DBGenzai[社員№],DBGenzai[退去],"",0,1)</f>
        <v/>
      </c>
      <c r="Z61" s="88" t="str">
        <f>_xlfn.XLOOKUP($C61,DBGenzai[社員№],DBGenzai[備考],"",0,1)</f>
        <v/>
      </c>
      <c r="AA61" s="422" t="str">
        <f>_xlfn.XLOOKUP($F$1&amp;B61,Filtro!B:B,Filtro!AL:AL,"",0,1)</f>
        <v/>
      </c>
      <c r="AB61" s="157" t="str" cm="1">
        <f t="array" aca="1" ref="AB6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1" s="436" t="str">
        <f ca="1">_xlfn.XLOOKUP(TablaTransfor[[#This Row],[ライン]],TBKaishaInfo[ライン],TBKaishaInfo[まで],"NohayMarrano",0,1)</f>
        <v>NohayMarrano</v>
      </c>
    </row>
    <row r="62" spans="1:29" hidden="1">
      <c r="A62" s="424">
        <f>SUBTOTAL(103,$C$3:C62)</f>
        <v>14</v>
      </c>
      <c r="B62" s="159">
        <v>74</v>
      </c>
      <c r="C62" s="88" t="str">
        <f>_xlfn.XLOOKUP($F$1&amp;B62,Filtro!B:B,Filtro!D:D,"",0,1)</f>
        <v/>
      </c>
      <c r="D62" s="88" t="str">
        <f>_xlfn.XLOOKUP($F$1&amp;B62,Filtro!B:B,Filtro!C:C,"",0,1)</f>
        <v/>
      </c>
      <c r="E62" s="88" t="str">
        <f>_xlfn.XLOOKUP($F$1&amp;B62,Filtro!B:B,Filtro!E:E,"",0,1)</f>
        <v/>
      </c>
      <c r="F62" s="88" t="str">
        <f>_xlfn.XLOOKUP($F$1&amp;B62,Filtro!B:B,Filtro!G:G,"",0,1)</f>
        <v/>
      </c>
      <c r="G62" s="88" t="str">
        <f ca="1">MID(TablaTransfor[[#This Row],[配属先]],1,8)</f>
        <v/>
      </c>
      <c r="H62" s="88" t="str">
        <f ca="1">MID(TablaTransfor[[#This Row],[配属先]],9,6)</f>
        <v/>
      </c>
      <c r="I62" s="88" t="str">
        <f>_xlfn.XLOOKUP($C62,DBGenzai[社員№],DBGenzai[仕事内容],"",0,1)</f>
        <v/>
      </c>
      <c r="J62" s="88" t="str">
        <f>_xlfn.XLOOKUP($F$1&amp;B62,Filtro!B:B,Filtro!H:H,"",0,1)</f>
        <v/>
      </c>
      <c r="K62" s="88" t="str">
        <f>_xlfn.XLOOKUP($F$1&amp;B62,Filtro!B:B,Filtro!J:J,"",0,1)</f>
        <v/>
      </c>
      <c r="L62" s="88" t="str">
        <f ca="1">IF(TablaTransfor[[#This Row],[氏名]]="","",IF(TablaTransfor[[#This Row],[氏名]]&lt;"0","記号",IF(NOT(EXACT(UPPER(TablaTransfor[[#This Row],[氏名]]),LOWER(TablaTransfor[[#This Row],[氏名]]))),_xlfn.XLOOKUP($C62,DBGenzai[社員№],DBGenzai[カナ],"",0,1),_xlfn.XLOOKUP($C62,DBGenzai[社員№],DBGenzai[氏名],"",0,1))))</f>
        <v/>
      </c>
      <c r="M62" s="88" t="str">
        <f>_xlfn.XLOOKUP($C62,DBGenzai[社員№],DBGenzai[性別],"",0,1)</f>
        <v/>
      </c>
      <c r="N62" s="88" t="str">
        <f>_xlfn.XLOOKUP($C62,DBGenzai[社員№],DBGenzai[国籍],"",0,1)</f>
        <v/>
      </c>
      <c r="O62" s="89" t="str">
        <f>_xlfn.XLOOKUP($C62,DBGenzai[社員№],DBGenzai[生年月日],"",0,1)</f>
        <v/>
      </c>
      <c r="P62" s="88" t="str">
        <f>_xlfn.XLOOKUP($F$1&amp;B62,Filtro!B:B,Filtro!O:O,"",0,1)</f>
        <v/>
      </c>
      <c r="Q62" s="88" t="str">
        <f>_xlfn.XLOOKUP($F$1&amp;B62,Filtro!B:B,Filtro!P:P,"",0,1)</f>
        <v/>
      </c>
      <c r="R62" s="426" t="str">
        <f>_xlfn.XLOOKUP($F$1&amp;B62,Filtro!B:B,Filtro!R:R,"",0,1)</f>
        <v/>
      </c>
      <c r="S62" s="88" t="str">
        <f>_xlfn.XLOOKUP($C62,DBGenzai[社員№],DBGenzai[〒],"",0,1)</f>
        <v/>
      </c>
      <c r="T62" s="88" t="str">
        <f>_xlfn.XLOOKUP($C62,DBGenzai[社員№],DBGenzai[住所],"",0,1)</f>
        <v/>
      </c>
      <c r="U62" s="88" t="str">
        <f>_xlfn.XLOOKUP($C62,DBGenzai[社員№],DBGenzai[ｱﾊﾟｰﾄ],"",0,1)</f>
        <v/>
      </c>
      <c r="V62" s="89" t="str">
        <f>_xlfn.XLOOKUP($C62,DBGenzai[社員№],DBGenzai[入居],"",0,1)</f>
        <v/>
      </c>
      <c r="W62" s="89" t="str">
        <f>_xlfn.XLOOKUP($F$1&amp;B62,Filtro!B:B,Filtro!AF:AF,"",0,1)</f>
        <v/>
      </c>
      <c r="X62" s="89" t="str">
        <f>_xlfn.XLOOKUP($C62,DBGenzai[社員№],DBGenzai[退社日],"",0,1)</f>
        <v/>
      </c>
      <c r="Y62" s="88" t="str">
        <f>_xlfn.XLOOKUP($C62,DBGenzai[社員№],DBGenzai[退去],"",0,1)</f>
        <v/>
      </c>
      <c r="Z62" s="88" t="str">
        <f>_xlfn.XLOOKUP($C62,DBGenzai[社員№],DBGenzai[備考],"",0,1)</f>
        <v/>
      </c>
      <c r="AA62" s="422" t="str">
        <f>_xlfn.XLOOKUP($F$1&amp;B62,Filtro!B:B,Filtro!AL:AL,"",0,1)</f>
        <v/>
      </c>
      <c r="AB62" s="157" t="str" cm="1">
        <f t="array" aca="1" ref="AB6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2" s="436" t="str">
        <f ca="1">_xlfn.XLOOKUP(TablaTransfor[[#This Row],[ライン]],TBKaishaInfo[ライン],TBKaishaInfo[まで],"NohayMarrano",0,1)</f>
        <v>NohayMarrano</v>
      </c>
    </row>
    <row r="63" spans="1:29" hidden="1">
      <c r="A63" s="424">
        <f>SUBTOTAL(103,$C$3:C63)</f>
        <v>14</v>
      </c>
      <c r="B63" s="159">
        <v>77</v>
      </c>
      <c r="C63" s="88" t="str">
        <f>_xlfn.XLOOKUP($F$1&amp;B63,Filtro!B:B,Filtro!D:D,"",0,1)</f>
        <v/>
      </c>
      <c r="D63" s="88" t="str">
        <f>_xlfn.XLOOKUP($F$1&amp;B63,Filtro!B:B,Filtro!C:C,"",0,1)</f>
        <v/>
      </c>
      <c r="E63" s="88" t="str">
        <f>_xlfn.XLOOKUP($F$1&amp;B63,Filtro!B:B,Filtro!E:E,"",0,1)</f>
        <v/>
      </c>
      <c r="F63" s="88" t="str">
        <f>_xlfn.XLOOKUP($F$1&amp;B63,Filtro!B:B,Filtro!G:G,"",0,1)</f>
        <v/>
      </c>
      <c r="G63" s="88" t="str">
        <f ca="1">MID(TablaTransfor[[#This Row],[配属先]],1,8)</f>
        <v/>
      </c>
      <c r="H63" s="88" t="str">
        <f ca="1">MID(TablaTransfor[[#This Row],[配属先]],9,6)</f>
        <v/>
      </c>
      <c r="I63" s="88" t="str">
        <f>_xlfn.XLOOKUP($C63,DBGenzai[社員№],DBGenzai[仕事内容],"",0,1)</f>
        <v/>
      </c>
      <c r="J63" s="88" t="str">
        <f>_xlfn.XLOOKUP($F$1&amp;B63,Filtro!B:B,Filtro!H:H,"",0,1)</f>
        <v/>
      </c>
      <c r="K63" s="88" t="str">
        <f>_xlfn.XLOOKUP($F$1&amp;B63,Filtro!B:B,Filtro!J:J,"",0,1)</f>
        <v/>
      </c>
      <c r="L63" s="88" t="str">
        <f ca="1">IF(TablaTransfor[[#This Row],[氏名]]="","",IF(TablaTransfor[[#This Row],[氏名]]&lt;"0","記号",IF(NOT(EXACT(UPPER(TablaTransfor[[#This Row],[氏名]]),LOWER(TablaTransfor[[#This Row],[氏名]]))),_xlfn.XLOOKUP($C63,DBGenzai[社員№],DBGenzai[カナ],"",0,1),_xlfn.XLOOKUP($C63,DBGenzai[社員№],DBGenzai[氏名],"",0,1))))</f>
        <v/>
      </c>
      <c r="M63" s="88" t="str">
        <f>_xlfn.XLOOKUP($C63,DBGenzai[社員№],DBGenzai[性別],"",0,1)</f>
        <v/>
      </c>
      <c r="N63" s="88" t="str">
        <f>_xlfn.XLOOKUP($C63,DBGenzai[社員№],DBGenzai[国籍],"",0,1)</f>
        <v/>
      </c>
      <c r="O63" s="89" t="str">
        <f>_xlfn.XLOOKUP($C63,DBGenzai[社員№],DBGenzai[生年月日],"",0,1)</f>
        <v/>
      </c>
      <c r="P63" s="88" t="str">
        <f>_xlfn.XLOOKUP($F$1&amp;B63,Filtro!B:B,Filtro!O:O,"",0,1)</f>
        <v/>
      </c>
      <c r="Q63" s="88" t="str">
        <f>_xlfn.XLOOKUP($F$1&amp;B63,Filtro!B:B,Filtro!P:P,"",0,1)</f>
        <v/>
      </c>
      <c r="R63" s="426" t="str">
        <f>_xlfn.XLOOKUP($F$1&amp;B63,Filtro!B:B,Filtro!R:R,"",0,1)</f>
        <v/>
      </c>
      <c r="S63" s="88" t="str">
        <f>_xlfn.XLOOKUP($C63,DBGenzai[社員№],DBGenzai[〒],"",0,1)</f>
        <v/>
      </c>
      <c r="T63" s="88" t="str">
        <f>_xlfn.XLOOKUP($C63,DBGenzai[社員№],DBGenzai[住所],"",0,1)</f>
        <v/>
      </c>
      <c r="U63" s="88" t="str">
        <f>_xlfn.XLOOKUP($C63,DBGenzai[社員№],DBGenzai[ｱﾊﾟｰﾄ],"",0,1)</f>
        <v/>
      </c>
      <c r="V63" s="89" t="str">
        <f>_xlfn.XLOOKUP($C63,DBGenzai[社員№],DBGenzai[入居],"",0,1)</f>
        <v/>
      </c>
      <c r="W63" s="89" t="str">
        <f>_xlfn.XLOOKUP($F$1&amp;B63,Filtro!B:B,Filtro!AF:AF,"",0,1)</f>
        <v/>
      </c>
      <c r="X63" s="89" t="str">
        <f>_xlfn.XLOOKUP($C63,DBGenzai[社員№],DBGenzai[退社日],"",0,1)</f>
        <v/>
      </c>
      <c r="Y63" s="88" t="str">
        <f>_xlfn.XLOOKUP($C63,DBGenzai[社員№],DBGenzai[退去],"",0,1)</f>
        <v/>
      </c>
      <c r="Z63" s="88" t="str">
        <f>_xlfn.XLOOKUP($C63,DBGenzai[社員№],DBGenzai[備考],"",0,1)</f>
        <v/>
      </c>
      <c r="AA63" s="422" t="str">
        <f>_xlfn.XLOOKUP($F$1&amp;B63,Filtro!B:B,Filtro!AL:AL,"",0,1)</f>
        <v/>
      </c>
      <c r="AB63" s="157" t="str" cm="1">
        <f t="array" aca="1" ref="AB6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3" s="436" t="str">
        <f ca="1">_xlfn.XLOOKUP(TablaTransfor[[#This Row],[ライン]],TBKaishaInfo[ライン],TBKaishaInfo[まで],"NohayMarrano",0,1)</f>
        <v>NohayMarrano</v>
      </c>
    </row>
    <row r="64" spans="1:29" hidden="1">
      <c r="A64" s="424">
        <f>SUBTOTAL(103,$C$3:C64)</f>
        <v>14</v>
      </c>
      <c r="B64" s="159">
        <v>78</v>
      </c>
      <c r="C64" s="88" t="str">
        <f>_xlfn.XLOOKUP($F$1&amp;B64,Filtro!B:B,Filtro!D:D,"",0,1)</f>
        <v/>
      </c>
      <c r="D64" s="88" t="str">
        <f>_xlfn.XLOOKUP($F$1&amp;B64,Filtro!B:B,Filtro!C:C,"",0,1)</f>
        <v/>
      </c>
      <c r="E64" s="88" t="str">
        <f>_xlfn.XLOOKUP($F$1&amp;B64,Filtro!B:B,Filtro!E:E,"",0,1)</f>
        <v/>
      </c>
      <c r="F64" s="88" t="str">
        <f>_xlfn.XLOOKUP($F$1&amp;B64,Filtro!B:B,Filtro!G:G,"",0,1)</f>
        <v/>
      </c>
      <c r="G64" s="88" t="str">
        <f ca="1">MID(TablaTransfor[[#This Row],[配属先]],1,8)</f>
        <v/>
      </c>
      <c r="H64" s="88" t="str">
        <f ca="1">MID(TablaTransfor[[#This Row],[配属先]],9,6)</f>
        <v/>
      </c>
      <c r="I64" s="88" t="str">
        <f>_xlfn.XLOOKUP($C64,DBGenzai[社員№],DBGenzai[仕事内容],"",0,1)</f>
        <v/>
      </c>
      <c r="J64" s="88" t="str">
        <f>_xlfn.XLOOKUP($F$1&amp;B64,Filtro!B:B,Filtro!H:H,"",0,1)</f>
        <v/>
      </c>
      <c r="K64" s="88" t="str">
        <f>_xlfn.XLOOKUP($F$1&amp;B64,Filtro!B:B,Filtro!J:J,"",0,1)</f>
        <v/>
      </c>
      <c r="L64" s="88" t="str">
        <f ca="1">IF(TablaTransfor[[#This Row],[氏名]]="","",IF(TablaTransfor[[#This Row],[氏名]]&lt;"0","記号",IF(NOT(EXACT(UPPER(TablaTransfor[[#This Row],[氏名]]),LOWER(TablaTransfor[[#This Row],[氏名]]))),_xlfn.XLOOKUP($C64,DBGenzai[社員№],DBGenzai[カナ],"",0,1),_xlfn.XLOOKUP($C64,DBGenzai[社員№],DBGenzai[氏名],"",0,1))))</f>
        <v/>
      </c>
      <c r="M64" s="88" t="str">
        <f>_xlfn.XLOOKUP($C64,DBGenzai[社員№],DBGenzai[性別],"",0,1)</f>
        <v/>
      </c>
      <c r="N64" s="88" t="str">
        <f>_xlfn.XLOOKUP($C64,DBGenzai[社員№],DBGenzai[国籍],"",0,1)</f>
        <v/>
      </c>
      <c r="O64" s="89" t="str">
        <f>_xlfn.XLOOKUP($C64,DBGenzai[社員№],DBGenzai[生年月日],"",0,1)</f>
        <v/>
      </c>
      <c r="P64" s="88" t="str">
        <f>_xlfn.XLOOKUP($F$1&amp;B64,Filtro!B:B,Filtro!O:O,"",0,1)</f>
        <v/>
      </c>
      <c r="Q64" s="88" t="str">
        <f>_xlfn.XLOOKUP($F$1&amp;B64,Filtro!B:B,Filtro!P:P,"",0,1)</f>
        <v/>
      </c>
      <c r="R64" s="426" t="str">
        <f>_xlfn.XLOOKUP($F$1&amp;B64,Filtro!B:B,Filtro!R:R,"",0,1)</f>
        <v/>
      </c>
      <c r="S64" s="88" t="str">
        <f>_xlfn.XLOOKUP($C64,DBGenzai[社員№],DBGenzai[〒],"",0,1)</f>
        <v/>
      </c>
      <c r="T64" s="88" t="str">
        <f>_xlfn.XLOOKUP($C64,DBGenzai[社員№],DBGenzai[住所],"",0,1)</f>
        <v/>
      </c>
      <c r="U64" s="88" t="str">
        <f>_xlfn.XLOOKUP($C64,DBGenzai[社員№],DBGenzai[ｱﾊﾟｰﾄ],"",0,1)</f>
        <v/>
      </c>
      <c r="V64" s="89" t="str">
        <f>_xlfn.XLOOKUP($C64,DBGenzai[社員№],DBGenzai[入居],"",0,1)</f>
        <v/>
      </c>
      <c r="W64" s="89" t="str">
        <f>_xlfn.XLOOKUP($F$1&amp;B64,Filtro!B:B,Filtro!AF:AF,"",0,1)</f>
        <v/>
      </c>
      <c r="X64" s="89" t="str">
        <f>_xlfn.XLOOKUP($C64,DBGenzai[社員№],DBGenzai[退社日],"",0,1)</f>
        <v/>
      </c>
      <c r="Y64" s="88" t="str">
        <f>_xlfn.XLOOKUP($C64,DBGenzai[社員№],DBGenzai[退去],"",0,1)</f>
        <v/>
      </c>
      <c r="Z64" s="88" t="str">
        <f>_xlfn.XLOOKUP($C64,DBGenzai[社員№],DBGenzai[備考],"",0,1)</f>
        <v/>
      </c>
      <c r="AA64" s="422" t="str">
        <f>_xlfn.XLOOKUP($F$1&amp;B64,Filtro!B:B,Filtro!AL:AL,"",0,1)</f>
        <v/>
      </c>
      <c r="AB64" s="157" t="str" cm="1">
        <f t="array" aca="1" ref="AB6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4" s="436" t="str">
        <f ca="1">_xlfn.XLOOKUP(TablaTransfor[[#This Row],[ライン]],TBKaishaInfo[ライン],TBKaishaInfo[まで],"NohayMarrano",0,1)</f>
        <v>NohayMarrano</v>
      </c>
    </row>
    <row r="65" spans="1:29" hidden="1">
      <c r="A65" s="424">
        <f>SUBTOTAL(103,$C$3:C65)</f>
        <v>14</v>
      </c>
      <c r="B65" s="159">
        <v>21</v>
      </c>
      <c r="C65" s="88">
        <f>_xlfn.XLOOKUP($F$1&amp;B65,Filtro!B:B,Filtro!D:D,"",0,1)</f>
        <v>240317</v>
      </c>
      <c r="D65" s="88" t="str">
        <f>_xlfn.XLOOKUP($F$1&amp;B65,Filtro!B:B,Filtro!C:C,"",0,1)</f>
        <v>在職中</v>
      </c>
      <c r="E65" s="88">
        <f>_xlfn.XLOOKUP($F$1&amp;B65,Filtro!B:B,Filtro!E:E,"",0,1)</f>
        <v>212047</v>
      </c>
      <c r="F65" s="88" t="str">
        <f>_xlfn.XLOOKUP($F$1&amp;B65,Filtro!B:B,Filtro!G:G,"",0,1)</f>
        <v>高雄工業株式会社 愛知事業所本社工場製作課</v>
      </c>
      <c r="G65" s="88" t="str">
        <f ca="1">MID(TablaTransfor[[#This Row],[配属先]],1,8)</f>
        <v>高雄工業株式会社</v>
      </c>
      <c r="H65" s="88" t="str">
        <f ca="1">MID(TablaTransfor[[#This Row],[配属先]],9,6)</f>
        <v xml:space="preserve"> 愛知事業所</v>
      </c>
      <c r="I65" s="88" t="str">
        <f>_xlfn.XLOOKUP($C65,DBGenzai[社員№],DBGenzai[仕事内容],"",0,1)</f>
        <v>CVJ部品短軸品の施削加工、NCプログラム修正</v>
      </c>
      <c r="J65" s="88" t="str">
        <f>_xlfn.XLOOKUP($F$1&amp;B65,Filtro!B:B,Filtro!H:H,"",0,1)</f>
        <v>Fライン</v>
      </c>
      <c r="K65" s="88" t="str">
        <f>_xlfn.XLOOKUP($F$1&amp;B65,Filtro!B:B,Filtro!J:J,"",0,1)</f>
        <v>NGUYEN ANH TUAN</v>
      </c>
      <c r="L65" s="88" t="str">
        <f ca="1">IF(TablaTransfor[[#This Row],[氏名]]="","",IF(TablaTransfor[[#This Row],[氏名]]&lt;"0","記号",IF(NOT(EXACT(UPPER(TablaTransfor[[#This Row],[氏名]]),LOWER(TablaTransfor[[#This Row],[氏名]]))),_xlfn.XLOOKUP($C65,DBGenzai[社員№],DBGenzai[カナ],"",0,1),_xlfn.XLOOKUP($C65,DBGenzai[社員№],DBGenzai[氏名],"",0,1))))</f>
        <v>グエン　アイン　トゥアン</v>
      </c>
      <c r="M65" s="88" t="str">
        <f>_xlfn.XLOOKUP($C65,DBGenzai[社員№],DBGenzai[性別],"",0,1)</f>
        <v>男</v>
      </c>
      <c r="N65" s="88" t="str">
        <f>_xlfn.XLOOKUP($C65,DBGenzai[社員№],DBGenzai[国籍],"",0,1)</f>
        <v>ﾍﾞﾄﾅﾑ</v>
      </c>
      <c r="O65" s="89">
        <f>_xlfn.XLOOKUP($C65,DBGenzai[社員№],DBGenzai[生年月日],"",0,1)</f>
        <v>37041</v>
      </c>
      <c r="P65" s="88">
        <f>_xlfn.XLOOKUP($F$1&amp;B65,Filtro!B:B,Filtro!O:O,"",0,1)</f>
        <v>24</v>
      </c>
      <c r="Q65" s="88">
        <f>_xlfn.XLOOKUP($F$1&amp;B65,Filtro!B:B,Filtro!P:P,"",0,1)</f>
        <v>1300</v>
      </c>
      <c r="R65" s="426">
        <f>_xlfn.XLOOKUP($F$1&amp;B65,Filtro!B:B,Filtro!R:R,"",0,1)</f>
        <v>1670</v>
      </c>
      <c r="S65" s="88" t="str">
        <f>_xlfn.XLOOKUP($C65,DBGenzai[社員№],DBGenzai[〒],"",0,1)</f>
        <v>498-0031</v>
      </c>
      <c r="T65" s="88" t="str">
        <f>_xlfn.XLOOKUP($C65,DBGenzai[社員№],DBGenzai[住所],"",0,1)</f>
        <v>愛知県弥富市平島町甲新田72-6</v>
      </c>
      <c r="U65" s="88" t="str">
        <f>_xlfn.XLOOKUP($C65,DBGenzai[社員№],DBGenzai[ｱﾊﾟｰﾄ],"",0,1)</f>
        <v>ﾊｯﾋﾟｰｳｲﾝ長尾201</v>
      </c>
      <c r="V65" s="89">
        <f>_xlfn.XLOOKUP($C65,DBGenzai[社員№],DBGenzai[入居],"",0,1)</f>
        <v>0</v>
      </c>
      <c r="W65" s="89">
        <f>_xlfn.XLOOKUP($F$1&amp;B65,Filtro!B:B,Filtro!AF:AF,"",0,1)</f>
        <v>45366</v>
      </c>
      <c r="X65" s="89">
        <f>_xlfn.XLOOKUP($C65,DBGenzai[社員№],DBGenzai[退社日],"",0,1)</f>
        <v>0</v>
      </c>
      <c r="Y65" s="88">
        <f>_xlfn.XLOOKUP($C65,DBGenzai[社員№],DBGenzai[退去],"",0,1)</f>
        <v>0</v>
      </c>
      <c r="Z65" s="88">
        <f>_xlfn.XLOOKUP($C65,DBGenzai[社員№],DBGenzai[備考],"",0,1)</f>
        <v>0</v>
      </c>
      <c r="AA65" s="422">
        <f>_xlfn.XLOOKUP($F$1&amp;B65,Filtro!B:B,Filtro!AL:AL,"",0,1)</f>
        <v>45366</v>
      </c>
      <c r="AB65" s="157" t="str" cm="1">
        <f t="array" aca="1" ref="AB6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noHayCholo</v>
      </c>
      <c r="AC65" s="436">
        <f ca="1">_xlfn.XLOOKUP(TablaTransfor[[#This Row],[ライン]],TBKaishaInfo[ライン],TBKaishaInfo[まで],"NohayMarrano",0,1)</f>
        <v>46295</v>
      </c>
    </row>
    <row r="66" spans="1:29" hidden="1">
      <c r="A66" s="424">
        <f>SUBTOTAL(103,$C$3:C66)</f>
        <v>14</v>
      </c>
      <c r="B66" s="159">
        <v>80</v>
      </c>
      <c r="C66" s="88" t="str">
        <f>_xlfn.XLOOKUP($F$1&amp;B66,Filtro!B:B,Filtro!D:D,"",0,1)</f>
        <v/>
      </c>
      <c r="D66" s="88" t="str">
        <f>_xlfn.XLOOKUP($F$1&amp;B66,Filtro!B:B,Filtro!C:C,"",0,1)</f>
        <v/>
      </c>
      <c r="E66" s="88" t="str">
        <f>_xlfn.XLOOKUP($F$1&amp;B66,Filtro!B:B,Filtro!E:E,"",0,1)</f>
        <v/>
      </c>
      <c r="F66" s="88" t="str">
        <f>_xlfn.XLOOKUP($F$1&amp;B66,Filtro!B:B,Filtro!G:G,"",0,1)</f>
        <v/>
      </c>
      <c r="G66" s="88" t="str">
        <f ca="1">MID(TablaTransfor[[#This Row],[配属先]],1,8)</f>
        <v/>
      </c>
      <c r="H66" s="88" t="str">
        <f ca="1">MID(TablaTransfor[[#This Row],[配属先]],9,6)</f>
        <v/>
      </c>
      <c r="I66" s="88" t="str">
        <f>_xlfn.XLOOKUP($C66,DBGenzai[社員№],DBGenzai[仕事内容],"",0,1)</f>
        <v/>
      </c>
      <c r="J66" s="88" t="str">
        <f>_xlfn.XLOOKUP($F$1&amp;B66,Filtro!B:B,Filtro!H:H,"",0,1)</f>
        <v/>
      </c>
      <c r="K66" s="88" t="str">
        <f>_xlfn.XLOOKUP($F$1&amp;B66,Filtro!B:B,Filtro!J:J,"",0,1)</f>
        <v/>
      </c>
      <c r="L66" s="88" t="str">
        <f ca="1">IF(TablaTransfor[[#This Row],[氏名]]="","",IF(TablaTransfor[[#This Row],[氏名]]&lt;"0","記号",IF(NOT(EXACT(UPPER(TablaTransfor[[#This Row],[氏名]]),LOWER(TablaTransfor[[#This Row],[氏名]]))),_xlfn.XLOOKUP($C66,DBGenzai[社員№],DBGenzai[カナ],"",0,1),_xlfn.XLOOKUP($C66,DBGenzai[社員№],DBGenzai[氏名],"",0,1))))</f>
        <v/>
      </c>
      <c r="M66" s="88" t="str">
        <f>_xlfn.XLOOKUP($C66,DBGenzai[社員№],DBGenzai[性別],"",0,1)</f>
        <v/>
      </c>
      <c r="N66" s="88" t="str">
        <f>_xlfn.XLOOKUP($C66,DBGenzai[社員№],DBGenzai[国籍],"",0,1)</f>
        <v/>
      </c>
      <c r="O66" s="89" t="str">
        <f>_xlfn.XLOOKUP($C66,DBGenzai[社員№],DBGenzai[生年月日],"",0,1)</f>
        <v/>
      </c>
      <c r="P66" s="88" t="str">
        <f>_xlfn.XLOOKUP($F$1&amp;B66,Filtro!B:B,Filtro!O:O,"",0,1)</f>
        <v/>
      </c>
      <c r="Q66" s="88" t="str">
        <f>_xlfn.XLOOKUP($F$1&amp;B66,Filtro!B:B,Filtro!P:P,"",0,1)</f>
        <v/>
      </c>
      <c r="R66" s="426" t="str">
        <f>_xlfn.XLOOKUP($F$1&amp;B66,Filtro!B:B,Filtro!R:R,"",0,1)</f>
        <v/>
      </c>
      <c r="S66" s="88" t="str">
        <f>_xlfn.XLOOKUP($C66,DBGenzai[社員№],DBGenzai[〒],"",0,1)</f>
        <v/>
      </c>
      <c r="T66" s="88" t="str">
        <f>_xlfn.XLOOKUP($C66,DBGenzai[社員№],DBGenzai[住所],"",0,1)</f>
        <v/>
      </c>
      <c r="U66" s="88" t="str">
        <f>_xlfn.XLOOKUP($C66,DBGenzai[社員№],DBGenzai[ｱﾊﾟｰﾄ],"",0,1)</f>
        <v/>
      </c>
      <c r="V66" s="89" t="str">
        <f>_xlfn.XLOOKUP($C66,DBGenzai[社員№],DBGenzai[入居],"",0,1)</f>
        <v/>
      </c>
      <c r="W66" s="89" t="str">
        <f>_xlfn.XLOOKUP($F$1&amp;B66,Filtro!B:B,Filtro!AF:AF,"",0,1)</f>
        <v/>
      </c>
      <c r="X66" s="89" t="str">
        <f>_xlfn.XLOOKUP($C66,DBGenzai[社員№],DBGenzai[退社日],"",0,1)</f>
        <v/>
      </c>
      <c r="Y66" s="88" t="str">
        <f>_xlfn.XLOOKUP($C66,DBGenzai[社員№],DBGenzai[退去],"",0,1)</f>
        <v/>
      </c>
      <c r="Z66" s="88" t="str">
        <f>_xlfn.XLOOKUP($C66,DBGenzai[社員№],DBGenzai[備考],"",0,1)</f>
        <v/>
      </c>
      <c r="AA66" s="422" t="str">
        <f>_xlfn.XLOOKUP($F$1&amp;B66,Filtro!B:B,Filtro!AL:AL,"",0,1)</f>
        <v/>
      </c>
      <c r="AB66" s="157" t="str" cm="1">
        <f t="array" aca="1" ref="AB6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6" s="436" t="str">
        <f ca="1">_xlfn.XLOOKUP(TablaTransfor[[#This Row],[ライン]],TBKaishaInfo[ライン],TBKaishaInfo[まで],"NohayMarrano",0,1)</f>
        <v>NohayMarrano</v>
      </c>
    </row>
    <row r="67" spans="1:29" hidden="1">
      <c r="A67" s="424">
        <f>SUBTOTAL(103,$C$3:C67)</f>
        <v>14</v>
      </c>
      <c r="B67" s="159">
        <v>84</v>
      </c>
      <c r="C67" s="88" t="str">
        <f>_xlfn.XLOOKUP($F$1&amp;B67,Filtro!B:B,Filtro!D:D,"",0,1)</f>
        <v/>
      </c>
      <c r="D67" s="88" t="str">
        <f>_xlfn.XLOOKUP($F$1&amp;B67,Filtro!B:B,Filtro!C:C,"",0,1)</f>
        <v/>
      </c>
      <c r="E67" s="88" t="str">
        <f>_xlfn.XLOOKUP($F$1&amp;B67,Filtro!B:B,Filtro!E:E,"",0,1)</f>
        <v/>
      </c>
      <c r="F67" s="88" t="str">
        <f>_xlfn.XLOOKUP($F$1&amp;B67,Filtro!B:B,Filtro!G:G,"",0,1)</f>
        <v/>
      </c>
      <c r="G67" s="88" t="str">
        <f ca="1">MID(TablaTransfor[[#This Row],[配属先]],1,8)</f>
        <v/>
      </c>
      <c r="H67" s="88" t="str">
        <f ca="1">MID(TablaTransfor[[#This Row],[配属先]],9,6)</f>
        <v/>
      </c>
      <c r="I67" s="88" t="str">
        <f>_xlfn.XLOOKUP($C67,DBGenzai[社員№],DBGenzai[仕事内容],"",0,1)</f>
        <v/>
      </c>
      <c r="J67" s="88" t="str">
        <f>_xlfn.XLOOKUP($F$1&amp;B67,Filtro!B:B,Filtro!H:H,"",0,1)</f>
        <v/>
      </c>
      <c r="K67" s="88" t="str">
        <f>_xlfn.XLOOKUP($F$1&amp;B67,Filtro!B:B,Filtro!J:J,"",0,1)</f>
        <v/>
      </c>
      <c r="L67" s="88" t="str">
        <f ca="1">IF(TablaTransfor[[#This Row],[氏名]]="","",IF(TablaTransfor[[#This Row],[氏名]]&lt;"0","記号",IF(NOT(EXACT(UPPER(TablaTransfor[[#This Row],[氏名]]),LOWER(TablaTransfor[[#This Row],[氏名]]))),_xlfn.XLOOKUP($C67,DBGenzai[社員№],DBGenzai[カナ],"",0,1),_xlfn.XLOOKUP($C67,DBGenzai[社員№],DBGenzai[氏名],"",0,1))))</f>
        <v/>
      </c>
      <c r="M67" s="88" t="str">
        <f>_xlfn.XLOOKUP($C67,DBGenzai[社員№],DBGenzai[性別],"",0,1)</f>
        <v/>
      </c>
      <c r="N67" s="88" t="str">
        <f>_xlfn.XLOOKUP($C67,DBGenzai[社員№],DBGenzai[国籍],"",0,1)</f>
        <v/>
      </c>
      <c r="O67" s="89" t="str">
        <f>_xlfn.XLOOKUP($C67,DBGenzai[社員№],DBGenzai[生年月日],"",0,1)</f>
        <v/>
      </c>
      <c r="P67" s="88" t="str">
        <f>_xlfn.XLOOKUP($F$1&amp;B67,Filtro!B:B,Filtro!O:O,"",0,1)</f>
        <v/>
      </c>
      <c r="Q67" s="88" t="str">
        <f>_xlfn.XLOOKUP($F$1&amp;B67,Filtro!B:B,Filtro!P:P,"",0,1)</f>
        <v/>
      </c>
      <c r="R67" s="426" t="str">
        <f>_xlfn.XLOOKUP($F$1&amp;B67,Filtro!B:B,Filtro!R:R,"",0,1)</f>
        <v/>
      </c>
      <c r="S67" s="88" t="str">
        <f>_xlfn.XLOOKUP($C67,DBGenzai[社員№],DBGenzai[〒],"",0,1)</f>
        <v/>
      </c>
      <c r="T67" s="88" t="str">
        <f>_xlfn.XLOOKUP($C67,DBGenzai[社員№],DBGenzai[住所],"",0,1)</f>
        <v/>
      </c>
      <c r="U67" s="88" t="str">
        <f>_xlfn.XLOOKUP($C67,DBGenzai[社員№],DBGenzai[ｱﾊﾟｰﾄ],"",0,1)</f>
        <v/>
      </c>
      <c r="V67" s="89" t="str">
        <f>_xlfn.XLOOKUP($C67,DBGenzai[社員№],DBGenzai[入居],"",0,1)</f>
        <v/>
      </c>
      <c r="W67" s="89" t="str">
        <f>_xlfn.XLOOKUP($F$1&amp;B67,Filtro!B:B,Filtro!AF:AF,"",0,1)</f>
        <v/>
      </c>
      <c r="X67" s="89" t="str">
        <f>_xlfn.XLOOKUP($C67,DBGenzai[社員№],DBGenzai[退社日],"",0,1)</f>
        <v/>
      </c>
      <c r="Y67" s="88" t="str">
        <f>_xlfn.XLOOKUP($C67,DBGenzai[社員№],DBGenzai[退去],"",0,1)</f>
        <v/>
      </c>
      <c r="Z67" s="88" t="str">
        <f>_xlfn.XLOOKUP($C67,DBGenzai[社員№],DBGenzai[備考],"",0,1)</f>
        <v/>
      </c>
      <c r="AA67" s="422" t="str">
        <f>_xlfn.XLOOKUP($F$1&amp;B67,Filtro!B:B,Filtro!AL:AL,"",0,1)</f>
        <v/>
      </c>
      <c r="AB67" s="157" t="str" cm="1">
        <f t="array" aca="1" ref="AB6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7" s="436" t="str">
        <f ca="1">_xlfn.XLOOKUP(TablaTransfor[[#This Row],[ライン]],TBKaishaInfo[ライン],TBKaishaInfo[まで],"NohayMarrano",0,1)</f>
        <v>NohayMarrano</v>
      </c>
    </row>
    <row r="68" spans="1:29" hidden="1">
      <c r="A68" s="424">
        <f>SUBTOTAL(103,$C$3:C68)</f>
        <v>14</v>
      </c>
      <c r="B68" s="159">
        <v>2</v>
      </c>
      <c r="C68" s="88">
        <f>_xlfn.XLOOKUP($F$1&amp;B68,Filtro!B:B,Filtro!D:D,"",0,1)</f>
        <v>231103</v>
      </c>
      <c r="D68" s="88" t="str">
        <f>_xlfn.XLOOKUP($F$1&amp;B68,Filtro!B:B,Filtro!C:C,"",0,1)</f>
        <v>在職中</v>
      </c>
      <c r="E68" s="88">
        <f>_xlfn.XLOOKUP($F$1&amp;B68,Filtro!B:B,Filtro!E:E,"",0,1)</f>
        <v>212045</v>
      </c>
      <c r="F68" s="88" t="str">
        <f>_xlfn.XLOOKUP($F$1&amp;B68,Filtro!B:B,Filtro!G:G,"",0,1)</f>
        <v>高雄工業株式会社 愛知事業所本社工場製作課</v>
      </c>
      <c r="G68" s="88" t="str">
        <f ca="1">MID(TablaTransfor[[#This Row],[配属先]],1,8)</f>
        <v>高雄工業株式会社</v>
      </c>
      <c r="H68" s="88" t="str">
        <f ca="1">MID(TablaTransfor[[#This Row],[配属先]],9,6)</f>
        <v xml:space="preserve"> 愛知事業所</v>
      </c>
      <c r="I68" s="88" t="str">
        <f>_xlfn.XLOOKUP($C68,DBGenzai[社員№],DBGenzai[仕事内容],"",0,1)</f>
        <v>CVJ部品長軸品と短軸品の転造加工。</v>
      </c>
      <c r="J68" s="88" t="str">
        <f>_xlfn.XLOOKUP($F$1&amp;B68,Filtro!B:B,Filtro!H:H,"",0,1)</f>
        <v>Aライン</v>
      </c>
      <c r="K68" s="88" t="str">
        <f>_xlfn.XLOOKUP($F$1&amp;B68,Filtro!B:B,Filtro!J:J,"",0,1)</f>
        <v>LOC TRUNG THIEN</v>
      </c>
      <c r="L68" s="88" t="str">
        <f ca="1">IF(TablaTransfor[[#This Row],[氏名]]="","",IF(TablaTransfor[[#This Row],[氏名]]&lt;"0","記号",IF(NOT(EXACT(UPPER(TablaTransfor[[#This Row],[氏名]]),LOWER(TablaTransfor[[#This Row],[氏名]]))),_xlfn.XLOOKUP($C68,DBGenzai[社員№],DBGenzai[カナ],"",0,1),_xlfn.XLOOKUP($C68,DBGenzai[社員№],DBGenzai[氏名],"",0,1))))</f>
        <v>ロック　チュン　ティエン</v>
      </c>
      <c r="M68" s="88" t="str">
        <f>_xlfn.XLOOKUP($C68,DBGenzai[社員№],DBGenzai[性別],"",0,1)</f>
        <v>男</v>
      </c>
      <c r="N68" s="88" t="str">
        <f>_xlfn.XLOOKUP($C68,DBGenzai[社員№],DBGenzai[国籍],"",0,1)</f>
        <v>ﾍﾞﾄﾅﾑ</v>
      </c>
      <c r="O68" s="89">
        <f>_xlfn.XLOOKUP($C68,DBGenzai[社員№],DBGenzai[生年月日],"",0,1)</f>
        <v>36831</v>
      </c>
      <c r="P68" s="88">
        <f>_xlfn.XLOOKUP($F$1&amp;B68,Filtro!B:B,Filtro!O:O,"",0,1)</f>
        <v>25</v>
      </c>
      <c r="Q68" s="88">
        <f>_xlfn.XLOOKUP($F$1&amp;B68,Filtro!B:B,Filtro!P:P,"",0,1)</f>
        <v>1300</v>
      </c>
      <c r="R68" s="426">
        <f>_xlfn.XLOOKUP($F$1&amp;B68,Filtro!B:B,Filtro!R:R,"",0,1)</f>
        <v>1680</v>
      </c>
      <c r="S68" s="88" t="str">
        <f>_xlfn.XLOOKUP($C68,DBGenzai[社員№],DBGenzai[〒],"",0,1)</f>
        <v>498-0034</v>
      </c>
      <c r="T68" s="88" t="str">
        <f>_xlfn.XLOOKUP($C68,DBGenzai[社員№],DBGenzai[住所],"",0,1)</f>
        <v>愛知県弥富市平島東2-18</v>
      </c>
      <c r="U68" s="88" t="str">
        <f>_xlfn.XLOOKUP($C68,DBGenzai[社員№],DBGenzai[ｱﾊﾟｰﾄ],"",0,1)</f>
        <v>ｸﾞﾗﾝﾂｺｰﾄ402</v>
      </c>
      <c r="V68" s="89">
        <f>_xlfn.XLOOKUP($C68,DBGenzai[社員№],DBGenzai[入居],"",0,1)</f>
        <v>45226</v>
      </c>
      <c r="W68" s="89">
        <f>_xlfn.XLOOKUP($F$1&amp;B68,Filtro!B:B,Filtro!AF:AF,"",0,1)</f>
        <v>45231</v>
      </c>
      <c r="X68" s="89">
        <f>_xlfn.XLOOKUP($C68,DBGenzai[社員№],DBGenzai[退社日],"",0,1)</f>
        <v>0</v>
      </c>
      <c r="Y68" s="88">
        <f>_xlfn.XLOOKUP($C68,DBGenzai[社員№],DBGenzai[退去],"",0,1)</f>
        <v>0</v>
      </c>
      <c r="Z68" s="88">
        <f>_xlfn.XLOOKUP($C68,DBGenzai[社員№],DBGenzai[備考],"",0,1)</f>
        <v>0</v>
      </c>
      <c r="AA68" s="422">
        <f>_xlfn.XLOOKUP($F$1&amp;B68,Filtro!B:B,Filtro!AL:AL,"",0,1)</f>
        <v>45231</v>
      </c>
      <c r="AB68" s="157">
        <v>45566</v>
      </c>
      <c r="AC68" s="436">
        <f ca="1">_xlfn.XLOOKUP(TablaTransfor[[#This Row],[ライン]],TBKaishaInfo[ライン],TBKaishaInfo[まで],"NohayMarrano",0,1)</f>
        <v>46295</v>
      </c>
    </row>
    <row r="69" spans="1:29" hidden="1">
      <c r="A69" s="424">
        <f>SUBTOTAL(103,$C$3:C69)</f>
        <v>14</v>
      </c>
      <c r="B69" s="159">
        <v>106</v>
      </c>
      <c r="C69" s="88" t="str">
        <f>_xlfn.XLOOKUP($F$1&amp;B69,Filtro!B:B,Filtro!D:D,"",0,1)</f>
        <v/>
      </c>
      <c r="D69" s="88" t="str">
        <f>_xlfn.XLOOKUP($F$1&amp;B69,Filtro!B:B,Filtro!C:C,"",0,1)</f>
        <v/>
      </c>
      <c r="E69" s="88" t="str">
        <f>_xlfn.XLOOKUP($F$1&amp;B69,Filtro!B:B,Filtro!E:E,"",0,1)</f>
        <v/>
      </c>
      <c r="F69" s="88" t="str">
        <f>_xlfn.XLOOKUP($F$1&amp;B69,Filtro!B:B,Filtro!G:G,"",0,1)</f>
        <v/>
      </c>
      <c r="G69" s="88" t="str">
        <f ca="1">MID(TablaTransfor[[#This Row],[配属先]],1,8)</f>
        <v/>
      </c>
      <c r="H69" s="88" t="str">
        <f ca="1">MID(TablaTransfor[[#This Row],[配属先]],9,6)</f>
        <v/>
      </c>
      <c r="I69" s="88" t="str">
        <f>_xlfn.XLOOKUP($C69,DBGenzai[社員№],DBGenzai[仕事内容],"",0,1)</f>
        <v/>
      </c>
      <c r="J69" s="88" t="str">
        <f>_xlfn.XLOOKUP($F$1&amp;B69,Filtro!B:B,Filtro!H:H,"",0,1)</f>
        <v/>
      </c>
      <c r="K69" s="88" t="str">
        <f>_xlfn.XLOOKUP($F$1&amp;B69,Filtro!B:B,Filtro!J:J,"",0,1)</f>
        <v/>
      </c>
      <c r="L69" s="88" t="str">
        <f ca="1">IF(TablaTransfor[[#This Row],[氏名]]="","",IF(TablaTransfor[[#This Row],[氏名]]&lt;"0","記号",IF(NOT(EXACT(UPPER(TablaTransfor[[#This Row],[氏名]]),LOWER(TablaTransfor[[#This Row],[氏名]]))),_xlfn.XLOOKUP($C69,DBGenzai[社員№],DBGenzai[カナ],"",0,1),_xlfn.XLOOKUP($C69,DBGenzai[社員№],DBGenzai[氏名],"",0,1))))</f>
        <v/>
      </c>
      <c r="M69" s="88" t="str">
        <f>_xlfn.XLOOKUP($C69,DBGenzai[社員№],DBGenzai[性別],"",0,1)</f>
        <v/>
      </c>
      <c r="N69" s="88" t="str">
        <f>_xlfn.XLOOKUP($C69,DBGenzai[社員№],DBGenzai[国籍],"",0,1)</f>
        <v/>
      </c>
      <c r="O69" s="89" t="str">
        <f>_xlfn.XLOOKUP($C69,DBGenzai[社員№],DBGenzai[生年月日],"",0,1)</f>
        <v/>
      </c>
      <c r="P69" s="88" t="str">
        <f>_xlfn.XLOOKUP($F$1&amp;B69,Filtro!B:B,Filtro!O:O,"",0,1)</f>
        <v/>
      </c>
      <c r="Q69" s="88" t="str">
        <f>_xlfn.XLOOKUP($F$1&amp;B69,Filtro!B:B,Filtro!P:P,"",0,1)</f>
        <v/>
      </c>
      <c r="R69" s="426" t="str">
        <f>_xlfn.XLOOKUP($F$1&amp;B69,Filtro!B:B,Filtro!R:R,"",0,1)</f>
        <v/>
      </c>
      <c r="S69" s="88" t="str">
        <f>_xlfn.XLOOKUP($C69,DBGenzai[社員№],DBGenzai[〒],"",0,1)</f>
        <v/>
      </c>
      <c r="T69" s="88" t="str">
        <f>_xlfn.XLOOKUP($C69,DBGenzai[社員№],DBGenzai[住所],"",0,1)</f>
        <v/>
      </c>
      <c r="U69" s="88" t="str">
        <f>_xlfn.XLOOKUP($C69,DBGenzai[社員№],DBGenzai[ｱﾊﾟｰﾄ],"",0,1)</f>
        <v/>
      </c>
      <c r="V69" s="89" t="str">
        <f>_xlfn.XLOOKUP($C69,DBGenzai[社員№],DBGenzai[入居],"",0,1)</f>
        <v/>
      </c>
      <c r="W69" s="89" t="str">
        <f>_xlfn.XLOOKUP($F$1&amp;B69,Filtro!B:B,Filtro!AF:AF,"",0,1)</f>
        <v/>
      </c>
      <c r="X69" s="89" t="str">
        <f>_xlfn.XLOOKUP($C69,DBGenzai[社員№],DBGenzai[退社日],"",0,1)</f>
        <v/>
      </c>
      <c r="Y69" s="88" t="str">
        <f>_xlfn.XLOOKUP($C69,DBGenzai[社員№],DBGenzai[退去],"",0,1)</f>
        <v/>
      </c>
      <c r="Z69" s="88" t="str">
        <f>_xlfn.XLOOKUP($C69,DBGenzai[社員№],DBGenzai[備考],"",0,1)</f>
        <v/>
      </c>
      <c r="AA69" s="422" t="str">
        <f>_xlfn.XLOOKUP($F$1&amp;B69,Filtro!B:B,Filtro!AL:AL,"",0,1)</f>
        <v/>
      </c>
      <c r="AB69" s="157" t="str" cm="1">
        <f t="array" aca="1" ref="AB6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69" s="436" t="str">
        <f ca="1">_xlfn.XLOOKUP(TablaTransfor[[#This Row],[ライン]],TBKaishaInfo[ライン],TBKaishaInfo[まで],"NohayMarrano",0,1)</f>
        <v>NohayMarrano</v>
      </c>
    </row>
    <row r="70" spans="1:29" hidden="1">
      <c r="A70" s="424">
        <f>SUBTOTAL(103,$C$3:C70)</f>
        <v>14</v>
      </c>
      <c r="B70" s="159">
        <v>83</v>
      </c>
      <c r="C70" s="88" t="str">
        <f>_xlfn.XLOOKUP($F$1&amp;B70,Filtro!B:B,Filtro!D:D,"",0,1)</f>
        <v/>
      </c>
      <c r="D70" s="88" t="str">
        <f>_xlfn.XLOOKUP($F$1&amp;B70,Filtro!B:B,Filtro!C:C,"",0,1)</f>
        <v/>
      </c>
      <c r="E70" s="88" t="str">
        <f>_xlfn.XLOOKUP($F$1&amp;B70,Filtro!B:B,Filtro!E:E,"",0,1)</f>
        <v/>
      </c>
      <c r="F70" s="88" t="str">
        <f>_xlfn.XLOOKUP($F$1&amp;B70,Filtro!B:B,Filtro!G:G,"",0,1)</f>
        <v/>
      </c>
      <c r="G70" s="88" t="str">
        <f ca="1">MID(TablaTransfor[[#This Row],[配属先]],1,8)</f>
        <v/>
      </c>
      <c r="H70" s="88" t="str">
        <f ca="1">MID(TablaTransfor[[#This Row],[配属先]],9,6)</f>
        <v/>
      </c>
      <c r="I70" s="88" t="str">
        <f>_xlfn.XLOOKUP($C70,DBGenzai[社員№],DBGenzai[仕事内容],"",0,1)</f>
        <v/>
      </c>
      <c r="J70" s="88" t="str">
        <f>_xlfn.XLOOKUP($F$1&amp;B70,Filtro!B:B,Filtro!H:H,"",0,1)</f>
        <v/>
      </c>
      <c r="K70" s="88" t="str">
        <f>_xlfn.XLOOKUP($F$1&amp;B70,Filtro!B:B,Filtro!J:J,"",0,1)</f>
        <v/>
      </c>
      <c r="L70" s="88" t="str">
        <f ca="1">IF(TablaTransfor[[#This Row],[氏名]]="","",IF(TablaTransfor[[#This Row],[氏名]]&lt;"0","記号",IF(NOT(EXACT(UPPER(TablaTransfor[[#This Row],[氏名]]),LOWER(TablaTransfor[[#This Row],[氏名]]))),_xlfn.XLOOKUP($C70,DBGenzai[社員№],DBGenzai[カナ],"",0,1),_xlfn.XLOOKUP($C70,DBGenzai[社員№],DBGenzai[氏名],"",0,1))))</f>
        <v/>
      </c>
      <c r="M70" s="88" t="str">
        <f>_xlfn.XLOOKUP($C70,DBGenzai[社員№],DBGenzai[性別],"",0,1)</f>
        <v/>
      </c>
      <c r="N70" s="88" t="str">
        <f>_xlfn.XLOOKUP($C70,DBGenzai[社員№],DBGenzai[国籍],"",0,1)</f>
        <v/>
      </c>
      <c r="O70" s="89" t="str">
        <f>_xlfn.XLOOKUP($C70,DBGenzai[社員№],DBGenzai[生年月日],"",0,1)</f>
        <v/>
      </c>
      <c r="P70" s="88" t="str">
        <f>_xlfn.XLOOKUP($F$1&amp;B70,Filtro!B:B,Filtro!O:O,"",0,1)</f>
        <v/>
      </c>
      <c r="Q70" s="88" t="str">
        <f>_xlfn.XLOOKUP($F$1&amp;B70,Filtro!B:B,Filtro!P:P,"",0,1)</f>
        <v/>
      </c>
      <c r="R70" s="426" t="str">
        <f>_xlfn.XLOOKUP($F$1&amp;B70,Filtro!B:B,Filtro!R:R,"",0,1)</f>
        <v/>
      </c>
      <c r="S70" s="88" t="str">
        <f>_xlfn.XLOOKUP($C70,DBGenzai[社員№],DBGenzai[〒],"",0,1)</f>
        <v/>
      </c>
      <c r="T70" s="88" t="str">
        <f>_xlfn.XLOOKUP($C70,DBGenzai[社員№],DBGenzai[住所],"",0,1)</f>
        <v/>
      </c>
      <c r="U70" s="88" t="str">
        <f>_xlfn.XLOOKUP($C70,DBGenzai[社員№],DBGenzai[ｱﾊﾟｰﾄ],"",0,1)</f>
        <v/>
      </c>
      <c r="V70" s="89" t="str">
        <f>_xlfn.XLOOKUP($C70,DBGenzai[社員№],DBGenzai[入居],"",0,1)</f>
        <v/>
      </c>
      <c r="W70" s="89" t="str">
        <f>_xlfn.XLOOKUP($F$1&amp;B70,Filtro!B:B,Filtro!AF:AF,"",0,1)</f>
        <v/>
      </c>
      <c r="X70" s="89" t="str">
        <f>_xlfn.XLOOKUP($C70,DBGenzai[社員№],DBGenzai[退社日],"",0,1)</f>
        <v/>
      </c>
      <c r="Y70" s="88" t="str">
        <f>_xlfn.XLOOKUP($C70,DBGenzai[社員№],DBGenzai[退去],"",0,1)</f>
        <v/>
      </c>
      <c r="Z70" s="88" t="str">
        <f>_xlfn.XLOOKUP($C70,DBGenzai[社員№],DBGenzai[備考],"",0,1)</f>
        <v/>
      </c>
      <c r="AA70" s="422" t="str">
        <f>_xlfn.XLOOKUP($F$1&amp;B70,Filtro!B:B,Filtro!AL:AL,"",0,1)</f>
        <v/>
      </c>
      <c r="AB70" s="157" t="str" cm="1">
        <f t="array" aca="1" ref="AB7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70" s="436" t="str">
        <f ca="1">_xlfn.XLOOKUP(TablaTransfor[[#This Row],[ライン]],TBKaishaInfo[ライン],TBKaishaInfo[まで],"NohayMarrano",0,1)</f>
        <v>NohayMarrano</v>
      </c>
    </row>
    <row r="71" spans="1:29" hidden="1">
      <c r="A71" s="424">
        <f>SUBTOTAL(103,$C$3:C71)</f>
        <v>14</v>
      </c>
      <c r="B71" s="159">
        <v>107</v>
      </c>
      <c r="C71" s="88" t="str">
        <f>_xlfn.XLOOKUP($F$1&amp;B71,Filtro!B:B,Filtro!D:D,"",0,1)</f>
        <v/>
      </c>
      <c r="D71" s="88" t="str">
        <f>_xlfn.XLOOKUP($F$1&amp;B71,Filtro!B:B,Filtro!C:C,"",0,1)</f>
        <v/>
      </c>
      <c r="E71" s="88" t="str">
        <f>_xlfn.XLOOKUP($F$1&amp;B71,Filtro!B:B,Filtro!E:E,"",0,1)</f>
        <v/>
      </c>
      <c r="F71" s="88" t="str">
        <f>_xlfn.XLOOKUP($F$1&amp;B71,Filtro!B:B,Filtro!G:G,"",0,1)</f>
        <v/>
      </c>
      <c r="G71" s="88" t="str">
        <f ca="1">MID(TablaTransfor[[#This Row],[配属先]],1,8)</f>
        <v/>
      </c>
      <c r="H71" s="88" t="str">
        <f ca="1">MID(TablaTransfor[[#This Row],[配属先]],9,6)</f>
        <v/>
      </c>
      <c r="I71" s="88" t="str">
        <f>_xlfn.XLOOKUP($C71,DBGenzai[社員№],DBGenzai[仕事内容],"",0,1)</f>
        <v/>
      </c>
      <c r="J71" s="88" t="str">
        <f>_xlfn.XLOOKUP($F$1&amp;B71,Filtro!B:B,Filtro!H:H,"",0,1)</f>
        <v/>
      </c>
      <c r="K71" s="88" t="str">
        <f>_xlfn.XLOOKUP($F$1&amp;B71,Filtro!B:B,Filtro!J:J,"",0,1)</f>
        <v/>
      </c>
      <c r="L71" s="88" t="str">
        <f ca="1">IF(TablaTransfor[[#This Row],[氏名]]="","",IF(TablaTransfor[[#This Row],[氏名]]&lt;"0","記号",IF(NOT(EXACT(UPPER(TablaTransfor[[#This Row],[氏名]]),LOWER(TablaTransfor[[#This Row],[氏名]]))),_xlfn.XLOOKUP($C71,DBGenzai[社員№],DBGenzai[カナ],"",0,1),_xlfn.XLOOKUP($C71,DBGenzai[社員№],DBGenzai[氏名],"",0,1))))</f>
        <v/>
      </c>
      <c r="M71" s="88" t="str">
        <f>_xlfn.XLOOKUP($C71,DBGenzai[社員№],DBGenzai[性別],"",0,1)</f>
        <v/>
      </c>
      <c r="N71" s="88" t="str">
        <f>_xlfn.XLOOKUP($C71,DBGenzai[社員№],DBGenzai[国籍],"",0,1)</f>
        <v/>
      </c>
      <c r="O71" s="89" t="str">
        <f>_xlfn.XLOOKUP($C71,DBGenzai[社員№],DBGenzai[生年月日],"",0,1)</f>
        <v/>
      </c>
      <c r="P71" s="88" t="str">
        <f>_xlfn.XLOOKUP($F$1&amp;B71,Filtro!B:B,Filtro!O:O,"",0,1)</f>
        <v/>
      </c>
      <c r="Q71" s="88" t="str">
        <f>_xlfn.XLOOKUP($F$1&amp;B71,Filtro!B:B,Filtro!P:P,"",0,1)</f>
        <v/>
      </c>
      <c r="R71" s="426" t="str">
        <f>_xlfn.XLOOKUP($F$1&amp;B71,Filtro!B:B,Filtro!R:R,"",0,1)</f>
        <v/>
      </c>
      <c r="S71" s="88" t="str">
        <f>_xlfn.XLOOKUP($C71,DBGenzai[社員№],DBGenzai[〒],"",0,1)</f>
        <v/>
      </c>
      <c r="T71" s="88" t="str">
        <f>_xlfn.XLOOKUP($C71,DBGenzai[社員№],DBGenzai[住所],"",0,1)</f>
        <v/>
      </c>
      <c r="U71" s="88" t="str">
        <f>_xlfn.XLOOKUP($C71,DBGenzai[社員№],DBGenzai[ｱﾊﾟｰﾄ],"",0,1)</f>
        <v/>
      </c>
      <c r="V71" s="89" t="str">
        <f>_xlfn.XLOOKUP($C71,DBGenzai[社員№],DBGenzai[入居],"",0,1)</f>
        <v/>
      </c>
      <c r="W71" s="89" t="str">
        <f>_xlfn.XLOOKUP($F$1&amp;B71,Filtro!B:B,Filtro!AF:AF,"",0,1)</f>
        <v/>
      </c>
      <c r="X71" s="89" t="str">
        <f>_xlfn.XLOOKUP($C71,DBGenzai[社員№],DBGenzai[退社日],"",0,1)</f>
        <v/>
      </c>
      <c r="Y71" s="88" t="str">
        <f>_xlfn.XLOOKUP($C71,DBGenzai[社員№],DBGenzai[退去],"",0,1)</f>
        <v/>
      </c>
      <c r="Z71" s="88" t="str">
        <f>_xlfn.XLOOKUP($C71,DBGenzai[社員№],DBGenzai[備考],"",0,1)</f>
        <v/>
      </c>
      <c r="AA71" s="422" t="str">
        <f>_xlfn.XLOOKUP($F$1&amp;B71,Filtro!B:B,Filtro!AL:AL,"",0,1)</f>
        <v/>
      </c>
      <c r="AB71" s="157" t="str" cm="1">
        <f t="array" aca="1" ref="AB7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71" s="436" t="str">
        <f ca="1">_xlfn.XLOOKUP(TablaTransfor[[#This Row],[ライン]],TBKaishaInfo[ライン],TBKaishaInfo[まで],"NohayMarrano",0,1)</f>
        <v>NohayMarrano</v>
      </c>
    </row>
    <row r="72" spans="1:29">
      <c r="A72" s="424">
        <f>SUBTOTAL(103,$C$3:C72)</f>
        <v>15</v>
      </c>
      <c r="B72" s="159">
        <v>30</v>
      </c>
      <c r="C72" s="88">
        <f>_xlfn.XLOOKUP($F$1&amp;B72,Filtro!B:B,Filtro!D:D,"",0,1)</f>
        <v>220212</v>
      </c>
      <c r="D72" s="88" t="str">
        <f>_xlfn.XLOOKUP($F$1&amp;B72,Filtro!B:B,Filtro!C:C,"",0,1)</f>
        <v>退社</v>
      </c>
      <c r="E72" s="88">
        <f>_xlfn.XLOOKUP($F$1&amp;B72,Filtro!B:B,Filtro!E:E,"",0,1)</f>
        <v>212025</v>
      </c>
      <c r="F72" s="88" t="str">
        <f>_xlfn.XLOOKUP($F$1&amp;B72,Filtro!B:B,Filtro!G:G,"",0,1)</f>
        <v>高雄工業株式会社 愛知事業所本社工場製作課</v>
      </c>
      <c r="G72" s="88" t="str">
        <f ca="1">MID(TablaTransfor[[#This Row],[配属先]],1,8)</f>
        <v>高雄工業株式会社</v>
      </c>
      <c r="H72" s="88" t="str">
        <f ca="1">MID(TablaTransfor[[#This Row],[配属先]],9,6)</f>
        <v xml:space="preserve"> 愛知事業所</v>
      </c>
      <c r="I72" s="88" t="str">
        <f>_xlfn.XLOOKUP($C72,DBGenzai[社員№],DBGenzai[仕事内容],"",0,1)</f>
        <v>CVJ部品短軸品の施削加工、NCプログラム修正</v>
      </c>
      <c r="J72" s="88" t="str">
        <f>_xlfn.XLOOKUP($F$1&amp;B72,Filtro!B:B,Filtro!H:H,"",0,1)</f>
        <v>Fライン</v>
      </c>
      <c r="K72" s="88" t="str">
        <f>_xlfn.XLOOKUP($F$1&amp;B72,Filtro!B:B,Filtro!J:J,"",0,1)</f>
        <v>NGUYEN NGOC TUNG</v>
      </c>
      <c r="L72" s="88" t="str">
        <f ca="1">IF(TablaTransfor[[#This Row],[氏名]]="","",IF(TablaTransfor[[#This Row],[氏名]]&lt;"0","記号",IF(NOT(EXACT(UPPER(TablaTransfor[[#This Row],[氏名]]),LOWER(TablaTransfor[[#This Row],[氏名]]))),_xlfn.XLOOKUP($C72,DBGenzai[社員№],DBGenzai[カナ],"",0,1),_xlfn.XLOOKUP($C72,DBGenzai[社員№],DBGenzai[氏名],"",0,1))))</f>
        <v>グエン　ゴック　トゥン</v>
      </c>
      <c r="M72" s="88" t="str">
        <f>_xlfn.XLOOKUP($C72,DBGenzai[社員№],DBGenzai[性別],"",0,1)</f>
        <v>男</v>
      </c>
      <c r="N72" s="88" t="str">
        <f>_xlfn.XLOOKUP($C72,DBGenzai[社員№],DBGenzai[国籍],"",0,1)</f>
        <v>ﾍﾞﾄﾅﾑ</v>
      </c>
      <c r="O72" s="89">
        <f>_xlfn.XLOOKUP($C72,DBGenzai[社員№],DBGenzai[生年月日],"",0,1)</f>
        <v>34669</v>
      </c>
      <c r="P72" s="88">
        <f>_xlfn.XLOOKUP($F$1&amp;B72,Filtro!B:B,Filtro!O:O,"",0,1)</f>
        <v>31</v>
      </c>
      <c r="Q72" s="88">
        <f>_xlfn.XLOOKUP($F$1&amp;B72,Filtro!B:B,Filtro!P:P,"",0,1)</f>
        <v>1400</v>
      </c>
      <c r="R72" s="426">
        <f>_xlfn.XLOOKUP($F$1&amp;B72,Filtro!B:B,Filtro!R:R,"",0,1)</f>
        <v>1770</v>
      </c>
      <c r="S72" s="88" t="str">
        <f>_xlfn.XLOOKUP($C72,DBGenzai[社員№],DBGenzai[〒],"",0,1)</f>
        <v>498-0031</v>
      </c>
      <c r="T72" s="88" t="str">
        <f>_xlfn.XLOOKUP($C72,DBGenzai[社員№],DBGenzai[住所],"",0,1)</f>
        <v>愛知県弥富市平島町甲新田72-4</v>
      </c>
      <c r="U72" s="88" t="str">
        <f>_xlfn.XLOOKUP($C72,DBGenzai[社員№],DBGenzai[ｱﾊﾟｰﾄ],"",0,1)</f>
        <v>ｲｰｽﾄｺｰﾄ202</v>
      </c>
      <c r="V72" s="89">
        <f>_xlfn.XLOOKUP($C72,DBGenzai[社員№],DBGenzai[入居],"",0,1)</f>
        <v>44596</v>
      </c>
      <c r="W72" s="89">
        <f>_xlfn.XLOOKUP($F$1&amp;B72,Filtro!B:B,Filtro!AF:AF,"",0,1)</f>
        <v>44602</v>
      </c>
      <c r="X72" s="89">
        <f>_xlfn.XLOOKUP($C72,DBGenzai[社員№],DBGenzai[退社日],"",0,1)</f>
        <v>45058</v>
      </c>
      <c r="Y72" s="88">
        <f>_xlfn.XLOOKUP($C72,DBGenzai[社員№],DBGenzai[退去],"",0,1)</f>
        <v>45071</v>
      </c>
      <c r="Z72" s="88">
        <f>_xlfn.XLOOKUP($C72,DBGenzai[社員№],DBGenzai[備考],"",0,1)</f>
        <v>0</v>
      </c>
      <c r="AA72" s="422">
        <f>_xlfn.XLOOKUP($F$1&amp;B72,Filtro!B:B,Filtro!AL:AL,"",0,1)</f>
        <v>44602</v>
      </c>
      <c r="AB72" s="157">
        <v>45931</v>
      </c>
      <c r="AC72" s="436">
        <f ca="1">_xlfn.XLOOKUP(TablaTransfor[[#This Row],[ライン]],TBKaishaInfo[ライン],TBKaishaInfo[まで],"NohayMarrano",0,1)</f>
        <v>46295</v>
      </c>
    </row>
    <row r="73" spans="1:29">
      <c r="A73" s="424">
        <f>SUBTOTAL(103,$C$3:C73)</f>
        <v>16</v>
      </c>
      <c r="B73" s="159">
        <v>25</v>
      </c>
      <c r="C73" s="88">
        <f>_xlfn.XLOOKUP($F$1&amp;B73,Filtro!B:B,Filtro!D:D,"",0,1)</f>
        <v>220204</v>
      </c>
      <c r="D73" s="88" t="str">
        <f>_xlfn.XLOOKUP($F$1&amp;B73,Filtro!B:B,Filtro!C:C,"",0,1)</f>
        <v>退社</v>
      </c>
      <c r="E73" s="88">
        <f>_xlfn.XLOOKUP($F$1&amp;B73,Filtro!B:B,Filtro!E:E,"",0,1)</f>
        <v>212021</v>
      </c>
      <c r="F73" s="88" t="str">
        <f>_xlfn.XLOOKUP($F$1&amp;B73,Filtro!B:B,Filtro!G:G,"",0,1)</f>
        <v>高雄工業株式会社 愛知事業所本社工場製作課</v>
      </c>
      <c r="G73" s="88" t="str">
        <f ca="1">MID(TablaTransfor[[#This Row],[配属先]],1,8)</f>
        <v>高雄工業株式会社</v>
      </c>
      <c r="H73" s="88" t="str">
        <f ca="1">MID(TablaTransfor[[#This Row],[配属先]],9,6)</f>
        <v xml:space="preserve"> 愛知事業所</v>
      </c>
      <c r="I73" s="88">
        <f>_xlfn.XLOOKUP($C73,DBGenzai[社員№],DBGenzai[仕事内容],"",0,1)</f>
        <v>0</v>
      </c>
      <c r="J73" s="88" t="str">
        <f>_xlfn.XLOOKUP($F$1&amp;B73,Filtro!B:B,Filtro!H:H,"",0,1)</f>
        <v>Gライン</v>
      </c>
      <c r="K73" s="88" t="str">
        <f>_xlfn.XLOOKUP($F$1&amp;B73,Filtro!B:B,Filtro!J:J,"",0,1)</f>
        <v>VU VAN QUYNH</v>
      </c>
      <c r="L73" s="88" t="str">
        <f ca="1">IF(TablaTransfor[[#This Row],[氏名]]="","",IF(TablaTransfor[[#This Row],[氏名]]&lt;"0","記号",IF(NOT(EXACT(UPPER(TablaTransfor[[#This Row],[氏名]]),LOWER(TablaTransfor[[#This Row],[氏名]]))),_xlfn.XLOOKUP($C73,DBGenzai[社員№],DBGenzai[カナ],"",0,1),_xlfn.XLOOKUP($C73,DBGenzai[社員№],DBGenzai[氏名],"",0,1))))</f>
        <v>ヴー　ヴァン　クイン</v>
      </c>
      <c r="M73" s="88" t="str">
        <f>_xlfn.XLOOKUP($C73,DBGenzai[社員№],DBGenzai[性別],"",0,1)</f>
        <v>男</v>
      </c>
      <c r="N73" s="88" t="str">
        <f>_xlfn.XLOOKUP($C73,DBGenzai[社員№],DBGenzai[国籍],"",0,1)</f>
        <v>ﾍﾞﾄﾅﾑ</v>
      </c>
      <c r="O73" s="89">
        <f>_xlfn.XLOOKUP($C73,DBGenzai[社員№],DBGenzai[生年月日],"",0,1)</f>
        <v>35733</v>
      </c>
      <c r="P73" s="88">
        <f>_xlfn.XLOOKUP($F$1&amp;B73,Filtro!B:B,Filtro!O:O,"",0,1)</f>
        <v>28</v>
      </c>
      <c r="Q73" s="88">
        <f>_xlfn.XLOOKUP($F$1&amp;B73,Filtro!B:B,Filtro!P:P,"",0,1)</f>
        <v>1400</v>
      </c>
      <c r="R73" s="426">
        <f>_xlfn.XLOOKUP($F$1&amp;B73,Filtro!B:B,Filtro!R:R,"",0,1)</f>
        <v>1760</v>
      </c>
      <c r="S73" s="88" t="str">
        <f>_xlfn.XLOOKUP($C73,DBGenzai[社員№],DBGenzai[〒],"",0,1)</f>
        <v>498-0025</v>
      </c>
      <c r="T73" s="88" t="str">
        <f>_xlfn.XLOOKUP($C73,DBGenzai[社員№],DBGenzai[住所],"",0,1)</f>
        <v>愛知県弥富市平島町喜右味名78-1</v>
      </c>
      <c r="U73" s="88" t="str">
        <f>_xlfn.XLOOKUP($C73,DBGenzai[社員№],DBGenzai[ｱﾊﾟｰﾄ],"",0,1)</f>
        <v>ﾌﾚｸﾞﾗﾝｽ桂E棟102号</v>
      </c>
      <c r="V73" s="89">
        <f>_xlfn.XLOOKUP($C73,DBGenzai[社員№],DBGenzai[入居],"",0,1)</f>
        <v>44602</v>
      </c>
      <c r="W73" s="89">
        <f>_xlfn.XLOOKUP($F$1&amp;B73,Filtro!B:B,Filtro!AF:AF,"",0,1)</f>
        <v>44599</v>
      </c>
      <c r="X73" s="89">
        <f>_xlfn.XLOOKUP($C73,DBGenzai[社員№],DBGenzai[退社日],"",0,1)</f>
        <v>45020</v>
      </c>
      <c r="Y73" s="88">
        <f>_xlfn.XLOOKUP($C73,DBGenzai[社員№],DBGenzai[退去],"",0,1)</f>
        <v>45020</v>
      </c>
      <c r="Z73" s="88">
        <f>_xlfn.XLOOKUP($C73,DBGenzai[社員№],DBGenzai[備考],"",0,1)</f>
        <v>0</v>
      </c>
      <c r="AA73" s="422">
        <f>_xlfn.XLOOKUP($F$1&amp;B73,Filtro!B:B,Filtro!AL:AL,"",0,1)</f>
        <v>44599</v>
      </c>
      <c r="AB73" s="157">
        <v>45931</v>
      </c>
      <c r="AC73" s="436">
        <f ca="1">_xlfn.XLOOKUP(TablaTransfor[[#This Row],[ライン]],TBKaishaInfo[ライン],TBKaishaInfo[まで],"NohayMarrano",0,1)</f>
        <v>46295</v>
      </c>
    </row>
    <row r="74" spans="1:29">
      <c r="A74" s="424">
        <f>SUBTOTAL(103,$C$3:C74)</f>
        <v>17</v>
      </c>
      <c r="B74" s="159">
        <v>32</v>
      </c>
      <c r="C74" s="88">
        <f>_xlfn.XLOOKUP($F$1&amp;B74,Filtro!B:B,Filtro!D:D,"",0,1)</f>
        <v>241202</v>
      </c>
      <c r="D74" s="88" t="str">
        <f>_xlfn.XLOOKUP($F$1&amp;B74,Filtro!B:B,Filtro!C:C,"",0,1)</f>
        <v>在職中</v>
      </c>
      <c r="E74" s="88">
        <f>_xlfn.XLOOKUP($F$1&amp;B74,Filtro!B:B,Filtro!E:E,"",0,1)</f>
        <v>212052</v>
      </c>
      <c r="F74" s="88" t="str">
        <f>_xlfn.XLOOKUP($F$1&amp;B74,Filtro!B:B,Filtro!G:G,"",0,1)</f>
        <v>高雄工業株式会社 愛知事業所本社工場製作課</v>
      </c>
      <c r="G74" s="88" t="str">
        <f ca="1">MID(TablaTransfor[[#This Row],[配属先]],1,8)</f>
        <v>高雄工業株式会社</v>
      </c>
      <c r="H74" s="88" t="str">
        <f ca="1">MID(TablaTransfor[[#This Row],[配属先]],9,6)</f>
        <v xml:space="preserve"> 愛知事業所</v>
      </c>
      <c r="I74" s="88" t="str">
        <f>_xlfn.XLOOKUP($C74,DBGenzai[社員№],DBGenzai[仕事内容],"",0,1)</f>
        <v>CVJ部品短軸品の施削加工、NCプログラム修正</v>
      </c>
      <c r="J74" s="88" t="str">
        <f>_xlfn.XLOOKUP($F$1&amp;B74,Filtro!B:B,Filtro!H:H,"",0,1)</f>
        <v>Fライン</v>
      </c>
      <c r="K74" s="88" t="str">
        <f>_xlfn.XLOOKUP($F$1&amp;B74,Filtro!B:B,Filtro!J:J,"",0,1)</f>
        <v>NGUYEN THANH VAN</v>
      </c>
      <c r="L74" s="88" t="str">
        <f ca="1">IF(TablaTransfor[[#This Row],[氏名]]="","",IF(TablaTransfor[[#This Row],[氏名]]&lt;"0","記号",IF(NOT(EXACT(UPPER(TablaTransfor[[#This Row],[氏名]]),LOWER(TablaTransfor[[#This Row],[氏名]]))),_xlfn.XLOOKUP($C74,DBGenzai[社員№],DBGenzai[カナ],"",0,1),_xlfn.XLOOKUP($C74,DBGenzai[社員№],DBGenzai[氏名],"",0,1))))</f>
        <v>グエン　タイン　ヴァン</v>
      </c>
      <c r="M74" s="88" t="str">
        <f>_xlfn.XLOOKUP($C74,DBGenzai[社員№],DBGenzai[性別],"",0,1)</f>
        <v>男</v>
      </c>
      <c r="N74" s="88" t="str">
        <f>_xlfn.XLOOKUP($C74,DBGenzai[社員№],DBGenzai[国籍],"",0,1)</f>
        <v>ﾍﾞﾄﾅﾑ</v>
      </c>
      <c r="O74" s="89">
        <f>_xlfn.XLOOKUP($C74,DBGenzai[社員№],DBGenzai[生年月日],"",0,1)</f>
        <v>37056</v>
      </c>
      <c r="P74" s="88">
        <f>_xlfn.XLOOKUP($F$1&amp;B74,Filtro!B:B,Filtro!O:O,"",0,1)</f>
        <v>24</v>
      </c>
      <c r="Q74" s="88">
        <f>_xlfn.XLOOKUP($F$1&amp;B74,Filtro!B:B,Filtro!P:P,"",0,1)</f>
        <v>1250</v>
      </c>
      <c r="R74" s="426">
        <f>_xlfn.XLOOKUP($F$1&amp;B74,Filtro!B:B,Filtro!R:R,"",0,1)</f>
        <v>1650</v>
      </c>
      <c r="S74" s="88" t="str">
        <f>_xlfn.XLOOKUP($C74,DBGenzai[社員№],DBGenzai[〒],"",0,1)</f>
        <v>498-0031</v>
      </c>
      <c r="T74" s="88" t="str">
        <f>_xlfn.XLOOKUP($C74,DBGenzai[社員№],DBGenzai[住所],"",0,1)</f>
        <v>愛知県弥富市平島町北広畑10-1</v>
      </c>
      <c r="U74" s="88" t="str">
        <f>_xlfn.XLOOKUP($C74,DBGenzai[社員№],DBGenzai[ｱﾊﾟｰﾄ],"",0,1)</f>
        <v>ﾚﾌﾞﾗﾝｶﾐｰﾘｱB205</v>
      </c>
      <c r="V74" s="89">
        <f>_xlfn.XLOOKUP($C74,DBGenzai[社員№],DBGenzai[入居],"",0,1)</f>
        <v>0</v>
      </c>
      <c r="W74" s="89">
        <f>_xlfn.XLOOKUP($F$1&amp;B74,Filtro!B:B,Filtro!AF:AF,"",0,1)</f>
        <v>45631</v>
      </c>
      <c r="X74" s="89">
        <f>_xlfn.XLOOKUP($C74,DBGenzai[社員№],DBGenzai[退社日],"",0,1)</f>
        <v>0</v>
      </c>
      <c r="Y74" s="88">
        <f>_xlfn.XLOOKUP($C74,DBGenzai[社員№],DBGenzai[退去],"",0,1)</f>
        <v>0</v>
      </c>
      <c r="Z74" s="88">
        <f>_xlfn.XLOOKUP($C74,DBGenzai[社員№],DBGenzai[備考],"",0,1)</f>
        <v>0</v>
      </c>
      <c r="AA74" s="422">
        <f>_xlfn.XLOOKUP($F$1&amp;B74,Filtro!B:B,Filtro!AL:AL,"",0,1)</f>
        <v>45631</v>
      </c>
      <c r="AB74" s="157">
        <v>45931</v>
      </c>
      <c r="AC74" s="436">
        <f ca="1">_xlfn.XLOOKUP(TablaTransfor[[#This Row],[ライン]],TBKaishaInfo[ライン],TBKaishaInfo[まで],"NohayMarrano",0,1)</f>
        <v>46295</v>
      </c>
    </row>
    <row r="75" spans="1:29" hidden="1">
      <c r="A75" s="424">
        <f>SUBTOTAL(103,$C$3:C75)</f>
        <v>17</v>
      </c>
      <c r="B75" s="159">
        <v>88</v>
      </c>
      <c r="C75" s="88" t="str">
        <f>_xlfn.XLOOKUP($F$1&amp;B75,Filtro!B:B,Filtro!D:D,"",0,1)</f>
        <v/>
      </c>
      <c r="D75" s="88" t="str">
        <f>_xlfn.XLOOKUP($F$1&amp;B75,Filtro!B:B,Filtro!C:C,"",0,1)</f>
        <v/>
      </c>
      <c r="E75" s="88" t="str">
        <f>_xlfn.XLOOKUP($F$1&amp;B75,Filtro!B:B,Filtro!E:E,"",0,1)</f>
        <v/>
      </c>
      <c r="F75" s="88" t="str">
        <f>_xlfn.XLOOKUP($F$1&amp;B75,Filtro!B:B,Filtro!G:G,"",0,1)</f>
        <v/>
      </c>
      <c r="G75" s="88" t="str">
        <f ca="1">MID(TablaTransfor[[#This Row],[配属先]],1,8)</f>
        <v/>
      </c>
      <c r="H75" s="88" t="str">
        <f ca="1">MID(TablaTransfor[[#This Row],[配属先]],9,6)</f>
        <v/>
      </c>
      <c r="I75" s="88" t="str">
        <f>_xlfn.XLOOKUP($C75,DBGenzai[社員№],DBGenzai[仕事内容],"",0,1)</f>
        <v/>
      </c>
      <c r="J75" s="88" t="str">
        <f>_xlfn.XLOOKUP($F$1&amp;B75,Filtro!B:B,Filtro!H:H,"",0,1)</f>
        <v/>
      </c>
      <c r="K75" s="88" t="str">
        <f>_xlfn.XLOOKUP($F$1&amp;B75,Filtro!B:B,Filtro!J:J,"",0,1)</f>
        <v/>
      </c>
      <c r="L75" s="88" t="str">
        <f ca="1">IF(TablaTransfor[[#This Row],[氏名]]="","",IF(TablaTransfor[[#This Row],[氏名]]&lt;"0","記号",IF(NOT(EXACT(UPPER(TablaTransfor[[#This Row],[氏名]]),LOWER(TablaTransfor[[#This Row],[氏名]]))),_xlfn.XLOOKUP($C75,DBGenzai[社員№],DBGenzai[カナ],"",0,1),_xlfn.XLOOKUP($C75,DBGenzai[社員№],DBGenzai[氏名],"",0,1))))</f>
        <v/>
      </c>
      <c r="M75" s="88" t="str">
        <f>_xlfn.XLOOKUP($C75,DBGenzai[社員№],DBGenzai[性別],"",0,1)</f>
        <v/>
      </c>
      <c r="N75" s="88" t="str">
        <f>_xlfn.XLOOKUP($C75,DBGenzai[社員№],DBGenzai[国籍],"",0,1)</f>
        <v/>
      </c>
      <c r="O75" s="89" t="str">
        <f>_xlfn.XLOOKUP($C75,DBGenzai[社員№],DBGenzai[生年月日],"",0,1)</f>
        <v/>
      </c>
      <c r="P75" s="88" t="str">
        <f>_xlfn.XLOOKUP($F$1&amp;B75,Filtro!B:B,Filtro!O:O,"",0,1)</f>
        <v/>
      </c>
      <c r="Q75" s="88" t="str">
        <f>_xlfn.XLOOKUP($F$1&amp;B75,Filtro!B:B,Filtro!P:P,"",0,1)</f>
        <v/>
      </c>
      <c r="R75" s="426" t="str">
        <f>_xlfn.XLOOKUP($F$1&amp;B75,Filtro!B:B,Filtro!R:R,"",0,1)</f>
        <v/>
      </c>
      <c r="S75" s="88" t="str">
        <f>_xlfn.XLOOKUP($C75,DBGenzai[社員№],DBGenzai[〒],"",0,1)</f>
        <v/>
      </c>
      <c r="T75" s="88" t="str">
        <f>_xlfn.XLOOKUP($C75,DBGenzai[社員№],DBGenzai[住所],"",0,1)</f>
        <v/>
      </c>
      <c r="U75" s="88" t="str">
        <f>_xlfn.XLOOKUP($C75,DBGenzai[社員№],DBGenzai[ｱﾊﾟｰﾄ],"",0,1)</f>
        <v/>
      </c>
      <c r="V75" s="89" t="str">
        <f>_xlfn.XLOOKUP($C75,DBGenzai[社員№],DBGenzai[入居],"",0,1)</f>
        <v/>
      </c>
      <c r="W75" s="89" t="str">
        <f>_xlfn.XLOOKUP($F$1&amp;B75,Filtro!B:B,Filtro!AF:AF,"",0,1)</f>
        <v/>
      </c>
      <c r="X75" s="89" t="str">
        <f>_xlfn.XLOOKUP($C75,DBGenzai[社員№],DBGenzai[退社日],"",0,1)</f>
        <v/>
      </c>
      <c r="Y75" s="88" t="str">
        <f>_xlfn.XLOOKUP($C75,DBGenzai[社員№],DBGenzai[退去],"",0,1)</f>
        <v/>
      </c>
      <c r="Z75" s="88" t="str">
        <f>_xlfn.XLOOKUP($C75,DBGenzai[社員№],DBGenzai[備考],"",0,1)</f>
        <v/>
      </c>
      <c r="AA75" s="422" t="str">
        <f>_xlfn.XLOOKUP($F$1&amp;B75,Filtro!B:B,Filtro!AL:AL,"",0,1)</f>
        <v/>
      </c>
      <c r="AB75" s="157" t="str" cm="1">
        <f t="array" aca="1" ref="AB7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75" s="436" t="str">
        <f ca="1">_xlfn.XLOOKUP(TablaTransfor[[#This Row],[ライン]],TBKaishaInfo[ライン],TBKaishaInfo[まで],"NohayMarrano",0,1)</f>
        <v>NohayMarrano</v>
      </c>
    </row>
    <row r="76" spans="1:29" hidden="1">
      <c r="A76" s="424">
        <f>SUBTOTAL(103,$C$3:C76)</f>
        <v>17</v>
      </c>
      <c r="B76" s="159">
        <v>89</v>
      </c>
      <c r="C76" s="88" t="str">
        <f>_xlfn.XLOOKUP($F$1&amp;B76,Filtro!B:B,Filtro!D:D,"",0,1)</f>
        <v/>
      </c>
      <c r="D76" s="88" t="str">
        <f>_xlfn.XLOOKUP($F$1&amp;B76,Filtro!B:B,Filtro!C:C,"",0,1)</f>
        <v/>
      </c>
      <c r="E76" s="88" t="str">
        <f>_xlfn.XLOOKUP($F$1&amp;B76,Filtro!B:B,Filtro!E:E,"",0,1)</f>
        <v/>
      </c>
      <c r="F76" s="88" t="str">
        <f>_xlfn.XLOOKUP($F$1&amp;B76,Filtro!B:B,Filtro!G:G,"",0,1)</f>
        <v/>
      </c>
      <c r="G76" s="88" t="str">
        <f ca="1">MID(TablaTransfor[[#This Row],[配属先]],1,8)</f>
        <v/>
      </c>
      <c r="H76" s="88" t="str">
        <f ca="1">MID(TablaTransfor[[#This Row],[配属先]],9,6)</f>
        <v/>
      </c>
      <c r="I76" s="88" t="str">
        <f>_xlfn.XLOOKUP($C76,DBGenzai[社員№],DBGenzai[仕事内容],"",0,1)</f>
        <v/>
      </c>
      <c r="J76" s="88" t="str">
        <f>_xlfn.XLOOKUP($F$1&amp;B76,Filtro!B:B,Filtro!H:H,"",0,1)</f>
        <v/>
      </c>
      <c r="K76" s="88" t="str">
        <f>_xlfn.XLOOKUP($F$1&amp;B76,Filtro!B:B,Filtro!J:J,"",0,1)</f>
        <v/>
      </c>
      <c r="L76" s="88" t="str">
        <f ca="1">IF(TablaTransfor[[#This Row],[氏名]]="","",IF(TablaTransfor[[#This Row],[氏名]]&lt;"0","記号",IF(NOT(EXACT(UPPER(TablaTransfor[[#This Row],[氏名]]),LOWER(TablaTransfor[[#This Row],[氏名]]))),_xlfn.XLOOKUP($C76,DBGenzai[社員№],DBGenzai[カナ],"",0,1),_xlfn.XLOOKUP($C76,DBGenzai[社員№],DBGenzai[氏名],"",0,1))))</f>
        <v/>
      </c>
      <c r="M76" s="88" t="str">
        <f>_xlfn.XLOOKUP($C76,DBGenzai[社員№],DBGenzai[性別],"",0,1)</f>
        <v/>
      </c>
      <c r="N76" s="88" t="str">
        <f>_xlfn.XLOOKUP($C76,DBGenzai[社員№],DBGenzai[国籍],"",0,1)</f>
        <v/>
      </c>
      <c r="O76" s="89" t="str">
        <f>_xlfn.XLOOKUP($C76,DBGenzai[社員№],DBGenzai[生年月日],"",0,1)</f>
        <v/>
      </c>
      <c r="P76" s="88" t="str">
        <f>_xlfn.XLOOKUP($F$1&amp;B76,Filtro!B:B,Filtro!O:O,"",0,1)</f>
        <v/>
      </c>
      <c r="Q76" s="88" t="str">
        <f>_xlfn.XLOOKUP($F$1&amp;B76,Filtro!B:B,Filtro!P:P,"",0,1)</f>
        <v/>
      </c>
      <c r="R76" s="426" t="str">
        <f>_xlfn.XLOOKUP($F$1&amp;B76,Filtro!B:B,Filtro!R:R,"",0,1)</f>
        <v/>
      </c>
      <c r="S76" s="88" t="str">
        <f>_xlfn.XLOOKUP($C76,DBGenzai[社員№],DBGenzai[〒],"",0,1)</f>
        <v/>
      </c>
      <c r="T76" s="88" t="str">
        <f>_xlfn.XLOOKUP($C76,DBGenzai[社員№],DBGenzai[住所],"",0,1)</f>
        <v/>
      </c>
      <c r="U76" s="88" t="str">
        <f>_xlfn.XLOOKUP($C76,DBGenzai[社員№],DBGenzai[ｱﾊﾟｰﾄ],"",0,1)</f>
        <v/>
      </c>
      <c r="V76" s="89" t="str">
        <f>_xlfn.XLOOKUP($C76,DBGenzai[社員№],DBGenzai[入居],"",0,1)</f>
        <v/>
      </c>
      <c r="W76" s="89" t="str">
        <f>_xlfn.XLOOKUP($F$1&amp;B76,Filtro!B:B,Filtro!AF:AF,"",0,1)</f>
        <v/>
      </c>
      <c r="X76" s="89" t="str">
        <f>_xlfn.XLOOKUP($C76,DBGenzai[社員№],DBGenzai[退社日],"",0,1)</f>
        <v/>
      </c>
      <c r="Y76" s="88" t="str">
        <f>_xlfn.XLOOKUP($C76,DBGenzai[社員№],DBGenzai[退去],"",0,1)</f>
        <v/>
      </c>
      <c r="Z76" s="88" t="str">
        <f>_xlfn.XLOOKUP($C76,DBGenzai[社員№],DBGenzai[備考],"",0,1)</f>
        <v/>
      </c>
      <c r="AA76" s="422" t="str">
        <f>_xlfn.XLOOKUP($F$1&amp;B76,Filtro!B:B,Filtro!AL:AL,"",0,1)</f>
        <v/>
      </c>
      <c r="AB76" s="157" t="str" cm="1">
        <f t="array" aca="1" ref="AB7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76" s="436" t="str">
        <f ca="1">_xlfn.XLOOKUP(TablaTransfor[[#This Row],[ライン]],TBKaishaInfo[ライン],TBKaishaInfo[まで],"NohayMarrano",0,1)</f>
        <v>NohayMarrano</v>
      </c>
    </row>
    <row r="77" spans="1:29" hidden="1">
      <c r="A77" s="424">
        <f>SUBTOTAL(103,$C$3:C77)</f>
        <v>17</v>
      </c>
      <c r="B77" s="159">
        <v>90</v>
      </c>
      <c r="C77" s="88" t="str">
        <f>_xlfn.XLOOKUP($F$1&amp;B77,Filtro!B:B,Filtro!D:D,"",0,1)</f>
        <v/>
      </c>
      <c r="D77" s="88" t="str">
        <f>_xlfn.XLOOKUP($F$1&amp;B77,Filtro!B:B,Filtro!C:C,"",0,1)</f>
        <v/>
      </c>
      <c r="E77" s="88" t="str">
        <f>_xlfn.XLOOKUP($F$1&amp;B77,Filtro!B:B,Filtro!E:E,"",0,1)</f>
        <v/>
      </c>
      <c r="F77" s="88" t="str">
        <f>_xlfn.XLOOKUP($F$1&amp;B77,Filtro!B:B,Filtro!G:G,"",0,1)</f>
        <v/>
      </c>
      <c r="G77" s="88" t="str">
        <f ca="1">MID(TablaTransfor[[#This Row],[配属先]],1,8)</f>
        <v/>
      </c>
      <c r="H77" s="88" t="str">
        <f ca="1">MID(TablaTransfor[[#This Row],[配属先]],9,6)</f>
        <v/>
      </c>
      <c r="I77" s="88" t="str">
        <f>_xlfn.XLOOKUP($C77,DBGenzai[社員№],DBGenzai[仕事内容],"",0,1)</f>
        <v/>
      </c>
      <c r="J77" s="88" t="str">
        <f>_xlfn.XLOOKUP($F$1&amp;B77,Filtro!B:B,Filtro!H:H,"",0,1)</f>
        <v/>
      </c>
      <c r="K77" s="88" t="str">
        <f>_xlfn.XLOOKUP($F$1&amp;B77,Filtro!B:B,Filtro!J:J,"",0,1)</f>
        <v/>
      </c>
      <c r="L77" s="88" t="str">
        <f ca="1">IF(TablaTransfor[[#This Row],[氏名]]="","",IF(TablaTransfor[[#This Row],[氏名]]&lt;"0","記号",IF(NOT(EXACT(UPPER(TablaTransfor[[#This Row],[氏名]]),LOWER(TablaTransfor[[#This Row],[氏名]]))),_xlfn.XLOOKUP($C77,DBGenzai[社員№],DBGenzai[カナ],"",0,1),_xlfn.XLOOKUP($C77,DBGenzai[社員№],DBGenzai[氏名],"",0,1))))</f>
        <v/>
      </c>
      <c r="M77" s="88" t="str">
        <f>_xlfn.XLOOKUP($C77,DBGenzai[社員№],DBGenzai[性別],"",0,1)</f>
        <v/>
      </c>
      <c r="N77" s="88" t="str">
        <f>_xlfn.XLOOKUP($C77,DBGenzai[社員№],DBGenzai[国籍],"",0,1)</f>
        <v/>
      </c>
      <c r="O77" s="89" t="str">
        <f>_xlfn.XLOOKUP($C77,DBGenzai[社員№],DBGenzai[生年月日],"",0,1)</f>
        <v/>
      </c>
      <c r="P77" s="88" t="str">
        <f>_xlfn.XLOOKUP($F$1&amp;B77,Filtro!B:B,Filtro!O:O,"",0,1)</f>
        <v/>
      </c>
      <c r="Q77" s="88" t="str">
        <f>_xlfn.XLOOKUP($F$1&amp;B77,Filtro!B:B,Filtro!P:P,"",0,1)</f>
        <v/>
      </c>
      <c r="R77" s="426" t="str">
        <f>_xlfn.XLOOKUP($F$1&amp;B77,Filtro!B:B,Filtro!R:R,"",0,1)</f>
        <v/>
      </c>
      <c r="S77" s="88" t="str">
        <f>_xlfn.XLOOKUP($C77,DBGenzai[社員№],DBGenzai[〒],"",0,1)</f>
        <v/>
      </c>
      <c r="T77" s="88" t="str">
        <f>_xlfn.XLOOKUP($C77,DBGenzai[社員№],DBGenzai[住所],"",0,1)</f>
        <v/>
      </c>
      <c r="U77" s="88" t="str">
        <f>_xlfn.XLOOKUP($C77,DBGenzai[社員№],DBGenzai[ｱﾊﾟｰﾄ],"",0,1)</f>
        <v/>
      </c>
      <c r="V77" s="89" t="str">
        <f>_xlfn.XLOOKUP($C77,DBGenzai[社員№],DBGenzai[入居],"",0,1)</f>
        <v/>
      </c>
      <c r="W77" s="89" t="str">
        <f>_xlfn.XLOOKUP($F$1&amp;B77,Filtro!B:B,Filtro!AF:AF,"",0,1)</f>
        <v/>
      </c>
      <c r="X77" s="89" t="str">
        <f>_xlfn.XLOOKUP($C77,DBGenzai[社員№],DBGenzai[退社日],"",0,1)</f>
        <v/>
      </c>
      <c r="Y77" s="88" t="str">
        <f>_xlfn.XLOOKUP($C77,DBGenzai[社員№],DBGenzai[退去],"",0,1)</f>
        <v/>
      </c>
      <c r="Z77" s="88" t="str">
        <f>_xlfn.XLOOKUP($C77,DBGenzai[社員№],DBGenzai[備考],"",0,1)</f>
        <v/>
      </c>
      <c r="AA77" s="422" t="str">
        <f>_xlfn.XLOOKUP($F$1&amp;B77,Filtro!B:B,Filtro!AL:AL,"",0,1)</f>
        <v/>
      </c>
      <c r="AB77" s="157" t="str" cm="1">
        <f t="array" aca="1" ref="AB7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77" s="436" t="str">
        <f ca="1">_xlfn.XLOOKUP(TablaTransfor[[#This Row],[ライン]],TBKaishaInfo[ライン],TBKaishaInfo[まで],"NohayMarrano",0,1)</f>
        <v>NohayMarrano</v>
      </c>
    </row>
    <row r="78" spans="1:29">
      <c r="A78" s="424">
        <f>SUBTOTAL(103,$C$3:C78)</f>
        <v>18</v>
      </c>
      <c r="B78" s="159">
        <v>50</v>
      </c>
      <c r="C78" s="88">
        <f>_xlfn.XLOOKUP($F$1&amp;B78,Filtro!B:B,Filtro!D:D,"",0,1)</f>
        <v>250223</v>
      </c>
      <c r="D78" s="88" t="str">
        <f>_xlfn.XLOOKUP($F$1&amp;B78,Filtro!B:B,Filtro!C:C,"",0,1)</f>
        <v>在職中</v>
      </c>
      <c r="E78" s="88">
        <f>_xlfn.XLOOKUP($F$1&amp;B78,Filtro!B:B,Filtro!E:E,"",0,1)</f>
        <v>212055</v>
      </c>
      <c r="F78" s="88" t="str">
        <f>_xlfn.XLOOKUP($F$1&amp;B78,Filtro!B:B,Filtro!G:G,"",0,1)</f>
        <v>高雄工業株式会社 愛知事業所本社工場製作課</v>
      </c>
      <c r="G78" s="88" t="str">
        <f ca="1">MID(TablaTransfor[[#This Row],[配属先]],1,8)</f>
        <v>高雄工業株式会社</v>
      </c>
      <c r="H78" s="88" t="str">
        <f ca="1">MID(TablaTransfor[[#This Row],[配属先]],9,6)</f>
        <v xml:space="preserve"> 愛知事業所</v>
      </c>
      <c r="I78" s="88" t="str">
        <f>_xlfn.XLOOKUP($C78,DBGenzai[社員№],DBGenzai[仕事内容],"",0,1)</f>
        <v>CVJ部品長軸品と短軸品の転造加工。</v>
      </c>
      <c r="J78" s="88" t="str">
        <f>_xlfn.XLOOKUP($F$1&amp;B78,Filtro!B:B,Filtro!H:H,"",0,1)</f>
        <v>Tライン</v>
      </c>
      <c r="K78" s="88" t="str">
        <f>_xlfn.XLOOKUP($F$1&amp;B78,Filtro!B:B,Filtro!J:J,"",0,1)</f>
        <v>TRAN MINH TRUONG</v>
      </c>
      <c r="L78" s="88" t="str">
        <f ca="1">IF(TablaTransfor[[#This Row],[氏名]]="","",IF(TablaTransfor[[#This Row],[氏名]]&lt;"0","記号",IF(NOT(EXACT(UPPER(TablaTransfor[[#This Row],[氏名]]),LOWER(TablaTransfor[[#This Row],[氏名]]))),_xlfn.XLOOKUP($C78,DBGenzai[社員№],DBGenzai[カナ],"",0,1),_xlfn.XLOOKUP($C78,DBGenzai[社員№],DBGenzai[氏名],"",0,1))))</f>
        <v>チャン　ミン　チュオン</v>
      </c>
      <c r="M78" s="88" t="str">
        <f>_xlfn.XLOOKUP($C78,DBGenzai[社員№],DBGenzai[性別],"",0,1)</f>
        <v>男</v>
      </c>
      <c r="N78" s="88" t="str">
        <f>_xlfn.XLOOKUP($C78,DBGenzai[社員№],DBGenzai[国籍],"",0,1)</f>
        <v>ﾍﾞﾄﾅﾑ</v>
      </c>
      <c r="O78" s="89">
        <f>_xlfn.XLOOKUP($C78,DBGenzai[社員№],DBGenzai[生年月日],"",0,1)</f>
        <v>37162</v>
      </c>
      <c r="P78" s="88">
        <f>_xlfn.XLOOKUP($F$1&amp;B78,Filtro!B:B,Filtro!O:O,"",0,1)</f>
        <v>24</v>
      </c>
      <c r="Q78" s="88">
        <f>_xlfn.XLOOKUP($F$1&amp;B78,Filtro!B:B,Filtro!P:P,"",0,1)</f>
        <v>1250</v>
      </c>
      <c r="R78" s="426">
        <f>_xlfn.XLOOKUP($F$1&amp;B78,Filtro!B:B,Filtro!R:R,"",0,1)</f>
        <v>1650</v>
      </c>
      <c r="S78" s="88" t="str">
        <f>_xlfn.XLOOKUP($C78,DBGenzai[社員№],DBGenzai[〒],"",0,1)</f>
        <v>498-0031</v>
      </c>
      <c r="T78" s="88" t="str">
        <f>_xlfn.XLOOKUP($C78,DBGenzai[社員№],DBGenzai[住所],"",0,1)</f>
        <v>愛知県弥富市平島町五反割101-1</v>
      </c>
      <c r="U78" s="88" t="str">
        <f>_xlfn.XLOOKUP($C78,DBGenzai[社員№],DBGenzai[ｱﾊﾟｰﾄ],"",0,1)</f>
        <v>ｱﾐﾃｨKⅠ-B</v>
      </c>
      <c r="V78" s="89">
        <f>_xlfn.XLOOKUP($C78,DBGenzai[社員№],DBGenzai[入居],"",0,1)</f>
        <v>45702</v>
      </c>
      <c r="W78" s="89">
        <f>_xlfn.XLOOKUP($F$1&amp;B78,Filtro!B:B,Filtro!AF:AF,"",0,1)</f>
        <v>45707</v>
      </c>
      <c r="X78" s="89">
        <f>_xlfn.XLOOKUP($C78,DBGenzai[社員№],DBGenzai[退社日],"",0,1)</f>
        <v>0</v>
      </c>
      <c r="Y78" s="88">
        <f>_xlfn.XLOOKUP($C78,DBGenzai[社員№],DBGenzai[退去],"",0,1)</f>
        <v>0</v>
      </c>
      <c r="Z78" s="88">
        <f>_xlfn.XLOOKUP($C78,DBGenzai[社員№],DBGenzai[備考],"",0,1)</f>
        <v>0</v>
      </c>
      <c r="AA78" s="422">
        <f>_xlfn.XLOOKUP($F$1&amp;B78,Filtro!B:B,Filtro!AL:AL,"",0,1)</f>
        <v>45707</v>
      </c>
      <c r="AB78" s="157">
        <v>45931</v>
      </c>
      <c r="AC78" s="436">
        <f ca="1">_xlfn.XLOOKUP(TablaTransfor[[#This Row],[ライン]],TBKaishaInfo[ライン],TBKaishaInfo[まで],"NohayMarrano",0,1)</f>
        <v>46295</v>
      </c>
    </row>
    <row r="79" spans="1:29" hidden="1">
      <c r="A79" s="424">
        <f>SUBTOTAL(103,$C$3:C79)</f>
        <v>18</v>
      </c>
      <c r="B79" s="159">
        <v>91</v>
      </c>
      <c r="C79" s="88" t="str">
        <f>_xlfn.XLOOKUP($F$1&amp;B79,Filtro!B:B,Filtro!D:D,"",0,1)</f>
        <v/>
      </c>
      <c r="D79" s="88" t="str">
        <f>_xlfn.XLOOKUP($F$1&amp;B79,Filtro!B:B,Filtro!C:C,"",0,1)</f>
        <v/>
      </c>
      <c r="E79" s="88" t="str">
        <f>_xlfn.XLOOKUP($F$1&amp;B79,Filtro!B:B,Filtro!E:E,"",0,1)</f>
        <v/>
      </c>
      <c r="F79" s="88" t="str">
        <f>_xlfn.XLOOKUP($F$1&amp;B79,Filtro!B:B,Filtro!G:G,"",0,1)</f>
        <v/>
      </c>
      <c r="G79" s="88" t="str">
        <f ca="1">MID(TablaTransfor[[#This Row],[配属先]],1,8)</f>
        <v/>
      </c>
      <c r="H79" s="88" t="str">
        <f ca="1">MID(TablaTransfor[[#This Row],[配属先]],9,6)</f>
        <v/>
      </c>
      <c r="I79" s="88" t="str">
        <f>_xlfn.XLOOKUP($C79,DBGenzai[社員№],DBGenzai[仕事内容],"",0,1)</f>
        <v/>
      </c>
      <c r="J79" s="88" t="str">
        <f>_xlfn.XLOOKUP($F$1&amp;B79,Filtro!B:B,Filtro!H:H,"",0,1)</f>
        <v/>
      </c>
      <c r="K79" s="88" t="str">
        <f>_xlfn.XLOOKUP($F$1&amp;B79,Filtro!B:B,Filtro!J:J,"",0,1)</f>
        <v/>
      </c>
      <c r="L79" s="88" t="str">
        <f ca="1">IF(TablaTransfor[[#This Row],[氏名]]="","",IF(TablaTransfor[[#This Row],[氏名]]&lt;"0","記号",IF(NOT(EXACT(UPPER(TablaTransfor[[#This Row],[氏名]]),LOWER(TablaTransfor[[#This Row],[氏名]]))),_xlfn.XLOOKUP($C79,DBGenzai[社員№],DBGenzai[カナ],"",0,1),_xlfn.XLOOKUP($C79,DBGenzai[社員№],DBGenzai[氏名],"",0,1))))</f>
        <v/>
      </c>
      <c r="M79" s="88" t="str">
        <f>_xlfn.XLOOKUP($C79,DBGenzai[社員№],DBGenzai[性別],"",0,1)</f>
        <v/>
      </c>
      <c r="N79" s="88" t="str">
        <f>_xlfn.XLOOKUP($C79,DBGenzai[社員№],DBGenzai[国籍],"",0,1)</f>
        <v/>
      </c>
      <c r="O79" s="89" t="str">
        <f>_xlfn.XLOOKUP($C79,DBGenzai[社員№],DBGenzai[生年月日],"",0,1)</f>
        <v/>
      </c>
      <c r="P79" s="88" t="str">
        <f>_xlfn.XLOOKUP($F$1&amp;B79,Filtro!B:B,Filtro!O:O,"",0,1)</f>
        <v/>
      </c>
      <c r="Q79" s="88" t="str">
        <f>_xlfn.XLOOKUP($F$1&amp;B79,Filtro!B:B,Filtro!P:P,"",0,1)</f>
        <v/>
      </c>
      <c r="R79" s="426" t="str">
        <f>_xlfn.XLOOKUP($F$1&amp;B79,Filtro!B:B,Filtro!R:R,"",0,1)</f>
        <v/>
      </c>
      <c r="S79" s="88" t="str">
        <f>_xlfn.XLOOKUP($C79,DBGenzai[社員№],DBGenzai[〒],"",0,1)</f>
        <v/>
      </c>
      <c r="T79" s="88" t="str">
        <f>_xlfn.XLOOKUP($C79,DBGenzai[社員№],DBGenzai[住所],"",0,1)</f>
        <v/>
      </c>
      <c r="U79" s="88" t="str">
        <f>_xlfn.XLOOKUP($C79,DBGenzai[社員№],DBGenzai[ｱﾊﾟｰﾄ],"",0,1)</f>
        <v/>
      </c>
      <c r="V79" s="89" t="str">
        <f>_xlfn.XLOOKUP($C79,DBGenzai[社員№],DBGenzai[入居],"",0,1)</f>
        <v/>
      </c>
      <c r="W79" s="89" t="str">
        <f>_xlfn.XLOOKUP($F$1&amp;B79,Filtro!B:B,Filtro!AF:AF,"",0,1)</f>
        <v/>
      </c>
      <c r="X79" s="89" t="str">
        <f>_xlfn.XLOOKUP($C79,DBGenzai[社員№],DBGenzai[退社日],"",0,1)</f>
        <v/>
      </c>
      <c r="Y79" s="88" t="str">
        <f>_xlfn.XLOOKUP($C79,DBGenzai[社員№],DBGenzai[退去],"",0,1)</f>
        <v/>
      </c>
      <c r="Z79" s="88" t="str">
        <f>_xlfn.XLOOKUP($C79,DBGenzai[社員№],DBGenzai[備考],"",0,1)</f>
        <v/>
      </c>
      <c r="AA79" s="422" t="str">
        <f>_xlfn.XLOOKUP($F$1&amp;B79,Filtro!B:B,Filtro!AL:AL,"",0,1)</f>
        <v/>
      </c>
      <c r="AB79" s="157" t="str" cm="1">
        <f t="array" aca="1" ref="AB7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79" s="436" t="str">
        <f ca="1">_xlfn.XLOOKUP(TablaTransfor[[#This Row],[ライン]],TBKaishaInfo[ライン],TBKaishaInfo[まで],"NohayMarrano",0,1)</f>
        <v>NohayMarrano</v>
      </c>
    </row>
    <row r="80" spans="1:29" hidden="1">
      <c r="A80" s="424">
        <f>SUBTOTAL(103,$C$3:C80)</f>
        <v>18</v>
      </c>
      <c r="B80" s="159">
        <v>118</v>
      </c>
      <c r="C80" s="88" t="str">
        <f>_xlfn.XLOOKUP($F$1&amp;B80,Filtro!B:B,Filtro!D:D,"",0,1)</f>
        <v/>
      </c>
      <c r="D80" s="88" t="str">
        <f>_xlfn.XLOOKUP($F$1&amp;B80,Filtro!B:B,Filtro!C:C,"",0,1)</f>
        <v/>
      </c>
      <c r="E80" s="88" t="str">
        <f>_xlfn.XLOOKUP($F$1&amp;B80,Filtro!B:B,Filtro!E:E,"",0,1)</f>
        <v/>
      </c>
      <c r="F80" s="88" t="str">
        <f>_xlfn.XLOOKUP($F$1&amp;B80,Filtro!B:B,Filtro!G:G,"",0,1)</f>
        <v/>
      </c>
      <c r="G80" s="88" t="str">
        <f ca="1">MID(TablaTransfor[[#This Row],[配属先]],1,8)</f>
        <v/>
      </c>
      <c r="H80" s="88" t="str">
        <f ca="1">MID(TablaTransfor[[#This Row],[配属先]],9,6)</f>
        <v/>
      </c>
      <c r="I80" s="88" t="str">
        <f>_xlfn.XLOOKUP($C80,DBGenzai[社員№],DBGenzai[仕事内容],"",0,1)</f>
        <v/>
      </c>
      <c r="J80" s="88" t="str">
        <f>_xlfn.XLOOKUP($F$1&amp;B80,Filtro!B:B,Filtro!H:H,"",0,1)</f>
        <v/>
      </c>
      <c r="K80" s="88" t="str">
        <f>_xlfn.XLOOKUP($F$1&amp;B80,Filtro!B:B,Filtro!J:J,"",0,1)</f>
        <v/>
      </c>
      <c r="L80" s="88" t="str">
        <f ca="1">IF(TablaTransfor[[#This Row],[氏名]]="","",IF(TablaTransfor[[#This Row],[氏名]]&lt;"0","記号",IF(NOT(EXACT(UPPER(TablaTransfor[[#This Row],[氏名]]),LOWER(TablaTransfor[[#This Row],[氏名]]))),_xlfn.XLOOKUP($C80,DBGenzai[社員№],DBGenzai[カナ],"",0,1),_xlfn.XLOOKUP($C80,DBGenzai[社員№],DBGenzai[氏名],"",0,1))))</f>
        <v/>
      </c>
      <c r="M80" s="88" t="str">
        <f>_xlfn.XLOOKUP($C80,DBGenzai[社員№],DBGenzai[性別],"",0,1)</f>
        <v/>
      </c>
      <c r="N80" s="88" t="str">
        <f>_xlfn.XLOOKUP($C80,DBGenzai[社員№],DBGenzai[国籍],"",0,1)</f>
        <v/>
      </c>
      <c r="O80" s="89" t="str">
        <f>_xlfn.XLOOKUP($C80,DBGenzai[社員№],DBGenzai[生年月日],"",0,1)</f>
        <v/>
      </c>
      <c r="P80" s="88" t="str">
        <f>_xlfn.XLOOKUP($F$1&amp;B80,Filtro!B:B,Filtro!O:O,"",0,1)</f>
        <v/>
      </c>
      <c r="Q80" s="88" t="str">
        <f>_xlfn.XLOOKUP($F$1&amp;B80,Filtro!B:B,Filtro!P:P,"",0,1)</f>
        <v/>
      </c>
      <c r="R80" s="426" t="str">
        <f>_xlfn.XLOOKUP($F$1&amp;B80,Filtro!B:B,Filtro!R:R,"",0,1)</f>
        <v/>
      </c>
      <c r="S80" s="88" t="str">
        <f>_xlfn.XLOOKUP($C80,DBGenzai[社員№],DBGenzai[〒],"",0,1)</f>
        <v/>
      </c>
      <c r="T80" s="88" t="str">
        <f>_xlfn.XLOOKUP($C80,DBGenzai[社員№],DBGenzai[住所],"",0,1)</f>
        <v/>
      </c>
      <c r="U80" s="88" t="str">
        <f>_xlfn.XLOOKUP($C80,DBGenzai[社員№],DBGenzai[ｱﾊﾟｰﾄ],"",0,1)</f>
        <v/>
      </c>
      <c r="V80" s="89" t="str">
        <f>_xlfn.XLOOKUP($C80,DBGenzai[社員№],DBGenzai[入居],"",0,1)</f>
        <v/>
      </c>
      <c r="W80" s="89" t="str">
        <f>_xlfn.XLOOKUP($F$1&amp;B80,Filtro!B:B,Filtro!AF:AF,"",0,1)</f>
        <v/>
      </c>
      <c r="X80" s="89" t="str">
        <f>_xlfn.XLOOKUP($C80,DBGenzai[社員№],DBGenzai[退社日],"",0,1)</f>
        <v/>
      </c>
      <c r="Y80" s="88" t="str">
        <f>_xlfn.XLOOKUP($C80,DBGenzai[社員№],DBGenzai[退去],"",0,1)</f>
        <v/>
      </c>
      <c r="Z80" s="88" t="str">
        <f>_xlfn.XLOOKUP($C80,DBGenzai[社員№],DBGenzai[備考],"",0,1)</f>
        <v/>
      </c>
      <c r="AA80" s="422" t="str">
        <f>_xlfn.XLOOKUP($F$1&amp;B80,Filtro!B:B,Filtro!AL:AL,"",0,1)</f>
        <v/>
      </c>
      <c r="AB80" s="157" t="str" cm="1">
        <f t="array" aca="1" ref="AB8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0" s="436" t="str">
        <f ca="1">_xlfn.XLOOKUP(TablaTransfor[[#This Row],[ライン]],TBKaishaInfo[ライン],TBKaishaInfo[まで],"NohayMarrano",0,1)</f>
        <v>NohayMarrano</v>
      </c>
    </row>
    <row r="81" spans="1:29" hidden="1">
      <c r="A81" s="424">
        <f>SUBTOTAL(103,$C$3:C81)</f>
        <v>18</v>
      </c>
      <c r="B81" s="159">
        <v>92</v>
      </c>
      <c r="C81" s="88" t="str">
        <f>_xlfn.XLOOKUP($F$1&amp;B81,Filtro!B:B,Filtro!D:D,"",0,1)</f>
        <v/>
      </c>
      <c r="D81" s="88" t="str">
        <f>_xlfn.XLOOKUP($F$1&amp;B81,Filtro!B:B,Filtro!C:C,"",0,1)</f>
        <v/>
      </c>
      <c r="E81" s="88" t="str">
        <f>_xlfn.XLOOKUP($F$1&amp;B81,Filtro!B:B,Filtro!E:E,"",0,1)</f>
        <v/>
      </c>
      <c r="F81" s="88" t="str">
        <f>_xlfn.XLOOKUP($F$1&amp;B81,Filtro!B:B,Filtro!G:G,"",0,1)</f>
        <v/>
      </c>
      <c r="G81" s="88" t="str">
        <f ca="1">MID(TablaTransfor[[#This Row],[配属先]],1,8)</f>
        <v/>
      </c>
      <c r="H81" s="88" t="str">
        <f ca="1">MID(TablaTransfor[[#This Row],[配属先]],9,6)</f>
        <v/>
      </c>
      <c r="I81" s="88" t="str">
        <f>_xlfn.XLOOKUP($C81,DBGenzai[社員№],DBGenzai[仕事内容],"",0,1)</f>
        <v/>
      </c>
      <c r="J81" s="88" t="str">
        <f>_xlfn.XLOOKUP($F$1&amp;B81,Filtro!B:B,Filtro!H:H,"",0,1)</f>
        <v/>
      </c>
      <c r="K81" s="88" t="str">
        <f>_xlfn.XLOOKUP($F$1&amp;B81,Filtro!B:B,Filtro!J:J,"",0,1)</f>
        <v/>
      </c>
      <c r="L81" s="88" t="str">
        <f ca="1">IF(TablaTransfor[[#This Row],[氏名]]="","",IF(TablaTransfor[[#This Row],[氏名]]&lt;"0","記号",IF(NOT(EXACT(UPPER(TablaTransfor[[#This Row],[氏名]]),LOWER(TablaTransfor[[#This Row],[氏名]]))),_xlfn.XLOOKUP($C81,DBGenzai[社員№],DBGenzai[カナ],"",0,1),_xlfn.XLOOKUP($C81,DBGenzai[社員№],DBGenzai[氏名],"",0,1))))</f>
        <v/>
      </c>
      <c r="M81" s="88" t="str">
        <f>_xlfn.XLOOKUP($C81,DBGenzai[社員№],DBGenzai[性別],"",0,1)</f>
        <v/>
      </c>
      <c r="N81" s="88" t="str">
        <f>_xlfn.XLOOKUP($C81,DBGenzai[社員№],DBGenzai[国籍],"",0,1)</f>
        <v/>
      </c>
      <c r="O81" s="89" t="str">
        <f>_xlfn.XLOOKUP($C81,DBGenzai[社員№],DBGenzai[生年月日],"",0,1)</f>
        <v/>
      </c>
      <c r="P81" s="88" t="str">
        <f>_xlfn.XLOOKUP($F$1&amp;B81,Filtro!B:B,Filtro!O:O,"",0,1)</f>
        <v/>
      </c>
      <c r="Q81" s="88" t="str">
        <f>_xlfn.XLOOKUP($F$1&amp;B81,Filtro!B:B,Filtro!P:P,"",0,1)</f>
        <v/>
      </c>
      <c r="R81" s="426" t="str">
        <f>_xlfn.XLOOKUP($F$1&amp;B81,Filtro!B:B,Filtro!R:R,"",0,1)</f>
        <v/>
      </c>
      <c r="S81" s="88" t="str">
        <f>_xlfn.XLOOKUP($C81,DBGenzai[社員№],DBGenzai[〒],"",0,1)</f>
        <v/>
      </c>
      <c r="T81" s="88" t="str">
        <f>_xlfn.XLOOKUP($C81,DBGenzai[社員№],DBGenzai[住所],"",0,1)</f>
        <v/>
      </c>
      <c r="U81" s="88" t="str">
        <f>_xlfn.XLOOKUP($C81,DBGenzai[社員№],DBGenzai[ｱﾊﾟｰﾄ],"",0,1)</f>
        <v/>
      </c>
      <c r="V81" s="89" t="str">
        <f>_xlfn.XLOOKUP($C81,DBGenzai[社員№],DBGenzai[入居],"",0,1)</f>
        <v/>
      </c>
      <c r="W81" s="89" t="str">
        <f>_xlfn.XLOOKUP($F$1&amp;B81,Filtro!B:B,Filtro!AF:AF,"",0,1)</f>
        <v/>
      </c>
      <c r="X81" s="89" t="str">
        <f>_xlfn.XLOOKUP($C81,DBGenzai[社員№],DBGenzai[退社日],"",0,1)</f>
        <v/>
      </c>
      <c r="Y81" s="88" t="str">
        <f>_xlfn.XLOOKUP($C81,DBGenzai[社員№],DBGenzai[退去],"",0,1)</f>
        <v/>
      </c>
      <c r="Z81" s="88" t="str">
        <f>_xlfn.XLOOKUP($C81,DBGenzai[社員№],DBGenzai[備考],"",0,1)</f>
        <v/>
      </c>
      <c r="AA81" s="422" t="str">
        <f>_xlfn.XLOOKUP($F$1&amp;B81,Filtro!B:B,Filtro!AL:AL,"",0,1)</f>
        <v/>
      </c>
      <c r="AB81" s="157" t="str" cm="1">
        <f t="array" aca="1" ref="AB8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1" s="436" t="str">
        <f ca="1">_xlfn.XLOOKUP(TablaTransfor[[#This Row],[ライン]],TBKaishaInfo[ライン],TBKaishaInfo[まで],"NohayMarrano",0,1)</f>
        <v>NohayMarrano</v>
      </c>
    </row>
    <row r="82" spans="1:29" hidden="1">
      <c r="A82" s="424">
        <f>SUBTOTAL(103,$C$3:C82)</f>
        <v>18</v>
      </c>
      <c r="B82" s="159">
        <v>94</v>
      </c>
      <c r="C82" s="88" t="str">
        <f>_xlfn.XLOOKUP($F$1&amp;B82,Filtro!B:B,Filtro!D:D,"",0,1)</f>
        <v/>
      </c>
      <c r="D82" s="88" t="str">
        <f>_xlfn.XLOOKUP($F$1&amp;B82,Filtro!B:B,Filtro!C:C,"",0,1)</f>
        <v/>
      </c>
      <c r="E82" s="88" t="str">
        <f>_xlfn.XLOOKUP($F$1&amp;B82,Filtro!B:B,Filtro!E:E,"",0,1)</f>
        <v/>
      </c>
      <c r="F82" s="88" t="str">
        <f>_xlfn.XLOOKUP($F$1&amp;B82,Filtro!B:B,Filtro!G:G,"",0,1)</f>
        <v/>
      </c>
      <c r="G82" s="88" t="str">
        <f ca="1">MID(TablaTransfor[[#This Row],[配属先]],1,8)</f>
        <v/>
      </c>
      <c r="H82" s="88" t="str">
        <f ca="1">MID(TablaTransfor[[#This Row],[配属先]],9,6)</f>
        <v/>
      </c>
      <c r="I82" s="88" t="str">
        <f>_xlfn.XLOOKUP($C82,DBGenzai[社員№],DBGenzai[仕事内容],"",0,1)</f>
        <v/>
      </c>
      <c r="J82" s="88" t="str">
        <f>_xlfn.XLOOKUP($F$1&amp;B82,Filtro!B:B,Filtro!H:H,"",0,1)</f>
        <v/>
      </c>
      <c r="K82" s="88" t="str">
        <f>_xlfn.XLOOKUP($F$1&amp;B82,Filtro!B:B,Filtro!J:J,"",0,1)</f>
        <v/>
      </c>
      <c r="L82" s="88" t="str">
        <f ca="1">IF(TablaTransfor[[#This Row],[氏名]]="","",IF(TablaTransfor[[#This Row],[氏名]]&lt;"0","記号",IF(NOT(EXACT(UPPER(TablaTransfor[[#This Row],[氏名]]),LOWER(TablaTransfor[[#This Row],[氏名]]))),_xlfn.XLOOKUP($C82,DBGenzai[社員№],DBGenzai[カナ],"",0,1),_xlfn.XLOOKUP($C82,DBGenzai[社員№],DBGenzai[氏名],"",0,1))))</f>
        <v/>
      </c>
      <c r="M82" s="88" t="str">
        <f>_xlfn.XLOOKUP($C82,DBGenzai[社員№],DBGenzai[性別],"",0,1)</f>
        <v/>
      </c>
      <c r="N82" s="88" t="str">
        <f>_xlfn.XLOOKUP($C82,DBGenzai[社員№],DBGenzai[国籍],"",0,1)</f>
        <v/>
      </c>
      <c r="O82" s="89" t="str">
        <f>_xlfn.XLOOKUP($C82,DBGenzai[社員№],DBGenzai[生年月日],"",0,1)</f>
        <v/>
      </c>
      <c r="P82" s="88" t="str">
        <f>_xlfn.XLOOKUP($F$1&amp;B82,Filtro!B:B,Filtro!O:O,"",0,1)</f>
        <v/>
      </c>
      <c r="Q82" s="88" t="str">
        <f>_xlfn.XLOOKUP($F$1&amp;B82,Filtro!B:B,Filtro!P:P,"",0,1)</f>
        <v/>
      </c>
      <c r="R82" s="426" t="str">
        <f>_xlfn.XLOOKUP($F$1&amp;B82,Filtro!B:B,Filtro!R:R,"",0,1)</f>
        <v/>
      </c>
      <c r="S82" s="88" t="str">
        <f>_xlfn.XLOOKUP($C82,DBGenzai[社員№],DBGenzai[〒],"",0,1)</f>
        <v/>
      </c>
      <c r="T82" s="88" t="str">
        <f>_xlfn.XLOOKUP($C82,DBGenzai[社員№],DBGenzai[住所],"",0,1)</f>
        <v/>
      </c>
      <c r="U82" s="88" t="str">
        <f>_xlfn.XLOOKUP($C82,DBGenzai[社員№],DBGenzai[ｱﾊﾟｰﾄ],"",0,1)</f>
        <v/>
      </c>
      <c r="V82" s="89" t="str">
        <f>_xlfn.XLOOKUP($C82,DBGenzai[社員№],DBGenzai[入居],"",0,1)</f>
        <v/>
      </c>
      <c r="W82" s="89" t="str">
        <f>_xlfn.XLOOKUP($F$1&amp;B82,Filtro!B:B,Filtro!AF:AF,"",0,1)</f>
        <v/>
      </c>
      <c r="X82" s="89" t="str">
        <f>_xlfn.XLOOKUP($C82,DBGenzai[社員№],DBGenzai[退社日],"",0,1)</f>
        <v/>
      </c>
      <c r="Y82" s="88" t="str">
        <f>_xlfn.XLOOKUP($C82,DBGenzai[社員№],DBGenzai[退去],"",0,1)</f>
        <v/>
      </c>
      <c r="Z82" s="88" t="str">
        <f>_xlfn.XLOOKUP($C82,DBGenzai[社員№],DBGenzai[備考],"",0,1)</f>
        <v/>
      </c>
      <c r="AA82" s="422" t="str">
        <f>_xlfn.XLOOKUP($F$1&amp;B82,Filtro!B:B,Filtro!AL:AL,"",0,1)</f>
        <v/>
      </c>
      <c r="AB82" s="157" t="str" cm="1">
        <f t="array" aca="1" ref="AB8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2" s="436" t="str">
        <f ca="1">_xlfn.XLOOKUP(TablaTransfor[[#This Row],[ライン]],TBKaishaInfo[ライン],TBKaishaInfo[まで],"NohayMarrano",0,1)</f>
        <v>NohayMarrano</v>
      </c>
    </row>
    <row r="83" spans="1:29" hidden="1">
      <c r="A83" s="424">
        <f>SUBTOTAL(103,$C$3:C83)</f>
        <v>18</v>
      </c>
      <c r="B83" s="159">
        <v>95</v>
      </c>
      <c r="C83" s="88" t="str">
        <f>_xlfn.XLOOKUP($F$1&amp;B83,Filtro!B:B,Filtro!D:D,"",0,1)</f>
        <v/>
      </c>
      <c r="D83" s="88" t="str">
        <f>_xlfn.XLOOKUP($F$1&amp;B83,Filtro!B:B,Filtro!C:C,"",0,1)</f>
        <v/>
      </c>
      <c r="E83" s="88" t="str">
        <f>_xlfn.XLOOKUP($F$1&amp;B83,Filtro!B:B,Filtro!E:E,"",0,1)</f>
        <v/>
      </c>
      <c r="F83" s="88" t="str">
        <f>_xlfn.XLOOKUP($F$1&amp;B83,Filtro!B:B,Filtro!G:G,"",0,1)</f>
        <v/>
      </c>
      <c r="G83" s="88" t="str">
        <f ca="1">MID(TablaTransfor[[#This Row],[配属先]],1,8)</f>
        <v/>
      </c>
      <c r="H83" s="88" t="str">
        <f ca="1">MID(TablaTransfor[[#This Row],[配属先]],9,6)</f>
        <v/>
      </c>
      <c r="I83" s="88" t="str">
        <f>_xlfn.XLOOKUP($C83,DBGenzai[社員№],DBGenzai[仕事内容],"",0,1)</f>
        <v/>
      </c>
      <c r="J83" s="88" t="str">
        <f>_xlfn.XLOOKUP($F$1&amp;B83,Filtro!B:B,Filtro!H:H,"",0,1)</f>
        <v/>
      </c>
      <c r="K83" s="88" t="str">
        <f>_xlfn.XLOOKUP($F$1&amp;B83,Filtro!B:B,Filtro!J:J,"",0,1)</f>
        <v/>
      </c>
      <c r="L83" s="88" t="str">
        <f ca="1">IF(TablaTransfor[[#This Row],[氏名]]="","",IF(TablaTransfor[[#This Row],[氏名]]&lt;"0","記号",IF(NOT(EXACT(UPPER(TablaTransfor[[#This Row],[氏名]]),LOWER(TablaTransfor[[#This Row],[氏名]]))),_xlfn.XLOOKUP($C83,DBGenzai[社員№],DBGenzai[カナ],"",0,1),_xlfn.XLOOKUP($C83,DBGenzai[社員№],DBGenzai[氏名],"",0,1))))</f>
        <v/>
      </c>
      <c r="M83" s="88" t="str">
        <f>_xlfn.XLOOKUP($C83,DBGenzai[社員№],DBGenzai[性別],"",0,1)</f>
        <v/>
      </c>
      <c r="N83" s="88" t="str">
        <f>_xlfn.XLOOKUP($C83,DBGenzai[社員№],DBGenzai[国籍],"",0,1)</f>
        <v/>
      </c>
      <c r="O83" s="89" t="str">
        <f>_xlfn.XLOOKUP($C83,DBGenzai[社員№],DBGenzai[生年月日],"",0,1)</f>
        <v/>
      </c>
      <c r="P83" s="88" t="str">
        <f>_xlfn.XLOOKUP($F$1&amp;B83,Filtro!B:B,Filtro!O:O,"",0,1)</f>
        <v/>
      </c>
      <c r="Q83" s="88" t="str">
        <f>_xlfn.XLOOKUP($F$1&amp;B83,Filtro!B:B,Filtro!P:P,"",0,1)</f>
        <v/>
      </c>
      <c r="R83" s="426" t="str">
        <f>_xlfn.XLOOKUP($F$1&amp;B83,Filtro!B:B,Filtro!R:R,"",0,1)</f>
        <v/>
      </c>
      <c r="S83" s="88" t="str">
        <f>_xlfn.XLOOKUP($C83,DBGenzai[社員№],DBGenzai[〒],"",0,1)</f>
        <v/>
      </c>
      <c r="T83" s="88" t="str">
        <f>_xlfn.XLOOKUP($C83,DBGenzai[社員№],DBGenzai[住所],"",0,1)</f>
        <v/>
      </c>
      <c r="U83" s="88" t="str">
        <f>_xlfn.XLOOKUP($C83,DBGenzai[社員№],DBGenzai[ｱﾊﾟｰﾄ],"",0,1)</f>
        <v/>
      </c>
      <c r="V83" s="89" t="str">
        <f>_xlfn.XLOOKUP($C83,DBGenzai[社員№],DBGenzai[入居],"",0,1)</f>
        <v/>
      </c>
      <c r="W83" s="89" t="str">
        <f>_xlfn.XLOOKUP($F$1&amp;B83,Filtro!B:B,Filtro!AF:AF,"",0,1)</f>
        <v/>
      </c>
      <c r="X83" s="89" t="str">
        <f>_xlfn.XLOOKUP($C83,DBGenzai[社員№],DBGenzai[退社日],"",0,1)</f>
        <v/>
      </c>
      <c r="Y83" s="88" t="str">
        <f>_xlfn.XLOOKUP($C83,DBGenzai[社員№],DBGenzai[退去],"",0,1)</f>
        <v/>
      </c>
      <c r="Z83" s="88" t="str">
        <f>_xlfn.XLOOKUP($C83,DBGenzai[社員№],DBGenzai[備考],"",0,1)</f>
        <v/>
      </c>
      <c r="AA83" s="422" t="str">
        <f>_xlfn.XLOOKUP($F$1&amp;B83,Filtro!B:B,Filtro!AL:AL,"",0,1)</f>
        <v/>
      </c>
      <c r="AB83" s="157" t="str" cm="1">
        <f t="array" aca="1" ref="AB8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3" s="436" t="str">
        <f ca="1">_xlfn.XLOOKUP(TablaTransfor[[#This Row],[ライン]],TBKaishaInfo[ライン],TBKaishaInfo[まで],"NohayMarrano",0,1)</f>
        <v>NohayMarrano</v>
      </c>
    </row>
    <row r="84" spans="1:29" hidden="1">
      <c r="A84" s="424">
        <f>SUBTOTAL(103,$C$3:C84)</f>
        <v>18</v>
      </c>
      <c r="B84" s="159">
        <v>96</v>
      </c>
      <c r="C84" s="88" t="str">
        <f>_xlfn.XLOOKUP($F$1&amp;B84,Filtro!B:B,Filtro!D:D,"",0,1)</f>
        <v/>
      </c>
      <c r="D84" s="88" t="str">
        <f>_xlfn.XLOOKUP($F$1&amp;B84,Filtro!B:B,Filtro!C:C,"",0,1)</f>
        <v/>
      </c>
      <c r="E84" s="88" t="str">
        <f>_xlfn.XLOOKUP($F$1&amp;B84,Filtro!B:B,Filtro!E:E,"",0,1)</f>
        <v/>
      </c>
      <c r="F84" s="88" t="str">
        <f>_xlfn.XLOOKUP($F$1&amp;B84,Filtro!B:B,Filtro!G:G,"",0,1)</f>
        <v/>
      </c>
      <c r="G84" s="88" t="str">
        <f ca="1">MID(TablaTransfor[[#This Row],[配属先]],1,8)</f>
        <v/>
      </c>
      <c r="H84" s="88" t="str">
        <f ca="1">MID(TablaTransfor[[#This Row],[配属先]],9,6)</f>
        <v/>
      </c>
      <c r="I84" s="88" t="str">
        <f>_xlfn.XLOOKUP($C84,DBGenzai[社員№],DBGenzai[仕事内容],"",0,1)</f>
        <v/>
      </c>
      <c r="J84" s="88" t="str">
        <f>_xlfn.XLOOKUP($F$1&amp;B84,Filtro!B:B,Filtro!H:H,"",0,1)</f>
        <v/>
      </c>
      <c r="K84" s="88" t="str">
        <f>_xlfn.XLOOKUP($F$1&amp;B84,Filtro!B:B,Filtro!J:J,"",0,1)</f>
        <v/>
      </c>
      <c r="L84" s="88" t="str">
        <f ca="1">IF(TablaTransfor[[#This Row],[氏名]]="","",IF(TablaTransfor[[#This Row],[氏名]]&lt;"0","記号",IF(NOT(EXACT(UPPER(TablaTransfor[[#This Row],[氏名]]),LOWER(TablaTransfor[[#This Row],[氏名]]))),_xlfn.XLOOKUP($C84,DBGenzai[社員№],DBGenzai[カナ],"",0,1),_xlfn.XLOOKUP($C84,DBGenzai[社員№],DBGenzai[氏名],"",0,1))))</f>
        <v/>
      </c>
      <c r="M84" s="88" t="str">
        <f>_xlfn.XLOOKUP($C84,DBGenzai[社員№],DBGenzai[性別],"",0,1)</f>
        <v/>
      </c>
      <c r="N84" s="88" t="str">
        <f>_xlfn.XLOOKUP($C84,DBGenzai[社員№],DBGenzai[国籍],"",0,1)</f>
        <v/>
      </c>
      <c r="O84" s="89" t="str">
        <f>_xlfn.XLOOKUP($C84,DBGenzai[社員№],DBGenzai[生年月日],"",0,1)</f>
        <v/>
      </c>
      <c r="P84" s="88" t="str">
        <f>_xlfn.XLOOKUP($F$1&amp;B84,Filtro!B:B,Filtro!O:O,"",0,1)</f>
        <v/>
      </c>
      <c r="Q84" s="88" t="str">
        <f>_xlfn.XLOOKUP($F$1&amp;B84,Filtro!B:B,Filtro!P:P,"",0,1)</f>
        <v/>
      </c>
      <c r="R84" s="426" t="str">
        <f>_xlfn.XLOOKUP($F$1&amp;B84,Filtro!B:B,Filtro!R:R,"",0,1)</f>
        <v/>
      </c>
      <c r="S84" s="88" t="str">
        <f>_xlfn.XLOOKUP($C84,DBGenzai[社員№],DBGenzai[〒],"",0,1)</f>
        <v/>
      </c>
      <c r="T84" s="88" t="str">
        <f>_xlfn.XLOOKUP($C84,DBGenzai[社員№],DBGenzai[住所],"",0,1)</f>
        <v/>
      </c>
      <c r="U84" s="88" t="str">
        <f>_xlfn.XLOOKUP($C84,DBGenzai[社員№],DBGenzai[ｱﾊﾟｰﾄ],"",0,1)</f>
        <v/>
      </c>
      <c r="V84" s="89" t="str">
        <f>_xlfn.XLOOKUP($C84,DBGenzai[社員№],DBGenzai[入居],"",0,1)</f>
        <v/>
      </c>
      <c r="W84" s="89" t="str">
        <f>_xlfn.XLOOKUP($F$1&amp;B84,Filtro!B:B,Filtro!AF:AF,"",0,1)</f>
        <v/>
      </c>
      <c r="X84" s="89" t="str">
        <f>_xlfn.XLOOKUP($C84,DBGenzai[社員№],DBGenzai[退社日],"",0,1)</f>
        <v/>
      </c>
      <c r="Y84" s="88" t="str">
        <f>_xlfn.XLOOKUP($C84,DBGenzai[社員№],DBGenzai[退去],"",0,1)</f>
        <v/>
      </c>
      <c r="Z84" s="88" t="str">
        <f>_xlfn.XLOOKUP($C84,DBGenzai[社員№],DBGenzai[備考],"",0,1)</f>
        <v/>
      </c>
      <c r="AA84" s="422" t="str">
        <f>_xlfn.XLOOKUP($F$1&amp;B84,Filtro!B:B,Filtro!AL:AL,"",0,1)</f>
        <v/>
      </c>
      <c r="AB84" s="157" t="str" cm="1">
        <f t="array" aca="1" ref="AB8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4" s="436" t="str">
        <f ca="1">_xlfn.XLOOKUP(TablaTransfor[[#This Row],[ライン]],TBKaishaInfo[ライン],TBKaishaInfo[まで],"NohayMarrano",0,1)</f>
        <v>NohayMarrano</v>
      </c>
    </row>
    <row r="85" spans="1:29" hidden="1">
      <c r="A85" s="424">
        <f>SUBTOTAL(103,$C$3:C85)</f>
        <v>18</v>
      </c>
      <c r="B85" s="159">
        <v>93</v>
      </c>
      <c r="C85" s="88" t="str">
        <f>_xlfn.XLOOKUP($F$1&amp;B85,Filtro!B:B,Filtro!D:D,"",0,1)</f>
        <v/>
      </c>
      <c r="D85" s="88" t="str">
        <f>_xlfn.XLOOKUP($F$1&amp;B85,Filtro!B:B,Filtro!C:C,"",0,1)</f>
        <v/>
      </c>
      <c r="E85" s="88" t="str">
        <f>_xlfn.XLOOKUP($F$1&amp;B85,Filtro!B:B,Filtro!E:E,"",0,1)</f>
        <v/>
      </c>
      <c r="F85" s="88" t="str">
        <f>_xlfn.XLOOKUP($F$1&amp;B85,Filtro!B:B,Filtro!G:G,"",0,1)</f>
        <v/>
      </c>
      <c r="G85" s="88" t="str">
        <f ca="1">MID(TablaTransfor[[#This Row],[配属先]],1,8)</f>
        <v/>
      </c>
      <c r="H85" s="88" t="str">
        <f ca="1">MID(TablaTransfor[[#This Row],[配属先]],9,6)</f>
        <v/>
      </c>
      <c r="I85" s="88" t="str">
        <f>_xlfn.XLOOKUP($C85,DBGenzai[社員№],DBGenzai[仕事内容],"",0,1)</f>
        <v/>
      </c>
      <c r="J85" s="88" t="str">
        <f>_xlfn.XLOOKUP($F$1&amp;B85,Filtro!B:B,Filtro!H:H,"",0,1)</f>
        <v/>
      </c>
      <c r="K85" s="88" t="str">
        <f>_xlfn.XLOOKUP($F$1&amp;B85,Filtro!B:B,Filtro!J:J,"",0,1)</f>
        <v/>
      </c>
      <c r="L85" s="88" t="str">
        <f ca="1">IF(TablaTransfor[[#This Row],[氏名]]="","",IF(TablaTransfor[[#This Row],[氏名]]&lt;"0","記号",IF(NOT(EXACT(UPPER(TablaTransfor[[#This Row],[氏名]]),LOWER(TablaTransfor[[#This Row],[氏名]]))),_xlfn.XLOOKUP($C85,DBGenzai[社員№],DBGenzai[カナ],"",0,1),_xlfn.XLOOKUP($C85,DBGenzai[社員№],DBGenzai[氏名],"",0,1))))</f>
        <v/>
      </c>
      <c r="M85" s="88" t="str">
        <f>_xlfn.XLOOKUP($C85,DBGenzai[社員№],DBGenzai[性別],"",0,1)</f>
        <v/>
      </c>
      <c r="N85" s="88" t="str">
        <f>_xlfn.XLOOKUP($C85,DBGenzai[社員№],DBGenzai[国籍],"",0,1)</f>
        <v/>
      </c>
      <c r="O85" s="89" t="str">
        <f>_xlfn.XLOOKUP($C85,DBGenzai[社員№],DBGenzai[生年月日],"",0,1)</f>
        <v/>
      </c>
      <c r="P85" s="88" t="str">
        <f>_xlfn.XLOOKUP($F$1&amp;B85,Filtro!B:B,Filtro!O:O,"",0,1)</f>
        <v/>
      </c>
      <c r="Q85" s="88" t="str">
        <f>_xlfn.XLOOKUP($F$1&amp;B85,Filtro!B:B,Filtro!P:P,"",0,1)</f>
        <v/>
      </c>
      <c r="R85" s="426" t="str">
        <f>_xlfn.XLOOKUP($F$1&amp;B85,Filtro!B:B,Filtro!R:R,"",0,1)</f>
        <v/>
      </c>
      <c r="S85" s="88" t="str">
        <f>_xlfn.XLOOKUP($C85,DBGenzai[社員№],DBGenzai[〒],"",0,1)</f>
        <v/>
      </c>
      <c r="T85" s="88" t="str">
        <f>_xlfn.XLOOKUP($C85,DBGenzai[社員№],DBGenzai[住所],"",0,1)</f>
        <v/>
      </c>
      <c r="U85" s="88" t="str">
        <f>_xlfn.XLOOKUP($C85,DBGenzai[社員№],DBGenzai[ｱﾊﾟｰﾄ],"",0,1)</f>
        <v/>
      </c>
      <c r="V85" s="89" t="str">
        <f>_xlfn.XLOOKUP($C85,DBGenzai[社員№],DBGenzai[入居],"",0,1)</f>
        <v/>
      </c>
      <c r="W85" s="89" t="str">
        <f>_xlfn.XLOOKUP($F$1&amp;B85,Filtro!B:B,Filtro!AF:AF,"",0,1)</f>
        <v/>
      </c>
      <c r="X85" s="89" t="str">
        <f>_xlfn.XLOOKUP($C85,DBGenzai[社員№],DBGenzai[退社日],"",0,1)</f>
        <v/>
      </c>
      <c r="Y85" s="88" t="str">
        <f>_xlfn.XLOOKUP($C85,DBGenzai[社員№],DBGenzai[退去],"",0,1)</f>
        <v/>
      </c>
      <c r="Z85" s="88" t="str">
        <f>_xlfn.XLOOKUP($C85,DBGenzai[社員№],DBGenzai[備考],"",0,1)</f>
        <v/>
      </c>
      <c r="AA85" s="422" t="str">
        <f>_xlfn.XLOOKUP($F$1&amp;B85,Filtro!B:B,Filtro!AL:AL,"",0,1)</f>
        <v/>
      </c>
      <c r="AB85" s="157" t="str" cm="1">
        <f t="array" aca="1" ref="AB8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5" s="436" t="str">
        <f ca="1">_xlfn.XLOOKUP(TablaTransfor[[#This Row],[ライン]],TBKaishaInfo[ライン],TBKaishaInfo[まで],"NohayMarrano",0,1)</f>
        <v>NohayMarrano</v>
      </c>
    </row>
    <row r="86" spans="1:29" hidden="1">
      <c r="A86" s="424">
        <f>SUBTOTAL(103,$C$3:C86)</f>
        <v>18</v>
      </c>
      <c r="B86" s="159">
        <v>100</v>
      </c>
      <c r="C86" s="88" t="str">
        <f>_xlfn.XLOOKUP($F$1&amp;B86,Filtro!B:B,Filtro!D:D,"",0,1)</f>
        <v/>
      </c>
      <c r="D86" s="88" t="str">
        <f>_xlfn.XLOOKUP($F$1&amp;B86,Filtro!B:B,Filtro!C:C,"",0,1)</f>
        <v/>
      </c>
      <c r="E86" s="88" t="str">
        <f>_xlfn.XLOOKUP($F$1&amp;B86,Filtro!B:B,Filtro!E:E,"",0,1)</f>
        <v/>
      </c>
      <c r="F86" s="88" t="str">
        <f>_xlfn.XLOOKUP($F$1&amp;B86,Filtro!B:B,Filtro!G:G,"",0,1)</f>
        <v/>
      </c>
      <c r="G86" s="88" t="str">
        <f ca="1">MID(TablaTransfor[[#This Row],[配属先]],1,8)</f>
        <v/>
      </c>
      <c r="H86" s="88" t="str">
        <f ca="1">MID(TablaTransfor[[#This Row],[配属先]],9,6)</f>
        <v/>
      </c>
      <c r="I86" s="88" t="str">
        <f>_xlfn.XLOOKUP($C86,DBGenzai[社員№],DBGenzai[仕事内容],"",0,1)</f>
        <v/>
      </c>
      <c r="J86" s="88" t="str">
        <f>_xlfn.XLOOKUP($F$1&amp;B86,Filtro!B:B,Filtro!H:H,"",0,1)</f>
        <v/>
      </c>
      <c r="K86" s="88" t="str">
        <f>_xlfn.XLOOKUP($F$1&amp;B86,Filtro!B:B,Filtro!J:J,"",0,1)</f>
        <v/>
      </c>
      <c r="L86" s="88" t="str">
        <f ca="1">IF(TablaTransfor[[#This Row],[氏名]]="","",IF(TablaTransfor[[#This Row],[氏名]]&lt;"0","記号",IF(NOT(EXACT(UPPER(TablaTransfor[[#This Row],[氏名]]),LOWER(TablaTransfor[[#This Row],[氏名]]))),_xlfn.XLOOKUP($C86,DBGenzai[社員№],DBGenzai[カナ],"",0,1),_xlfn.XLOOKUP($C86,DBGenzai[社員№],DBGenzai[氏名],"",0,1))))</f>
        <v/>
      </c>
      <c r="M86" s="88" t="str">
        <f>_xlfn.XLOOKUP($C86,DBGenzai[社員№],DBGenzai[性別],"",0,1)</f>
        <v/>
      </c>
      <c r="N86" s="88" t="str">
        <f>_xlfn.XLOOKUP($C86,DBGenzai[社員№],DBGenzai[国籍],"",0,1)</f>
        <v/>
      </c>
      <c r="O86" s="89" t="str">
        <f>_xlfn.XLOOKUP($C86,DBGenzai[社員№],DBGenzai[生年月日],"",0,1)</f>
        <v/>
      </c>
      <c r="P86" s="88" t="str">
        <f>_xlfn.XLOOKUP($F$1&amp;B86,Filtro!B:B,Filtro!O:O,"",0,1)</f>
        <v/>
      </c>
      <c r="Q86" s="88" t="str">
        <f>_xlfn.XLOOKUP($F$1&amp;B86,Filtro!B:B,Filtro!P:P,"",0,1)</f>
        <v/>
      </c>
      <c r="R86" s="426" t="str">
        <f>_xlfn.XLOOKUP($F$1&amp;B86,Filtro!B:B,Filtro!R:R,"",0,1)</f>
        <v/>
      </c>
      <c r="S86" s="88" t="str">
        <f>_xlfn.XLOOKUP($C86,DBGenzai[社員№],DBGenzai[〒],"",0,1)</f>
        <v/>
      </c>
      <c r="T86" s="88" t="str">
        <f>_xlfn.XLOOKUP($C86,DBGenzai[社員№],DBGenzai[住所],"",0,1)</f>
        <v/>
      </c>
      <c r="U86" s="88" t="str">
        <f>_xlfn.XLOOKUP($C86,DBGenzai[社員№],DBGenzai[ｱﾊﾟｰﾄ],"",0,1)</f>
        <v/>
      </c>
      <c r="V86" s="89" t="str">
        <f>_xlfn.XLOOKUP($C86,DBGenzai[社員№],DBGenzai[入居],"",0,1)</f>
        <v/>
      </c>
      <c r="W86" s="89" t="str">
        <f>_xlfn.XLOOKUP($F$1&amp;B86,Filtro!B:B,Filtro!AF:AF,"",0,1)</f>
        <v/>
      </c>
      <c r="X86" s="89" t="str">
        <f>_xlfn.XLOOKUP($C86,DBGenzai[社員№],DBGenzai[退社日],"",0,1)</f>
        <v/>
      </c>
      <c r="Y86" s="88" t="str">
        <f>_xlfn.XLOOKUP($C86,DBGenzai[社員№],DBGenzai[退去],"",0,1)</f>
        <v/>
      </c>
      <c r="Z86" s="88" t="str">
        <f>_xlfn.XLOOKUP($C86,DBGenzai[社員№],DBGenzai[備考],"",0,1)</f>
        <v/>
      </c>
      <c r="AA86" s="422" t="str">
        <f>_xlfn.XLOOKUP($F$1&amp;B86,Filtro!B:B,Filtro!AL:AL,"",0,1)</f>
        <v/>
      </c>
      <c r="AB86" s="157" t="str" cm="1">
        <f t="array" aca="1" ref="AB8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6" s="436" t="str">
        <f ca="1">_xlfn.XLOOKUP(TablaTransfor[[#This Row],[ライン]],TBKaishaInfo[ライン],TBKaishaInfo[まで],"NohayMarrano",0,1)</f>
        <v>NohayMarrano</v>
      </c>
    </row>
    <row r="87" spans="1:29" hidden="1">
      <c r="A87" s="424">
        <f>SUBTOTAL(103,$C$3:C87)</f>
        <v>18</v>
      </c>
      <c r="B87" s="159">
        <v>98</v>
      </c>
      <c r="C87" s="88" t="str">
        <f>_xlfn.XLOOKUP($F$1&amp;B87,Filtro!B:B,Filtro!D:D,"",0,1)</f>
        <v/>
      </c>
      <c r="D87" s="88" t="str">
        <f>_xlfn.XLOOKUP($F$1&amp;B87,Filtro!B:B,Filtro!C:C,"",0,1)</f>
        <v/>
      </c>
      <c r="E87" s="88" t="str">
        <f>_xlfn.XLOOKUP($F$1&amp;B87,Filtro!B:B,Filtro!E:E,"",0,1)</f>
        <v/>
      </c>
      <c r="F87" s="88" t="str">
        <f>_xlfn.XLOOKUP($F$1&amp;B87,Filtro!B:B,Filtro!G:G,"",0,1)</f>
        <v/>
      </c>
      <c r="G87" s="88" t="str">
        <f ca="1">MID(TablaTransfor[[#This Row],[配属先]],1,8)</f>
        <v/>
      </c>
      <c r="H87" s="88" t="str">
        <f ca="1">MID(TablaTransfor[[#This Row],[配属先]],9,6)</f>
        <v/>
      </c>
      <c r="I87" s="88" t="str">
        <f>_xlfn.XLOOKUP($C87,DBGenzai[社員№],DBGenzai[仕事内容],"",0,1)</f>
        <v/>
      </c>
      <c r="J87" s="88" t="str">
        <f>_xlfn.XLOOKUP($F$1&amp;B87,Filtro!B:B,Filtro!H:H,"",0,1)</f>
        <v/>
      </c>
      <c r="K87" s="88" t="str">
        <f>_xlfn.XLOOKUP($F$1&amp;B87,Filtro!B:B,Filtro!J:J,"",0,1)</f>
        <v/>
      </c>
      <c r="L87" s="88" t="str">
        <f ca="1">IF(TablaTransfor[[#This Row],[氏名]]="","",IF(TablaTransfor[[#This Row],[氏名]]&lt;"0","記号",IF(NOT(EXACT(UPPER(TablaTransfor[[#This Row],[氏名]]),LOWER(TablaTransfor[[#This Row],[氏名]]))),_xlfn.XLOOKUP($C87,DBGenzai[社員№],DBGenzai[カナ],"",0,1),_xlfn.XLOOKUP($C87,DBGenzai[社員№],DBGenzai[氏名],"",0,1))))</f>
        <v/>
      </c>
      <c r="M87" s="88" t="str">
        <f>_xlfn.XLOOKUP($C87,DBGenzai[社員№],DBGenzai[性別],"",0,1)</f>
        <v/>
      </c>
      <c r="N87" s="88" t="str">
        <f>_xlfn.XLOOKUP($C87,DBGenzai[社員№],DBGenzai[国籍],"",0,1)</f>
        <v/>
      </c>
      <c r="O87" s="89" t="str">
        <f>_xlfn.XLOOKUP($C87,DBGenzai[社員№],DBGenzai[生年月日],"",0,1)</f>
        <v/>
      </c>
      <c r="P87" s="88" t="str">
        <f>_xlfn.XLOOKUP($F$1&amp;B87,Filtro!B:B,Filtro!O:O,"",0,1)</f>
        <v/>
      </c>
      <c r="Q87" s="88" t="str">
        <f>_xlfn.XLOOKUP($F$1&amp;B87,Filtro!B:B,Filtro!P:P,"",0,1)</f>
        <v/>
      </c>
      <c r="R87" s="426" t="str">
        <f>_xlfn.XLOOKUP($F$1&amp;B87,Filtro!B:B,Filtro!R:R,"",0,1)</f>
        <v/>
      </c>
      <c r="S87" s="88" t="str">
        <f>_xlfn.XLOOKUP($C87,DBGenzai[社員№],DBGenzai[〒],"",0,1)</f>
        <v/>
      </c>
      <c r="T87" s="88" t="str">
        <f>_xlfn.XLOOKUP($C87,DBGenzai[社員№],DBGenzai[住所],"",0,1)</f>
        <v/>
      </c>
      <c r="U87" s="88" t="str">
        <f>_xlfn.XLOOKUP($C87,DBGenzai[社員№],DBGenzai[ｱﾊﾟｰﾄ],"",0,1)</f>
        <v/>
      </c>
      <c r="V87" s="89" t="str">
        <f>_xlfn.XLOOKUP($C87,DBGenzai[社員№],DBGenzai[入居],"",0,1)</f>
        <v/>
      </c>
      <c r="W87" s="89" t="str">
        <f>_xlfn.XLOOKUP($F$1&amp;B87,Filtro!B:B,Filtro!AF:AF,"",0,1)</f>
        <v/>
      </c>
      <c r="X87" s="89" t="str">
        <f>_xlfn.XLOOKUP($C87,DBGenzai[社員№],DBGenzai[退社日],"",0,1)</f>
        <v/>
      </c>
      <c r="Y87" s="88" t="str">
        <f>_xlfn.XLOOKUP($C87,DBGenzai[社員№],DBGenzai[退去],"",0,1)</f>
        <v/>
      </c>
      <c r="Z87" s="88" t="str">
        <f>_xlfn.XLOOKUP($C87,DBGenzai[社員№],DBGenzai[備考],"",0,1)</f>
        <v/>
      </c>
      <c r="AA87" s="422" t="str">
        <f>_xlfn.XLOOKUP($F$1&amp;B87,Filtro!B:B,Filtro!AL:AL,"",0,1)</f>
        <v/>
      </c>
      <c r="AB87" s="157" t="str" cm="1">
        <f t="array" aca="1" ref="AB8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7" s="436" t="str">
        <f ca="1">_xlfn.XLOOKUP(TablaTransfor[[#This Row],[ライン]],TBKaishaInfo[ライン],TBKaishaInfo[まで],"NohayMarrano",0,1)</f>
        <v>NohayMarrano</v>
      </c>
    </row>
    <row r="88" spans="1:29" hidden="1">
      <c r="A88" s="424">
        <f>SUBTOTAL(103,$C$3:C88)</f>
        <v>18</v>
      </c>
      <c r="B88" s="159">
        <v>99</v>
      </c>
      <c r="C88" s="88" t="str">
        <f>_xlfn.XLOOKUP($F$1&amp;B88,Filtro!B:B,Filtro!D:D,"",0,1)</f>
        <v/>
      </c>
      <c r="D88" s="88" t="str">
        <f>_xlfn.XLOOKUP($F$1&amp;B88,Filtro!B:B,Filtro!C:C,"",0,1)</f>
        <v/>
      </c>
      <c r="E88" s="88" t="str">
        <f>_xlfn.XLOOKUP($F$1&amp;B88,Filtro!B:B,Filtro!E:E,"",0,1)</f>
        <v/>
      </c>
      <c r="F88" s="88" t="str">
        <f>_xlfn.XLOOKUP($F$1&amp;B88,Filtro!B:B,Filtro!G:G,"",0,1)</f>
        <v/>
      </c>
      <c r="G88" s="88" t="str">
        <f ca="1">MID(TablaTransfor[[#This Row],[配属先]],1,8)</f>
        <v/>
      </c>
      <c r="H88" s="88" t="str">
        <f ca="1">MID(TablaTransfor[[#This Row],[配属先]],9,6)</f>
        <v/>
      </c>
      <c r="I88" s="88" t="str">
        <f>_xlfn.XLOOKUP($C88,DBGenzai[社員№],DBGenzai[仕事内容],"",0,1)</f>
        <v/>
      </c>
      <c r="J88" s="88" t="str">
        <f>_xlfn.XLOOKUP($F$1&amp;B88,Filtro!B:B,Filtro!H:H,"",0,1)</f>
        <v/>
      </c>
      <c r="K88" s="88" t="str">
        <f>_xlfn.XLOOKUP($F$1&amp;B88,Filtro!B:B,Filtro!J:J,"",0,1)</f>
        <v/>
      </c>
      <c r="L88" s="88" t="str">
        <f ca="1">IF(TablaTransfor[[#This Row],[氏名]]="","",IF(TablaTransfor[[#This Row],[氏名]]&lt;"0","記号",IF(NOT(EXACT(UPPER(TablaTransfor[[#This Row],[氏名]]),LOWER(TablaTransfor[[#This Row],[氏名]]))),_xlfn.XLOOKUP($C88,DBGenzai[社員№],DBGenzai[カナ],"",0,1),_xlfn.XLOOKUP($C88,DBGenzai[社員№],DBGenzai[氏名],"",0,1))))</f>
        <v/>
      </c>
      <c r="M88" s="88" t="str">
        <f>_xlfn.XLOOKUP($C88,DBGenzai[社員№],DBGenzai[性別],"",0,1)</f>
        <v/>
      </c>
      <c r="N88" s="88" t="str">
        <f>_xlfn.XLOOKUP($C88,DBGenzai[社員№],DBGenzai[国籍],"",0,1)</f>
        <v/>
      </c>
      <c r="O88" s="89" t="str">
        <f>_xlfn.XLOOKUP($C88,DBGenzai[社員№],DBGenzai[生年月日],"",0,1)</f>
        <v/>
      </c>
      <c r="P88" s="88" t="str">
        <f>_xlfn.XLOOKUP($F$1&amp;B88,Filtro!B:B,Filtro!O:O,"",0,1)</f>
        <v/>
      </c>
      <c r="Q88" s="88" t="str">
        <f>_xlfn.XLOOKUP($F$1&amp;B88,Filtro!B:B,Filtro!P:P,"",0,1)</f>
        <v/>
      </c>
      <c r="R88" s="426" t="str">
        <f>_xlfn.XLOOKUP($F$1&amp;B88,Filtro!B:B,Filtro!R:R,"",0,1)</f>
        <v/>
      </c>
      <c r="S88" s="88" t="str">
        <f>_xlfn.XLOOKUP($C88,DBGenzai[社員№],DBGenzai[〒],"",0,1)</f>
        <v/>
      </c>
      <c r="T88" s="88" t="str">
        <f>_xlfn.XLOOKUP($C88,DBGenzai[社員№],DBGenzai[住所],"",0,1)</f>
        <v/>
      </c>
      <c r="U88" s="88" t="str">
        <f>_xlfn.XLOOKUP($C88,DBGenzai[社員№],DBGenzai[ｱﾊﾟｰﾄ],"",0,1)</f>
        <v/>
      </c>
      <c r="V88" s="89" t="str">
        <f>_xlfn.XLOOKUP($C88,DBGenzai[社員№],DBGenzai[入居],"",0,1)</f>
        <v/>
      </c>
      <c r="W88" s="89" t="str">
        <f>_xlfn.XLOOKUP($F$1&amp;B88,Filtro!B:B,Filtro!AF:AF,"",0,1)</f>
        <v/>
      </c>
      <c r="X88" s="89" t="str">
        <f>_xlfn.XLOOKUP($C88,DBGenzai[社員№],DBGenzai[退社日],"",0,1)</f>
        <v/>
      </c>
      <c r="Y88" s="88" t="str">
        <f>_xlfn.XLOOKUP($C88,DBGenzai[社員№],DBGenzai[退去],"",0,1)</f>
        <v/>
      </c>
      <c r="Z88" s="88" t="str">
        <f>_xlfn.XLOOKUP($C88,DBGenzai[社員№],DBGenzai[備考],"",0,1)</f>
        <v/>
      </c>
      <c r="AA88" s="422" t="str">
        <f>_xlfn.XLOOKUP($F$1&amp;B88,Filtro!B:B,Filtro!AL:AL,"",0,1)</f>
        <v/>
      </c>
      <c r="AB88" s="157" t="str" cm="1">
        <f t="array" aca="1" ref="AB8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8" s="436" t="str">
        <f ca="1">_xlfn.XLOOKUP(TablaTransfor[[#This Row],[ライン]],TBKaishaInfo[ライン],TBKaishaInfo[まで],"NohayMarrano",0,1)</f>
        <v>NohayMarrano</v>
      </c>
    </row>
    <row r="89" spans="1:29" hidden="1">
      <c r="A89" s="424">
        <f>SUBTOTAL(103,$C$3:C89)</f>
        <v>18</v>
      </c>
      <c r="B89" s="159">
        <v>102</v>
      </c>
      <c r="C89" s="88" t="str">
        <f>_xlfn.XLOOKUP($F$1&amp;B89,Filtro!B:B,Filtro!D:D,"",0,1)</f>
        <v/>
      </c>
      <c r="D89" s="88" t="str">
        <f>_xlfn.XLOOKUP($F$1&amp;B89,Filtro!B:B,Filtro!C:C,"",0,1)</f>
        <v/>
      </c>
      <c r="E89" s="88" t="str">
        <f>_xlfn.XLOOKUP($F$1&amp;B89,Filtro!B:B,Filtro!E:E,"",0,1)</f>
        <v/>
      </c>
      <c r="F89" s="88" t="str">
        <f>_xlfn.XLOOKUP($F$1&amp;B89,Filtro!B:B,Filtro!G:G,"",0,1)</f>
        <v/>
      </c>
      <c r="G89" s="88" t="str">
        <f ca="1">MID(TablaTransfor[[#This Row],[配属先]],1,8)</f>
        <v/>
      </c>
      <c r="H89" s="88" t="str">
        <f ca="1">MID(TablaTransfor[[#This Row],[配属先]],9,6)</f>
        <v/>
      </c>
      <c r="I89" s="88" t="str">
        <f>_xlfn.XLOOKUP($C89,DBGenzai[社員№],DBGenzai[仕事内容],"",0,1)</f>
        <v/>
      </c>
      <c r="J89" s="88" t="str">
        <f>_xlfn.XLOOKUP($F$1&amp;B89,Filtro!B:B,Filtro!H:H,"",0,1)</f>
        <v/>
      </c>
      <c r="K89" s="88" t="str">
        <f>_xlfn.XLOOKUP($F$1&amp;B89,Filtro!B:B,Filtro!J:J,"",0,1)</f>
        <v/>
      </c>
      <c r="L89" s="88" t="str">
        <f ca="1">IF(TablaTransfor[[#This Row],[氏名]]="","",IF(TablaTransfor[[#This Row],[氏名]]&lt;"0","記号",IF(NOT(EXACT(UPPER(TablaTransfor[[#This Row],[氏名]]),LOWER(TablaTransfor[[#This Row],[氏名]]))),_xlfn.XLOOKUP($C89,DBGenzai[社員№],DBGenzai[カナ],"",0,1),_xlfn.XLOOKUP($C89,DBGenzai[社員№],DBGenzai[氏名],"",0,1))))</f>
        <v/>
      </c>
      <c r="M89" s="88" t="str">
        <f>_xlfn.XLOOKUP($C89,DBGenzai[社員№],DBGenzai[性別],"",0,1)</f>
        <v/>
      </c>
      <c r="N89" s="88" t="str">
        <f>_xlfn.XLOOKUP($C89,DBGenzai[社員№],DBGenzai[国籍],"",0,1)</f>
        <v/>
      </c>
      <c r="O89" s="89" t="str">
        <f>_xlfn.XLOOKUP($C89,DBGenzai[社員№],DBGenzai[生年月日],"",0,1)</f>
        <v/>
      </c>
      <c r="P89" s="88" t="str">
        <f>_xlfn.XLOOKUP($F$1&amp;B89,Filtro!B:B,Filtro!O:O,"",0,1)</f>
        <v/>
      </c>
      <c r="Q89" s="88" t="str">
        <f>_xlfn.XLOOKUP($F$1&amp;B89,Filtro!B:B,Filtro!P:P,"",0,1)</f>
        <v/>
      </c>
      <c r="R89" s="426" t="str">
        <f>_xlfn.XLOOKUP($F$1&amp;B89,Filtro!B:B,Filtro!R:R,"",0,1)</f>
        <v/>
      </c>
      <c r="S89" s="88" t="str">
        <f>_xlfn.XLOOKUP($C89,DBGenzai[社員№],DBGenzai[〒],"",0,1)</f>
        <v/>
      </c>
      <c r="T89" s="88" t="str">
        <f>_xlfn.XLOOKUP($C89,DBGenzai[社員№],DBGenzai[住所],"",0,1)</f>
        <v/>
      </c>
      <c r="U89" s="88" t="str">
        <f>_xlfn.XLOOKUP($C89,DBGenzai[社員№],DBGenzai[ｱﾊﾟｰﾄ],"",0,1)</f>
        <v/>
      </c>
      <c r="V89" s="89" t="str">
        <f>_xlfn.XLOOKUP($C89,DBGenzai[社員№],DBGenzai[入居],"",0,1)</f>
        <v/>
      </c>
      <c r="W89" s="89" t="str">
        <f>_xlfn.XLOOKUP($F$1&amp;B89,Filtro!B:B,Filtro!AF:AF,"",0,1)</f>
        <v/>
      </c>
      <c r="X89" s="89" t="str">
        <f>_xlfn.XLOOKUP($C89,DBGenzai[社員№],DBGenzai[退社日],"",0,1)</f>
        <v/>
      </c>
      <c r="Y89" s="88" t="str">
        <f>_xlfn.XLOOKUP($C89,DBGenzai[社員№],DBGenzai[退去],"",0,1)</f>
        <v/>
      </c>
      <c r="Z89" s="88" t="str">
        <f>_xlfn.XLOOKUP($C89,DBGenzai[社員№],DBGenzai[備考],"",0,1)</f>
        <v/>
      </c>
      <c r="AA89" s="422" t="str">
        <f>_xlfn.XLOOKUP($F$1&amp;B89,Filtro!B:B,Filtro!AL:AL,"",0,1)</f>
        <v/>
      </c>
      <c r="AB89" s="157" t="str" cm="1">
        <f t="array" aca="1" ref="AB8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89" s="436" t="str">
        <f ca="1">_xlfn.XLOOKUP(TablaTransfor[[#This Row],[ライン]],TBKaishaInfo[ライン],TBKaishaInfo[まで],"NohayMarrano",0,1)</f>
        <v>NohayMarrano</v>
      </c>
    </row>
    <row r="90" spans="1:29" hidden="1">
      <c r="A90" s="424">
        <f>SUBTOTAL(103,$C$3:C90)</f>
        <v>18</v>
      </c>
      <c r="B90" s="159">
        <v>104</v>
      </c>
      <c r="C90" s="88" t="str">
        <f>_xlfn.XLOOKUP($F$1&amp;B90,Filtro!B:B,Filtro!D:D,"",0,1)</f>
        <v/>
      </c>
      <c r="D90" s="88" t="str">
        <f>_xlfn.XLOOKUP($F$1&amp;B90,Filtro!B:B,Filtro!C:C,"",0,1)</f>
        <v/>
      </c>
      <c r="E90" s="88" t="str">
        <f>_xlfn.XLOOKUP($F$1&amp;B90,Filtro!B:B,Filtro!E:E,"",0,1)</f>
        <v/>
      </c>
      <c r="F90" s="88" t="str">
        <f>_xlfn.XLOOKUP($F$1&amp;B90,Filtro!B:B,Filtro!G:G,"",0,1)</f>
        <v/>
      </c>
      <c r="G90" s="88" t="str">
        <f ca="1">MID(TablaTransfor[[#This Row],[配属先]],1,8)</f>
        <v/>
      </c>
      <c r="H90" s="88" t="str">
        <f ca="1">MID(TablaTransfor[[#This Row],[配属先]],9,6)</f>
        <v/>
      </c>
      <c r="I90" s="88" t="str">
        <f>_xlfn.XLOOKUP($C90,DBGenzai[社員№],DBGenzai[仕事内容],"",0,1)</f>
        <v/>
      </c>
      <c r="J90" s="88" t="str">
        <f>_xlfn.XLOOKUP($F$1&amp;B90,Filtro!B:B,Filtro!H:H,"",0,1)</f>
        <v/>
      </c>
      <c r="K90" s="88" t="str">
        <f>_xlfn.XLOOKUP($F$1&amp;B90,Filtro!B:B,Filtro!J:J,"",0,1)</f>
        <v/>
      </c>
      <c r="L90" s="88" t="str">
        <f ca="1">IF(TablaTransfor[[#This Row],[氏名]]="","",IF(TablaTransfor[[#This Row],[氏名]]&lt;"0","記号",IF(NOT(EXACT(UPPER(TablaTransfor[[#This Row],[氏名]]),LOWER(TablaTransfor[[#This Row],[氏名]]))),_xlfn.XLOOKUP($C90,DBGenzai[社員№],DBGenzai[カナ],"",0,1),_xlfn.XLOOKUP($C90,DBGenzai[社員№],DBGenzai[氏名],"",0,1))))</f>
        <v/>
      </c>
      <c r="M90" s="88" t="str">
        <f>_xlfn.XLOOKUP($C90,DBGenzai[社員№],DBGenzai[性別],"",0,1)</f>
        <v/>
      </c>
      <c r="N90" s="88" t="str">
        <f>_xlfn.XLOOKUP($C90,DBGenzai[社員№],DBGenzai[国籍],"",0,1)</f>
        <v/>
      </c>
      <c r="O90" s="89" t="str">
        <f>_xlfn.XLOOKUP($C90,DBGenzai[社員№],DBGenzai[生年月日],"",0,1)</f>
        <v/>
      </c>
      <c r="P90" s="88" t="str">
        <f>_xlfn.XLOOKUP($F$1&amp;B90,Filtro!B:B,Filtro!O:O,"",0,1)</f>
        <v/>
      </c>
      <c r="Q90" s="88" t="str">
        <f>_xlfn.XLOOKUP($F$1&amp;B90,Filtro!B:B,Filtro!P:P,"",0,1)</f>
        <v/>
      </c>
      <c r="R90" s="426" t="str">
        <f>_xlfn.XLOOKUP($F$1&amp;B90,Filtro!B:B,Filtro!R:R,"",0,1)</f>
        <v/>
      </c>
      <c r="S90" s="88" t="str">
        <f>_xlfn.XLOOKUP($C90,DBGenzai[社員№],DBGenzai[〒],"",0,1)</f>
        <v/>
      </c>
      <c r="T90" s="88" t="str">
        <f>_xlfn.XLOOKUP($C90,DBGenzai[社員№],DBGenzai[住所],"",0,1)</f>
        <v/>
      </c>
      <c r="U90" s="88" t="str">
        <f>_xlfn.XLOOKUP($C90,DBGenzai[社員№],DBGenzai[ｱﾊﾟｰﾄ],"",0,1)</f>
        <v/>
      </c>
      <c r="V90" s="89" t="str">
        <f>_xlfn.XLOOKUP($C90,DBGenzai[社員№],DBGenzai[入居],"",0,1)</f>
        <v/>
      </c>
      <c r="W90" s="89" t="str">
        <f>_xlfn.XLOOKUP($F$1&amp;B90,Filtro!B:B,Filtro!AF:AF,"",0,1)</f>
        <v/>
      </c>
      <c r="X90" s="89" t="str">
        <f>_xlfn.XLOOKUP($C90,DBGenzai[社員№],DBGenzai[退社日],"",0,1)</f>
        <v/>
      </c>
      <c r="Y90" s="88" t="str">
        <f>_xlfn.XLOOKUP($C90,DBGenzai[社員№],DBGenzai[退去],"",0,1)</f>
        <v/>
      </c>
      <c r="Z90" s="88" t="str">
        <f>_xlfn.XLOOKUP($C90,DBGenzai[社員№],DBGenzai[備考],"",0,1)</f>
        <v/>
      </c>
      <c r="AA90" s="422" t="str">
        <f>_xlfn.XLOOKUP($F$1&amp;B90,Filtro!B:B,Filtro!AL:AL,"",0,1)</f>
        <v/>
      </c>
      <c r="AB90" s="157" t="str" cm="1">
        <f t="array" aca="1" ref="AB9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0" s="436" t="str">
        <f ca="1">_xlfn.XLOOKUP(TablaTransfor[[#This Row],[ライン]],TBKaishaInfo[ライン],TBKaishaInfo[まで],"NohayMarrano",0,1)</f>
        <v>NohayMarrano</v>
      </c>
    </row>
    <row r="91" spans="1:29" hidden="1">
      <c r="A91" s="424">
        <f>SUBTOTAL(103,$C$3:C91)</f>
        <v>18</v>
      </c>
      <c r="B91" s="159">
        <v>105</v>
      </c>
      <c r="C91" s="88" t="str">
        <f>_xlfn.XLOOKUP($F$1&amp;B91,Filtro!B:B,Filtro!D:D,"",0,1)</f>
        <v/>
      </c>
      <c r="D91" s="88" t="str">
        <f>_xlfn.XLOOKUP($F$1&amp;B91,Filtro!B:B,Filtro!C:C,"",0,1)</f>
        <v/>
      </c>
      <c r="E91" s="88" t="str">
        <f>_xlfn.XLOOKUP($F$1&amp;B91,Filtro!B:B,Filtro!E:E,"",0,1)</f>
        <v/>
      </c>
      <c r="F91" s="88" t="str">
        <f>_xlfn.XLOOKUP($F$1&amp;B91,Filtro!B:B,Filtro!G:G,"",0,1)</f>
        <v/>
      </c>
      <c r="G91" s="88" t="str">
        <f ca="1">MID(TablaTransfor[[#This Row],[配属先]],1,8)</f>
        <v/>
      </c>
      <c r="H91" s="88" t="str">
        <f ca="1">MID(TablaTransfor[[#This Row],[配属先]],9,6)</f>
        <v/>
      </c>
      <c r="I91" s="88" t="str">
        <f>_xlfn.XLOOKUP($C91,DBGenzai[社員№],DBGenzai[仕事内容],"",0,1)</f>
        <v/>
      </c>
      <c r="J91" s="88" t="str">
        <f>_xlfn.XLOOKUP($F$1&amp;B91,Filtro!B:B,Filtro!H:H,"",0,1)</f>
        <v/>
      </c>
      <c r="K91" s="88" t="str">
        <f>_xlfn.XLOOKUP($F$1&amp;B91,Filtro!B:B,Filtro!J:J,"",0,1)</f>
        <v/>
      </c>
      <c r="L91" s="88" t="str">
        <f ca="1">IF(TablaTransfor[[#This Row],[氏名]]="","",IF(TablaTransfor[[#This Row],[氏名]]&lt;"0","記号",IF(NOT(EXACT(UPPER(TablaTransfor[[#This Row],[氏名]]),LOWER(TablaTransfor[[#This Row],[氏名]]))),_xlfn.XLOOKUP($C91,DBGenzai[社員№],DBGenzai[カナ],"",0,1),_xlfn.XLOOKUP($C91,DBGenzai[社員№],DBGenzai[氏名],"",0,1))))</f>
        <v/>
      </c>
      <c r="M91" s="88" t="str">
        <f>_xlfn.XLOOKUP($C91,DBGenzai[社員№],DBGenzai[性別],"",0,1)</f>
        <v/>
      </c>
      <c r="N91" s="88" t="str">
        <f>_xlfn.XLOOKUP($C91,DBGenzai[社員№],DBGenzai[国籍],"",0,1)</f>
        <v/>
      </c>
      <c r="O91" s="89" t="str">
        <f>_xlfn.XLOOKUP($C91,DBGenzai[社員№],DBGenzai[生年月日],"",0,1)</f>
        <v/>
      </c>
      <c r="P91" s="88" t="str">
        <f>_xlfn.XLOOKUP($F$1&amp;B91,Filtro!B:B,Filtro!O:O,"",0,1)</f>
        <v/>
      </c>
      <c r="Q91" s="88" t="str">
        <f>_xlfn.XLOOKUP($F$1&amp;B91,Filtro!B:B,Filtro!P:P,"",0,1)</f>
        <v/>
      </c>
      <c r="R91" s="426" t="str">
        <f>_xlfn.XLOOKUP($F$1&amp;B91,Filtro!B:B,Filtro!R:R,"",0,1)</f>
        <v/>
      </c>
      <c r="S91" s="88" t="str">
        <f>_xlfn.XLOOKUP($C91,DBGenzai[社員№],DBGenzai[〒],"",0,1)</f>
        <v/>
      </c>
      <c r="T91" s="88" t="str">
        <f>_xlfn.XLOOKUP($C91,DBGenzai[社員№],DBGenzai[住所],"",0,1)</f>
        <v/>
      </c>
      <c r="U91" s="88" t="str">
        <f>_xlfn.XLOOKUP($C91,DBGenzai[社員№],DBGenzai[ｱﾊﾟｰﾄ],"",0,1)</f>
        <v/>
      </c>
      <c r="V91" s="89" t="str">
        <f>_xlfn.XLOOKUP($C91,DBGenzai[社員№],DBGenzai[入居],"",0,1)</f>
        <v/>
      </c>
      <c r="W91" s="89" t="str">
        <f>_xlfn.XLOOKUP($F$1&amp;B91,Filtro!B:B,Filtro!AF:AF,"",0,1)</f>
        <v/>
      </c>
      <c r="X91" s="89" t="str">
        <f>_xlfn.XLOOKUP($C91,DBGenzai[社員№],DBGenzai[退社日],"",0,1)</f>
        <v/>
      </c>
      <c r="Y91" s="88" t="str">
        <f>_xlfn.XLOOKUP($C91,DBGenzai[社員№],DBGenzai[退去],"",0,1)</f>
        <v/>
      </c>
      <c r="Z91" s="88" t="str">
        <f>_xlfn.XLOOKUP($C91,DBGenzai[社員№],DBGenzai[備考],"",0,1)</f>
        <v/>
      </c>
      <c r="AA91" s="422" t="str">
        <f>_xlfn.XLOOKUP($F$1&amp;B91,Filtro!B:B,Filtro!AL:AL,"",0,1)</f>
        <v/>
      </c>
      <c r="AB91" s="157" t="str" cm="1">
        <f t="array" aca="1" ref="AB9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1" s="436" t="str">
        <f ca="1">_xlfn.XLOOKUP(TablaTransfor[[#This Row],[ライン]],TBKaishaInfo[ライン],TBKaishaInfo[まで],"NohayMarrano",0,1)</f>
        <v>NohayMarrano</v>
      </c>
    </row>
    <row r="92" spans="1:29" hidden="1">
      <c r="A92" s="424">
        <f>SUBTOTAL(103,$C$3:C92)</f>
        <v>18</v>
      </c>
      <c r="B92" s="159">
        <v>108</v>
      </c>
      <c r="C92" s="88" t="str">
        <f>_xlfn.XLOOKUP($F$1&amp;B92,Filtro!B:B,Filtro!D:D,"",0,1)</f>
        <v/>
      </c>
      <c r="D92" s="88" t="str">
        <f>_xlfn.XLOOKUP($F$1&amp;B92,Filtro!B:B,Filtro!C:C,"",0,1)</f>
        <v/>
      </c>
      <c r="E92" s="88" t="str">
        <f>_xlfn.XLOOKUP($F$1&amp;B92,Filtro!B:B,Filtro!E:E,"",0,1)</f>
        <v/>
      </c>
      <c r="F92" s="88" t="str">
        <f>_xlfn.XLOOKUP($F$1&amp;B92,Filtro!B:B,Filtro!G:G,"",0,1)</f>
        <v/>
      </c>
      <c r="G92" s="88" t="str">
        <f ca="1">MID(TablaTransfor[[#This Row],[配属先]],1,8)</f>
        <v/>
      </c>
      <c r="H92" s="88" t="str">
        <f ca="1">MID(TablaTransfor[[#This Row],[配属先]],9,6)</f>
        <v/>
      </c>
      <c r="I92" s="88" t="str">
        <f>_xlfn.XLOOKUP($C92,DBGenzai[社員№],DBGenzai[仕事内容],"",0,1)</f>
        <v/>
      </c>
      <c r="J92" s="88" t="str">
        <f>_xlfn.XLOOKUP($F$1&amp;B92,Filtro!B:B,Filtro!H:H,"",0,1)</f>
        <v/>
      </c>
      <c r="K92" s="88" t="str">
        <f>_xlfn.XLOOKUP($F$1&amp;B92,Filtro!B:B,Filtro!J:J,"",0,1)</f>
        <v/>
      </c>
      <c r="L92" s="88" t="str">
        <f ca="1">IF(TablaTransfor[[#This Row],[氏名]]="","",IF(TablaTransfor[[#This Row],[氏名]]&lt;"0","記号",IF(NOT(EXACT(UPPER(TablaTransfor[[#This Row],[氏名]]),LOWER(TablaTransfor[[#This Row],[氏名]]))),_xlfn.XLOOKUP($C92,DBGenzai[社員№],DBGenzai[カナ],"",0,1),_xlfn.XLOOKUP($C92,DBGenzai[社員№],DBGenzai[氏名],"",0,1))))</f>
        <v/>
      </c>
      <c r="M92" s="88" t="str">
        <f>_xlfn.XLOOKUP($C92,DBGenzai[社員№],DBGenzai[性別],"",0,1)</f>
        <v/>
      </c>
      <c r="N92" s="88" t="str">
        <f>_xlfn.XLOOKUP($C92,DBGenzai[社員№],DBGenzai[国籍],"",0,1)</f>
        <v/>
      </c>
      <c r="O92" s="89" t="str">
        <f>_xlfn.XLOOKUP($C92,DBGenzai[社員№],DBGenzai[生年月日],"",0,1)</f>
        <v/>
      </c>
      <c r="P92" s="88" t="str">
        <f>_xlfn.XLOOKUP($F$1&amp;B92,Filtro!B:B,Filtro!O:O,"",0,1)</f>
        <v/>
      </c>
      <c r="Q92" s="88" t="str">
        <f>_xlfn.XLOOKUP($F$1&amp;B92,Filtro!B:B,Filtro!P:P,"",0,1)</f>
        <v/>
      </c>
      <c r="R92" s="426" t="str">
        <f>_xlfn.XLOOKUP($F$1&amp;B92,Filtro!B:B,Filtro!R:R,"",0,1)</f>
        <v/>
      </c>
      <c r="S92" s="88" t="str">
        <f>_xlfn.XLOOKUP($C92,DBGenzai[社員№],DBGenzai[〒],"",0,1)</f>
        <v/>
      </c>
      <c r="T92" s="88" t="str">
        <f>_xlfn.XLOOKUP($C92,DBGenzai[社員№],DBGenzai[住所],"",0,1)</f>
        <v/>
      </c>
      <c r="U92" s="88" t="str">
        <f>_xlfn.XLOOKUP($C92,DBGenzai[社員№],DBGenzai[ｱﾊﾟｰﾄ],"",0,1)</f>
        <v/>
      </c>
      <c r="V92" s="89" t="str">
        <f>_xlfn.XLOOKUP($C92,DBGenzai[社員№],DBGenzai[入居],"",0,1)</f>
        <v/>
      </c>
      <c r="W92" s="89" t="str">
        <f>_xlfn.XLOOKUP($F$1&amp;B92,Filtro!B:B,Filtro!AF:AF,"",0,1)</f>
        <v/>
      </c>
      <c r="X92" s="89" t="str">
        <f>_xlfn.XLOOKUP($C92,DBGenzai[社員№],DBGenzai[退社日],"",0,1)</f>
        <v/>
      </c>
      <c r="Y92" s="88" t="str">
        <f>_xlfn.XLOOKUP($C92,DBGenzai[社員№],DBGenzai[退去],"",0,1)</f>
        <v/>
      </c>
      <c r="Z92" s="88" t="str">
        <f>_xlfn.XLOOKUP($C92,DBGenzai[社員№],DBGenzai[備考],"",0,1)</f>
        <v/>
      </c>
      <c r="AA92" s="422" t="str">
        <f>_xlfn.XLOOKUP($F$1&amp;B92,Filtro!B:B,Filtro!AL:AL,"",0,1)</f>
        <v/>
      </c>
      <c r="AB92" s="157" t="str" cm="1">
        <f t="array" aca="1" ref="AB9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2" s="436" t="str">
        <f ca="1">_xlfn.XLOOKUP(TablaTransfor[[#This Row],[ライン]],TBKaishaInfo[ライン],TBKaishaInfo[まで],"NohayMarrano",0,1)</f>
        <v>NohayMarrano</v>
      </c>
    </row>
    <row r="93" spans="1:29" hidden="1">
      <c r="A93" s="424">
        <f>SUBTOTAL(103,$C$3:C93)</f>
        <v>18</v>
      </c>
      <c r="B93" s="159">
        <v>109</v>
      </c>
      <c r="C93" s="88" t="str">
        <f>_xlfn.XLOOKUP($F$1&amp;B93,Filtro!B:B,Filtro!D:D,"",0,1)</f>
        <v/>
      </c>
      <c r="D93" s="88" t="str">
        <f>_xlfn.XLOOKUP($F$1&amp;B93,Filtro!B:B,Filtro!C:C,"",0,1)</f>
        <v/>
      </c>
      <c r="E93" s="88" t="str">
        <f>_xlfn.XLOOKUP($F$1&amp;B93,Filtro!B:B,Filtro!E:E,"",0,1)</f>
        <v/>
      </c>
      <c r="F93" s="88" t="str">
        <f>_xlfn.XLOOKUP($F$1&amp;B93,Filtro!B:B,Filtro!G:G,"",0,1)</f>
        <v/>
      </c>
      <c r="G93" s="88" t="str">
        <f ca="1">MID(TablaTransfor[[#This Row],[配属先]],1,8)</f>
        <v/>
      </c>
      <c r="H93" s="88" t="str">
        <f ca="1">MID(TablaTransfor[[#This Row],[配属先]],9,6)</f>
        <v/>
      </c>
      <c r="I93" s="88" t="str">
        <f>_xlfn.XLOOKUP($C93,DBGenzai[社員№],DBGenzai[仕事内容],"",0,1)</f>
        <v/>
      </c>
      <c r="J93" s="88" t="str">
        <f>_xlfn.XLOOKUP($F$1&amp;B93,Filtro!B:B,Filtro!H:H,"",0,1)</f>
        <v/>
      </c>
      <c r="K93" s="88" t="str">
        <f>_xlfn.XLOOKUP($F$1&amp;B93,Filtro!B:B,Filtro!J:J,"",0,1)</f>
        <v/>
      </c>
      <c r="L93" s="88" t="str">
        <f ca="1">IF(TablaTransfor[[#This Row],[氏名]]="","",IF(TablaTransfor[[#This Row],[氏名]]&lt;"0","記号",IF(NOT(EXACT(UPPER(TablaTransfor[[#This Row],[氏名]]),LOWER(TablaTransfor[[#This Row],[氏名]]))),_xlfn.XLOOKUP($C93,DBGenzai[社員№],DBGenzai[カナ],"",0,1),_xlfn.XLOOKUP($C93,DBGenzai[社員№],DBGenzai[氏名],"",0,1))))</f>
        <v/>
      </c>
      <c r="M93" s="88" t="str">
        <f>_xlfn.XLOOKUP($C93,DBGenzai[社員№],DBGenzai[性別],"",0,1)</f>
        <v/>
      </c>
      <c r="N93" s="88" t="str">
        <f>_xlfn.XLOOKUP($C93,DBGenzai[社員№],DBGenzai[国籍],"",0,1)</f>
        <v/>
      </c>
      <c r="O93" s="89" t="str">
        <f>_xlfn.XLOOKUP($C93,DBGenzai[社員№],DBGenzai[生年月日],"",0,1)</f>
        <v/>
      </c>
      <c r="P93" s="88" t="str">
        <f>_xlfn.XLOOKUP($F$1&amp;B93,Filtro!B:B,Filtro!O:O,"",0,1)</f>
        <v/>
      </c>
      <c r="Q93" s="88" t="str">
        <f>_xlfn.XLOOKUP($F$1&amp;B93,Filtro!B:B,Filtro!P:P,"",0,1)</f>
        <v/>
      </c>
      <c r="R93" s="426" t="str">
        <f>_xlfn.XLOOKUP($F$1&amp;B93,Filtro!B:B,Filtro!R:R,"",0,1)</f>
        <v/>
      </c>
      <c r="S93" s="88" t="str">
        <f>_xlfn.XLOOKUP($C93,DBGenzai[社員№],DBGenzai[〒],"",0,1)</f>
        <v/>
      </c>
      <c r="T93" s="88" t="str">
        <f>_xlfn.XLOOKUP($C93,DBGenzai[社員№],DBGenzai[住所],"",0,1)</f>
        <v/>
      </c>
      <c r="U93" s="88" t="str">
        <f>_xlfn.XLOOKUP($C93,DBGenzai[社員№],DBGenzai[ｱﾊﾟｰﾄ],"",0,1)</f>
        <v/>
      </c>
      <c r="V93" s="89" t="str">
        <f>_xlfn.XLOOKUP($C93,DBGenzai[社員№],DBGenzai[入居],"",0,1)</f>
        <v/>
      </c>
      <c r="W93" s="89" t="str">
        <f>_xlfn.XLOOKUP($F$1&amp;B93,Filtro!B:B,Filtro!AF:AF,"",0,1)</f>
        <v/>
      </c>
      <c r="X93" s="89" t="str">
        <f>_xlfn.XLOOKUP($C93,DBGenzai[社員№],DBGenzai[退社日],"",0,1)</f>
        <v/>
      </c>
      <c r="Y93" s="88" t="str">
        <f>_xlfn.XLOOKUP($C93,DBGenzai[社員№],DBGenzai[退去],"",0,1)</f>
        <v/>
      </c>
      <c r="Z93" s="88" t="str">
        <f>_xlfn.XLOOKUP($C93,DBGenzai[社員№],DBGenzai[備考],"",0,1)</f>
        <v/>
      </c>
      <c r="AA93" s="422" t="str">
        <f>_xlfn.XLOOKUP($F$1&amp;B93,Filtro!B:B,Filtro!AL:AL,"",0,1)</f>
        <v/>
      </c>
      <c r="AB93" s="157" t="str" cm="1">
        <f t="array" aca="1" ref="AB9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3" s="436" t="str">
        <f ca="1">_xlfn.XLOOKUP(TablaTransfor[[#This Row],[ライン]],TBKaishaInfo[ライン],TBKaishaInfo[まで],"NohayMarrano",0,1)</f>
        <v>NohayMarrano</v>
      </c>
    </row>
    <row r="94" spans="1:29" hidden="1">
      <c r="A94" s="424">
        <f>SUBTOTAL(103,$C$3:C94)</f>
        <v>18</v>
      </c>
      <c r="B94" s="159">
        <v>110</v>
      </c>
      <c r="C94" s="88" t="str">
        <f>_xlfn.XLOOKUP($F$1&amp;B94,Filtro!B:B,Filtro!D:D,"",0,1)</f>
        <v/>
      </c>
      <c r="D94" s="88" t="str">
        <f>_xlfn.XLOOKUP($F$1&amp;B94,Filtro!B:B,Filtro!C:C,"",0,1)</f>
        <v/>
      </c>
      <c r="E94" s="88" t="str">
        <f>_xlfn.XLOOKUP($F$1&amp;B94,Filtro!B:B,Filtro!E:E,"",0,1)</f>
        <v/>
      </c>
      <c r="F94" s="88" t="str">
        <f>_xlfn.XLOOKUP($F$1&amp;B94,Filtro!B:B,Filtro!G:G,"",0,1)</f>
        <v/>
      </c>
      <c r="G94" s="88" t="str">
        <f ca="1">MID(TablaTransfor[[#This Row],[配属先]],1,8)</f>
        <v/>
      </c>
      <c r="H94" s="88" t="str">
        <f ca="1">MID(TablaTransfor[[#This Row],[配属先]],9,6)</f>
        <v/>
      </c>
      <c r="I94" s="88" t="str">
        <f>_xlfn.XLOOKUP($C94,DBGenzai[社員№],DBGenzai[仕事内容],"",0,1)</f>
        <v/>
      </c>
      <c r="J94" s="88" t="str">
        <f>_xlfn.XLOOKUP($F$1&amp;B94,Filtro!B:B,Filtro!H:H,"",0,1)</f>
        <v/>
      </c>
      <c r="K94" s="88" t="str">
        <f>_xlfn.XLOOKUP($F$1&amp;B94,Filtro!B:B,Filtro!J:J,"",0,1)</f>
        <v/>
      </c>
      <c r="L94" s="88" t="str">
        <f ca="1">IF(TablaTransfor[[#This Row],[氏名]]="","",IF(TablaTransfor[[#This Row],[氏名]]&lt;"0","記号",IF(NOT(EXACT(UPPER(TablaTransfor[[#This Row],[氏名]]),LOWER(TablaTransfor[[#This Row],[氏名]]))),_xlfn.XLOOKUP($C94,DBGenzai[社員№],DBGenzai[カナ],"",0,1),_xlfn.XLOOKUP($C94,DBGenzai[社員№],DBGenzai[氏名],"",0,1))))</f>
        <v/>
      </c>
      <c r="M94" s="88" t="str">
        <f>_xlfn.XLOOKUP($C94,DBGenzai[社員№],DBGenzai[性別],"",0,1)</f>
        <v/>
      </c>
      <c r="N94" s="88" t="str">
        <f>_xlfn.XLOOKUP($C94,DBGenzai[社員№],DBGenzai[国籍],"",0,1)</f>
        <v/>
      </c>
      <c r="O94" s="89" t="str">
        <f>_xlfn.XLOOKUP($C94,DBGenzai[社員№],DBGenzai[生年月日],"",0,1)</f>
        <v/>
      </c>
      <c r="P94" s="88" t="str">
        <f>_xlfn.XLOOKUP($F$1&amp;B94,Filtro!B:B,Filtro!O:O,"",0,1)</f>
        <v/>
      </c>
      <c r="Q94" s="88" t="str">
        <f>_xlfn.XLOOKUP($F$1&amp;B94,Filtro!B:B,Filtro!P:P,"",0,1)</f>
        <v/>
      </c>
      <c r="R94" s="426" t="str">
        <f>_xlfn.XLOOKUP($F$1&amp;B94,Filtro!B:B,Filtro!R:R,"",0,1)</f>
        <v/>
      </c>
      <c r="S94" s="88" t="str">
        <f>_xlfn.XLOOKUP($C94,DBGenzai[社員№],DBGenzai[〒],"",0,1)</f>
        <v/>
      </c>
      <c r="T94" s="88" t="str">
        <f>_xlfn.XLOOKUP($C94,DBGenzai[社員№],DBGenzai[住所],"",0,1)</f>
        <v/>
      </c>
      <c r="U94" s="88" t="str">
        <f>_xlfn.XLOOKUP($C94,DBGenzai[社員№],DBGenzai[ｱﾊﾟｰﾄ],"",0,1)</f>
        <v/>
      </c>
      <c r="V94" s="89" t="str">
        <f>_xlfn.XLOOKUP($C94,DBGenzai[社員№],DBGenzai[入居],"",0,1)</f>
        <v/>
      </c>
      <c r="W94" s="89" t="str">
        <f>_xlfn.XLOOKUP($F$1&amp;B94,Filtro!B:B,Filtro!AF:AF,"",0,1)</f>
        <v/>
      </c>
      <c r="X94" s="89" t="str">
        <f>_xlfn.XLOOKUP($C94,DBGenzai[社員№],DBGenzai[退社日],"",0,1)</f>
        <v/>
      </c>
      <c r="Y94" s="88" t="str">
        <f>_xlfn.XLOOKUP($C94,DBGenzai[社員№],DBGenzai[退去],"",0,1)</f>
        <v/>
      </c>
      <c r="Z94" s="88" t="str">
        <f>_xlfn.XLOOKUP($C94,DBGenzai[社員№],DBGenzai[備考],"",0,1)</f>
        <v/>
      </c>
      <c r="AA94" s="422" t="str">
        <f>_xlfn.XLOOKUP($F$1&amp;B94,Filtro!B:B,Filtro!AL:AL,"",0,1)</f>
        <v/>
      </c>
      <c r="AB94" s="157" t="str" cm="1">
        <f t="array" aca="1" ref="AB9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4" s="436" t="str">
        <f ca="1">_xlfn.XLOOKUP(TablaTransfor[[#This Row],[ライン]],TBKaishaInfo[ライン],TBKaishaInfo[まで],"NohayMarrano",0,1)</f>
        <v>NohayMarrano</v>
      </c>
    </row>
    <row r="95" spans="1:29" hidden="1">
      <c r="A95" s="424">
        <f>SUBTOTAL(103,$C$3:C95)</f>
        <v>18</v>
      </c>
      <c r="B95" s="159">
        <v>111</v>
      </c>
      <c r="C95" s="88" t="str">
        <f>_xlfn.XLOOKUP($F$1&amp;B95,Filtro!B:B,Filtro!D:D,"",0,1)</f>
        <v/>
      </c>
      <c r="D95" s="88" t="str">
        <f>_xlfn.XLOOKUP($F$1&amp;B95,Filtro!B:B,Filtro!C:C,"",0,1)</f>
        <v/>
      </c>
      <c r="E95" s="88" t="str">
        <f>_xlfn.XLOOKUP($F$1&amp;B95,Filtro!B:B,Filtro!E:E,"",0,1)</f>
        <v/>
      </c>
      <c r="F95" s="88" t="str">
        <f>_xlfn.XLOOKUP($F$1&amp;B95,Filtro!B:B,Filtro!G:G,"",0,1)</f>
        <v/>
      </c>
      <c r="G95" s="88" t="str">
        <f ca="1">MID(TablaTransfor[[#This Row],[配属先]],1,8)</f>
        <v/>
      </c>
      <c r="H95" s="88" t="str">
        <f ca="1">MID(TablaTransfor[[#This Row],[配属先]],9,6)</f>
        <v/>
      </c>
      <c r="I95" s="88" t="str">
        <f>_xlfn.XLOOKUP($C95,DBGenzai[社員№],DBGenzai[仕事内容],"",0,1)</f>
        <v/>
      </c>
      <c r="J95" s="88" t="str">
        <f>_xlfn.XLOOKUP($F$1&amp;B95,Filtro!B:B,Filtro!H:H,"",0,1)</f>
        <v/>
      </c>
      <c r="K95" s="88" t="str">
        <f>_xlfn.XLOOKUP($F$1&amp;B95,Filtro!B:B,Filtro!J:J,"",0,1)</f>
        <v/>
      </c>
      <c r="L95" s="88" t="str">
        <f ca="1">IF(TablaTransfor[[#This Row],[氏名]]="","",IF(TablaTransfor[[#This Row],[氏名]]&lt;"0","記号",IF(NOT(EXACT(UPPER(TablaTransfor[[#This Row],[氏名]]),LOWER(TablaTransfor[[#This Row],[氏名]]))),_xlfn.XLOOKUP($C95,DBGenzai[社員№],DBGenzai[カナ],"",0,1),_xlfn.XLOOKUP($C95,DBGenzai[社員№],DBGenzai[氏名],"",0,1))))</f>
        <v/>
      </c>
      <c r="M95" s="88" t="str">
        <f>_xlfn.XLOOKUP($C95,DBGenzai[社員№],DBGenzai[性別],"",0,1)</f>
        <v/>
      </c>
      <c r="N95" s="88" t="str">
        <f>_xlfn.XLOOKUP($C95,DBGenzai[社員№],DBGenzai[国籍],"",0,1)</f>
        <v/>
      </c>
      <c r="O95" s="89" t="str">
        <f>_xlfn.XLOOKUP($C95,DBGenzai[社員№],DBGenzai[生年月日],"",0,1)</f>
        <v/>
      </c>
      <c r="P95" s="88" t="str">
        <f>_xlfn.XLOOKUP($F$1&amp;B95,Filtro!B:B,Filtro!O:O,"",0,1)</f>
        <v/>
      </c>
      <c r="Q95" s="88" t="str">
        <f>_xlfn.XLOOKUP($F$1&amp;B95,Filtro!B:B,Filtro!P:P,"",0,1)</f>
        <v/>
      </c>
      <c r="R95" s="426" t="str">
        <f>_xlfn.XLOOKUP($F$1&amp;B95,Filtro!B:B,Filtro!R:R,"",0,1)</f>
        <v/>
      </c>
      <c r="S95" s="88" t="str">
        <f>_xlfn.XLOOKUP($C95,DBGenzai[社員№],DBGenzai[〒],"",0,1)</f>
        <v/>
      </c>
      <c r="T95" s="88" t="str">
        <f>_xlfn.XLOOKUP($C95,DBGenzai[社員№],DBGenzai[住所],"",0,1)</f>
        <v/>
      </c>
      <c r="U95" s="88" t="str">
        <f>_xlfn.XLOOKUP($C95,DBGenzai[社員№],DBGenzai[ｱﾊﾟｰﾄ],"",0,1)</f>
        <v/>
      </c>
      <c r="V95" s="89" t="str">
        <f>_xlfn.XLOOKUP($C95,DBGenzai[社員№],DBGenzai[入居],"",0,1)</f>
        <v/>
      </c>
      <c r="W95" s="89" t="str">
        <f>_xlfn.XLOOKUP($F$1&amp;B95,Filtro!B:B,Filtro!AF:AF,"",0,1)</f>
        <v/>
      </c>
      <c r="X95" s="89" t="str">
        <f>_xlfn.XLOOKUP($C95,DBGenzai[社員№],DBGenzai[退社日],"",0,1)</f>
        <v/>
      </c>
      <c r="Y95" s="88" t="str">
        <f>_xlfn.XLOOKUP($C95,DBGenzai[社員№],DBGenzai[退去],"",0,1)</f>
        <v/>
      </c>
      <c r="Z95" s="88" t="str">
        <f>_xlfn.XLOOKUP($C95,DBGenzai[社員№],DBGenzai[備考],"",0,1)</f>
        <v/>
      </c>
      <c r="AA95" s="422" t="str">
        <f>_xlfn.XLOOKUP($F$1&amp;B95,Filtro!B:B,Filtro!AL:AL,"",0,1)</f>
        <v/>
      </c>
      <c r="AB95" s="157" t="str" cm="1">
        <f t="array" aca="1" ref="AB9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5" s="436" t="str">
        <f ca="1">_xlfn.XLOOKUP(TablaTransfor[[#This Row],[ライン]],TBKaishaInfo[ライン],TBKaishaInfo[まで],"NohayMarrano",0,1)</f>
        <v>NohayMarrano</v>
      </c>
    </row>
    <row r="96" spans="1:29" hidden="1">
      <c r="A96" s="424">
        <f>SUBTOTAL(103,$C$3:C96)</f>
        <v>18</v>
      </c>
      <c r="B96" s="159">
        <v>112</v>
      </c>
      <c r="C96" s="88" t="str">
        <f>_xlfn.XLOOKUP($F$1&amp;B96,Filtro!B:B,Filtro!D:D,"",0,1)</f>
        <v/>
      </c>
      <c r="D96" s="88" t="str">
        <f>_xlfn.XLOOKUP($F$1&amp;B96,Filtro!B:B,Filtro!C:C,"",0,1)</f>
        <v/>
      </c>
      <c r="E96" s="88" t="str">
        <f>_xlfn.XLOOKUP($F$1&amp;B96,Filtro!B:B,Filtro!E:E,"",0,1)</f>
        <v/>
      </c>
      <c r="F96" s="88" t="str">
        <f>_xlfn.XLOOKUP($F$1&amp;B96,Filtro!B:B,Filtro!G:G,"",0,1)</f>
        <v/>
      </c>
      <c r="G96" s="88" t="str">
        <f ca="1">MID(TablaTransfor[[#This Row],[配属先]],1,8)</f>
        <v/>
      </c>
      <c r="H96" s="88" t="str">
        <f ca="1">MID(TablaTransfor[[#This Row],[配属先]],9,6)</f>
        <v/>
      </c>
      <c r="I96" s="88" t="str">
        <f>_xlfn.XLOOKUP($C96,DBGenzai[社員№],DBGenzai[仕事内容],"",0,1)</f>
        <v/>
      </c>
      <c r="J96" s="88" t="str">
        <f>_xlfn.XLOOKUP($F$1&amp;B96,Filtro!B:B,Filtro!H:H,"",0,1)</f>
        <v/>
      </c>
      <c r="K96" s="88" t="str">
        <f>_xlfn.XLOOKUP($F$1&amp;B96,Filtro!B:B,Filtro!J:J,"",0,1)</f>
        <v/>
      </c>
      <c r="L96" s="88" t="str">
        <f ca="1">IF(TablaTransfor[[#This Row],[氏名]]="","",IF(TablaTransfor[[#This Row],[氏名]]&lt;"0","記号",IF(NOT(EXACT(UPPER(TablaTransfor[[#This Row],[氏名]]),LOWER(TablaTransfor[[#This Row],[氏名]]))),_xlfn.XLOOKUP($C96,DBGenzai[社員№],DBGenzai[カナ],"",0,1),_xlfn.XLOOKUP($C96,DBGenzai[社員№],DBGenzai[氏名],"",0,1))))</f>
        <v/>
      </c>
      <c r="M96" s="88" t="str">
        <f>_xlfn.XLOOKUP($C96,DBGenzai[社員№],DBGenzai[性別],"",0,1)</f>
        <v/>
      </c>
      <c r="N96" s="88" t="str">
        <f>_xlfn.XLOOKUP($C96,DBGenzai[社員№],DBGenzai[国籍],"",0,1)</f>
        <v/>
      </c>
      <c r="O96" s="89" t="str">
        <f>_xlfn.XLOOKUP($C96,DBGenzai[社員№],DBGenzai[生年月日],"",0,1)</f>
        <v/>
      </c>
      <c r="P96" s="88" t="str">
        <f>_xlfn.XLOOKUP($F$1&amp;B96,Filtro!B:B,Filtro!O:O,"",0,1)</f>
        <v/>
      </c>
      <c r="Q96" s="88" t="str">
        <f>_xlfn.XLOOKUP($F$1&amp;B96,Filtro!B:B,Filtro!P:P,"",0,1)</f>
        <v/>
      </c>
      <c r="R96" s="426">
        <v>1650</v>
      </c>
      <c r="S96" s="88" t="str">
        <f>_xlfn.XLOOKUP($C96,DBGenzai[社員№],DBGenzai[〒],"",0,1)</f>
        <v/>
      </c>
      <c r="T96" s="88" t="str">
        <f>_xlfn.XLOOKUP($C96,DBGenzai[社員№],DBGenzai[住所],"",0,1)</f>
        <v/>
      </c>
      <c r="U96" s="88" t="str">
        <f>_xlfn.XLOOKUP($C96,DBGenzai[社員№],DBGenzai[ｱﾊﾟｰﾄ],"",0,1)</f>
        <v/>
      </c>
      <c r="V96" s="89" t="str">
        <f>_xlfn.XLOOKUP($C96,DBGenzai[社員№],DBGenzai[入居],"",0,1)</f>
        <v/>
      </c>
      <c r="W96" s="89" t="str">
        <f>_xlfn.XLOOKUP($F$1&amp;B96,Filtro!B:B,Filtro!AF:AF,"",0,1)</f>
        <v/>
      </c>
      <c r="X96" s="89" t="str">
        <f>_xlfn.XLOOKUP($C96,DBGenzai[社員№],DBGenzai[退社日],"",0,1)</f>
        <v/>
      </c>
      <c r="Y96" s="88" t="str">
        <f>_xlfn.XLOOKUP($C96,DBGenzai[社員№],DBGenzai[退去],"",0,1)</f>
        <v/>
      </c>
      <c r="Z96" s="88" t="str">
        <f>_xlfn.XLOOKUP($C96,DBGenzai[社員№],DBGenzai[備考],"",0,1)</f>
        <v/>
      </c>
      <c r="AA96" s="422" t="str">
        <f>_xlfn.XLOOKUP($F$1&amp;B96,Filtro!B:B,Filtro!AL:AL,"",0,1)</f>
        <v/>
      </c>
      <c r="AB96" s="157" t="str" cm="1">
        <f t="array" aca="1" ref="AB9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6" s="436" t="str">
        <f ca="1">_xlfn.XLOOKUP(TablaTransfor[[#This Row],[ライン]],TBKaishaInfo[ライン],TBKaishaInfo[まで],"NohayMarrano",0,1)</f>
        <v>NohayMarrano</v>
      </c>
    </row>
    <row r="97" spans="1:29" hidden="1">
      <c r="A97" s="424">
        <f>SUBTOTAL(103,$C$3:C97)</f>
        <v>18</v>
      </c>
      <c r="B97" s="159">
        <v>114</v>
      </c>
      <c r="C97" s="88" t="str">
        <f>_xlfn.XLOOKUP($F$1&amp;B97,Filtro!B:B,Filtro!D:D,"",0,1)</f>
        <v/>
      </c>
      <c r="D97" s="88" t="str">
        <f>_xlfn.XLOOKUP($F$1&amp;B97,Filtro!B:B,Filtro!C:C,"",0,1)</f>
        <v/>
      </c>
      <c r="E97" s="88" t="str">
        <f>_xlfn.XLOOKUP($F$1&amp;B97,Filtro!B:B,Filtro!E:E,"",0,1)</f>
        <v/>
      </c>
      <c r="F97" s="88" t="str">
        <f>_xlfn.XLOOKUP($F$1&amp;B97,Filtro!B:B,Filtro!G:G,"",0,1)</f>
        <v/>
      </c>
      <c r="G97" s="88" t="str">
        <f ca="1">MID(TablaTransfor[[#This Row],[配属先]],1,8)</f>
        <v/>
      </c>
      <c r="H97" s="88" t="str">
        <f ca="1">MID(TablaTransfor[[#This Row],[配属先]],9,6)</f>
        <v/>
      </c>
      <c r="I97" s="88" t="str">
        <f>_xlfn.XLOOKUP($C97,DBGenzai[社員№],DBGenzai[仕事内容],"",0,1)</f>
        <v/>
      </c>
      <c r="J97" s="88" t="str">
        <f>_xlfn.XLOOKUP($F$1&amp;B97,Filtro!B:B,Filtro!H:H,"",0,1)</f>
        <v/>
      </c>
      <c r="K97" s="88" t="str">
        <f>_xlfn.XLOOKUP($F$1&amp;B97,Filtro!B:B,Filtro!J:J,"",0,1)</f>
        <v/>
      </c>
      <c r="L97" s="88" t="str">
        <f ca="1">IF(TablaTransfor[[#This Row],[氏名]]="","",IF(TablaTransfor[[#This Row],[氏名]]&lt;"0","記号",IF(NOT(EXACT(UPPER(TablaTransfor[[#This Row],[氏名]]),LOWER(TablaTransfor[[#This Row],[氏名]]))),_xlfn.XLOOKUP($C97,DBGenzai[社員№],DBGenzai[カナ],"",0,1),_xlfn.XLOOKUP($C97,DBGenzai[社員№],DBGenzai[氏名],"",0,1))))</f>
        <v/>
      </c>
      <c r="M97" s="88" t="str">
        <f>_xlfn.XLOOKUP($C97,DBGenzai[社員№],DBGenzai[性別],"",0,1)</f>
        <v/>
      </c>
      <c r="N97" s="88" t="str">
        <f>_xlfn.XLOOKUP($C97,DBGenzai[社員№],DBGenzai[国籍],"",0,1)</f>
        <v/>
      </c>
      <c r="O97" s="89" t="str">
        <f>_xlfn.XLOOKUP($C97,DBGenzai[社員№],DBGenzai[生年月日],"",0,1)</f>
        <v/>
      </c>
      <c r="P97" s="88" t="str">
        <f>_xlfn.XLOOKUP($F$1&amp;B97,Filtro!B:B,Filtro!O:O,"",0,1)</f>
        <v/>
      </c>
      <c r="Q97" s="88" t="str">
        <f>_xlfn.XLOOKUP($F$1&amp;B97,Filtro!B:B,Filtro!P:P,"",0,1)</f>
        <v/>
      </c>
      <c r="R97" s="426" t="str">
        <f>_xlfn.XLOOKUP($F$1&amp;B97,Filtro!B:B,Filtro!R:R,"",0,1)</f>
        <v/>
      </c>
      <c r="S97" s="88" t="str">
        <f>_xlfn.XLOOKUP($C97,DBGenzai[社員№],DBGenzai[〒],"",0,1)</f>
        <v/>
      </c>
      <c r="T97" s="88" t="str">
        <f>_xlfn.XLOOKUP($C97,DBGenzai[社員№],DBGenzai[住所],"",0,1)</f>
        <v/>
      </c>
      <c r="U97" s="88" t="str">
        <f>_xlfn.XLOOKUP($C97,DBGenzai[社員№],DBGenzai[ｱﾊﾟｰﾄ],"",0,1)</f>
        <v/>
      </c>
      <c r="V97" s="89" t="str">
        <f>_xlfn.XLOOKUP($C97,DBGenzai[社員№],DBGenzai[入居],"",0,1)</f>
        <v/>
      </c>
      <c r="W97" s="89" t="str">
        <f>_xlfn.XLOOKUP($F$1&amp;B97,Filtro!B:B,Filtro!AF:AF,"",0,1)</f>
        <v/>
      </c>
      <c r="X97" s="89" t="str">
        <f>_xlfn.XLOOKUP($C97,DBGenzai[社員№],DBGenzai[退社日],"",0,1)</f>
        <v/>
      </c>
      <c r="Y97" s="88" t="str">
        <f>_xlfn.XLOOKUP($C97,DBGenzai[社員№],DBGenzai[退去],"",0,1)</f>
        <v/>
      </c>
      <c r="Z97" s="88" t="str">
        <f>_xlfn.XLOOKUP($C97,DBGenzai[社員№],DBGenzai[備考],"",0,1)</f>
        <v/>
      </c>
      <c r="AA97" s="422" t="str">
        <f>_xlfn.XLOOKUP($F$1&amp;B97,Filtro!B:B,Filtro!AL:AL,"",0,1)</f>
        <v/>
      </c>
      <c r="AB97" s="157" t="str" cm="1">
        <f t="array" aca="1" ref="AB9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7" s="436" t="str">
        <f ca="1">_xlfn.XLOOKUP(TablaTransfor[[#This Row],[ライン]],TBKaishaInfo[ライン],TBKaishaInfo[まで],"NohayMarrano",0,1)</f>
        <v>NohayMarrano</v>
      </c>
    </row>
    <row r="98" spans="1:29" hidden="1">
      <c r="A98" s="424">
        <f>SUBTOTAL(103,$C$3:C98)</f>
        <v>18</v>
      </c>
      <c r="B98" s="159">
        <v>113</v>
      </c>
      <c r="C98" s="88" t="str">
        <f>_xlfn.XLOOKUP($F$1&amp;B98,Filtro!B:B,Filtro!D:D,"",0,1)</f>
        <v/>
      </c>
      <c r="D98" s="88" t="str">
        <f>_xlfn.XLOOKUP($F$1&amp;B98,Filtro!B:B,Filtro!C:C,"",0,1)</f>
        <v/>
      </c>
      <c r="E98" s="88" t="str">
        <f>_xlfn.XLOOKUP($F$1&amp;B98,Filtro!B:B,Filtro!E:E,"",0,1)</f>
        <v/>
      </c>
      <c r="F98" s="88" t="str">
        <f>_xlfn.XLOOKUP($F$1&amp;B98,Filtro!B:B,Filtro!G:G,"",0,1)</f>
        <v/>
      </c>
      <c r="G98" s="88" t="str">
        <f ca="1">MID(TablaTransfor[[#This Row],[配属先]],1,8)</f>
        <v/>
      </c>
      <c r="H98" s="88" t="str">
        <f ca="1">MID(TablaTransfor[[#This Row],[配属先]],9,6)</f>
        <v/>
      </c>
      <c r="I98" s="88" t="str">
        <f>_xlfn.XLOOKUP($C98,DBGenzai[社員№],DBGenzai[仕事内容],"",0,1)</f>
        <v/>
      </c>
      <c r="J98" s="88" t="str">
        <f>_xlfn.XLOOKUP($F$1&amp;B98,Filtro!B:B,Filtro!H:H,"",0,1)</f>
        <v/>
      </c>
      <c r="K98" s="88" t="str">
        <f>_xlfn.XLOOKUP($F$1&amp;B98,Filtro!B:B,Filtro!J:J,"",0,1)</f>
        <v/>
      </c>
      <c r="L98" s="88" t="str">
        <f ca="1">IF(TablaTransfor[[#This Row],[氏名]]="","",IF(TablaTransfor[[#This Row],[氏名]]&lt;"0","記号",IF(NOT(EXACT(UPPER(TablaTransfor[[#This Row],[氏名]]),LOWER(TablaTransfor[[#This Row],[氏名]]))),_xlfn.XLOOKUP($C98,DBGenzai[社員№],DBGenzai[カナ],"",0,1),_xlfn.XLOOKUP($C98,DBGenzai[社員№],DBGenzai[氏名],"",0,1))))</f>
        <v/>
      </c>
      <c r="M98" s="88" t="str">
        <f>_xlfn.XLOOKUP($C98,DBGenzai[社員№],DBGenzai[性別],"",0,1)</f>
        <v/>
      </c>
      <c r="N98" s="88" t="str">
        <f>_xlfn.XLOOKUP($C98,DBGenzai[社員№],DBGenzai[国籍],"",0,1)</f>
        <v/>
      </c>
      <c r="O98" s="89" t="str">
        <f>_xlfn.XLOOKUP($C98,DBGenzai[社員№],DBGenzai[生年月日],"",0,1)</f>
        <v/>
      </c>
      <c r="P98" s="88" t="str">
        <f>_xlfn.XLOOKUP($F$1&amp;B98,Filtro!B:B,Filtro!O:O,"",0,1)</f>
        <v/>
      </c>
      <c r="Q98" s="88" t="str">
        <f>_xlfn.XLOOKUP($F$1&amp;B98,Filtro!B:B,Filtro!P:P,"",0,1)</f>
        <v/>
      </c>
      <c r="R98" s="426" t="str">
        <f>_xlfn.XLOOKUP($F$1&amp;B98,Filtro!B:B,Filtro!R:R,"",0,1)</f>
        <v/>
      </c>
      <c r="S98" s="88" t="str">
        <f>_xlfn.XLOOKUP($C98,DBGenzai[社員№],DBGenzai[〒],"",0,1)</f>
        <v/>
      </c>
      <c r="T98" s="88" t="str">
        <f>_xlfn.XLOOKUP($C98,DBGenzai[社員№],DBGenzai[住所],"",0,1)</f>
        <v/>
      </c>
      <c r="U98" s="88" t="str">
        <f>_xlfn.XLOOKUP($C98,DBGenzai[社員№],DBGenzai[ｱﾊﾟｰﾄ],"",0,1)</f>
        <v/>
      </c>
      <c r="V98" s="89" t="str">
        <f>_xlfn.XLOOKUP($C98,DBGenzai[社員№],DBGenzai[入居],"",0,1)</f>
        <v/>
      </c>
      <c r="W98" s="89" t="str">
        <f>_xlfn.XLOOKUP($F$1&amp;B98,Filtro!B:B,Filtro!AF:AF,"",0,1)</f>
        <v/>
      </c>
      <c r="X98" s="89" t="str">
        <f>_xlfn.XLOOKUP($C98,DBGenzai[社員№],DBGenzai[退社日],"",0,1)</f>
        <v/>
      </c>
      <c r="Y98" s="88" t="str">
        <f>_xlfn.XLOOKUP($C98,DBGenzai[社員№],DBGenzai[退去],"",0,1)</f>
        <v/>
      </c>
      <c r="Z98" s="88" t="str">
        <f>_xlfn.XLOOKUP($C98,DBGenzai[社員№],DBGenzai[備考],"",0,1)</f>
        <v/>
      </c>
      <c r="AA98" s="422" t="str">
        <f>_xlfn.XLOOKUP($F$1&amp;B98,Filtro!B:B,Filtro!AL:AL,"",0,1)</f>
        <v/>
      </c>
      <c r="AB98" s="157" t="str" cm="1">
        <f t="array" aca="1" ref="AB9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8" s="436" t="str">
        <f ca="1">_xlfn.XLOOKUP(TablaTransfor[[#This Row],[ライン]],TBKaishaInfo[ライン],TBKaishaInfo[まで],"NohayMarrano",0,1)</f>
        <v>NohayMarrano</v>
      </c>
    </row>
    <row r="99" spans="1:29" hidden="1">
      <c r="A99" s="424">
        <f>SUBTOTAL(103,$C$3:C99)</f>
        <v>18</v>
      </c>
      <c r="B99" s="159">
        <v>115</v>
      </c>
      <c r="C99" s="88" t="str">
        <f>_xlfn.XLOOKUP($F$1&amp;B99,Filtro!B:B,Filtro!D:D,"",0,1)</f>
        <v/>
      </c>
      <c r="D99" s="88" t="str">
        <f>_xlfn.XLOOKUP($F$1&amp;B99,Filtro!B:B,Filtro!C:C,"",0,1)</f>
        <v/>
      </c>
      <c r="E99" s="88" t="str">
        <f>_xlfn.XLOOKUP($F$1&amp;B99,Filtro!B:B,Filtro!E:E,"",0,1)</f>
        <v/>
      </c>
      <c r="F99" s="88" t="str">
        <f>_xlfn.XLOOKUP($F$1&amp;B99,Filtro!B:B,Filtro!G:G,"",0,1)</f>
        <v/>
      </c>
      <c r="G99" s="88" t="str">
        <f ca="1">MID(TablaTransfor[[#This Row],[配属先]],1,8)</f>
        <v/>
      </c>
      <c r="H99" s="88" t="str">
        <f ca="1">MID(TablaTransfor[[#This Row],[配属先]],9,6)</f>
        <v/>
      </c>
      <c r="I99" s="88" t="str">
        <f>_xlfn.XLOOKUP($C99,DBGenzai[社員№],DBGenzai[仕事内容],"",0,1)</f>
        <v/>
      </c>
      <c r="J99" s="88" t="str">
        <f>_xlfn.XLOOKUP($F$1&amp;B99,Filtro!B:B,Filtro!H:H,"",0,1)</f>
        <v/>
      </c>
      <c r="K99" s="88" t="str">
        <f>_xlfn.XLOOKUP($F$1&amp;B99,Filtro!B:B,Filtro!J:J,"",0,1)</f>
        <v/>
      </c>
      <c r="L99" s="88" t="str">
        <f ca="1">IF(TablaTransfor[[#This Row],[氏名]]="","",IF(TablaTransfor[[#This Row],[氏名]]&lt;"0","記号",IF(NOT(EXACT(UPPER(TablaTransfor[[#This Row],[氏名]]),LOWER(TablaTransfor[[#This Row],[氏名]]))),_xlfn.XLOOKUP($C99,DBGenzai[社員№],DBGenzai[カナ],"",0,1),_xlfn.XLOOKUP($C99,DBGenzai[社員№],DBGenzai[氏名],"",0,1))))</f>
        <v/>
      </c>
      <c r="M99" s="88" t="str">
        <f>_xlfn.XLOOKUP($C99,DBGenzai[社員№],DBGenzai[性別],"",0,1)</f>
        <v/>
      </c>
      <c r="N99" s="88" t="str">
        <f>_xlfn.XLOOKUP($C99,DBGenzai[社員№],DBGenzai[国籍],"",0,1)</f>
        <v/>
      </c>
      <c r="O99" s="89" t="str">
        <f>_xlfn.XLOOKUP($C99,DBGenzai[社員№],DBGenzai[生年月日],"",0,1)</f>
        <v/>
      </c>
      <c r="P99" s="88" t="str">
        <f>_xlfn.XLOOKUP($F$1&amp;B99,Filtro!B:B,Filtro!O:O,"",0,1)</f>
        <v/>
      </c>
      <c r="Q99" s="88" t="str">
        <f>_xlfn.XLOOKUP($F$1&amp;B99,Filtro!B:B,Filtro!P:P,"",0,1)</f>
        <v/>
      </c>
      <c r="R99" s="426" t="str">
        <f>_xlfn.XLOOKUP($F$1&amp;B99,Filtro!B:B,Filtro!R:R,"",0,1)</f>
        <v/>
      </c>
      <c r="S99" s="88" t="str">
        <f>_xlfn.XLOOKUP($C99,DBGenzai[社員№],DBGenzai[〒],"",0,1)</f>
        <v/>
      </c>
      <c r="T99" s="88" t="str">
        <f>_xlfn.XLOOKUP($C99,DBGenzai[社員№],DBGenzai[住所],"",0,1)</f>
        <v/>
      </c>
      <c r="U99" s="88" t="str">
        <f>_xlfn.XLOOKUP($C99,DBGenzai[社員№],DBGenzai[ｱﾊﾟｰﾄ],"",0,1)</f>
        <v/>
      </c>
      <c r="V99" s="89" t="str">
        <f>_xlfn.XLOOKUP($C99,DBGenzai[社員№],DBGenzai[入居],"",0,1)</f>
        <v/>
      </c>
      <c r="W99" s="89" t="str">
        <f>_xlfn.XLOOKUP($F$1&amp;B99,Filtro!B:B,Filtro!AF:AF,"",0,1)</f>
        <v/>
      </c>
      <c r="X99" s="89" t="str">
        <f>_xlfn.XLOOKUP($C99,DBGenzai[社員№],DBGenzai[退社日],"",0,1)</f>
        <v/>
      </c>
      <c r="Y99" s="88" t="str">
        <f>_xlfn.XLOOKUP($C99,DBGenzai[社員№],DBGenzai[退去],"",0,1)</f>
        <v/>
      </c>
      <c r="Z99" s="88" t="str">
        <f>_xlfn.XLOOKUP($C99,DBGenzai[社員№],DBGenzai[備考],"",0,1)</f>
        <v/>
      </c>
      <c r="AA99" s="422" t="str">
        <f>_xlfn.XLOOKUP($F$1&amp;B99,Filtro!B:B,Filtro!AL:AL,"",0,1)</f>
        <v/>
      </c>
      <c r="AB99" s="157" t="str" cm="1">
        <f t="array" aca="1" ref="AB9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99" s="436" t="str">
        <f ca="1">_xlfn.XLOOKUP(TablaTransfor[[#This Row],[ライン]],TBKaishaInfo[ライン],TBKaishaInfo[まで],"NohayMarrano",0,1)</f>
        <v>NohayMarrano</v>
      </c>
    </row>
    <row r="100" spans="1:29" hidden="1">
      <c r="A100" s="424">
        <f>SUBTOTAL(103,$C$3:C100)</f>
        <v>18</v>
      </c>
      <c r="B100" s="159">
        <v>116</v>
      </c>
      <c r="C100" s="88" t="str">
        <f>_xlfn.XLOOKUP($F$1&amp;B100,Filtro!B:B,Filtro!D:D,"",0,1)</f>
        <v/>
      </c>
      <c r="D100" s="88" t="str">
        <f>_xlfn.XLOOKUP($F$1&amp;B100,Filtro!B:B,Filtro!C:C,"",0,1)</f>
        <v/>
      </c>
      <c r="E100" s="88" t="str">
        <f>_xlfn.XLOOKUP($F$1&amp;B100,Filtro!B:B,Filtro!E:E,"",0,1)</f>
        <v/>
      </c>
      <c r="F100" s="88" t="str">
        <f>_xlfn.XLOOKUP($F$1&amp;B100,Filtro!B:B,Filtro!G:G,"",0,1)</f>
        <v/>
      </c>
      <c r="G100" s="88" t="str">
        <f ca="1">MID(TablaTransfor[[#This Row],[配属先]],1,8)</f>
        <v/>
      </c>
      <c r="H100" s="88" t="str">
        <f ca="1">MID(TablaTransfor[[#This Row],[配属先]],9,6)</f>
        <v/>
      </c>
      <c r="I100" s="88" t="str">
        <f>_xlfn.XLOOKUP($C100,DBGenzai[社員№],DBGenzai[仕事内容],"",0,1)</f>
        <v/>
      </c>
      <c r="J100" s="88" t="str">
        <f>_xlfn.XLOOKUP($F$1&amp;B100,Filtro!B:B,Filtro!H:H,"",0,1)</f>
        <v/>
      </c>
      <c r="K100" s="88" t="str">
        <f>_xlfn.XLOOKUP($F$1&amp;B100,Filtro!B:B,Filtro!J:J,"",0,1)</f>
        <v/>
      </c>
      <c r="L100" s="88" t="str">
        <f ca="1">IF(TablaTransfor[[#This Row],[氏名]]="","",IF(TablaTransfor[[#This Row],[氏名]]&lt;"0","記号",IF(NOT(EXACT(UPPER(TablaTransfor[[#This Row],[氏名]]),LOWER(TablaTransfor[[#This Row],[氏名]]))),_xlfn.XLOOKUP($C100,DBGenzai[社員№],DBGenzai[カナ],"",0,1),_xlfn.XLOOKUP($C100,DBGenzai[社員№],DBGenzai[氏名],"",0,1))))</f>
        <v/>
      </c>
      <c r="M100" s="88" t="str">
        <f>_xlfn.XLOOKUP($C100,DBGenzai[社員№],DBGenzai[性別],"",0,1)</f>
        <v/>
      </c>
      <c r="N100" s="88" t="str">
        <f>_xlfn.XLOOKUP($C100,DBGenzai[社員№],DBGenzai[国籍],"",0,1)</f>
        <v/>
      </c>
      <c r="O100" s="89" t="str">
        <f>_xlfn.XLOOKUP($C100,DBGenzai[社員№],DBGenzai[生年月日],"",0,1)</f>
        <v/>
      </c>
      <c r="P100" s="88" t="str">
        <f>_xlfn.XLOOKUP($F$1&amp;B100,Filtro!B:B,Filtro!O:O,"",0,1)</f>
        <v/>
      </c>
      <c r="Q100" s="88" t="str">
        <f>_xlfn.XLOOKUP($F$1&amp;B100,Filtro!B:B,Filtro!P:P,"",0,1)</f>
        <v/>
      </c>
      <c r="R100" s="426" t="str">
        <f>_xlfn.XLOOKUP($F$1&amp;B100,Filtro!B:B,Filtro!R:R,"",0,1)</f>
        <v/>
      </c>
      <c r="S100" s="88" t="str">
        <f>_xlfn.XLOOKUP($C100,DBGenzai[社員№],DBGenzai[〒],"",0,1)</f>
        <v/>
      </c>
      <c r="T100" s="88" t="str">
        <f>_xlfn.XLOOKUP($C100,DBGenzai[社員№],DBGenzai[住所],"",0,1)</f>
        <v/>
      </c>
      <c r="U100" s="88" t="str">
        <f>_xlfn.XLOOKUP($C100,DBGenzai[社員№],DBGenzai[ｱﾊﾟｰﾄ],"",0,1)</f>
        <v/>
      </c>
      <c r="V100" s="89" t="str">
        <f>_xlfn.XLOOKUP($C100,DBGenzai[社員№],DBGenzai[入居],"",0,1)</f>
        <v/>
      </c>
      <c r="W100" s="89" t="str">
        <f>_xlfn.XLOOKUP($F$1&amp;B100,Filtro!B:B,Filtro!AF:AF,"",0,1)</f>
        <v/>
      </c>
      <c r="X100" s="89" t="str">
        <f>_xlfn.XLOOKUP($C100,DBGenzai[社員№],DBGenzai[退社日],"",0,1)</f>
        <v/>
      </c>
      <c r="Y100" s="88" t="str">
        <f>_xlfn.XLOOKUP($C100,DBGenzai[社員№],DBGenzai[退去],"",0,1)</f>
        <v/>
      </c>
      <c r="Z100" s="88" t="str">
        <f>_xlfn.XLOOKUP($C100,DBGenzai[社員№],DBGenzai[備考],"",0,1)</f>
        <v/>
      </c>
      <c r="AA100" s="422" t="str">
        <f>_xlfn.XLOOKUP($F$1&amp;B100,Filtro!B:B,Filtro!AL:AL,"",0,1)</f>
        <v/>
      </c>
      <c r="AB100" s="157" t="str" cm="1">
        <f t="array" aca="1" ref="AB10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0" s="436" t="str">
        <f ca="1">_xlfn.XLOOKUP(TablaTransfor[[#This Row],[ライン]],TBKaishaInfo[ライン],TBKaishaInfo[まで],"NohayMarrano",0,1)</f>
        <v>NohayMarrano</v>
      </c>
    </row>
    <row r="101" spans="1:29" hidden="1">
      <c r="A101" s="424">
        <f>SUBTOTAL(103,$C$3:C101)</f>
        <v>18</v>
      </c>
      <c r="B101" s="159">
        <v>117</v>
      </c>
      <c r="C101" s="88" t="str">
        <f>_xlfn.XLOOKUP($F$1&amp;B101,Filtro!B:B,Filtro!D:D,"",0,1)</f>
        <v/>
      </c>
      <c r="D101" s="88" t="str">
        <f>_xlfn.XLOOKUP($F$1&amp;B101,Filtro!B:B,Filtro!C:C,"",0,1)</f>
        <v/>
      </c>
      <c r="E101" s="88" t="str">
        <f>_xlfn.XLOOKUP($F$1&amp;B101,Filtro!B:B,Filtro!E:E,"",0,1)</f>
        <v/>
      </c>
      <c r="F101" s="88" t="str">
        <f>_xlfn.XLOOKUP($F$1&amp;B101,Filtro!B:B,Filtro!G:G,"",0,1)</f>
        <v/>
      </c>
      <c r="G101" s="88" t="str">
        <f ca="1">MID(TablaTransfor[[#This Row],[配属先]],1,8)</f>
        <v/>
      </c>
      <c r="H101" s="88" t="str">
        <f ca="1">MID(TablaTransfor[[#This Row],[配属先]],9,6)</f>
        <v/>
      </c>
      <c r="I101" s="88" t="str">
        <f>_xlfn.XLOOKUP($C101,DBGenzai[社員№],DBGenzai[仕事内容],"",0,1)</f>
        <v/>
      </c>
      <c r="J101" s="88" t="str">
        <f>_xlfn.XLOOKUP($F$1&amp;B101,Filtro!B:B,Filtro!H:H,"",0,1)</f>
        <v/>
      </c>
      <c r="K101" s="88" t="str">
        <f>_xlfn.XLOOKUP($F$1&amp;B101,Filtro!B:B,Filtro!J:J,"",0,1)</f>
        <v/>
      </c>
      <c r="L101" s="88" t="str">
        <f ca="1">IF(TablaTransfor[[#This Row],[氏名]]="","",IF(TablaTransfor[[#This Row],[氏名]]&lt;"0","記号",IF(NOT(EXACT(UPPER(TablaTransfor[[#This Row],[氏名]]),LOWER(TablaTransfor[[#This Row],[氏名]]))),_xlfn.XLOOKUP($C101,DBGenzai[社員№],DBGenzai[カナ],"",0,1),_xlfn.XLOOKUP($C101,DBGenzai[社員№],DBGenzai[氏名],"",0,1))))</f>
        <v/>
      </c>
      <c r="M101" s="88" t="str">
        <f>_xlfn.XLOOKUP($C101,DBGenzai[社員№],DBGenzai[性別],"",0,1)</f>
        <v/>
      </c>
      <c r="N101" s="88" t="str">
        <f>_xlfn.XLOOKUP($C101,DBGenzai[社員№],DBGenzai[国籍],"",0,1)</f>
        <v/>
      </c>
      <c r="O101" s="89" t="str">
        <f>_xlfn.XLOOKUP($C101,DBGenzai[社員№],DBGenzai[生年月日],"",0,1)</f>
        <v/>
      </c>
      <c r="P101" s="88" t="str">
        <f>_xlfn.XLOOKUP($F$1&amp;B101,Filtro!B:B,Filtro!O:O,"",0,1)</f>
        <v/>
      </c>
      <c r="Q101" s="88" t="str">
        <f>_xlfn.XLOOKUP($F$1&amp;B101,Filtro!B:B,Filtro!P:P,"",0,1)</f>
        <v/>
      </c>
      <c r="R101" s="426" t="str">
        <f>_xlfn.XLOOKUP($F$1&amp;B101,Filtro!B:B,Filtro!R:R,"",0,1)</f>
        <v/>
      </c>
      <c r="S101" s="88" t="str">
        <f>_xlfn.XLOOKUP($C101,DBGenzai[社員№],DBGenzai[〒],"",0,1)</f>
        <v/>
      </c>
      <c r="T101" s="88" t="str">
        <f>_xlfn.XLOOKUP($C101,DBGenzai[社員№],DBGenzai[住所],"",0,1)</f>
        <v/>
      </c>
      <c r="U101" s="88" t="str">
        <f>_xlfn.XLOOKUP($C101,DBGenzai[社員№],DBGenzai[ｱﾊﾟｰﾄ],"",0,1)</f>
        <v/>
      </c>
      <c r="V101" s="89" t="str">
        <f>_xlfn.XLOOKUP($C101,DBGenzai[社員№],DBGenzai[入居],"",0,1)</f>
        <v/>
      </c>
      <c r="W101" s="89" t="str">
        <f>_xlfn.XLOOKUP($F$1&amp;B101,Filtro!B:B,Filtro!AF:AF,"",0,1)</f>
        <v/>
      </c>
      <c r="X101" s="89" t="str">
        <f>_xlfn.XLOOKUP($C101,DBGenzai[社員№],DBGenzai[退社日],"",0,1)</f>
        <v/>
      </c>
      <c r="Y101" s="88" t="str">
        <f>_xlfn.XLOOKUP($C101,DBGenzai[社員№],DBGenzai[退去],"",0,1)</f>
        <v/>
      </c>
      <c r="Z101" s="88" t="str">
        <f>_xlfn.XLOOKUP($C101,DBGenzai[社員№],DBGenzai[備考],"",0,1)</f>
        <v/>
      </c>
      <c r="AA101" s="422" t="str">
        <f>_xlfn.XLOOKUP($F$1&amp;B101,Filtro!B:B,Filtro!AL:AL,"",0,1)</f>
        <v/>
      </c>
      <c r="AB101" s="157" t="str" cm="1">
        <f t="array" aca="1" ref="AB10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1" s="436" t="str">
        <f ca="1">_xlfn.XLOOKUP(TablaTransfor[[#This Row],[ライン]],TBKaishaInfo[ライン],TBKaishaInfo[まで],"NohayMarrano",0,1)</f>
        <v>NohayMarrano</v>
      </c>
    </row>
    <row r="102" spans="1:29" hidden="1">
      <c r="A102" s="424">
        <f>SUBTOTAL(103,$C$3:C102)</f>
        <v>18</v>
      </c>
      <c r="B102" s="159">
        <v>119</v>
      </c>
      <c r="C102" s="88" t="str">
        <f>_xlfn.XLOOKUP($F$1&amp;B102,Filtro!B:B,Filtro!D:D,"",0,1)</f>
        <v/>
      </c>
      <c r="D102" s="88" t="str">
        <f>_xlfn.XLOOKUP($F$1&amp;B102,Filtro!B:B,Filtro!C:C,"",0,1)</f>
        <v/>
      </c>
      <c r="E102" s="88" t="str">
        <f>_xlfn.XLOOKUP($F$1&amp;B102,Filtro!B:B,Filtro!E:E,"",0,1)</f>
        <v/>
      </c>
      <c r="F102" s="88" t="str">
        <f>_xlfn.XLOOKUP($F$1&amp;B102,Filtro!B:B,Filtro!G:G,"",0,1)</f>
        <v/>
      </c>
      <c r="G102" s="88" t="str">
        <f ca="1">MID(TablaTransfor[[#This Row],[配属先]],1,8)</f>
        <v/>
      </c>
      <c r="H102" s="88" t="str">
        <f ca="1">MID(TablaTransfor[[#This Row],[配属先]],9,6)</f>
        <v/>
      </c>
      <c r="I102" s="88" t="str">
        <f>_xlfn.XLOOKUP($C102,DBGenzai[社員№],DBGenzai[仕事内容],"",0,1)</f>
        <v/>
      </c>
      <c r="J102" s="88" t="str">
        <f>_xlfn.XLOOKUP($F$1&amp;B102,Filtro!B:B,Filtro!H:H,"",0,1)</f>
        <v/>
      </c>
      <c r="K102" s="88" t="str">
        <f>_xlfn.XLOOKUP($F$1&amp;B102,Filtro!B:B,Filtro!J:J,"",0,1)</f>
        <v/>
      </c>
      <c r="L102" s="88" t="str">
        <f ca="1">IF(TablaTransfor[[#This Row],[氏名]]="","",IF(TablaTransfor[[#This Row],[氏名]]&lt;"0","記号",IF(NOT(EXACT(UPPER(TablaTransfor[[#This Row],[氏名]]),LOWER(TablaTransfor[[#This Row],[氏名]]))),_xlfn.XLOOKUP($C102,DBGenzai[社員№],DBGenzai[カナ],"",0,1),_xlfn.XLOOKUP($C102,DBGenzai[社員№],DBGenzai[氏名],"",0,1))))</f>
        <v/>
      </c>
      <c r="M102" s="88" t="str">
        <f>_xlfn.XLOOKUP($C102,DBGenzai[社員№],DBGenzai[性別],"",0,1)</f>
        <v/>
      </c>
      <c r="N102" s="88" t="str">
        <f>_xlfn.XLOOKUP($C102,DBGenzai[社員№],DBGenzai[国籍],"",0,1)</f>
        <v/>
      </c>
      <c r="O102" s="89" t="str">
        <f>_xlfn.XLOOKUP($C102,DBGenzai[社員№],DBGenzai[生年月日],"",0,1)</f>
        <v/>
      </c>
      <c r="P102" s="88" t="str">
        <f>_xlfn.XLOOKUP($F$1&amp;B102,Filtro!B:B,Filtro!O:O,"",0,1)</f>
        <v/>
      </c>
      <c r="Q102" s="88" t="str">
        <f>_xlfn.XLOOKUP($F$1&amp;B102,Filtro!B:B,Filtro!P:P,"",0,1)</f>
        <v/>
      </c>
      <c r="R102" s="426" t="str">
        <f>_xlfn.XLOOKUP($F$1&amp;B102,Filtro!B:B,Filtro!R:R,"",0,1)</f>
        <v/>
      </c>
      <c r="S102" s="88" t="str">
        <f>_xlfn.XLOOKUP($C102,DBGenzai[社員№],DBGenzai[〒],"",0,1)</f>
        <v/>
      </c>
      <c r="T102" s="88" t="str">
        <f>_xlfn.XLOOKUP($C102,DBGenzai[社員№],DBGenzai[住所],"",0,1)</f>
        <v/>
      </c>
      <c r="U102" s="88" t="str">
        <f>_xlfn.XLOOKUP($C102,DBGenzai[社員№],DBGenzai[ｱﾊﾟｰﾄ],"",0,1)</f>
        <v/>
      </c>
      <c r="V102" s="89" t="str">
        <f>_xlfn.XLOOKUP($C102,DBGenzai[社員№],DBGenzai[入居],"",0,1)</f>
        <v/>
      </c>
      <c r="W102" s="89" t="str">
        <f>_xlfn.XLOOKUP($F$1&amp;B102,Filtro!B:B,Filtro!AF:AF,"",0,1)</f>
        <v/>
      </c>
      <c r="X102" s="89" t="str">
        <f>_xlfn.XLOOKUP($C102,DBGenzai[社員№],DBGenzai[退社日],"",0,1)</f>
        <v/>
      </c>
      <c r="Y102" s="88" t="str">
        <f>_xlfn.XLOOKUP($C102,DBGenzai[社員№],DBGenzai[退去],"",0,1)</f>
        <v/>
      </c>
      <c r="Z102" s="88" t="str">
        <f>_xlfn.XLOOKUP($C102,DBGenzai[社員№],DBGenzai[備考],"",0,1)</f>
        <v/>
      </c>
      <c r="AA102" s="422" t="str">
        <f>_xlfn.XLOOKUP($F$1&amp;B102,Filtro!B:B,Filtro!AL:AL,"",0,1)</f>
        <v/>
      </c>
      <c r="AB102" s="157" t="str" cm="1">
        <f t="array" aca="1" ref="AB10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2" s="436" t="str">
        <f ca="1">_xlfn.XLOOKUP(TablaTransfor[[#This Row],[ライン]],TBKaishaInfo[ライン],TBKaishaInfo[まで],"NohayMarrano",0,1)</f>
        <v>NohayMarrano</v>
      </c>
    </row>
    <row r="103" spans="1:29" hidden="1">
      <c r="A103" s="424">
        <f>SUBTOTAL(103,$C$3:C103)</f>
        <v>18</v>
      </c>
      <c r="B103" s="159">
        <v>120</v>
      </c>
      <c r="C103" s="88" t="str">
        <f>_xlfn.XLOOKUP($F$1&amp;B103,Filtro!B:B,Filtro!D:D,"",0,1)</f>
        <v/>
      </c>
      <c r="D103" s="88" t="str">
        <f>_xlfn.XLOOKUP($F$1&amp;B103,Filtro!B:B,Filtro!C:C,"",0,1)</f>
        <v/>
      </c>
      <c r="E103" s="88" t="str">
        <f>_xlfn.XLOOKUP($F$1&amp;B103,Filtro!B:B,Filtro!E:E,"",0,1)</f>
        <v/>
      </c>
      <c r="F103" s="88" t="str">
        <f>_xlfn.XLOOKUP($F$1&amp;B103,Filtro!B:B,Filtro!G:G,"",0,1)</f>
        <v/>
      </c>
      <c r="G103" s="88" t="str">
        <f ca="1">MID(TablaTransfor[[#This Row],[配属先]],1,8)</f>
        <v/>
      </c>
      <c r="H103" s="88" t="str">
        <f ca="1">MID(TablaTransfor[[#This Row],[配属先]],9,6)</f>
        <v/>
      </c>
      <c r="I103" s="88" t="str">
        <f>_xlfn.XLOOKUP($C103,DBGenzai[社員№],DBGenzai[仕事内容],"",0,1)</f>
        <v/>
      </c>
      <c r="J103" s="88" t="str">
        <f>_xlfn.XLOOKUP($F$1&amp;B103,Filtro!B:B,Filtro!H:H,"",0,1)</f>
        <v/>
      </c>
      <c r="K103" s="88" t="str">
        <f>_xlfn.XLOOKUP($F$1&amp;B103,Filtro!B:B,Filtro!J:J,"",0,1)</f>
        <v/>
      </c>
      <c r="L103" s="88" t="str">
        <f ca="1">IF(TablaTransfor[[#This Row],[氏名]]="","",IF(TablaTransfor[[#This Row],[氏名]]&lt;"0","記号",IF(NOT(EXACT(UPPER(TablaTransfor[[#This Row],[氏名]]),LOWER(TablaTransfor[[#This Row],[氏名]]))),_xlfn.XLOOKUP($C103,DBGenzai[社員№],DBGenzai[カナ],"",0,1),_xlfn.XLOOKUP($C103,DBGenzai[社員№],DBGenzai[氏名],"",0,1))))</f>
        <v/>
      </c>
      <c r="M103" s="88" t="str">
        <f>_xlfn.XLOOKUP($C103,DBGenzai[社員№],DBGenzai[性別],"",0,1)</f>
        <v/>
      </c>
      <c r="N103" s="88" t="str">
        <f>_xlfn.XLOOKUP($C103,DBGenzai[社員№],DBGenzai[国籍],"",0,1)</f>
        <v/>
      </c>
      <c r="O103" s="89" t="str">
        <f>_xlfn.XLOOKUP($C103,DBGenzai[社員№],DBGenzai[生年月日],"",0,1)</f>
        <v/>
      </c>
      <c r="P103" s="88" t="str">
        <f>_xlfn.XLOOKUP($F$1&amp;B103,Filtro!B:B,Filtro!O:O,"",0,1)</f>
        <v/>
      </c>
      <c r="Q103" s="88" t="str">
        <f>_xlfn.XLOOKUP($F$1&amp;B103,Filtro!B:B,Filtro!P:P,"",0,1)</f>
        <v/>
      </c>
      <c r="R103" s="426" t="str">
        <f>_xlfn.XLOOKUP($F$1&amp;B103,Filtro!B:B,Filtro!R:R,"",0,1)</f>
        <v/>
      </c>
      <c r="S103" s="88" t="str">
        <f>_xlfn.XLOOKUP($C103,DBGenzai[社員№],DBGenzai[〒],"",0,1)</f>
        <v/>
      </c>
      <c r="T103" s="88" t="str">
        <f>_xlfn.XLOOKUP($C103,DBGenzai[社員№],DBGenzai[住所],"",0,1)</f>
        <v/>
      </c>
      <c r="U103" s="88" t="str">
        <f>_xlfn.XLOOKUP($C103,DBGenzai[社員№],DBGenzai[ｱﾊﾟｰﾄ],"",0,1)</f>
        <v/>
      </c>
      <c r="V103" s="89" t="str">
        <f>_xlfn.XLOOKUP($C103,DBGenzai[社員№],DBGenzai[入居],"",0,1)</f>
        <v/>
      </c>
      <c r="W103" s="89" t="str">
        <f>_xlfn.XLOOKUP($F$1&amp;B103,Filtro!B:B,Filtro!AF:AF,"",0,1)</f>
        <v/>
      </c>
      <c r="X103" s="89" t="str">
        <f>_xlfn.XLOOKUP($C103,DBGenzai[社員№],DBGenzai[退社日],"",0,1)</f>
        <v/>
      </c>
      <c r="Y103" s="88" t="str">
        <f>_xlfn.XLOOKUP($C103,DBGenzai[社員№],DBGenzai[退去],"",0,1)</f>
        <v/>
      </c>
      <c r="Z103" s="88" t="str">
        <f>_xlfn.XLOOKUP($C103,DBGenzai[社員№],DBGenzai[備考],"",0,1)</f>
        <v/>
      </c>
      <c r="AA103" s="422" t="str">
        <f>_xlfn.XLOOKUP($F$1&amp;B103,Filtro!B:B,Filtro!AL:AL,"",0,1)</f>
        <v/>
      </c>
      <c r="AB103" s="157" t="str" cm="1">
        <f t="array" aca="1" ref="AB10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3" s="436" t="str">
        <f ca="1">_xlfn.XLOOKUP(TablaTransfor[[#This Row],[ライン]],TBKaishaInfo[ライン],TBKaishaInfo[まで],"NohayMarrano",0,1)</f>
        <v>NohayMarrano</v>
      </c>
    </row>
    <row r="104" spans="1:29" hidden="1">
      <c r="A104" s="424">
        <f>SUBTOTAL(103,$C$3:C104)</f>
        <v>18</v>
      </c>
      <c r="B104" s="159">
        <v>142</v>
      </c>
      <c r="C104" s="88" t="str">
        <f>_xlfn.XLOOKUP($F$1&amp;B104,Filtro!B:B,Filtro!D:D,"",0,1)</f>
        <v/>
      </c>
      <c r="D104" s="88" t="str">
        <f>_xlfn.XLOOKUP($F$1&amp;B104,Filtro!B:B,Filtro!C:C,"",0,1)</f>
        <v/>
      </c>
      <c r="E104" s="88" t="str">
        <f>_xlfn.XLOOKUP($F$1&amp;B104,Filtro!B:B,Filtro!E:E,"",0,1)</f>
        <v/>
      </c>
      <c r="F104" s="88" t="str">
        <f>_xlfn.XLOOKUP($F$1&amp;B104,Filtro!B:B,Filtro!G:G,"",0,1)</f>
        <v/>
      </c>
      <c r="G104" s="88" t="str">
        <f ca="1">MID(TablaTransfor[[#This Row],[配属先]],1,8)</f>
        <v/>
      </c>
      <c r="H104" s="88" t="str">
        <f ca="1">MID(TablaTransfor[[#This Row],[配属先]],9,6)</f>
        <v/>
      </c>
      <c r="I104" s="88" t="str">
        <f>_xlfn.XLOOKUP($C104,DBGenzai[社員№],DBGenzai[仕事内容],"",0,1)</f>
        <v/>
      </c>
      <c r="J104" s="88" t="str">
        <f>_xlfn.XLOOKUP($F$1&amp;B104,Filtro!B:B,Filtro!H:H,"",0,1)</f>
        <v/>
      </c>
      <c r="K104" s="88" t="str">
        <f>_xlfn.XLOOKUP($F$1&amp;B104,Filtro!B:B,Filtro!J:J,"",0,1)</f>
        <v/>
      </c>
      <c r="L104" s="88" t="str">
        <f ca="1">IF(TablaTransfor[[#This Row],[氏名]]="","",IF(TablaTransfor[[#This Row],[氏名]]&lt;"0","記号",IF(NOT(EXACT(UPPER(TablaTransfor[[#This Row],[氏名]]),LOWER(TablaTransfor[[#This Row],[氏名]]))),_xlfn.XLOOKUP($C104,DBGenzai[社員№],DBGenzai[カナ],"",0,1),_xlfn.XLOOKUP($C104,DBGenzai[社員№],DBGenzai[氏名],"",0,1))))</f>
        <v/>
      </c>
      <c r="M104" s="88" t="str">
        <f>_xlfn.XLOOKUP($C104,DBGenzai[社員№],DBGenzai[性別],"",0,1)</f>
        <v/>
      </c>
      <c r="N104" s="88" t="str">
        <f>_xlfn.XLOOKUP($C104,DBGenzai[社員№],DBGenzai[国籍],"",0,1)</f>
        <v/>
      </c>
      <c r="O104" s="89" t="str">
        <f>_xlfn.XLOOKUP($C104,DBGenzai[社員№],DBGenzai[生年月日],"",0,1)</f>
        <v/>
      </c>
      <c r="P104" s="88" t="str">
        <f>_xlfn.XLOOKUP($F$1&amp;B104,Filtro!B:B,Filtro!O:O,"",0,1)</f>
        <v/>
      </c>
      <c r="Q104" s="88" t="str">
        <f>_xlfn.XLOOKUP($F$1&amp;B104,Filtro!B:B,Filtro!P:P,"",0,1)</f>
        <v/>
      </c>
      <c r="R104" s="426" t="str">
        <f>_xlfn.XLOOKUP($F$1&amp;B104,Filtro!B:B,Filtro!R:R,"",0,1)</f>
        <v/>
      </c>
      <c r="S104" s="88" t="str">
        <f>_xlfn.XLOOKUP($C104,DBGenzai[社員№],DBGenzai[〒],"",0,1)</f>
        <v/>
      </c>
      <c r="T104" s="88" t="str">
        <f>_xlfn.XLOOKUP($C104,DBGenzai[社員№],DBGenzai[住所],"",0,1)</f>
        <v/>
      </c>
      <c r="U104" s="88" t="str">
        <f>_xlfn.XLOOKUP($C104,DBGenzai[社員№],DBGenzai[ｱﾊﾟｰﾄ],"",0,1)</f>
        <v/>
      </c>
      <c r="V104" s="89" t="str">
        <f>_xlfn.XLOOKUP($C104,DBGenzai[社員№],DBGenzai[入居],"",0,1)</f>
        <v/>
      </c>
      <c r="W104" s="89" t="str">
        <f>_xlfn.XLOOKUP($F$1&amp;B104,Filtro!B:B,Filtro!AF:AF,"",0,1)</f>
        <v/>
      </c>
      <c r="X104" s="89" t="str">
        <f>_xlfn.XLOOKUP($C104,DBGenzai[社員№],DBGenzai[退社日],"",0,1)</f>
        <v/>
      </c>
      <c r="Y104" s="88" t="str">
        <f>_xlfn.XLOOKUP($C104,DBGenzai[社員№],DBGenzai[退去],"",0,1)</f>
        <v/>
      </c>
      <c r="Z104" s="88" t="str">
        <f>_xlfn.XLOOKUP($C104,DBGenzai[社員№],DBGenzai[備考],"",0,1)</f>
        <v/>
      </c>
      <c r="AA104" s="422" t="str">
        <f>_xlfn.XLOOKUP($F$1&amp;B104,Filtro!B:B,Filtro!AL:AL,"",0,1)</f>
        <v/>
      </c>
      <c r="AB104" s="157" t="str" cm="1">
        <f t="array" aca="1" ref="AB10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4" s="436" t="str">
        <f ca="1">_xlfn.XLOOKUP(TablaTransfor[[#This Row],[ライン]],TBKaishaInfo[ライン],TBKaishaInfo[まで],"NohayMarrano",0,1)</f>
        <v>NohayMarrano</v>
      </c>
    </row>
    <row r="105" spans="1:29" hidden="1">
      <c r="A105" s="424">
        <f>SUBTOTAL(103,$C$3:C105)</f>
        <v>18</v>
      </c>
      <c r="B105" s="159">
        <v>143</v>
      </c>
      <c r="C105" s="88" t="str">
        <f>_xlfn.XLOOKUP($F$1&amp;B105,Filtro!B:B,Filtro!D:D,"",0,1)</f>
        <v/>
      </c>
      <c r="D105" s="88" t="str">
        <f>_xlfn.XLOOKUP($F$1&amp;B105,Filtro!B:B,Filtro!C:C,"",0,1)</f>
        <v/>
      </c>
      <c r="E105" s="88" t="str">
        <f>_xlfn.XLOOKUP($F$1&amp;B105,Filtro!B:B,Filtro!E:E,"",0,1)</f>
        <v/>
      </c>
      <c r="F105" s="88" t="str">
        <f>_xlfn.XLOOKUP($F$1&amp;B105,Filtro!B:B,Filtro!G:G,"",0,1)</f>
        <v/>
      </c>
      <c r="G105" s="88" t="str">
        <f ca="1">MID(TablaTransfor[[#This Row],[配属先]],1,8)</f>
        <v/>
      </c>
      <c r="H105" s="88" t="str">
        <f ca="1">MID(TablaTransfor[[#This Row],[配属先]],9,6)</f>
        <v/>
      </c>
      <c r="I105" s="88" t="str">
        <f>_xlfn.XLOOKUP($C105,DBGenzai[社員№],DBGenzai[仕事内容],"",0,1)</f>
        <v/>
      </c>
      <c r="J105" s="88" t="str">
        <f>_xlfn.XLOOKUP($F$1&amp;B105,Filtro!B:B,Filtro!H:H,"",0,1)</f>
        <v/>
      </c>
      <c r="K105" s="88" t="str">
        <f>_xlfn.XLOOKUP($F$1&amp;B105,Filtro!B:B,Filtro!J:J,"",0,1)</f>
        <v/>
      </c>
      <c r="L105" s="88" t="str">
        <f ca="1">IF(TablaTransfor[[#This Row],[氏名]]="","",IF(TablaTransfor[[#This Row],[氏名]]&lt;"0","記号",IF(NOT(EXACT(UPPER(TablaTransfor[[#This Row],[氏名]]),LOWER(TablaTransfor[[#This Row],[氏名]]))),_xlfn.XLOOKUP($C105,DBGenzai[社員№],DBGenzai[カナ],"",0,1),_xlfn.XLOOKUP($C105,DBGenzai[社員№],DBGenzai[氏名],"",0,1))))</f>
        <v/>
      </c>
      <c r="M105" s="88" t="str">
        <f>_xlfn.XLOOKUP($C105,DBGenzai[社員№],DBGenzai[性別],"",0,1)</f>
        <v/>
      </c>
      <c r="N105" s="88" t="str">
        <f>_xlfn.XLOOKUP($C105,DBGenzai[社員№],DBGenzai[国籍],"",0,1)</f>
        <v/>
      </c>
      <c r="O105" s="89" t="str">
        <f>_xlfn.XLOOKUP($C105,DBGenzai[社員№],DBGenzai[生年月日],"",0,1)</f>
        <v/>
      </c>
      <c r="P105" s="88" t="str">
        <f>_xlfn.XLOOKUP($F$1&amp;B105,Filtro!B:B,Filtro!O:O,"",0,1)</f>
        <v/>
      </c>
      <c r="Q105" s="88" t="str">
        <f>_xlfn.XLOOKUP($F$1&amp;B105,Filtro!B:B,Filtro!P:P,"",0,1)</f>
        <v/>
      </c>
      <c r="R105" s="426" t="str">
        <f>_xlfn.XLOOKUP($F$1&amp;B105,Filtro!B:B,Filtro!R:R,"",0,1)</f>
        <v/>
      </c>
      <c r="S105" s="88" t="str">
        <f>_xlfn.XLOOKUP($C105,DBGenzai[社員№],DBGenzai[〒],"",0,1)</f>
        <v/>
      </c>
      <c r="T105" s="88" t="str">
        <f>_xlfn.XLOOKUP($C105,DBGenzai[社員№],DBGenzai[住所],"",0,1)</f>
        <v/>
      </c>
      <c r="U105" s="88" t="str">
        <f>_xlfn.XLOOKUP($C105,DBGenzai[社員№],DBGenzai[ｱﾊﾟｰﾄ],"",0,1)</f>
        <v/>
      </c>
      <c r="V105" s="89" t="str">
        <f>_xlfn.XLOOKUP($C105,DBGenzai[社員№],DBGenzai[入居],"",0,1)</f>
        <v/>
      </c>
      <c r="W105" s="89" t="str">
        <f>_xlfn.XLOOKUP($F$1&amp;B105,Filtro!B:B,Filtro!AF:AF,"",0,1)</f>
        <v/>
      </c>
      <c r="X105" s="89" t="str">
        <f>_xlfn.XLOOKUP($C105,DBGenzai[社員№],DBGenzai[退社日],"",0,1)</f>
        <v/>
      </c>
      <c r="Y105" s="88" t="str">
        <f>_xlfn.XLOOKUP($C105,DBGenzai[社員№],DBGenzai[退去],"",0,1)</f>
        <v/>
      </c>
      <c r="Z105" s="88" t="str">
        <f>_xlfn.XLOOKUP($C105,DBGenzai[社員№],DBGenzai[備考],"",0,1)</f>
        <v/>
      </c>
      <c r="AA105" s="422" t="str">
        <f>_xlfn.XLOOKUP($F$1&amp;B105,Filtro!B:B,Filtro!AL:AL,"",0,1)</f>
        <v/>
      </c>
      <c r="AB105" s="157" t="str" cm="1">
        <f t="array" aca="1" ref="AB10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5" s="436" t="str">
        <f ca="1">_xlfn.XLOOKUP(TablaTransfor[[#This Row],[ライン]],TBKaishaInfo[ライン],TBKaishaInfo[まで],"NohayMarrano",0,1)</f>
        <v>NohayMarrano</v>
      </c>
    </row>
    <row r="106" spans="1:29" hidden="1">
      <c r="A106" s="424">
        <f>SUBTOTAL(103,$C$3:C106)</f>
        <v>18</v>
      </c>
      <c r="B106" s="159">
        <v>144</v>
      </c>
      <c r="C106" s="88" t="str">
        <f>_xlfn.XLOOKUP($F$1&amp;B106,Filtro!B:B,Filtro!D:D,"",0,1)</f>
        <v/>
      </c>
      <c r="D106" s="88" t="str">
        <f>_xlfn.XLOOKUP($F$1&amp;B106,Filtro!B:B,Filtro!C:C,"",0,1)</f>
        <v/>
      </c>
      <c r="E106" s="88" t="str">
        <f>_xlfn.XLOOKUP($F$1&amp;B106,Filtro!B:B,Filtro!E:E,"",0,1)</f>
        <v/>
      </c>
      <c r="F106" s="88" t="str">
        <f>_xlfn.XLOOKUP($F$1&amp;B106,Filtro!B:B,Filtro!G:G,"",0,1)</f>
        <v/>
      </c>
      <c r="G106" s="88" t="str">
        <f ca="1">MID(TablaTransfor[[#This Row],[配属先]],1,8)</f>
        <v/>
      </c>
      <c r="H106" s="88" t="str">
        <f ca="1">MID(TablaTransfor[[#This Row],[配属先]],9,6)</f>
        <v/>
      </c>
      <c r="I106" s="88" t="str">
        <f>_xlfn.XLOOKUP($C106,DBGenzai[社員№],DBGenzai[仕事内容],"",0,1)</f>
        <v/>
      </c>
      <c r="J106" s="88" t="str">
        <f>_xlfn.XLOOKUP($F$1&amp;B106,Filtro!B:B,Filtro!H:H,"",0,1)</f>
        <v/>
      </c>
      <c r="K106" s="88" t="str">
        <f>_xlfn.XLOOKUP($F$1&amp;B106,Filtro!B:B,Filtro!J:J,"",0,1)</f>
        <v/>
      </c>
      <c r="L106" s="88" t="str">
        <f ca="1">IF(TablaTransfor[[#This Row],[氏名]]="","",IF(TablaTransfor[[#This Row],[氏名]]&lt;"0","記号",IF(NOT(EXACT(UPPER(TablaTransfor[[#This Row],[氏名]]),LOWER(TablaTransfor[[#This Row],[氏名]]))),_xlfn.XLOOKUP($C106,DBGenzai[社員№],DBGenzai[カナ],"",0,1),_xlfn.XLOOKUP($C106,DBGenzai[社員№],DBGenzai[氏名],"",0,1))))</f>
        <v/>
      </c>
      <c r="M106" s="88" t="str">
        <f>_xlfn.XLOOKUP($C106,DBGenzai[社員№],DBGenzai[性別],"",0,1)</f>
        <v/>
      </c>
      <c r="N106" s="88" t="str">
        <f>_xlfn.XLOOKUP($C106,DBGenzai[社員№],DBGenzai[国籍],"",0,1)</f>
        <v/>
      </c>
      <c r="O106" s="89" t="str">
        <f>_xlfn.XLOOKUP($C106,DBGenzai[社員№],DBGenzai[生年月日],"",0,1)</f>
        <v/>
      </c>
      <c r="P106" s="88" t="str">
        <f>_xlfn.XLOOKUP($F$1&amp;B106,Filtro!B:B,Filtro!O:O,"",0,1)</f>
        <v/>
      </c>
      <c r="Q106" s="88" t="str">
        <f>_xlfn.XLOOKUP($F$1&amp;B106,Filtro!B:B,Filtro!P:P,"",0,1)</f>
        <v/>
      </c>
      <c r="R106" s="426" t="str">
        <f>_xlfn.XLOOKUP($F$1&amp;B106,Filtro!B:B,Filtro!R:R,"",0,1)</f>
        <v/>
      </c>
      <c r="S106" s="88" t="str">
        <f>_xlfn.XLOOKUP($C106,DBGenzai[社員№],DBGenzai[〒],"",0,1)</f>
        <v/>
      </c>
      <c r="T106" s="88" t="str">
        <f>_xlfn.XLOOKUP($C106,DBGenzai[社員№],DBGenzai[住所],"",0,1)</f>
        <v/>
      </c>
      <c r="U106" s="88" t="str">
        <f>_xlfn.XLOOKUP($C106,DBGenzai[社員№],DBGenzai[ｱﾊﾟｰﾄ],"",0,1)</f>
        <v/>
      </c>
      <c r="V106" s="89" t="str">
        <f>_xlfn.XLOOKUP($C106,DBGenzai[社員№],DBGenzai[入居],"",0,1)</f>
        <v/>
      </c>
      <c r="W106" s="89" t="str">
        <f>_xlfn.XLOOKUP($F$1&amp;B106,Filtro!B:B,Filtro!AF:AF,"",0,1)</f>
        <v/>
      </c>
      <c r="X106" s="89" t="str">
        <f>_xlfn.XLOOKUP($C106,DBGenzai[社員№],DBGenzai[退社日],"",0,1)</f>
        <v/>
      </c>
      <c r="Y106" s="88" t="str">
        <f>_xlfn.XLOOKUP($C106,DBGenzai[社員№],DBGenzai[退去],"",0,1)</f>
        <v/>
      </c>
      <c r="Z106" s="88" t="str">
        <f>_xlfn.XLOOKUP($C106,DBGenzai[社員№],DBGenzai[備考],"",0,1)</f>
        <v/>
      </c>
      <c r="AA106" s="422" t="str">
        <f>_xlfn.XLOOKUP($F$1&amp;B106,Filtro!B:B,Filtro!AL:AL,"",0,1)</f>
        <v/>
      </c>
      <c r="AB106" s="157" t="str" cm="1">
        <f t="array" aca="1" ref="AB10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6" s="436" t="str">
        <f ca="1">_xlfn.XLOOKUP(TablaTransfor[[#This Row],[ライン]],TBKaishaInfo[ライン],TBKaishaInfo[まで],"NohayMarrano",0,1)</f>
        <v>NohayMarrano</v>
      </c>
    </row>
    <row r="107" spans="1:29" hidden="1">
      <c r="A107" s="424">
        <f>SUBTOTAL(103,$C$3:C107)</f>
        <v>18</v>
      </c>
      <c r="B107" s="159">
        <v>145</v>
      </c>
      <c r="C107" s="88" t="str">
        <f>_xlfn.XLOOKUP($F$1&amp;B107,Filtro!B:B,Filtro!D:D,"",0,1)</f>
        <v/>
      </c>
      <c r="D107" s="88" t="str">
        <f>_xlfn.XLOOKUP($F$1&amp;B107,Filtro!B:B,Filtro!C:C,"",0,1)</f>
        <v/>
      </c>
      <c r="E107" s="88" t="str">
        <f>_xlfn.XLOOKUP($F$1&amp;B107,Filtro!B:B,Filtro!E:E,"",0,1)</f>
        <v/>
      </c>
      <c r="F107" s="88" t="str">
        <f>_xlfn.XLOOKUP($F$1&amp;B107,Filtro!B:B,Filtro!G:G,"",0,1)</f>
        <v/>
      </c>
      <c r="G107" s="88" t="str">
        <f ca="1">MID(TablaTransfor[[#This Row],[配属先]],1,8)</f>
        <v/>
      </c>
      <c r="H107" s="88" t="str">
        <f ca="1">MID(TablaTransfor[[#This Row],[配属先]],9,6)</f>
        <v/>
      </c>
      <c r="I107" s="88" t="str">
        <f>_xlfn.XLOOKUP($C107,DBGenzai[社員№],DBGenzai[仕事内容],"",0,1)</f>
        <v/>
      </c>
      <c r="J107" s="88" t="str">
        <f>_xlfn.XLOOKUP($F$1&amp;B107,Filtro!B:B,Filtro!H:H,"",0,1)</f>
        <v/>
      </c>
      <c r="K107" s="88" t="str">
        <f>_xlfn.XLOOKUP($F$1&amp;B107,Filtro!B:B,Filtro!J:J,"",0,1)</f>
        <v/>
      </c>
      <c r="L107" s="88" t="str">
        <f ca="1">IF(TablaTransfor[[#This Row],[氏名]]="","",IF(TablaTransfor[[#This Row],[氏名]]&lt;"0","記号",IF(NOT(EXACT(UPPER(TablaTransfor[[#This Row],[氏名]]),LOWER(TablaTransfor[[#This Row],[氏名]]))),_xlfn.XLOOKUP($C107,DBGenzai[社員№],DBGenzai[カナ],"",0,1),_xlfn.XLOOKUP($C107,DBGenzai[社員№],DBGenzai[氏名],"",0,1))))</f>
        <v/>
      </c>
      <c r="M107" s="88" t="str">
        <f>_xlfn.XLOOKUP($C107,DBGenzai[社員№],DBGenzai[性別],"",0,1)</f>
        <v/>
      </c>
      <c r="N107" s="88" t="str">
        <f>_xlfn.XLOOKUP($C107,DBGenzai[社員№],DBGenzai[国籍],"",0,1)</f>
        <v/>
      </c>
      <c r="O107" s="89" t="str">
        <f>_xlfn.XLOOKUP($C107,DBGenzai[社員№],DBGenzai[生年月日],"",0,1)</f>
        <v/>
      </c>
      <c r="P107" s="88" t="str">
        <f>_xlfn.XLOOKUP($F$1&amp;B107,Filtro!B:B,Filtro!O:O,"",0,1)</f>
        <v/>
      </c>
      <c r="Q107" s="88" t="str">
        <f>_xlfn.XLOOKUP($F$1&amp;B107,Filtro!B:B,Filtro!P:P,"",0,1)</f>
        <v/>
      </c>
      <c r="R107" s="426" t="str">
        <f>_xlfn.XLOOKUP($F$1&amp;B107,Filtro!B:B,Filtro!R:R,"",0,1)</f>
        <v/>
      </c>
      <c r="S107" s="88" t="str">
        <f>_xlfn.XLOOKUP($C107,DBGenzai[社員№],DBGenzai[〒],"",0,1)</f>
        <v/>
      </c>
      <c r="T107" s="88" t="str">
        <f>_xlfn.XLOOKUP($C107,DBGenzai[社員№],DBGenzai[住所],"",0,1)</f>
        <v/>
      </c>
      <c r="U107" s="88" t="str">
        <f>_xlfn.XLOOKUP($C107,DBGenzai[社員№],DBGenzai[ｱﾊﾟｰﾄ],"",0,1)</f>
        <v/>
      </c>
      <c r="V107" s="89" t="str">
        <f>_xlfn.XLOOKUP($C107,DBGenzai[社員№],DBGenzai[入居],"",0,1)</f>
        <v/>
      </c>
      <c r="W107" s="89" t="str">
        <f>_xlfn.XLOOKUP($F$1&amp;B107,Filtro!B:B,Filtro!AF:AF,"",0,1)</f>
        <v/>
      </c>
      <c r="X107" s="89" t="str">
        <f>_xlfn.XLOOKUP($C107,DBGenzai[社員№],DBGenzai[退社日],"",0,1)</f>
        <v/>
      </c>
      <c r="Y107" s="88" t="str">
        <f>_xlfn.XLOOKUP($C107,DBGenzai[社員№],DBGenzai[退去],"",0,1)</f>
        <v/>
      </c>
      <c r="Z107" s="88" t="str">
        <f>_xlfn.XLOOKUP($C107,DBGenzai[社員№],DBGenzai[備考],"",0,1)</f>
        <v/>
      </c>
      <c r="AA107" s="422" t="str">
        <f>_xlfn.XLOOKUP($F$1&amp;B107,Filtro!B:B,Filtro!AL:AL,"",0,1)</f>
        <v/>
      </c>
      <c r="AB107" s="157" t="str" cm="1">
        <f t="array" aca="1" ref="AB10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7" s="436" t="str">
        <f ca="1">_xlfn.XLOOKUP(TablaTransfor[[#This Row],[ライン]],TBKaishaInfo[ライン],TBKaishaInfo[まで],"NohayMarrano",0,1)</f>
        <v>NohayMarrano</v>
      </c>
    </row>
    <row r="108" spans="1:29" hidden="1">
      <c r="A108" s="424">
        <f>SUBTOTAL(103,$C$3:C108)</f>
        <v>18</v>
      </c>
      <c r="B108" s="159">
        <v>146</v>
      </c>
      <c r="C108" s="88" t="str">
        <f>_xlfn.XLOOKUP($F$1&amp;B108,Filtro!B:B,Filtro!D:D,"",0,1)</f>
        <v/>
      </c>
      <c r="D108" s="88" t="str">
        <f>_xlfn.XLOOKUP($F$1&amp;B108,Filtro!B:B,Filtro!C:C,"",0,1)</f>
        <v/>
      </c>
      <c r="E108" s="88" t="str">
        <f>_xlfn.XLOOKUP($F$1&amp;B108,Filtro!B:B,Filtro!E:E,"",0,1)</f>
        <v/>
      </c>
      <c r="F108" s="88" t="str">
        <f>_xlfn.XLOOKUP($F$1&amp;B108,Filtro!B:B,Filtro!G:G,"",0,1)</f>
        <v/>
      </c>
      <c r="G108" s="88" t="str">
        <f ca="1">MID(TablaTransfor[[#This Row],[配属先]],1,8)</f>
        <v/>
      </c>
      <c r="H108" s="88" t="str">
        <f ca="1">MID(TablaTransfor[[#This Row],[配属先]],9,6)</f>
        <v/>
      </c>
      <c r="I108" s="88" t="str">
        <f>_xlfn.XLOOKUP($C108,DBGenzai[社員№],DBGenzai[仕事内容],"",0,1)</f>
        <v/>
      </c>
      <c r="J108" s="88" t="str">
        <f>_xlfn.XLOOKUP($F$1&amp;B108,Filtro!B:B,Filtro!H:H,"",0,1)</f>
        <v/>
      </c>
      <c r="K108" s="88" t="str">
        <f>_xlfn.XLOOKUP($F$1&amp;B108,Filtro!B:B,Filtro!J:J,"",0,1)</f>
        <v/>
      </c>
      <c r="L108" s="88" t="str">
        <f ca="1">IF(TablaTransfor[[#This Row],[氏名]]="","",IF(TablaTransfor[[#This Row],[氏名]]&lt;"0","記号",IF(NOT(EXACT(UPPER(TablaTransfor[[#This Row],[氏名]]),LOWER(TablaTransfor[[#This Row],[氏名]]))),_xlfn.XLOOKUP($C108,DBGenzai[社員№],DBGenzai[カナ],"",0,1),_xlfn.XLOOKUP($C108,DBGenzai[社員№],DBGenzai[氏名],"",0,1))))</f>
        <v/>
      </c>
      <c r="M108" s="88" t="str">
        <f>_xlfn.XLOOKUP($C108,DBGenzai[社員№],DBGenzai[性別],"",0,1)</f>
        <v/>
      </c>
      <c r="N108" s="88" t="str">
        <f>_xlfn.XLOOKUP($C108,DBGenzai[社員№],DBGenzai[国籍],"",0,1)</f>
        <v/>
      </c>
      <c r="O108" s="89" t="str">
        <f>_xlfn.XLOOKUP($C108,DBGenzai[社員№],DBGenzai[生年月日],"",0,1)</f>
        <v/>
      </c>
      <c r="P108" s="88" t="str">
        <f>_xlfn.XLOOKUP($F$1&amp;B108,Filtro!B:B,Filtro!O:O,"",0,1)</f>
        <v/>
      </c>
      <c r="Q108" s="88" t="str">
        <f>_xlfn.XLOOKUP($F$1&amp;B108,Filtro!B:B,Filtro!P:P,"",0,1)</f>
        <v/>
      </c>
      <c r="R108" s="426" t="str">
        <f>_xlfn.XLOOKUP($F$1&amp;B108,Filtro!B:B,Filtro!R:R,"",0,1)</f>
        <v/>
      </c>
      <c r="S108" s="88" t="str">
        <f>_xlfn.XLOOKUP($C108,DBGenzai[社員№],DBGenzai[〒],"",0,1)</f>
        <v/>
      </c>
      <c r="T108" s="88" t="str">
        <f>_xlfn.XLOOKUP($C108,DBGenzai[社員№],DBGenzai[住所],"",0,1)</f>
        <v/>
      </c>
      <c r="U108" s="88" t="str">
        <f>_xlfn.XLOOKUP($C108,DBGenzai[社員№],DBGenzai[ｱﾊﾟｰﾄ],"",0,1)</f>
        <v/>
      </c>
      <c r="V108" s="89" t="str">
        <f>_xlfn.XLOOKUP($C108,DBGenzai[社員№],DBGenzai[入居],"",0,1)</f>
        <v/>
      </c>
      <c r="W108" s="89" t="str">
        <f>_xlfn.XLOOKUP($F$1&amp;B108,Filtro!B:B,Filtro!AF:AF,"",0,1)</f>
        <v/>
      </c>
      <c r="X108" s="89" t="str">
        <f>_xlfn.XLOOKUP($C108,DBGenzai[社員№],DBGenzai[退社日],"",0,1)</f>
        <v/>
      </c>
      <c r="Y108" s="88" t="str">
        <f>_xlfn.XLOOKUP($C108,DBGenzai[社員№],DBGenzai[退去],"",0,1)</f>
        <v/>
      </c>
      <c r="Z108" s="88" t="str">
        <f>_xlfn.XLOOKUP($C108,DBGenzai[社員№],DBGenzai[備考],"",0,1)</f>
        <v/>
      </c>
      <c r="AA108" s="422" t="str">
        <f>_xlfn.XLOOKUP($F$1&amp;B108,Filtro!B:B,Filtro!AL:AL,"",0,1)</f>
        <v/>
      </c>
      <c r="AB108" s="157" t="str" cm="1">
        <f t="array" aca="1" ref="AB10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8" s="436" t="str">
        <f ca="1">_xlfn.XLOOKUP(TablaTransfor[[#This Row],[ライン]],TBKaishaInfo[ライン],TBKaishaInfo[まで],"NohayMarrano",0,1)</f>
        <v>NohayMarrano</v>
      </c>
    </row>
    <row r="109" spans="1:29" hidden="1">
      <c r="A109" s="424">
        <f>SUBTOTAL(103,$C$3:C109)</f>
        <v>18</v>
      </c>
      <c r="B109" s="159">
        <v>147</v>
      </c>
      <c r="C109" s="88" t="str">
        <f>_xlfn.XLOOKUP($F$1&amp;B109,Filtro!B:B,Filtro!D:D,"",0,1)</f>
        <v/>
      </c>
      <c r="D109" s="88" t="str">
        <f>_xlfn.XLOOKUP($F$1&amp;B109,Filtro!B:B,Filtro!C:C,"",0,1)</f>
        <v/>
      </c>
      <c r="E109" s="88" t="str">
        <f>_xlfn.XLOOKUP($F$1&amp;B109,Filtro!B:B,Filtro!E:E,"",0,1)</f>
        <v/>
      </c>
      <c r="F109" s="88" t="str">
        <f>_xlfn.XLOOKUP($F$1&amp;B109,Filtro!B:B,Filtro!G:G,"",0,1)</f>
        <v/>
      </c>
      <c r="G109" s="88" t="str">
        <f ca="1">MID(TablaTransfor[[#This Row],[配属先]],1,8)</f>
        <v/>
      </c>
      <c r="H109" s="88" t="str">
        <f ca="1">MID(TablaTransfor[[#This Row],[配属先]],9,6)</f>
        <v/>
      </c>
      <c r="I109" s="88" t="str">
        <f>_xlfn.XLOOKUP($C109,DBGenzai[社員№],DBGenzai[仕事内容],"",0,1)</f>
        <v/>
      </c>
      <c r="J109" s="88" t="str">
        <f>_xlfn.XLOOKUP($F$1&amp;B109,Filtro!B:B,Filtro!H:H,"",0,1)</f>
        <v/>
      </c>
      <c r="K109" s="88" t="str">
        <f>_xlfn.XLOOKUP($F$1&amp;B109,Filtro!B:B,Filtro!J:J,"",0,1)</f>
        <v/>
      </c>
      <c r="L109" s="88" t="str">
        <f ca="1">IF(TablaTransfor[[#This Row],[氏名]]="","",IF(TablaTransfor[[#This Row],[氏名]]&lt;"0","記号",IF(NOT(EXACT(UPPER(TablaTransfor[[#This Row],[氏名]]),LOWER(TablaTransfor[[#This Row],[氏名]]))),_xlfn.XLOOKUP($C109,DBGenzai[社員№],DBGenzai[カナ],"",0,1),_xlfn.XLOOKUP($C109,DBGenzai[社員№],DBGenzai[氏名],"",0,1))))</f>
        <v/>
      </c>
      <c r="M109" s="88" t="str">
        <f>_xlfn.XLOOKUP($C109,DBGenzai[社員№],DBGenzai[性別],"",0,1)</f>
        <v/>
      </c>
      <c r="N109" s="88" t="str">
        <f>_xlfn.XLOOKUP($C109,DBGenzai[社員№],DBGenzai[国籍],"",0,1)</f>
        <v/>
      </c>
      <c r="O109" s="89" t="str">
        <f>_xlfn.XLOOKUP($C109,DBGenzai[社員№],DBGenzai[生年月日],"",0,1)</f>
        <v/>
      </c>
      <c r="P109" s="88" t="str">
        <f>_xlfn.XLOOKUP($F$1&amp;B109,Filtro!B:B,Filtro!O:O,"",0,1)</f>
        <v/>
      </c>
      <c r="Q109" s="88" t="str">
        <f>_xlfn.XLOOKUP($F$1&amp;B109,Filtro!B:B,Filtro!P:P,"",0,1)</f>
        <v/>
      </c>
      <c r="R109" s="426" t="str">
        <f>_xlfn.XLOOKUP($F$1&amp;B109,Filtro!B:B,Filtro!R:R,"",0,1)</f>
        <v/>
      </c>
      <c r="S109" s="88" t="str">
        <f>_xlfn.XLOOKUP($C109,DBGenzai[社員№],DBGenzai[〒],"",0,1)</f>
        <v/>
      </c>
      <c r="T109" s="88" t="str">
        <f>_xlfn.XLOOKUP($C109,DBGenzai[社員№],DBGenzai[住所],"",0,1)</f>
        <v/>
      </c>
      <c r="U109" s="88" t="str">
        <f>_xlfn.XLOOKUP($C109,DBGenzai[社員№],DBGenzai[ｱﾊﾟｰﾄ],"",0,1)</f>
        <v/>
      </c>
      <c r="V109" s="89" t="str">
        <f>_xlfn.XLOOKUP($C109,DBGenzai[社員№],DBGenzai[入居],"",0,1)</f>
        <v/>
      </c>
      <c r="W109" s="89" t="str">
        <f>_xlfn.XLOOKUP($F$1&amp;B109,Filtro!B:B,Filtro!AF:AF,"",0,1)</f>
        <v/>
      </c>
      <c r="X109" s="89" t="str">
        <f>_xlfn.XLOOKUP($C109,DBGenzai[社員№],DBGenzai[退社日],"",0,1)</f>
        <v/>
      </c>
      <c r="Y109" s="88" t="str">
        <f>_xlfn.XLOOKUP($C109,DBGenzai[社員№],DBGenzai[退去],"",0,1)</f>
        <v/>
      </c>
      <c r="Z109" s="88" t="str">
        <f>_xlfn.XLOOKUP($C109,DBGenzai[社員№],DBGenzai[備考],"",0,1)</f>
        <v/>
      </c>
      <c r="AA109" s="422" t="str">
        <f>_xlfn.XLOOKUP($F$1&amp;B109,Filtro!B:B,Filtro!AL:AL,"",0,1)</f>
        <v/>
      </c>
      <c r="AB109" s="157" t="str" cm="1">
        <f t="array" aca="1" ref="AB10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09" s="436" t="str">
        <f ca="1">_xlfn.XLOOKUP(TablaTransfor[[#This Row],[ライン]],TBKaishaInfo[ライン],TBKaishaInfo[まで],"NohayMarrano",0,1)</f>
        <v>NohayMarrano</v>
      </c>
    </row>
    <row r="110" spans="1:29" hidden="1">
      <c r="A110" s="424">
        <f>SUBTOTAL(103,$C$3:C110)</f>
        <v>18</v>
      </c>
      <c r="B110" s="159">
        <v>148</v>
      </c>
      <c r="C110" s="88" t="str">
        <f>_xlfn.XLOOKUP($F$1&amp;B110,Filtro!B:B,Filtro!D:D,"",0,1)</f>
        <v/>
      </c>
      <c r="D110" s="88" t="str">
        <f>_xlfn.XLOOKUP($F$1&amp;B110,Filtro!B:B,Filtro!C:C,"",0,1)</f>
        <v/>
      </c>
      <c r="E110" s="88" t="str">
        <f>_xlfn.XLOOKUP($F$1&amp;B110,Filtro!B:B,Filtro!E:E,"",0,1)</f>
        <v/>
      </c>
      <c r="F110" s="88" t="str">
        <f>_xlfn.XLOOKUP($F$1&amp;B110,Filtro!B:B,Filtro!G:G,"",0,1)</f>
        <v/>
      </c>
      <c r="G110" s="88" t="str">
        <f ca="1">MID(TablaTransfor[[#This Row],[配属先]],1,8)</f>
        <v/>
      </c>
      <c r="H110" s="88" t="str">
        <f ca="1">MID(TablaTransfor[[#This Row],[配属先]],9,6)</f>
        <v/>
      </c>
      <c r="I110" s="88" t="str">
        <f>_xlfn.XLOOKUP($C110,DBGenzai[社員№],DBGenzai[仕事内容],"",0,1)</f>
        <v/>
      </c>
      <c r="J110" s="88" t="str">
        <f>_xlfn.XLOOKUP($F$1&amp;B110,Filtro!B:B,Filtro!H:H,"",0,1)</f>
        <v/>
      </c>
      <c r="K110" s="88" t="str">
        <f>_xlfn.XLOOKUP($F$1&amp;B110,Filtro!B:B,Filtro!J:J,"",0,1)</f>
        <v/>
      </c>
      <c r="L110" s="88" t="str">
        <f ca="1">IF(TablaTransfor[[#This Row],[氏名]]="","",IF(TablaTransfor[[#This Row],[氏名]]&lt;"0","記号",IF(NOT(EXACT(UPPER(TablaTransfor[[#This Row],[氏名]]),LOWER(TablaTransfor[[#This Row],[氏名]]))),_xlfn.XLOOKUP($C110,DBGenzai[社員№],DBGenzai[カナ],"",0,1),_xlfn.XLOOKUP($C110,DBGenzai[社員№],DBGenzai[氏名],"",0,1))))</f>
        <v/>
      </c>
      <c r="M110" s="88" t="str">
        <f>_xlfn.XLOOKUP($C110,DBGenzai[社員№],DBGenzai[性別],"",0,1)</f>
        <v/>
      </c>
      <c r="N110" s="88" t="str">
        <f>_xlfn.XLOOKUP($C110,DBGenzai[社員№],DBGenzai[国籍],"",0,1)</f>
        <v/>
      </c>
      <c r="O110" s="89" t="str">
        <f>_xlfn.XLOOKUP($C110,DBGenzai[社員№],DBGenzai[生年月日],"",0,1)</f>
        <v/>
      </c>
      <c r="P110" s="88" t="str">
        <f>_xlfn.XLOOKUP($F$1&amp;B110,Filtro!B:B,Filtro!O:O,"",0,1)</f>
        <v/>
      </c>
      <c r="Q110" s="88" t="str">
        <f>_xlfn.XLOOKUP($F$1&amp;B110,Filtro!B:B,Filtro!P:P,"",0,1)</f>
        <v/>
      </c>
      <c r="R110" s="426" t="str">
        <f>_xlfn.XLOOKUP($F$1&amp;B110,Filtro!B:B,Filtro!R:R,"",0,1)</f>
        <v/>
      </c>
      <c r="S110" s="88" t="str">
        <f>_xlfn.XLOOKUP($C110,DBGenzai[社員№],DBGenzai[〒],"",0,1)</f>
        <v/>
      </c>
      <c r="T110" s="88" t="str">
        <f>_xlfn.XLOOKUP($C110,DBGenzai[社員№],DBGenzai[住所],"",0,1)</f>
        <v/>
      </c>
      <c r="U110" s="88" t="str">
        <f>_xlfn.XLOOKUP($C110,DBGenzai[社員№],DBGenzai[ｱﾊﾟｰﾄ],"",0,1)</f>
        <v/>
      </c>
      <c r="V110" s="89" t="str">
        <f>_xlfn.XLOOKUP($C110,DBGenzai[社員№],DBGenzai[入居],"",0,1)</f>
        <v/>
      </c>
      <c r="W110" s="89" t="str">
        <f>_xlfn.XLOOKUP($F$1&amp;B110,Filtro!B:B,Filtro!AF:AF,"",0,1)</f>
        <v/>
      </c>
      <c r="X110" s="89" t="str">
        <f>_xlfn.XLOOKUP($C110,DBGenzai[社員№],DBGenzai[退社日],"",0,1)</f>
        <v/>
      </c>
      <c r="Y110" s="88" t="str">
        <f>_xlfn.XLOOKUP($C110,DBGenzai[社員№],DBGenzai[退去],"",0,1)</f>
        <v/>
      </c>
      <c r="Z110" s="88" t="str">
        <f>_xlfn.XLOOKUP($C110,DBGenzai[社員№],DBGenzai[備考],"",0,1)</f>
        <v/>
      </c>
      <c r="AA110" s="422" t="str">
        <f>_xlfn.XLOOKUP($F$1&amp;B110,Filtro!B:B,Filtro!AL:AL,"",0,1)</f>
        <v/>
      </c>
      <c r="AB110" s="157" t="str" cm="1">
        <f t="array" aca="1" ref="AB11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0" s="436" t="str">
        <f ca="1">_xlfn.XLOOKUP(TablaTransfor[[#This Row],[ライン]],TBKaishaInfo[ライン],TBKaishaInfo[まで],"NohayMarrano",0,1)</f>
        <v>NohayMarrano</v>
      </c>
    </row>
    <row r="111" spans="1:29" hidden="1">
      <c r="A111" s="424">
        <f>SUBTOTAL(103,$C$3:C111)</f>
        <v>18</v>
      </c>
      <c r="B111" s="159">
        <v>149</v>
      </c>
      <c r="C111" s="88" t="str">
        <f>_xlfn.XLOOKUP($F$1&amp;B111,Filtro!B:B,Filtro!D:D,"",0,1)</f>
        <v/>
      </c>
      <c r="D111" s="88" t="str">
        <f>_xlfn.XLOOKUP($F$1&amp;B111,Filtro!B:B,Filtro!C:C,"",0,1)</f>
        <v/>
      </c>
      <c r="E111" s="88" t="str">
        <f>_xlfn.XLOOKUP($F$1&amp;B111,Filtro!B:B,Filtro!E:E,"",0,1)</f>
        <v/>
      </c>
      <c r="F111" s="88" t="str">
        <f>_xlfn.XLOOKUP($F$1&amp;B111,Filtro!B:B,Filtro!G:G,"",0,1)</f>
        <v/>
      </c>
      <c r="G111" s="88" t="str">
        <f ca="1">MID(TablaTransfor[[#This Row],[配属先]],1,8)</f>
        <v/>
      </c>
      <c r="H111" s="88" t="str">
        <f ca="1">MID(TablaTransfor[[#This Row],[配属先]],9,6)</f>
        <v/>
      </c>
      <c r="I111" s="88" t="str">
        <f>_xlfn.XLOOKUP($C111,DBGenzai[社員№],DBGenzai[仕事内容],"",0,1)</f>
        <v/>
      </c>
      <c r="J111" s="88" t="str">
        <f>_xlfn.XLOOKUP($F$1&amp;B111,Filtro!B:B,Filtro!H:H,"",0,1)</f>
        <v/>
      </c>
      <c r="K111" s="88" t="str">
        <f>_xlfn.XLOOKUP($F$1&amp;B111,Filtro!B:B,Filtro!J:J,"",0,1)</f>
        <v/>
      </c>
      <c r="L111" s="88" t="str">
        <f ca="1">IF(TablaTransfor[[#This Row],[氏名]]="","",IF(TablaTransfor[[#This Row],[氏名]]&lt;"0","記号",IF(NOT(EXACT(UPPER(TablaTransfor[[#This Row],[氏名]]),LOWER(TablaTransfor[[#This Row],[氏名]]))),_xlfn.XLOOKUP($C111,DBGenzai[社員№],DBGenzai[カナ],"",0,1),_xlfn.XLOOKUP($C111,DBGenzai[社員№],DBGenzai[氏名],"",0,1))))</f>
        <v/>
      </c>
      <c r="M111" s="88" t="str">
        <f>_xlfn.XLOOKUP($C111,DBGenzai[社員№],DBGenzai[性別],"",0,1)</f>
        <v/>
      </c>
      <c r="N111" s="88" t="str">
        <f>_xlfn.XLOOKUP($C111,DBGenzai[社員№],DBGenzai[国籍],"",0,1)</f>
        <v/>
      </c>
      <c r="O111" s="89" t="str">
        <f>_xlfn.XLOOKUP($C111,DBGenzai[社員№],DBGenzai[生年月日],"",0,1)</f>
        <v/>
      </c>
      <c r="P111" s="88" t="str">
        <f>_xlfn.XLOOKUP($F$1&amp;B111,Filtro!B:B,Filtro!O:O,"",0,1)</f>
        <v/>
      </c>
      <c r="Q111" s="88" t="str">
        <f>_xlfn.XLOOKUP($F$1&amp;B111,Filtro!B:B,Filtro!P:P,"",0,1)</f>
        <v/>
      </c>
      <c r="R111" s="426" t="str">
        <f>_xlfn.XLOOKUP($F$1&amp;B111,Filtro!B:B,Filtro!R:R,"",0,1)</f>
        <v/>
      </c>
      <c r="S111" s="88" t="str">
        <f>_xlfn.XLOOKUP($C111,DBGenzai[社員№],DBGenzai[〒],"",0,1)</f>
        <v/>
      </c>
      <c r="T111" s="88" t="str">
        <f>_xlfn.XLOOKUP($C111,DBGenzai[社員№],DBGenzai[住所],"",0,1)</f>
        <v/>
      </c>
      <c r="U111" s="88" t="str">
        <f>_xlfn.XLOOKUP($C111,DBGenzai[社員№],DBGenzai[ｱﾊﾟｰﾄ],"",0,1)</f>
        <v/>
      </c>
      <c r="V111" s="89" t="str">
        <f>_xlfn.XLOOKUP($C111,DBGenzai[社員№],DBGenzai[入居],"",0,1)</f>
        <v/>
      </c>
      <c r="W111" s="89" t="str">
        <f>_xlfn.XLOOKUP($F$1&amp;B111,Filtro!B:B,Filtro!AF:AF,"",0,1)</f>
        <v/>
      </c>
      <c r="X111" s="89" t="str">
        <f>_xlfn.XLOOKUP($C111,DBGenzai[社員№],DBGenzai[退社日],"",0,1)</f>
        <v/>
      </c>
      <c r="Y111" s="88" t="str">
        <f>_xlfn.XLOOKUP($C111,DBGenzai[社員№],DBGenzai[退去],"",0,1)</f>
        <v/>
      </c>
      <c r="Z111" s="88" t="str">
        <f>_xlfn.XLOOKUP($C111,DBGenzai[社員№],DBGenzai[備考],"",0,1)</f>
        <v/>
      </c>
      <c r="AA111" s="422" t="str">
        <f>_xlfn.XLOOKUP($F$1&amp;B111,Filtro!B:B,Filtro!AL:AL,"",0,1)</f>
        <v/>
      </c>
      <c r="AB111" s="157" t="str" cm="1">
        <f t="array" aca="1" ref="AB11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1" s="436" t="str">
        <f ca="1">_xlfn.XLOOKUP(TablaTransfor[[#This Row],[ライン]],TBKaishaInfo[ライン],TBKaishaInfo[まで],"NohayMarrano",0,1)</f>
        <v>NohayMarrano</v>
      </c>
    </row>
    <row r="112" spans="1:29" hidden="1">
      <c r="A112" s="424">
        <f>SUBTOTAL(103,$C$3:C112)</f>
        <v>18</v>
      </c>
      <c r="B112" s="159">
        <v>150</v>
      </c>
      <c r="C112" s="88" t="str">
        <f>_xlfn.XLOOKUP($F$1&amp;B112,Filtro!B:B,Filtro!D:D,"",0,1)</f>
        <v/>
      </c>
      <c r="D112" s="88" t="str">
        <f>_xlfn.XLOOKUP($F$1&amp;B112,Filtro!B:B,Filtro!C:C,"",0,1)</f>
        <v/>
      </c>
      <c r="E112" s="88" t="str">
        <f>_xlfn.XLOOKUP($F$1&amp;B112,Filtro!B:B,Filtro!E:E,"",0,1)</f>
        <v/>
      </c>
      <c r="F112" s="88" t="str">
        <f>_xlfn.XLOOKUP($F$1&amp;B112,Filtro!B:B,Filtro!G:G,"",0,1)</f>
        <v/>
      </c>
      <c r="G112" s="88" t="str">
        <f ca="1">MID(TablaTransfor[[#This Row],[配属先]],1,8)</f>
        <v/>
      </c>
      <c r="H112" s="88" t="str">
        <f ca="1">MID(TablaTransfor[[#This Row],[配属先]],9,6)</f>
        <v/>
      </c>
      <c r="I112" s="88" t="str">
        <f>_xlfn.XLOOKUP($C112,DBGenzai[社員№],DBGenzai[仕事内容],"",0,1)</f>
        <v/>
      </c>
      <c r="J112" s="88" t="str">
        <f>_xlfn.XLOOKUP($F$1&amp;B112,Filtro!B:B,Filtro!H:H,"",0,1)</f>
        <v/>
      </c>
      <c r="K112" s="88" t="str">
        <f>_xlfn.XLOOKUP($F$1&amp;B112,Filtro!B:B,Filtro!J:J,"",0,1)</f>
        <v/>
      </c>
      <c r="L112" s="88" t="str">
        <f ca="1">IF(TablaTransfor[[#This Row],[氏名]]="","",IF(TablaTransfor[[#This Row],[氏名]]&lt;"0","記号",IF(NOT(EXACT(UPPER(TablaTransfor[[#This Row],[氏名]]),LOWER(TablaTransfor[[#This Row],[氏名]]))),_xlfn.XLOOKUP($C112,DBGenzai[社員№],DBGenzai[カナ],"",0,1),_xlfn.XLOOKUP($C112,DBGenzai[社員№],DBGenzai[氏名],"",0,1))))</f>
        <v/>
      </c>
      <c r="M112" s="88" t="str">
        <f>_xlfn.XLOOKUP($C112,DBGenzai[社員№],DBGenzai[性別],"",0,1)</f>
        <v/>
      </c>
      <c r="N112" s="88" t="str">
        <f>_xlfn.XLOOKUP($C112,DBGenzai[社員№],DBGenzai[国籍],"",0,1)</f>
        <v/>
      </c>
      <c r="O112" s="89" t="str">
        <f>_xlfn.XLOOKUP($C112,DBGenzai[社員№],DBGenzai[生年月日],"",0,1)</f>
        <v/>
      </c>
      <c r="P112" s="88" t="str">
        <f>_xlfn.XLOOKUP($F$1&amp;B112,Filtro!B:B,Filtro!O:O,"",0,1)</f>
        <v/>
      </c>
      <c r="Q112" s="88" t="str">
        <f>_xlfn.XLOOKUP($F$1&amp;B112,Filtro!B:B,Filtro!P:P,"",0,1)</f>
        <v/>
      </c>
      <c r="R112" s="426" t="str">
        <f>_xlfn.XLOOKUP($F$1&amp;B112,Filtro!B:B,Filtro!R:R,"",0,1)</f>
        <v/>
      </c>
      <c r="S112" s="88" t="str">
        <f>_xlfn.XLOOKUP($C112,DBGenzai[社員№],DBGenzai[〒],"",0,1)</f>
        <v/>
      </c>
      <c r="T112" s="88" t="str">
        <f>_xlfn.XLOOKUP($C112,DBGenzai[社員№],DBGenzai[住所],"",0,1)</f>
        <v/>
      </c>
      <c r="U112" s="88" t="str">
        <f>_xlfn.XLOOKUP($C112,DBGenzai[社員№],DBGenzai[ｱﾊﾟｰﾄ],"",0,1)</f>
        <v/>
      </c>
      <c r="V112" s="89" t="str">
        <f>_xlfn.XLOOKUP($C112,DBGenzai[社員№],DBGenzai[入居],"",0,1)</f>
        <v/>
      </c>
      <c r="W112" s="89" t="str">
        <f>_xlfn.XLOOKUP($F$1&amp;B112,Filtro!B:B,Filtro!AF:AF,"",0,1)</f>
        <v/>
      </c>
      <c r="X112" s="89" t="str">
        <f>_xlfn.XLOOKUP($C112,DBGenzai[社員№],DBGenzai[退社日],"",0,1)</f>
        <v/>
      </c>
      <c r="Y112" s="88" t="str">
        <f>_xlfn.XLOOKUP($C112,DBGenzai[社員№],DBGenzai[退去],"",0,1)</f>
        <v/>
      </c>
      <c r="Z112" s="88" t="str">
        <f>_xlfn.XLOOKUP($C112,DBGenzai[社員№],DBGenzai[備考],"",0,1)</f>
        <v/>
      </c>
      <c r="AA112" s="422" t="str">
        <f>_xlfn.XLOOKUP($F$1&amp;B112,Filtro!B:B,Filtro!AL:AL,"",0,1)</f>
        <v/>
      </c>
      <c r="AB112" s="157" t="str" cm="1">
        <f t="array" aca="1" ref="AB11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2" s="436" t="str">
        <f ca="1">_xlfn.XLOOKUP(TablaTransfor[[#This Row],[ライン]],TBKaishaInfo[ライン],TBKaishaInfo[まで],"NohayMarrano",0,1)</f>
        <v>NohayMarrano</v>
      </c>
    </row>
    <row r="113" spans="1:29" hidden="1">
      <c r="A113" s="424">
        <f>SUBTOTAL(103,$C$3:C113)</f>
        <v>18</v>
      </c>
      <c r="B113" s="159">
        <v>151</v>
      </c>
      <c r="C113" s="88" t="str">
        <f>_xlfn.XLOOKUP($F$1&amp;B113,Filtro!B:B,Filtro!D:D,"",0,1)</f>
        <v/>
      </c>
      <c r="D113" s="88" t="str">
        <f>_xlfn.XLOOKUP($F$1&amp;B113,Filtro!B:B,Filtro!C:C,"",0,1)</f>
        <v/>
      </c>
      <c r="E113" s="88" t="str">
        <f>_xlfn.XLOOKUP($F$1&amp;B113,Filtro!B:B,Filtro!E:E,"",0,1)</f>
        <v/>
      </c>
      <c r="F113" s="88" t="str">
        <f>_xlfn.XLOOKUP($F$1&amp;B113,Filtro!B:B,Filtro!G:G,"",0,1)</f>
        <v/>
      </c>
      <c r="G113" s="88" t="str">
        <f ca="1">MID(TablaTransfor[[#This Row],[配属先]],1,8)</f>
        <v/>
      </c>
      <c r="H113" s="88" t="str">
        <f ca="1">MID(TablaTransfor[[#This Row],[配属先]],9,6)</f>
        <v/>
      </c>
      <c r="I113" s="88" t="str">
        <f>_xlfn.XLOOKUP($C113,DBGenzai[社員№],DBGenzai[仕事内容],"",0,1)</f>
        <v/>
      </c>
      <c r="J113" s="88" t="str">
        <f>_xlfn.XLOOKUP($F$1&amp;B113,Filtro!B:B,Filtro!H:H,"",0,1)</f>
        <v/>
      </c>
      <c r="K113" s="88" t="str">
        <f>_xlfn.XLOOKUP($F$1&amp;B113,Filtro!B:B,Filtro!J:J,"",0,1)</f>
        <v/>
      </c>
      <c r="L113" s="88" t="str">
        <f ca="1">IF(TablaTransfor[[#This Row],[氏名]]="","",IF(TablaTransfor[[#This Row],[氏名]]&lt;"0","記号",IF(NOT(EXACT(UPPER(TablaTransfor[[#This Row],[氏名]]),LOWER(TablaTransfor[[#This Row],[氏名]]))),_xlfn.XLOOKUP($C113,DBGenzai[社員№],DBGenzai[カナ],"",0,1),_xlfn.XLOOKUP($C113,DBGenzai[社員№],DBGenzai[氏名],"",0,1))))</f>
        <v/>
      </c>
      <c r="M113" s="88" t="str">
        <f>_xlfn.XLOOKUP($C113,DBGenzai[社員№],DBGenzai[性別],"",0,1)</f>
        <v/>
      </c>
      <c r="N113" s="88" t="str">
        <f>_xlfn.XLOOKUP($C113,DBGenzai[社員№],DBGenzai[国籍],"",0,1)</f>
        <v/>
      </c>
      <c r="O113" s="89" t="str">
        <f>_xlfn.XLOOKUP($C113,DBGenzai[社員№],DBGenzai[生年月日],"",0,1)</f>
        <v/>
      </c>
      <c r="P113" s="88" t="str">
        <f>_xlfn.XLOOKUP($F$1&amp;B113,Filtro!B:B,Filtro!O:O,"",0,1)</f>
        <v/>
      </c>
      <c r="Q113" s="88" t="str">
        <f>_xlfn.XLOOKUP($F$1&amp;B113,Filtro!B:B,Filtro!P:P,"",0,1)</f>
        <v/>
      </c>
      <c r="R113" s="426" t="str">
        <f>_xlfn.XLOOKUP($F$1&amp;B113,Filtro!B:B,Filtro!R:R,"",0,1)</f>
        <v/>
      </c>
      <c r="S113" s="88" t="str">
        <f>_xlfn.XLOOKUP($C113,DBGenzai[社員№],DBGenzai[〒],"",0,1)</f>
        <v/>
      </c>
      <c r="T113" s="88" t="str">
        <f>_xlfn.XLOOKUP($C113,DBGenzai[社員№],DBGenzai[住所],"",0,1)</f>
        <v/>
      </c>
      <c r="U113" s="88" t="str">
        <f>_xlfn.XLOOKUP($C113,DBGenzai[社員№],DBGenzai[ｱﾊﾟｰﾄ],"",0,1)</f>
        <v/>
      </c>
      <c r="V113" s="89" t="str">
        <f>_xlfn.XLOOKUP($C113,DBGenzai[社員№],DBGenzai[入居],"",0,1)</f>
        <v/>
      </c>
      <c r="W113" s="89" t="str">
        <f>_xlfn.XLOOKUP($F$1&amp;B113,Filtro!B:B,Filtro!AF:AF,"",0,1)</f>
        <v/>
      </c>
      <c r="X113" s="89" t="str">
        <f>_xlfn.XLOOKUP($C113,DBGenzai[社員№],DBGenzai[退社日],"",0,1)</f>
        <v/>
      </c>
      <c r="Y113" s="88" t="str">
        <f>_xlfn.XLOOKUP($C113,DBGenzai[社員№],DBGenzai[退去],"",0,1)</f>
        <v/>
      </c>
      <c r="Z113" s="88" t="str">
        <f>_xlfn.XLOOKUP($C113,DBGenzai[社員№],DBGenzai[備考],"",0,1)</f>
        <v/>
      </c>
      <c r="AA113" s="422" t="str">
        <f>_xlfn.XLOOKUP($F$1&amp;B113,Filtro!B:B,Filtro!AL:AL,"",0,1)</f>
        <v/>
      </c>
      <c r="AB113" s="157" t="str" cm="1">
        <f t="array" aca="1" ref="AB11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3" s="436" t="str">
        <f ca="1">_xlfn.XLOOKUP(TablaTransfor[[#This Row],[ライン]],TBKaishaInfo[ライン],TBKaishaInfo[まで],"NohayMarrano",0,1)</f>
        <v>NohayMarrano</v>
      </c>
    </row>
    <row r="114" spans="1:29" hidden="1">
      <c r="A114" s="424">
        <f>SUBTOTAL(103,$C$3:C114)</f>
        <v>18</v>
      </c>
      <c r="B114" s="159">
        <v>152</v>
      </c>
      <c r="C114" s="88" t="str">
        <f>_xlfn.XLOOKUP($F$1&amp;B114,Filtro!B:B,Filtro!D:D,"",0,1)</f>
        <v/>
      </c>
      <c r="D114" s="88" t="str">
        <f>_xlfn.XLOOKUP($F$1&amp;B114,Filtro!B:B,Filtro!C:C,"",0,1)</f>
        <v/>
      </c>
      <c r="E114" s="88" t="str">
        <f>_xlfn.XLOOKUP($F$1&amp;B114,Filtro!B:B,Filtro!E:E,"",0,1)</f>
        <v/>
      </c>
      <c r="F114" s="88" t="str">
        <f>_xlfn.XLOOKUP($F$1&amp;B114,Filtro!B:B,Filtro!G:G,"",0,1)</f>
        <v/>
      </c>
      <c r="G114" s="88" t="str">
        <f ca="1">MID(TablaTransfor[[#This Row],[配属先]],1,8)</f>
        <v/>
      </c>
      <c r="H114" s="88" t="str">
        <f ca="1">MID(TablaTransfor[[#This Row],[配属先]],9,6)</f>
        <v/>
      </c>
      <c r="I114" s="88" t="str">
        <f>_xlfn.XLOOKUP($C114,DBGenzai[社員№],DBGenzai[仕事内容],"",0,1)</f>
        <v/>
      </c>
      <c r="J114" s="88" t="str">
        <f>_xlfn.XLOOKUP($F$1&amp;B114,Filtro!B:B,Filtro!H:H,"",0,1)</f>
        <v/>
      </c>
      <c r="K114" s="88" t="str">
        <f>_xlfn.XLOOKUP($F$1&amp;B114,Filtro!B:B,Filtro!J:J,"",0,1)</f>
        <v/>
      </c>
      <c r="L114" s="88" t="str">
        <f ca="1">IF(TablaTransfor[[#This Row],[氏名]]="","",IF(TablaTransfor[[#This Row],[氏名]]&lt;"0","記号",IF(NOT(EXACT(UPPER(TablaTransfor[[#This Row],[氏名]]),LOWER(TablaTransfor[[#This Row],[氏名]]))),_xlfn.XLOOKUP($C114,DBGenzai[社員№],DBGenzai[カナ],"",0,1),_xlfn.XLOOKUP($C114,DBGenzai[社員№],DBGenzai[氏名],"",0,1))))</f>
        <v/>
      </c>
      <c r="M114" s="88" t="str">
        <f>_xlfn.XLOOKUP($C114,DBGenzai[社員№],DBGenzai[性別],"",0,1)</f>
        <v/>
      </c>
      <c r="N114" s="88" t="str">
        <f>_xlfn.XLOOKUP($C114,DBGenzai[社員№],DBGenzai[国籍],"",0,1)</f>
        <v/>
      </c>
      <c r="O114" s="89" t="str">
        <f>_xlfn.XLOOKUP($C114,DBGenzai[社員№],DBGenzai[生年月日],"",0,1)</f>
        <v/>
      </c>
      <c r="P114" s="88" t="str">
        <f>_xlfn.XLOOKUP($F$1&amp;B114,Filtro!B:B,Filtro!O:O,"",0,1)</f>
        <v/>
      </c>
      <c r="Q114" s="88" t="str">
        <f>_xlfn.XLOOKUP($F$1&amp;B114,Filtro!B:B,Filtro!P:P,"",0,1)</f>
        <v/>
      </c>
      <c r="R114" s="426" t="str">
        <f>_xlfn.XLOOKUP($F$1&amp;B114,Filtro!B:B,Filtro!R:R,"",0,1)</f>
        <v/>
      </c>
      <c r="S114" s="88" t="str">
        <f>_xlfn.XLOOKUP($C114,DBGenzai[社員№],DBGenzai[〒],"",0,1)</f>
        <v/>
      </c>
      <c r="T114" s="88" t="str">
        <f>_xlfn.XLOOKUP($C114,DBGenzai[社員№],DBGenzai[住所],"",0,1)</f>
        <v/>
      </c>
      <c r="U114" s="88" t="str">
        <f>_xlfn.XLOOKUP($C114,DBGenzai[社員№],DBGenzai[ｱﾊﾟｰﾄ],"",0,1)</f>
        <v/>
      </c>
      <c r="V114" s="89" t="str">
        <f>_xlfn.XLOOKUP($C114,DBGenzai[社員№],DBGenzai[入居],"",0,1)</f>
        <v/>
      </c>
      <c r="W114" s="89" t="str">
        <f>_xlfn.XLOOKUP($F$1&amp;B114,Filtro!B:B,Filtro!AF:AF,"",0,1)</f>
        <v/>
      </c>
      <c r="X114" s="89" t="str">
        <f>_xlfn.XLOOKUP($C114,DBGenzai[社員№],DBGenzai[退社日],"",0,1)</f>
        <v/>
      </c>
      <c r="Y114" s="88" t="str">
        <f>_xlfn.XLOOKUP($C114,DBGenzai[社員№],DBGenzai[退去],"",0,1)</f>
        <v/>
      </c>
      <c r="Z114" s="88" t="str">
        <f>_xlfn.XLOOKUP($C114,DBGenzai[社員№],DBGenzai[備考],"",0,1)</f>
        <v/>
      </c>
      <c r="AA114" s="422" t="str">
        <f>_xlfn.XLOOKUP($F$1&amp;B114,Filtro!B:B,Filtro!AL:AL,"",0,1)</f>
        <v/>
      </c>
      <c r="AB114" s="157" t="str" cm="1">
        <f t="array" aca="1" ref="AB11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4" s="436" t="str">
        <f ca="1">_xlfn.XLOOKUP(TablaTransfor[[#This Row],[ライン]],TBKaishaInfo[ライン],TBKaishaInfo[まで],"NohayMarrano",0,1)</f>
        <v>NohayMarrano</v>
      </c>
    </row>
    <row r="115" spans="1:29" hidden="1">
      <c r="A115" s="424">
        <f>SUBTOTAL(103,$C$3:C115)</f>
        <v>18</v>
      </c>
      <c r="B115" s="159">
        <v>153</v>
      </c>
      <c r="C115" s="88" t="str">
        <f>_xlfn.XLOOKUP($F$1&amp;B115,Filtro!B:B,Filtro!D:D,"",0,1)</f>
        <v/>
      </c>
      <c r="D115" s="88" t="str">
        <f>_xlfn.XLOOKUP($F$1&amp;B115,Filtro!B:B,Filtro!C:C,"",0,1)</f>
        <v/>
      </c>
      <c r="E115" s="88" t="str">
        <f>_xlfn.XLOOKUP($F$1&amp;B115,Filtro!B:B,Filtro!E:E,"",0,1)</f>
        <v/>
      </c>
      <c r="F115" s="88" t="str">
        <f>_xlfn.XLOOKUP($F$1&amp;B115,Filtro!B:B,Filtro!G:G,"",0,1)</f>
        <v/>
      </c>
      <c r="G115" s="88" t="str">
        <f ca="1">MID(TablaTransfor[[#This Row],[配属先]],1,8)</f>
        <v/>
      </c>
      <c r="H115" s="88" t="str">
        <f ca="1">MID(TablaTransfor[[#This Row],[配属先]],9,6)</f>
        <v/>
      </c>
      <c r="I115" s="88" t="str">
        <f>_xlfn.XLOOKUP($C115,DBGenzai[社員№],DBGenzai[仕事内容],"",0,1)</f>
        <v/>
      </c>
      <c r="J115" s="88" t="str">
        <f>_xlfn.XLOOKUP($F$1&amp;B115,Filtro!B:B,Filtro!H:H,"",0,1)</f>
        <v/>
      </c>
      <c r="K115" s="88" t="str">
        <f>_xlfn.XLOOKUP($F$1&amp;B115,Filtro!B:B,Filtro!J:J,"",0,1)</f>
        <v/>
      </c>
      <c r="L115" s="88" t="str">
        <f ca="1">IF(TablaTransfor[[#This Row],[氏名]]="","",IF(TablaTransfor[[#This Row],[氏名]]&lt;"0","記号",IF(NOT(EXACT(UPPER(TablaTransfor[[#This Row],[氏名]]),LOWER(TablaTransfor[[#This Row],[氏名]]))),_xlfn.XLOOKUP($C115,DBGenzai[社員№],DBGenzai[カナ],"",0,1),_xlfn.XLOOKUP($C115,DBGenzai[社員№],DBGenzai[氏名],"",0,1))))</f>
        <v/>
      </c>
      <c r="M115" s="88" t="str">
        <f>_xlfn.XLOOKUP($C115,DBGenzai[社員№],DBGenzai[性別],"",0,1)</f>
        <v/>
      </c>
      <c r="N115" s="88" t="str">
        <f>_xlfn.XLOOKUP($C115,DBGenzai[社員№],DBGenzai[国籍],"",0,1)</f>
        <v/>
      </c>
      <c r="O115" s="89" t="str">
        <f>_xlfn.XLOOKUP($C115,DBGenzai[社員№],DBGenzai[生年月日],"",0,1)</f>
        <v/>
      </c>
      <c r="P115" s="88" t="str">
        <f>_xlfn.XLOOKUP($F$1&amp;B115,Filtro!B:B,Filtro!O:O,"",0,1)</f>
        <v/>
      </c>
      <c r="Q115" s="88" t="str">
        <f>_xlfn.XLOOKUP($F$1&amp;B115,Filtro!B:B,Filtro!P:P,"",0,1)</f>
        <v/>
      </c>
      <c r="R115" s="426" t="str">
        <f>_xlfn.XLOOKUP($F$1&amp;B115,Filtro!B:B,Filtro!R:R,"",0,1)</f>
        <v/>
      </c>
      <c r="S115" s="88" t="str">
        <f>_xlfn.XLOOKUP($C115,DBGenzai[社員№],DBGenzai[〒],"",0,1)</f>
        <v/>
      </c>
      <c r="T115" s="88" t="str">
        <f>_xlfn.XLOOKUP($C115,DBGenzai[社員№],DBGenzai[住所],"",0,1)</f>
        <v/>
      </c>
      <c r="U115" s="88" t="str">
        <f>_xlfn.XLOOKUP($C115,DBGenzai[社員№],DBGenzai[ｱﾊﾟｰﾄ],"",0,1)</f>
        <v/>
      </c>
      <c r="V115" s="89" t="str">
        <f>_xlfn.XLOOKUP($C115,DBGenzai[社員№],DBGenzai[入居],"",0,1)</f>
        <v/>
      </c>
      <c r="W115" s="89" t="str">
        <f>_xlfn.XLOOKUP($F$1&amp;B115,Filtro!B:B,Filtro!AF:AF,"",0,1)</f>
        <v/>
      </c>
      <c r="X115" s="89" t="str">
        <f>_xlfn.XLOOKUP($C115,DBGenzai[社員№],DBGenzai[退社日],"",0,1)</f>
        <v/>
      </c>
      <c r="Y115" s="88" t="str">
        <f>_xlfn.XLOOKUP($C115,DBGenzai[社員№],DBGenzai[退去],"",0,1)</f>
        <v/>
      </c>
      <c r="Z115" s="88" t="str">
        <f>_xlfn.XLOOKUP($C115,DBGenzai[社員№],DBGenzai[備考],"",0,1)</f>
        <v/>
      </c>
      <c r="AA115" s="422" t="str">
        <f>_xlfn.XLOOKUP($F$1&amp;B115,Filtro!B:B,Filtro!AL:AL,"",0,1)</f>
        <v/>
      </c>
      <c r="AB115" s="157" t="str" cm="1">
        <f t="array" aca="1" ref="AB11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5" s="436" t="str">
        <f ca="1">_xlfn.XLOOKUP(TablaTransfor[[#This Row],[ライン]],TBKaishaInfo[ライン],TBKaishaInfo[まで],"NohayMarrano",0,1)</f>
        <v>NohayMarrano</v>
      </c>
    </row>
    <row r="116" spans="1:29" hidden="1">
      <c r="A116" s="424">
        <f>SUBTOTAL(103,$C$3:C116)</f>
        <v>18</v>
      </c>
      <c r="B116" s="159">
        <v>154</v>
      </c>
      <c r="C116" s="88" t="str">
        <f>_xlfn.XLOOKUP($F$1&amp;B116,Filtro!B:B,Filtro!D:D,"",0,1)</f>
        <v/>
      </c>
      <c r="D116" s="88" t="str">
        <f>_xlfn.XLOOKUP($F$1&amp;B116,Filtro!B:B,Filtro!C:C,"",0,1)</f>
        <v/>
      </c>
      <c r="E116" s="88" t="str">
        <f>_xlfn.XLOOKUP($F$1&amp;B116,Filtro!B:B,Filtro!E:E,"",0,1)</f>
        <v/>
      </c>
      <c r="F116" s="88" t="str">
        <f>_xlfn.XLOOKUP($F$1&amp;B116,Filtro!B:B,Filtro!G:G,"",0,1)</f>
        <v/>
      </c>
      <c r="G116" s="88" t="str">
        <f ca="1">MID(TablaTransfor[[#This Row],[配属先]],1,8)</f>
        <v/>
      </c>
      <c r="H116" s="88" t="str">
        <f ca="1">MID(TablaTransfor[[#This Row],[配属先]],9,6)</f>
        <v/>
      </c>
      <c r="I116" s="88" t="str">
        <f>_xlfn.XLOOKUP($C116,DBGenzai[社員№],DBGenzai[仕事内容],"",0,1)</f>
        <v/>
      </c>
      <c r="J116" s="88" t="str">
        <f>_xlfn.XLOOKUP($F$1&amp;B116,Filtro!B:B,Filtro!H:H,"",0,1)</f>
        <v/>
      </c>
      <c r="K116" s="88" t="str">
        <f>_xlfn.XLOOKUP($F$1&amp;B116,Filtro!B:B,Filtro!J:J,"",0,1)</f>
        <v/>
      </c>
      <c r="L116" s="88" t="str">
        <f ca="1">IF(TablaTransfor[[#This Row],[氏名]]="","",IF(TablaTransfor[[#This Row],[氏名]]&lt;"0","記号",IF(NOT(EXACT(UPPER(TablaTransfor[[#This Row],[氏名]]),LOWER(TablaTransfor[[#This Row],[氏名]]))),_xlfn.XLOOKUP($C116,DBGenzai[社員№],DBGenzai[カナ],"",0,1),_xlfn.XLOOKUP($C116,DBGenzai[社員№],DBGenzai[氏名],"",0,1))))</f>
        <v/>
      </c>
      <c r="M116" s="88" t="str">
        <f>_xlfn.XLOOKUP($C116,DBGenzai[社員№],DBGenzai[性別],"",0,1)</f>
        <v/>
      </c>
      <c r="N116" s="88" t="str">
        <f>_xlfn.XLOOKUP($C116,DBGenzai[社員№],DBGenzai[国籍],"",0,1)</f>
        <v/>
      </c>
      <c r="O116" s="89" t="str">
        <f>_xlfn.XLOOKUP($C116,DBGenzai[社員№],DBGenzai[生年月日],"",0,1)</f>
        <v/>
      </c>
      <c r="P116" s="88" t="str">
        <f>_xlfn.XLOOKUP($F$1&amp;B116,Filtro!B:B,Filtro!O:O,"",0,1)</f>
        <v/>
      </c>
      <c r="Q116" s="88" t="str">
        <f>_xlfn.XLOOKUP($F$1&amp;B116,Filtro!B:B,Filtro!P:P,"",0,1)</f>
        <v/>
      </c>
      <c r="R116" s="426" t="str">
        <f>_xlfn.XLOOKUP($F$1&amp;B116,Filtro!B:B,Filtro!R:R,"",0,1)</f>
        <v/>
      </c>
      <c r="S116" s="88" t="str">
        <f>_xlfn.XLOOKUP($C116,DBGenzai[社員№],DBGenzai[〒],"",0,1)</f>
        <v/>
      </c>
      <c r="T116" s="88" t="str">
        <f>_xlfn.XLOOKUP($C116,DBGenzai[社員№],DBGenzai[住所],"",0,1)</f>
        <v/>
      </c>
      <c r="U116" s="88" t="str">
        <f>_xlfn.XLOOKUP($C116,DBGenzai[社員№],DBGenzai[ｱﾊﾟｰﾄ],"",0,1)</f>
        <v/>
      </c>
      <c r="V116" s="89" t="str">
        <f>_xlfn.XLOOKUP($C116,DBGenzai[社員№],DBGenzai[入居],"",0,1)</f>
        <v/>
      </c>
      <c r="W116" s="89" t="str">
        <f>_xlfn.XLOOKUP($F$1&amp;B116,Filtro!B:B,Filtro!AF:AF,"",0,1)</f>
        <v/>
      </c>
      <c r="X116" s="89" t="str">
        <f>_xlfn.XLOOKUP($C116,DBGenzai[社員№],DBGenzai[退社日],"",0,1)</f>
        <v/>
      </c>
      <c r="Y116" s="88" t="str">
        <f>_xlfn.XLOOKUP($C116,DBGenzai[社員№],DBGenzai[退去],"",0,1)</f>
        <v/>
      </c>
      <c r="Z116" s="88" t="str">
        <f>_xlfn.XLOOKUP($C116,DBGenzai[社員№],DBGenzai[備考],"",0,1)</f>
        <v/>
      </c>
      <c r="AA116" s="422" t="str">
        <f>_xlfn.XLOOKUP($F$1&amp;B116,Filtro!B:B,Filtro!AL:AL,"",0,1)</f>
        <v/>
      </c>
      <c r="AB116" s="157" t="str" cm="1">
        <f t="array" aca="1" ref="AB11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6" s="436" t="str">
        <f ca="1">_xlfn.XLOOKUP(TablaTransfor[[#This Row],[ライン]],TBKaishaInfo[ライン],TBKaishaInfo[まで],"NohayMarrano",0,1)</f>
        <v>NohayMarrano</v>
      </c>
    </row>
    <row r="117" spans="1:29" hidden="1">
      <c r="A117" s="424">
        <f>SUBTOTAL(103,$C$3:C117)</f>
        <v>18</v>
      </c>
      <c r="B117" s="159">
        <v>155</v>
      </c>
      <c r="C117" s="88" t="str">
        <f>_xlfn.XLOOKUP($F$1&amp;B117,Filtro!B:B,Filtro!D:D,"",0,1)</f>
        <v/>
      </c>
      <c r="D117" s="88" t="str">
        <f>_xlfn.XLOOKUP($F$1&amp;B117,Filtro!B:B,Filtro!C:C,"",0,1)</f>
        <v/>
      </c>
      <c r="E117" s="88" t="str">
        <f>_xlfn.XLOOKUP($F$1&amp;B117,Filtro!B:B,Filtro!E:E,"",0,1)</f>
        <v/>
      </c>
      <c r="F117" s="88" t="str">
        <f>_xlfn.XLOOKUP($F$1&amp;B117,Filtro!B:B,Filtro!G:G,"",0,1)</f>
        <v/>
      </c>
      <c r="G117" s="88" t="str">
        <f ca="1">MID(TablaTransfor[[#This Row],[配属先]],1,8)</f>
        <v/>
      </c>
      <c r="H117" s="88" t="str">
        <f ca="1">MID(TablaTransfor[[#This Row],[配属先]],9,6)</f>
        <v/>
      </c>
      <c r="I117" s="88" t="str">
        <f>_xlfn.XLOOKUP($C117,DBGenzai[社員№],DBGenzai[仕事内容],"",0,1)</f>
        <v/>
      </c>
      <c r="J117" s="88" t="str">
        <f>_xlfn.XLOOKUP($F$1&amp;B117,Filtro!B:B,Filtro!H:H,"",0,1)</f>
        <v/>
      </c>
      <c r="K117" s="88" t="str">
        <f>_xlfn.XLOOKUP($F$1&amp;B117,Filtro!B:B,Filtro!J:J,"",0,1)</f>
        <v/>
      </c>
      <c r="L117" s="88" t="str">
        <f ca="1">IF(TablaTransfor[[#This Row],[氏名]]="","",IF(TablaTransfor[[#This Row],[氏名]]&lt;"0","記号",IF(NOT(EXACT(UPPER(TablaTransfor[[#This Row],[氏名]]),LOWER(TablaTransfor[[#This Row],[氏名]]))),_xlfn.XLOOKUP($C117,DBGenzai[社員№],DBGenzai[カナ],"",0,1),_xlfn.XLOOKUP($C117,DBGenzai[社員№],DBGenzai[氏名],"",0,1))))</f>
        <v/>
      </c>
      <c r="M117" s="88" t="str">
        <f>_xlfn.XLOOKUP($C117,DBGenzai[社員№],DBGenzai[性別],"",0,1)</f>
        <v/>
      </c>
      <c r="N117" s="88" t="str">
        <f>_xlfn.XLOOKUP($C117,DBGenzai[社員№],DBGenzai[国籍],"",0,1)</f>
        <v/>
      </c>
      <c r="O117" s="89" t="str">
        <f>_xlfn.XLOOKUP($C117,DBGenzai[社員№],DBGenzai[生年月日],"",0,1)</f>
        <v/>
      </c>
      <c r="P117" s="88" t="str">
        <f>_xlfn.XLOOKUP($F$1&amp;B117,Filtro!B:B,Filtro!O:O,"",0,1)</f>
        <v/>
      </c>
      <c r="Q117" s="88" t="str">
        <f>_xlfn.XLOOKUP($F$1&amp;B117,Filtro!B:B,Filtro!P:P,"",0,1)</f>
        <v/>
      </c>
      <c r="R117" s="426" t="str">
        <f>_xlfn.XLOOKUP($F$1&amp;B117,Filtro!B:B,Filtro!R:R,"",0,1)</f>
        <v/>
      </c>
      <c r="S117" s="88" t="str">
        <f>_xlfn.XLOOKUP($C117,DBGenzai[社員№],DBGenzai[〒],"",0,1)</f>
        <v/>
      </c>
      <c r="T117" s="88" t="str">
        <f>_xlfn.XLOOKUP($C117,DBGenzai[社員№],DBGenzai[住所],"",0,1)</f>
        <v/>
      </c>
      <c r="U117" s="88" t="str">
        <f>_xlfn.XLOOKUP($C117,DBGenzai[社員№],DBGenzai[ｱﾊﾟｰﾄ],"",0,1)</f>
        <v/>
      </c>
      <c r="V117" s="89" t="str">
        <f>_xlfn.XLOOKUP($C117,DBGenzai[社員№],DBGenzai[入居],"",0,1)</f>
        <v/>
      </c>
      <c r="W117" s="89" t="str">
        <f>_xlfn.XLOOKUP($F$1&amp;B117,Filtro!B:B,Filtro!AF:AF,"",0,1)</f>
        <v/>
      </c>
      <c r="X117" s="89" t="str">
        <f>_xlfn.XLOOKUP($C117,DBGenzai[社員№],DBGenzai[退社日],"",0,1)</f>
        <v/>
      </c>
      <c r="Y117" s="88" t="str">
        <f>_xlfn.XLOOKUP($C117,DBGenzai[社員№],DBGenzai[退去],"",0,1)</f>
        <v/>
      </c>
      <c r="Z117" s="88" t="str">
        <f>_xlfn.XLOOKUP($C117,DBGenzai[社員№],DBGenzai[備考],"",0,1)</f>
        <v/>
      </c>
      <c r="AA117" s="422" t="str">
        <f>_xlfn.XLOOKUP($F$1&amp;B117,Filtro!B:B,Filtro!AL:AL,"",0,1)</f>
        <v/>
      </c>
      <c r="AB117" s="157" t="str" cm="1">
        <f t="array" aca="1" ref="AB11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7" s="436" t="str">
        <f ca="1">_xlfn.XLOOKUP(TablaTransfor[[#This Row],[ライン]],TBKaishaInfo[ライン],TBKaishaInfo[まで],"NohayMarrano",0,1)</f>
        <v>NohayMarrano</v>
      </c>
    </row>
    <row r="118" spans="1:29" hidden="1">
      <c r="A118" s="424">
        <f>SUBTOTAL(103,$C$3:C118)</f>
        <v>18</v>
      </c>
      <c r="B118" s="159">
        <v>156</v>
      </c>
      <c r="C118" s="88" t="str">
        <f>_xlfn.XLOOKUP($F$1&amp;B118,Filtro!B:B,Filtro!D:D,"",0,1)</f>
        <v/>
      </c>
      <c r="D118" s="88" t="str">
        <f>_xlfn.XLOOKUP($F$1&amp;B118,Filtro!B:B,Filtro!C:C,"",0,1)</f>
        <v/>
      </c>
      <c r="E118" s="88" t="str">
        <f>_xlfn.XLOOKUP($F$1&amp;B118,Filtro!B:B,Filtro!E:E,"",0,1)</f>
        <v/>
      </c>
      <c r="F118" s="88" t="str">
        <f>_xlfn.XLOOKUP($F$1&amp;B118,Filtro!B:B,Filtro!G:G,"",0,1)</f>
        <v/>
      </c>
      <c r="G118" s="88" t="str">
        <f ca="1">MID(TablaTransfor[[#This Row],[配属先]],1,8)</f>
        <v/>
      </c>
      <c r="H118" s="88" t="str">
        <f ca="1">MID(TablaTransfor[[#This Row],[配属先]],9,6)</f>
        <v/>
      </c>
      <c r="I118" s="88" t="str">
        <f>_xlfn.XLOOKUP($C118,DBGenzai[社員№],DBGenzai[仕事内容],"",0,1)</f>
        <v/>
      </c>
      <c r="J118" s="88" t="str">
        <f>_xlfn.XLOOKUP($F$1&amp;B118,Filtro!B:B,Filtro!H:H,"",0,1)</f>
        <v/>
      </c>
      <c r="K118" s="88" t="str">
        <f>_xlfn.XLOOKUP($F$1&amp;B118,Filtro!B:B,Filtro!J:J,"",0,1)</f>
        <v/>
      </c>
      <c r="L118" s="88" t="str">
        <f ca="1">IF(TablaTransfor[[#This Row],[氏名]]="","",IF(TablaTransfor[[#This Row],[氏名]]&lt;"0","記号",IF(NOT(EXACT(UPPER(TablaTransfor[[#This Row],[氏名]]),LOWER(TablaTransfor[[#This Row],[氏名]]))),_xlfn.XLOOKUP($C118,DBGenzai[社員№],DBGenzai[カナ],"",0,1),_xlfn.XLOOKUP($C118,DBGenzai[社員№],DBGenzai[氏名],"",0,1))))</f>
        <v/>
      </c>
      <c r="M118" s="88" t="str">
        <f>_xlfn.XLOOKUP($C118,DBGenzai[社員№],DBGenzai[性別],"",0,1)</f>
        <v/>
      </c>
      <c r="N118" s="88" t="str">
        <f>_xlfn.XLOOKUP($C118,DBGenzai[社員№],DBGenzai[国籍],"",0,1)</f>
        <v/>
      </c>
      <c r="O118" s="89" t="str">
        <f>_xlfn.XLOOKUP($C118,DBGenzai[社員№],DBGenzai[生年月日],"",0,1)</f>
        <v/>
      </c>
      <c r="P118" s="88" t="str">
        <f>_xlfn.XLOOKUP($F$1&amp;B118,Filtro!B:B,Filtro!O:O,"",0,1)</f>
        <v/>
      </c>
      <c r="Q118" s="88" t="str">
        <f>_xlfn.XLOOKUP($F$1&amp;B118,Filtro!B:B,Filtro!P:P,"",0,1)</f>
        <v/>
      </c>
      <c r="R118" s="426" t="str">
        <f>_xlfn.XLOOKUP($F$1&amp;B118,Filtro!B:B,Filtro!R:R,"",0,1)</f>
        <v/>
      </c>
      <c r="S118" s="88" t="str">
        <f>_xlfn.XLOOKUP($C118,DBGenzai[社員№],DBGenzai[〒],"",0,1)</f>
        <v/>
      </c>
      <c r="T118" s="88" t="str">
        <f>_xlfn.XLOOKUP($C118,DBGenzai[社員№],DBGenzai[住所],"",0,1)</f>
        <v/>
      </c>
      <c r="U118" s="88" t="str">
        <f>_xlfn.XLOOKUP($C118,DBGenzai[社員№],DBGenzai[ｱﾊﾟｰﾄ],"",0,1)</f>
        <v/>
      </c>
      <c r="V118" s="89" t="str">
        <f>_xlfn.XLOOKUP($C118,DBGenzai[社員№],DBGenzai[入居],"",0,1)</f>
        <v/>
      </c>
      <c r="W118" s="89" t="str">
        <f>_xlfn.XLOOKUP($F$1&amp;B118,Filtro!B:B,Filtro!AF:AF,"",0,1)</f>
        <v/>
      </c>
      <c r="X118" s="89" t="str">
        <f>_xlfn.XLOOKUP($C118,DBGenzai[社員№],DBGenzai[退社日],"",0,1)</f>
        <v/>
      </c>
      <c r="Y118" s="88" t="str">
        <f>_xlfn.XLOOKUP($C118,DBGenzai[社員№],DBGenzai[退去],"",0,1)</f>
        <v/>
      </c>
      <c r="Z118" s="88" t="str">
        <f>_xlfn.XLOOKUP($C118,DBGenzai[社員№],DBGenzai[備考],"",0,1)</f>
        <v/>
      </c>
      <c r="AA118" s="422" t="str">
        <f>_xlfn.XLOOKUP($F$1&amp;B118,Filtro!B:B,Filtro!AL:AL,"",0,1)</f>
        <v/>
      </c>
      <c r="AB118" s="157" t="str" cm="1">
        <f t="array" aca="1" ref="AB11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8" s="436" t="str">
        <f ca="1">_xlfn.XLOOKUP(TablaTransfor[[#This Row],[ライン]],TBKaishaInfo[ライン],TBKaishaInfo[まで],"NohayMarrano",0,1)</f>
        <v>NohayMarrano</v>
      </c>
    </row>
    <row r="119" spans="1:29" hidden="1">
      <c r="A119" s="424">
        <f>SUBTOTAL(103,$C$3:C119)</f>
        <v>18</v>
      </c>
      <c r="B119" s="159">
        <v>157</v>
      </c>
      <c r="C119" s="88" t="str">
        <f>_xlfn.XLOOKUP($F$1&amp;B119,Filtro!B:B,Filtro!D:D,"",0,1)</f>
        <v/>
      </c>
      <c r="D119" s="88" t="str">
        <f>_xlfn.XLOOKUP($F$1&amp;B119,Filtro!B:B,Filtro!C:C,"",0,1)</f>
        <v/>
      </c>
      <c r="E119" s="88" t="str">
        <f>_xlfn.XLOOKUP($F$1&amp;B119,Filtro!B:B,Filtro!E:E,"",0,1)</f>
        <v/>
      </c>
      <c r="F119" s="88" t="str">
        <f>_xlfn.XLOOKUP($F$1&amp;B119,Filtro!B:B,Filtro!G:G,"",0,1)</f>
        <v/>
      </c>
      <c r="G119" s="88" t="str">
        <f ca="1">MID(TablaTransfor[[#This Row],[配属先]],1,8)</f>
        <v/>
      </c>
      <c r="H119" s="88" t="str">
        <f ca="1">MID(TablaTransfor[[#This Row],[配属先]],9,6)</f>
        <v/>
      </c>
      <c r="I119" s="88" t="str">
        <f>_xlfn.XLOOKUP($C119,DBGenzai[社員№],DBGenzai[仕事内容],"",0,1)</f>
        <v/>
      </c>
      <c r="J119" s="88" t="str">
        <f>_xlfn.XLOOKUP($F$1&amp;B119,Filtro!B:B,Filtro!H:H,"",0,1)</f>
        <v/>
      </c>
      <c r="K119" s="88" t="str">
        <f>_xlfn.XLOOKUP($F$1&amp;B119,Filtro!B:B,Filtro!J:J,"",0,1)</f>
        <v/>
      </c>
      <c r="L119" s="88" t="str">
        <f ca="1">IF(TablaTransfor[[#This Row],[氏名]]="","",IF(TablaTransfor[[#This Row],[氏名]]&lt;"0","記号",IF(NOT(EXACT(UPPER(TablaTransfor[[#This Row],[氏名]]),LOWER(TablaTransfor[[#This Row],[氏名]]))),_xlfn.XLOOKUP($C119,DBGenzai[社員№],DBGenzai[カナ],"",0,1),_xlfn.XLOOKUP($C119,DBGenzai[社員№],DBGenzai[氏名],"",0,1))))</f>
        <v/>
      </c>
      <c r="M119" s="88" t="str">
        <f>_xlfn.XLOOKUP($C119,DBGenzai[社員№],DBGenzai[性別],"",0,1)</f>
        <v/>
      </c>
      <c r="N119" s="88" t="str">
        <f>_xlfn.XLOOKUP($C119,DBGenzai[社員№],DBGenzai[国籍],"",0,1)</f>
        <v/>
      </c>
      <c r="O119" s="89" t="str">
        <f>_xlfn.XLOOKUP($C119,DBGenzai[社員№],DBGenzai[生年月日],"",0,1)</f>
        <v/>
      </c>
      <c r="P119" s="88" t="str">
        <f>_xlfn.XLOOKUP($F$1&amp;B119,Filtro!B:B,Filtro!O:O,"",0,1)</f>
        <v/>
      </c>
      <c r="Q119" s="88" t="str">
        <f>_xlfn.XLOOKUP($F$1&amp;B119,Filtro!B:B,Filtro!P:P,"",0,1)</f>
        <v/>
      </c>
      <c r="R119" s="426" t="str">
        <f>_xlfn.XLOOKUP($F$1&amp;B119,Filtro!B:B,Filtro!R:R,"",0,1)</f>
        <v/>
      </c>
      <c r="S119" s="88" t="str">
        <f>_xlfn.XLOOKUP($C119,DBGenzai[社員№],DBGenzai[〒],"",0,1)</f>
        <v/>
      </c>
      <c r="T119" s="88" t="str">
        <f>_xlfn.XLOOKUP($C119,DBGenzai[社員№],DBGenzai[住所],"",0,1)</f>
        <v/>
      </c>
      <c r="U119" s="88" t="str">
        <f>_xlfn.XLOOKUP($C119,DBGenzai[社員№],DBGenzai[ｱﾊﾟｰﾄ],"",0,1)</f>
        <v/>
      </c>
      <c r="V119" s="89" t="str">
        <f>_xlfn.XLOOKUP($C119,DBGenzai[社員№],DBGenzai[入居],"",0,1)</f>
        <v/>
      </c>
      <c r="W119" s="89" t="str">
        <f>_xlfn.XLOOKUP($F$1&amp;B119,Filtro!B:B,Filtro!AF:AF,"",0,1)</f>
        <v/>
      </c>
      <c r="X119" s="89" t="str">
        <f>_xlfn.XLOOKUP($C119,DBGenzai[社員№],DBGenzai[退社日],"",0,1)</f>
        <v/>
      </c>
      <c r="Y119" s="88" t="str">
        <f>_xlfn.XLOOKUP($C119,DBGenzai[社員№],DBGenzai[退去],"",0,1)</f>
        <v/>
      </c>
      <c r="Z119" s="88" t="str">
        <f>_xlfn.XLOOKUP($C119,DBGenzai[社員№],DBGenzai[備考],"",0,1)</f>
        <v/>
      </c>
      <c r="AA119" s="422" t="str">
        <f>_xlfn.XLOOKUP($F$1&amp;B119,Filtro!B:B,Filtro!AL:AL,"",0,1)</f>
        <v/>
      </c>
      <c r="AB119" s="157" t="str" cm="1">
        <f t="array" aca="1" ref="AB11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19" s="436" t="str">
        <f ca="1">_xlfn.XLOOKUP(TablaTransfor[[#This Row],[ライン]],TBKaishaInfo[ライン],TBKaishaInfo[まで],"NohayMarrano",0,1)</f>
        <v>NohayMarrano</v>
      </c>
    </row>
    <row r="120" spans="1:29" hidden="1">
      <c r="A120" s="424">
        <f>SUBTOTAL(103,$C$3:C120)</f>
        <v>18</v>
      </c>
      <c r="B120" s="159">
        <v>158</v>
      </c>
      <c r="C120" s="88" t="str">
        <f>_xlfn.XLOOKUP($F$1&amp;B120,Filtro!B:B,Filtro!D:D,"",0,1)</f>
        <v/>
      </c>
      <c r="D120" s="88" t="str">
        <f>_xlfn.XLOOKUP($F$1&amp;B120,Filtro!B:B,Filtro!C:C,"",0,1)</f>
        <v/>
      </c>
      <c r="E120" s="88" t="str">
        <f>_xlfn.XLOOKUP($F$1&amp;B120,Filtro!B:B,Filtro!E:E,"",0,1)</f>
        <v/>
      </c>
      <c r="F120" s="88" t="str">
        <f>_xlfn.XLOOKUP($F$1&amp;B120,Filtro!B:B,Filtro!G:G,"",0,1)</f>
        <v/>
      </c>
      <c r="G120" s="88" t="str">
        <f ca="1">MID(TablaTransfor[[#This Row],[配属先]],1,8)</f>
        <v/>
      </c>
      <c r="H120" s="88" t="str">
        <f ca="1">MID(TablaTransfor[[#This Row],[配属先]],9,6)</f>
        <v/>
      </c>
      <c r="I120" s="88" t="str">
        <f>_xlfn.XLOOKUP($C120,DBGenzai[社員№],DBGenzai[仕事内容],"",0,1)</f>
        <v/>
      </c>
      <c r="J120" s="88" t="str">
        <f>_xlfn.XLOOKUP($F$1&amp;B120,Filtro!B:B,Filtro!H:H,"",0,1)</f>
        <v/>
      </c>
      <c r="K120" s="88" t="str">
        <f>_xlfn.XLOOKUP($F$1&amp;B120,Filtro!B:B,Filtro!J:J,"",0,1)</f>
        <v/>
      </c>
      <c r="L120" s="88" t="str">
        <f ca="1">IF(TablaTransfor[[#This Row],[氏名]]="","",IF(TablaTransfor[[#This Row],[氏名]]&lt;"0","記号",IF(NOT(EXACT(UPPER(TablaTransfor[[#This Row],[氏名]]),LOWER(TablaTransfor[[#This Row],[氏名]]))),_xlfn.XLOOKUP($C120,DBGenzai[社員№],DBGenzai[カナ],"",0,1),_xlfn.XLOOKUP($C120,DBGenzai[社員№],DBGenzai[氏名],"",0,1))))</f>
        <v/>
      </c>
      <c r="M120" s="88" t="str">
        <f>_xlfn.XLOOKUP($C120,DBGenzai[社員№],DBGenzai[性別],"",0,1)</f>
        <v/>
      </c>
      <c r="N120" s="88" t="str">
        <f>_xlfn.XLOOKUP($C120,DBGenzai[社員№],DBGenzai[国籍],"",0,1)</f>
        <v/>
      </c>
      <c r="O120" s="89" t="str">
        <f>_xlfn.XLOOKUP($C120,DBGenzai[社員№],DBGenzai[生年月日],"",0,1)</f>
        <v/>
      </c>
      <c r="P120" s="88" t="str">
        <f>_xlfn.XLOOKUP($F$1&amp;B120,Filtro!B:B,Filtro!O:O,"",0,1)</f>
        <v/>
      </c>
      <c r="Q120" s="88" t="str">
        <f>_xlfn.XLOOKUP($F$1&amp;B120,Filtro!B:B,Filtro!P:P,"",0,1)</f>
        <v/>
      </c>
      <c r="R120" s="426" t="str">
        <f>_xlfn.XLOOKUP($F$1&amp;B120,Filtro!B:B,Filtro!R:R,"",0,1)</f>
        <v/>
      </c>
      <c r="S120" s="88" t="str">
        <f>_xlfn.XLOOKUP($C120,DBGenzai[社員№],DBGenzai[〒],"",0,1)</f>
        <v/>
      </c>
      <c r="T120" s="88" t="str">
        <f>_xlfn.XLOOKUP($C120,DBGenzai[社員№],DBGenzai[住所],"",0,1)</f>
        <v/>
      </c>
      <c r="U120" s="88" t="str">
        <f>_xlfn.XLOOKUP($C120,DBGenzai[社員№],DBGenzai[ｱﾊﾟｰﾄ],"",0,1)</f>
        <v/>
      </c>
      <c r="V120" s="89" t="str">
        <f>_xlfn.XLOOKUP($C120,DBGenzai[社員№],DBGenzai[入居],"",0,1)</f>
        <v/>
      </c>
      <c r="W120" s="89" t="str">
        <f>_xlfn.XLOOKUP($F$1&amp;B120,Filtro!B:B,Filtro!AF:AF,"",0,1)</f>
        <v/>
      </c>
      <c r="X120" s="89" t="str">
        <f>_xlfn.XLOOKUP($C120,DBGenzai[社員№],DBGenzai[退社日],"",0,1)</f>
        <v/>
      </c>
      <c r="Y120" s="88" t="str">
        <f>_xlfn.XLOOKUP($C120,DBGenzai[社員№],DBGenzai[退去],"",0,1)</f>
        <v/>
      </c>
      <c r="Z120" s="88" t="str">
        <f>_xlfn.XLOOKUP($C120,DBGenzai[社員№],DBGenzai[備考],"",0,1)</f>
        <v/>
      </c>
      <c r="AA120" s="422" t="str">
        <f>_xlfn.XLOOKUP($F$1&amp;B120,Filtro!B:B,Filtro!AL:AL,"",0,1)</f>
        <v/>
      </c>
      <c r="AB120" s="157" t="str" cm="1">
        <f t="array" aca="1" ref="AB12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0" s="436" t="str">
        <f ca="1">_xlfn.XLOOKUP(TablaTransfor[[#This Row],[ライン]],TBKaishaInfo[ライン],TBKaishaInfo[まで],"NohayMarrano",0,1)</f>
        <v>NohayMarrano</v>
      </c>
    </row>
    <row r="121" spans="1:29" hidden="1">
      <c r="A121" s="424">
        <f>SUBTOTAL(103,$C$3:C121)</f>
        <v>18</v>
      </c>
      <c r="B121" s="159">
        <v>159</v>
      </c>
      <c r="C121" s="88" t="str">
        <f>_xlfn.XLOOKUP($F$1&amp;B121,Filtro!B:B,Filtro!D:D,"",0,1)</f>
        <v/>
      </c>
      <c r="D121" s="88" t="str">
        <f>_xlfn.XLOOKUP($F$1&amp;B121,Filtro!B:B,Filtro!C:C,"",0,1)</f>
        <v/>
      </c>
      <c r="E121" s="88" t="str">
        <f>_xlfn.XLOOKUP($F$1&amp;B121,Filtro!B:B,Filtro!E:E,"",0,1)</f>
        <v/>
      </c>
      <c r="F121" s="88" t="str">
        <f>_xlfn.XLOOKUP($F$1&amp;B121,Filtro!B:B,Filtro!G:G,"",0,1)</f>
        <v/>
      </c>
      <c r="G121" s="88" t="str">
        <f ca="1">MID(TablaTransfor[[#This Row],[配属先]],1,8)</f>
        <v/>
      </c>
      <c r="H121" s="88" t="str">
        <f ca="1">MID(TablaTransfor[[#This Row],[配属先]],9,6)</f>
        <v/>
      </c>
      <c r="I121" s="88" t="str">
        <f>_xlfn.XLOOKUP($C121,DBGenzai[社員№],DBGenzai[仕事内容],"",0,1)</f>
        <v/>
      </c>
      <c r="J121" s="88" t="str">
        <f>_xlfn.XLOOKUP($F$1&amp;B121,Filtro!B:B,Filtro!H:H,"",0,1)</f>
        <v/>
      </c>
      <c r="K121" s="88" t="str">
        <f>_xlfn.XLOOKUP($F$1&amp;B121,Filtro!B:B,Filtro!J:J,"",0,1)</f>
        <v/>
      </c>
      <c r="L121" s="88" t="str">
        <f ca="1">IF(TablaTransfor[[#This Row],[氏名]]="","",IF(TablaTransfor[[#This Row],[氏名]]&lt;"0","記号",IF(NOT(EXACT(UPPER(TablaTransfor[[#This Row],[氏名]]),LOWER(TablaTransfor[[#This Row],[氏名]]))),_xlfn.XLOOKUP($C121,DBGenzai[社員№],DBGenzai[カナ],"",0,1),_xlfn.XLOOKUP($C121,DBGenzai[社員№],DBGenzai[氏名],"",0,1))))</f>
        <v/>
      </c>
      <c r="M121" s="88" t="str">
        <f>_xlfn.XLOOKUP($C121,DBGenzai[社員№],DBGenzai[性別],"",0,1)</f>
        <v/>
      </c>
      <c r="N121" s="88" t="str">
        <f>_xlfn.XLOOKUP($C121,DBGenzai[社員№],DBGenzai[国籍],"",0,1)</f>
        <v/>
      </c>
      <c r="O121" s="89" t="str">
        <f>_xlfn.XLOOKUP($C121,DBGenzai[社員№],DBGenzai[生年月日],"",0,1)</f>
        <v/>
      </c>
      <c r="P121" s="88" t="str">
        <f>_xlfn.XLOOKUP($F$1&amp;B121,Filtro!B:B,Filtro!O:O,"",0,1)</f>
        <v/>
      </c>
      <c r="Q121" s="88" t="str">
        <f>_xlfn.XLOOKUP($F$1&amp;B121,Filtro!B:B,Filtro!P:P,"",0,1)</f>
        <v/>
      </c>
      <c r="R121" s="426" t="str">
        <f>_xlfn.XLOOKUP($F$1&amp;B121,Filtro!B:B,Filtro!R:R,"",0,1)</f>
        <v/>
      </c>
      <c r="S121" s="88" t="str">
        <f>_xlfn.XLOOKUP($C121,DBGenzai[社員№],DBGenzai[〒],"",0,1)</f>
        <v/>
      </c>
      <c r="T121" s="88" t="str">
        <f>_xlfn.XLOOKUP($C121,DBGenzai[社員№],DBGenzai[住所],"",0,1)</f>
        <v/>
      </c>
      <c r="U121" s="88" t="str">
        <f>_xlfn.XLOOKUP($C121,DBGenzai[社員№],DBGenzai[ｱﾊﾟｰﾄ],"",0,1)</f>
        <v/>
      </c>
      <c r="V121" s="89" t="str">
        <f>_xlfn.XLOOKUP($C121,DBGenzai[社員№],DBGenzai[入居],"",0,1)</f>
        <v/>
      </c>
      <c r="W121" s="89" t="str">
        <f>_xlfn.XLOOKUP($F$1&amp;B121,Filtro!B:B,Filtro!AF:AF,"",0,1)</f>
        <v/>
      </c>
      <c r="X121" s="89" t="str">
        <f>_xlfn.XLOOKUP($C121,DBGenzai[社員№],DBGenzai[退社日],"",0,1)</f>
        <v/>
      </c>
      <c r="Y121" s="88" t="str">
        <f>_xlfn.XLOOKUP($C121,DBGenzai[社員№],DBGenzai[退去],"",0,1)</f>
        <v/>
      </c>
      <c r="Z121" s="88" t="str">
        <f>_xlfn.XLOOKUP($C121,DBGenzai[社員№],DBGenzai[備考],"",0,1)</f>
        <v/>
      </c>
      <c r="AA121" s="422" t="str">
        <f>_xlfn.XLOOKUP($F$1&amp;B121,Filtro!B:B,Filtro!AL:AL,"",0,1)</f>
        <v/>
      </c>
      <c r="AB121" s="157" t="str" cm="1">
        <f t="array" aca="1" ref="AB12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1" s="436" t="str">
        <f ca="1">_xlfn.XLOOKUP(TablaTransfor[[#This Row],[ライン]],TBKaishaInfo[ライン],TBKaishaInfo[まで],"NohayMarrano",0,1)</f>
        <v>NohayMarrano</v>
      </c>
    </row>
    <row r="122" spans="1:29" hidden="1">
      <c r="A122" s="424">
        <f>SUBTOTAL(103,$C$3:C122)</f>
        <v>18</v>
      </c>
      <c r="B122" s="159">
        <v>160</v>
      </c>
      <c r="C122" s="88" t="str">
        <f>_xlfn.XLOOKUP($F$1&amp;B122,Filtro!B:B,Filtro!D:D,"",0,1)</f>
        <v/>
      </c>
      <c r="D122" s="88" t="str">
        <f>_xlfn.XLOOKUP($F$1&amp;B122,Filtro!B:B,Filtro!C:C,"",0,1)</f>
        <v/>
      </c>
      <c r="E122" s="88" t="str">
        <f>_xlfn.XLOOKUP($F$1&amp;B122,Filtro!B:B,Filtro!E:E,"",0,1)</f>
        <v/>
      </c>
      <c r="F122" s="88" t="str">
        <f>_xlfn.XLOOKUP($F$1&amp;B122,Filtro!B:B,Filtro!G:G,"",0,1)</f>
        <v/>
      </c>
      <c r="G122" s="88" t="str">
        <f ca="1">MID(TablaTransfor[[#This Row],[配属先]],1,8)</f>
        <v/>
      </c>
      <c r="H122" s="88" t="str">
        <f ca="1">MID(TablaTransfor[[#This Row],[配属先]],9,6)</f>
        <v/>
      </c>
      <c r="I122" s="88" t="str">
        <f>_xlfn.XLOOKUP($C122,DBGenzai[社員№],DBGenzai[仕事内容],"",0,1)</f>
        <v/>
      </c>
      <c r="J122" s="88" t="str">
        <f>_xlfn.XLOOKUP($F$1&amp;B122,Filtro!B:B,Filtro!H:H,"",0,1)</f>
        <v/>
      </c>
      <c r="K122" s="88" t="str">
        <f>_xlfn.XLOOKUP($F$1&amp;B122,Filtro!B:B,Filtro!J:J,"",0,1)</f>
        <v/>
      </c>
      <c r="L122" s="88" t="str">
        <f ca="1">IF(TablaTransfor[[#This Row],[氏名]]="","",IF(TablaTransfor[[#This Row],[氏名]]&lt;"0","記号",IF(NOT(EXACT(UPPER(TablaTransfor[[#This Row],[氏名]]),LOWER(TablaTransfor[[#This Row],[氏名]]))),_xlfn.XLOOKUP($C122,DBGenzai[社員№],DBGenzai[カナ],"",0,1),_xlfn.XLOOKUP($C122,DBGenzai[社員№],DBGenzai[氏名],"",0,1))))</f>
        <v/>
      </c>
      <c r="M122" s="88" t="str">
        <f>_xlfn.XLOOKUP($C122,DBGenzai[社員№],DBGenzai[性別],"",0,1)</f>
        <v/>
      </c>
      <c r="N122" s="88" t="str">
        <f>_xlfn.XLOOKUP($C122,DBGenzai[社員№],DBGenzai[国籍],"",0,1)</f>
        <v/>
      </c>
      <c r="O122" s="89" t="str">
        <f>_xlfn.XLOOKUP($C122,DBGenzai[社員№],DBGenzai[生年月日],"",0,1)</f>
        <v/>
      </c>
      <c r="P122" s="88" t="str">
        <f>_xlfn.XLOOKUP($F$1&amp;B122,Filtro!B:B,Filtro!O:O,"",0,1)</f>
        <v/>
      </c>
      <c r="Q122" s="88" t="str">
        <f>_xlfn.XLOOKUP($F$1&amp;B122,Filtro!B:B,Filtro!P:P,"",0,1)</f>
        <v/>
      </c>
      <c r="R122" s="426" t="str">
        <f>_xlfn.XLOOKUP($F$1&amp;B122,Filtro!B:B,Filtro!R:R,"",0,1)</f>
        <v/>
      </c>
      <c r="S122" s="88" t="str">
        <f>_xlfn.XLOOKUP($C122,DBGenzai[社員№],DBGenzai[〒],"",0,1)</f>
        <v/>
      </c>
      <c r="T122" s="88" t="str">
        <f>_xlfn.XLOOKUP($C122,DBGenzai[社員№],DBGenzai[住所],"",0,1)</f>
        <v/>
      </c>
      <c r="U122" s="88" t="str">
        <f>_xlfn.XLOOKUP($C122,DBGenzai[社員№],DBGenzai[ｱﾊﾟｰﾄ],"",0,1)</f>
        <v/>
      </c>
      <c r="V122" s="89" t="str">
        <f>_xlfn.XLOOKUP($C122,DBGenzai[社員№],DBGenzai[入居],"",0,1)</f>
        <v/>
      </c>
      <c r="W122" s="89" t="str">
        <f>_xlfn.XLOOKUP($F$1&amp;B122,Filtro!B:B,Filtro!AF:AF,"",0,1)</f>
        <v/>
      </c>
      <c r="X122" s="89" t="str">
        <f>_xlfn.XLOOKUP($C122,DBGenzai[社員№],DBGenzai[退社日],"",0,1)</f>
        <v/>
      </c>
      <c r="Y122" s="88" t="str">
        <f>_xlfn.XLOOKUP($C122,DBGenzai[社員№],DBGenzai[退去],"",0,1)</f>
        <v/>
      </c>
      <c r="Z122" s="88" t="str">
        <f>_xlfn.XLOOKUP($C122,DBGenzai[社員№],DBGenzai[備考],"",0,1)</f>
        <v/>
      </c>
      <c r="AA122" s="422" t="str">
        <f>_xlfn.XLOOKUP($F$1&amp;B122,Filtro!B:B,Filtro!AL:AL,"",0,1)</f>
        <v/>
      </c>
      <c r="AB122" s="157" t="str" cm="1">
        <f t="array" aca="1" ref="AB12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2" s="436" t="str">
        <f ca="1">_xlfn.XLOOKUP(TablaTransfor[[#This Row],[ライン]],TBKaishaInfo[ライン],TBKaishaInfo[まで],"NohayMarrano",0,1)</f>
        <v>NohayMarrano</v>
      </c>
    </row>
    <row r="123" spans="1:29" hidden="1">
      <c r="A123" s="424">
        <f>SUBTOTAL(103,$C$3:C123)</f>
        <v>18</v>
      </c>
      <c r="B123" s="159">
        <v>161</v>
      </c>
      <c r="C123" s="88" t="str">
        <f>_xlfn.XLOOKUP($F$1&amp;B123,Filtro!B:B,Filtro!D:D,"",0,1)</f>
        <v/>
      </c>
      <c r="D123" s="88" t="str">
        <f>_xlfn.XLOOKUP($F$1&amp;B123,Filtro!B:B,Filtro!C:C,"",0,1)</f>
        <v/>
      </c>
      <c r="E123" s="88" t="str">
        <f>_xlfn.XLOOKUP($F$1&amp;B123,Filtro!B:B,Filtro!E:E,"",0,1)</f>
        <v/>
      </c>
      <c r="F123" s="88" t="str">
        <f>_xlfn.XLOOKUP($F$1&amp;B123,Filtro!B:B,Filtro!G:G,"",0,1)</f>
        <v/>
      </c>
      <c r="G123" s="88" t="str">
        <f ca="1">MID(TablaTransfor[[#This Row],[配属先]],1,8)</f>
        <v/>
      </c>
      <c r="H123" s="88" t="str">
        <f ca="1">MID(TablaTransfor[[#This Row],[配属先]],9,6)</f>
        <v/>
      </c>
      <c r="I123" s="88" t="str">
        <f>_xlfn.XLOOKUP($C123,DBGenzai[社員№],DBGenzai[仕事内容],"",0,1)</f>
        <v/>
      </c>
      <c r="J123" s="88" t="str">
        <f>_xlfn.XLOOKUP($F$1&amp;B123,Filtro!B:B,Filtro!H:H,"",0,1)</f>
        <v/>
      </c>
      <c r="K123" s="88" t="str">
        <f>_xlfn.XLOOKUP($F$1&amp;B123,Filtro!B:B,Filtro!J:J,"",0,1)</f>
        <v/>
      </c>
      <c r="L123" s="88" t="str">
        <f ca="1">IF(TablaTransfor[[#This Row],[氏名]]="","",IF(TablaTransfor[[#This Row],[氏名]]&lt;"0","記号",IF(NOT(EXACT(UPPER(TablaTransfor[[#This Row],[氏名]]),LOWER(TablaTransfor[[#This Row],[氏名]]))),_xlfn.XLOOKUP($C123,DBGenzai[社員№],DBGenzai[カナ],"",0,1),_xlfn.XLOOKUP($C123,DBGenzai[社員№],DBGenzai[氏名],"",0,1))))</f>
        <v/>
      </c>
      <c r="M123" s="88" t="str">
        <f>_xlfn.XLOOKUP($C123,DBGenzai[社員№],DBGenzai[性別],"",0,1)</f>
        <v/>
      </c>
      <c r="N123" s="88" t="str">
        <f>_xlfn.XLOOKUP($C123,DBGenzai[社員№],DBGenzai[国籍],"",0,1)</f>
        <v/>
      </c>
      <c r="O123" s="89" t="str">
        <f>_xlfn.XLOOKUP($C123,DBGenzai[社員№],DBGenzai[生年月日],"",0,1)</f>
        <v/>
      </c>
      <c r="P123" s="88" t="str">
        <f>_xlfn.XLOOKUP($F$1&amp;B123,Filtro!B:B,Filtro!O:O,"",0,1)</f>
        <v/>
      </c>
      <c r="Q123" s="88" t="str">
        <f>_xlfn.XLOOKUP($F$1&amp;B123,Filtro!B:B,Filtro!P:P,"",0,1)</f>
        <v/>
      </c>
      <c r="R123" s="426" t="str">
        <f>_xlfn.XLOOKUP($F$1&amp;B123,Filtro!B:B,Filtro!R:R,"",0,1)</f>
        <v/>
      </c>
      <c r="S123" s="88" t="str">
        <f>_xlfn.XLOOKUP($C123,DBGenzai[社員№],DBGenzai[〒],"",0,1)</f>
        <v/>
      </c>
      <c r="T123" s="88" t="str">
        <f>_xlfn.XLOOKUP($C123,DBGenzai[社員№],DBGenzai[住所],"",0,1)</f>
        <v/>
      </c>
      <c r="U123" s="88" t="str">
        <f>_xlfn.XLOOKUP($C123,DBGenzai[社員№],DBGenzai[ｱﾊﾟｰﾄ],"",0,1)</f>
        <v/>
      </c>
      <c r="V123" s="89" t="str">
        <f>_xlfn.XLOOKUP($C123,DBGenzai[社員№],DBGenzai[入居],"",0,1)</f>
        <v/>
      </c>
      <c r="W123" s="89" t="str">
        <f>_xlfn.XLOOKUP($F$1&amp;B123,Filtro!B:B,Filtro!AF:AF,"",0,1)</f>
        <v/>
      </c>
      <c r="X123" s="89" t="str">
        <f>_xlfn.XLOOKUP($C123,DBGenzai[社員№],DBGenzai[退社日],"",0,1)</f>
        <v/>
      </c>
      <c r="Y123" s="88" t="str">
        <f>_xlfn.XLOOKUP($C123,DBGenzai[社員№],DBGenzai[退去],"",0,1)</f>
        <v/>
      </c>
      <c r="Z123" s="88" t="str">
        <f>_xlfn.XLOOKUP($C123,DBGenzai[社員№],DBGenzai[備考],"",0,1)</f>
        <v/>
      </c>
      <c r="AA123" s="422" t="str">
        <f>_xlfn.XLOOKUP($F$1&amp;B123,Filtro!B:B,Filtro!AL:AL,"",0,1)</f>
        <v/>
      </c>
      <c r="AB123" s="157" t="str" cm="1">
        <f t="array" aca="1" ref="AB12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3" s="436" t="str">
        <f ca="1">_xlfn.XLOOKUP(TablaTransfor[[#This Row],[ライン]],TBKaishaInfo[ライン],TBKaishaInfo[まで],"NohayMarrano",0,1)</f>
        <v>NohayMarrano</v>
      </c>
    </row>
    <row r="124" spans="1:29" hidden="1">
      <c r="A124" s="424">
        <f>SUBTOTAL(103,$C$3:C124)</f>
        <v>18</v>
      </c>
      <c r="B124" s="159">
        <v>162</v>
      </c>
      <c r="C124" s="88" t="str">
        <f>_xlfn.XLOOKUP($F$1&amp;B124,Filtro!B:B,Filtro!D:D,"",0,1)</f>
        <v/>
      </c>
      <c r="D124" s="88" t="str">
        <f>_xlfn.XLOOKUP($F$1&amp;B124,Filtro!B:B,Filtro!C:C,"",0,1)</f>
        <v/>
      </c>
      <c r="E124" s="88" t="str">
        <f>_xlfn.XLOOKUP($F$1&amp;B124,Filtro!B:B,Filtro!E:E,"",0,1)</f>
        <v/>
      </c>
      <c r="F124" s="88" t="str">
        <f>_xlfn.XLOOKUP($F$1&amp;B124,Filtro!B:B,Filtro!G:G,"",0,1)</f>
        <v/>
      </c>
      <c r="G124" s="88" t="str">
        <f ca="1">MID(TablaTransfor[[#This Row],[配属先]],1,8)</f>
        <v/>
      </c>
      <c r="H124" s="88" t="str">
        <f ca="1">MID(TablaTransfor[[#This Row],[配属先]],9,6)</f>
        <v/>
      </c>
      <c r="I124" s="88" t="str">
        <f>_xlfn.XLOOKUP($C124,DBGenzai[社員№],DBGenzai[仕事内容],"",0,1)</f>
        <v/>
      </c>
      <c r="J124" s="88" t="str">
        <f>_xlfn.XLOOKUP($F$1&amp;B124,Filtro!B:B,Filtro!H:H,"",0,1)</f>
        <v/>
      </c>
      <c r="K124" s="88" t="str">
        <f>_xlfn.XLOOKUP($F$1&amp;B124,Filtro!B:B,Filtro!J:J,"",0,1)</f>
        <v/>
      </c>
      <c r="L124" s="88" t="str">
        <f ca="1">IF(TablaTransfor[[#This Row],[氏名]]="","",IF(TablaTransfor[[#This Row],[氏名]]&lt;"0","記号",IF(NOT(EXACT(UPPER(TablaTransfor[[#This Row],[氏名]]),LOWER(TablaTransfor[[#This Row],[氏名]]))),_xlfn.XLOOKUP($C124,DBGenzai[社員№],DBGenzai[カナ],"",0,1),_xlfn.XLOOKUP($C124,DBGenzai[社員№],DBGenzai[氏名],"",0,1))))</f>
        <v/>
      </c>
      <c r="M124" s="88" t="str">
        <f>_xlfn.XLOOKUP($C124,DBGenzai[社員№],DBGenzai[性別],"",0,1)</f>
        <v/>
      </c>
      <c r="N124" s="88" t="str">
        <f>_xlfn.XLOOKUP($C124,DBGenzai[社員№],DBGenzai[国籍],"",0,1)</f>
        <v/>
      </c>
      <c r="O124" s="89" t="str">
        <f>_xlfn.XLOOKUP($C124,DBGenzai[社員№],DBGenzai[生年月日],"",0,1)</f>
        <v/>
      </c>
      <c r="P124" s="88" t="str">
        <f>_xlfn.XLOOKUP($F$1&amp;B124,Filtro!B:B,Filtro!O:O,"",0,1)</f>
        <v/>
      </c>
      <c r="Q124" s="88" t="str">
        <f>_xlfn.XLOOKUP($F$1&amp;B124,Filtro!B:B,Filtro!P:P,"",0,1)</f>
        <v/>
      </c>
      <c r="R124" s="426" t="str">
        <f>_xlfn.XLOOKUP($F$1&amp;B124,Filtro!B:B,Filtro!R:R,"",0,1)</f>
        <v/>
      </c>
      <c r="S124" s="88" t="str">
        <f>_xlfn.XLOOKUP($C124,DBGenzai[社員№],DBGenzai[〒],"",0,1)</f>
        <v/>
      </c>
      <c r="T124" s="88" t="str">
        <f>_xlfn.XLOOKUP($C124,DBGenzai[社員№],DBGenzai[住所],"",0,1)</f>
        <v/>
      </c>
      <c r="U124" s="88" t="str">
        <f>_xlfn.XLOOKUP($C124,DBGenzai[社員№],DBGenzai[ｱﾊﾟｰﾄ],"",0,1)</f>
        <v/>
      </c>
      <c r="V124" s="89" t="str">
        <f>_xlfn.XLOOKUP($C124,DBGenzai[社員№],DBGenzai[入居],"",0,1)</f>
        <v/>
      </c>
      <c r="W124" s="89" t="str">
        <f>_xlfn.XLOOKUP($F$1&amp;B124,Filtro!B:B,Filtro!AF:AF,"",0,1)</f>
        <v/>
      </c>
      <c r="X124" s="89" t="str">
        <f>_xlfn.XLOOKUP($C124,DBGenzai[社員№],DBGenzai[退社日],"",0,1)</f>
        <v/>
      </c>
      <c r="Y124" s="88" t="str">
        <f>_xlfn.XLOOKUP($C124,DBGenzai[社員№],DBGenzai[退去],"",0,1)</f>
        <v/>
      </c>
      <c r="Z124" s="88" t="str">
        <f>_xlfn.XLOOKUP($C124,DBGenzai[社員№],DBGenzai[備考],"",0,1)</f>
        <v/>
      </c>
      <c r="AA124" s="422" t="str">
        <f>_xlfn.XLOOKUP($F$1&amp;B124,Filtro!B:B,Filtro!AL:AL,"",0,1)</f>
        <v/>
      </c>
      <c r="AB124" s="157" t="str" cm="1">
        <f t="array" aca="1" ref="AB12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4" s="436" t="str">
        <f ca="1">_xlfn.XLOOKUP(TablaTransfor[[#This Row],[ライン]],TBKaishaInfo[ライン],TBKaishaInfo[まで],"NohayMarrano",0,1)</f>
        <v>NohayMarrano</v>
      </c>
    </row>
    <row r="125" spans="1:29" hidden="1">
      <c r="A125" s="424">
        <f>SUBTOTAL(103,$C$3:C125)</f>
        <v>18</v>
      </c>
      <c r="B125" s="159">
        <v>163</v>
      </c>
      <c r="C125" s="88" t="str">
        <f>_xlfn.XLOOKUP($F$1&amp;B125,Filtro!B:B,Filtro!D:D,"",0,1)</f>
        <v/>
      </c>
      <c r="D125" s="88" t="str">
        <f>_xlfn.XLOOKUP($F$1&amp;B125,Filtro!B:B,Filtro!C:C,"",0,1)</f>
        <v/>
      </c>
      <c r="E125" s="88" t="str">
        <f>_xlfn.XLOOKUP($F$1&amp;B125,Filtro!B:B,Filtro!E:E,"",0,1)</f>
        <v/>
      </c>
      <c r="F125" s="88" t="str">
        <f>_xlfn.XLOOKUP($F$1&amp;B125,Filtro!B:B,Filtro!G:G,"",0,1)</f>
        <v/>
      </c>
      <c r="G125" s="88" t="str">
        <f ca="1">MID(TablaTransfor[[#This Row],[配属先]],1,8)</f>
        <v/>
      </c>
      <c r="H125" s="88" t="str">
        <f ca="1">MID(TablaTransfor[[#This Row],[配属先]],9,6)</f>
        <v/>
      </c>
      <c r="I125" s="88" t="str">
        <f>_xlfn.XLOOKUP($C125,DBGenzai[社員№],DBGenzai[仕事内容],"",0,1)</f>
        <v/>
      </c>
      <c r="J125" s="88" t="str">
        <f>_xlfn.XLOOKUP($F$1&amp;B125,Filtro!B:B,Filtro!H:H,"",0,1)</f>
        <v/>
      </c>
      <c r="K125" s="88" t="str">
        <f>_xlfn.XLOOKUP($F$1&amp;B125,Filtro!B:B,Filtro!J:J,"",0,1)</f>
        <v/>
      </c>
      <c r="L125" s="88" t="str">
        <f ca="1">IF(TablaTransfor[[#This Row],[氏名]]="","",IF(TablaTransfor[[#This Row],[氏名]]&lt;"0","記号",IF(NOT(EXACT(UPPER(TablaTransfor[[#This Row],[氏名]]),LOWER(TablaTransfor[[#This Row],[氏名]]))),_xlfn.XLOOKUP($C125,DBGenzai[社員№],DBGenzai[カナ],"",0,1),_xlfn.XLOOKUP($C125,DBGenzai[社員№],DBGenzai[氏名],"",0,1))))</f>
        <v/>
      </c>
      <c r="M125" s="88" t="str">
        <f>_xlfn.XLOOKUP($C125,DBGenzai[社員№],DBGenzai[性別],"",0,1)</f>
        <v/>
      </c>
      <c r="N125" s="88" t="str">
        <f>_xlfn.XLOOKUP($C125,DBGenzai[社員№],DBGenzai[国籍],"",0,1)</f>
        <v/>
      </c>
      <c r="O125" s="89" t="str">
        <f>_xlfn.XLOOKUP($C125,DBGenzai[社員№],DBGenzai[生年月日],"",0,1)</f>
        <v/>
      </c>
      <c r="P125" s="88" t="str">
        <f>_xlfn.XLOOKUP($F$1&amp;B125,Filtro!B:B,Filtro!O:O,"",0,1)</f>
        <v/>
      </c>
      <c r="Q125" s="88" t="str">
        <f>_xlfn.XLOOKUP($F$1&amp;B125,Filtro!B:B,Filtro!P:P,"",0,1)</f>
        <v/>
      </c>
      <c r="R125" s="426" t="str">
        <f>_xlfn.XLOOKUP($F$1&amp;B125,Filtro!B:B,Filtro!R:R,"",0,1)</f>
        <v/>
      </c>
      <c r="S125" s="88" t="str">
        <f>_xlfn.XLOOKUP($C125,DBGenzai[社員№],DBGenzai[〒],"",0,1)</f>
        <v/>
      </c>
      <c r="T125" s="88" t="str">
        <f>_xlfn.XLOOKUP($C125,DBGenzai[社員№],DBGenzai[住所],"",0,1)</f>
        <v/>
      </c>
      <c r="U125" s="88" t="str">
        <f>_xlfn.XLOOKUP($C125,DBGenzai[社員№],DBGenzai[ｱﾊﾟｰﾄ],"",0,1)</f>
        <v/>
      </c>
      <c r="V125" s="89" t="str">
        <f>_xlfn.XLOOKUP($C125,DBGenzai[社員№],DBGenzai[入居],"",0,1)</f>
        <v/>
      </c>
      <c r="W125" s="89" t="str">
        <f>_xlfn.XLOOKUP($F$1&amp;B125,Filtro!B:B,Filtro!AF:AF,"",0,1)</f>
        <v/>
      </c>
      <c r="X125" s="89" t="str">
        <f>_xlfn.XLOOKUP($C125,DBGenzai[社員№],DBGenzai[退社日],"",0,1)</f>
        <v/>
      </c>
      <c r="Y125" s="88" t="str">
        <f>_xlfn.XLOOKUP($C125,DBGenzai[社員№],DBGenzai[退去],"",0,1)</f>
        <v/>
      </c>
      <c r="Z125" s="88" t="str">
        <f>_xlfn.XLOOKUP($C125,DBGenzai[社員№],DBGenzai[備考],"",0,1)</f>
        <v/>
      </c>
      <c r="AA125" s="422" t="str">
        <f>_xlfn.XLOOKUP($F$1&amp;B125,Filtro!B:B,Filtro!AL:AL,"",0,1)</f>
        <v/>
      </c>
      <c r="AB125" s="157" t="str" cm="1">
        <f t="array" aca="1" ref="AB12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5" s="436" t="str">
        <f ca="1">_xlfn.XLOOKUP(TablaTransfor[[#This Row],[ライン]],TBKaishaInfo[ライン],TBKaishaInfo[まで],"NohayMarrano",0,1)</f>
        <v>NohayMarrano</v>
      </c>
    </row>
    <row r="126" spans="1:29" hidden="1">
      <c r="A126" s="424">
        <f>SUBTOTAL(103,$C$3:C126)</f>
        <v>18</v>
      </c>
      <c r="B126" s="159">
        <v>164</v>
      </c>
      <c r="C126" s="88" t="str">
        <f>_xlfn.XLOOKUP($F$1&amp;B126,Filtro!B:B,Filtro!D:D,"",0,1)</f>
        <v/>
      </c>
      <c r="D126" s="88" t="str">
        <f>_xlfn.XLOOKUP($F$1&amp;B126,Filtro!B:B,Filtro!C:C,"",0,1)</f>
        <v/>
      </c>
      <c r="E126" s="88" t="str">
        <f>_xlfn.XLOOKUP($F$1&amp;B126,Filtro!B:B,Filtro!E:E,"",0,1)</f>
        <v/>
      </c>
      <c r="F126" s="88" t="str">
        <f>_xlfn.XLOOKUP($F$1&amp;B126,Filtro!B:B,Filtro!G:G,"",0,1)</f>
        <v/>
      </c>
      <c r="G126" s="88" t="str">
        <f ca="1">MID(TablaTransfor[[#This Row],[配属先]],1,8)</f>
        <v/>
      </c>
      <c r="H126" s="88" t="str">
        <f ca="1">MID(TablaTransfor[[#This Row],[配属先]],9,6)</f>
        <v/>
      </c>
      <c r="I126" s="88" t="str">
        <f>_xlfn.XLOOKUP($C126,DBGenzai[社員№],DBGenzai[仕事内容],"",0,1)</f>
        <v/>
      </c>
      <c r="J126" s="88" t="str">
        <f>_xlfn.XLOOKUP($F$1&amp;B126,Filtro!B:B,Filtro!H:H,"",0,1)</f>
        <v/>
      </c>
      <c r="K126" s="88" t="str">
        <f>_xlfn.XLOOKUP($F$1&amp;B126,Filtro!B:B,Filtro!J:J,"",0,1)</f>
        <v/>
      </c>
      <c r="L126" s="88" t="str">
        <f ca="1">IF(TablaTransfor[[#This Row],[氏名]]="","",IF(TablaTransfor[[#This Row],[氏名]]&lt;"0","記号",IF(NOT(EXACT(UPPER(TablaTransfor[[#This Row],[氏名]]),LOWER(TablaTransfor[[#This Row],[氏名]]))),_xlfn.XLOOKUP($C126,DBGenzai[社員№],DBGenzai[カナ],"",0,1),_xlfn.XLOOKUP($C126,DBGenzai[社員№],DBGenzai[氏名],"",0,1))))</f>
        <v/>
      </c>
      <c r="M126" s="88" t="str">
        <f>_xlfn.XLOOKUP($C126,DBGenzai[社員№],DBGenzai[性別],"",0,1)</f>
        <v/>
      </c>
      <c r="N126" s="88" t="str">
        <f>_xlfn.XLOOKUP($C126,DBGenzai[社員№],DBGenzai[国籍],"",0,1)</f>
        <v/>
      </c>
      <c r="O126" s="89" t="str">
        <f>_xlfn.XLOOKUP($C126,DBGenzai[社員№],DBGenzai[生年月日],"",0,1)</f>
        <v/>
      </c>
      <c r="P126" s="88" t="str">
        <f>_xlfn.XLOOKUP($F$1&amp;B126,Filtro!B:B,Filtro!O:O,"",0,1)</f>
        <v/>
      </c>
      <c r="Q126" s="88" t="str">
        <f>_xlfn.XLOOKUP($F$1&amp;B126,Filtro!B:B,Filtro!P:P,"",0,1)</f>
        <v/>
      </c>
      <c r="R126" s="426" t="str">
        <f>_xlfn.XLOOKUP($F$1&amp;B126,Filtro!B:B,Filtro!R:R,"",0,1)</f>
        <v/>
      </c>
      <c r="S126" s="88" t="str">
        <f>_xlfn.XLOOKUP($C126,DBGenzai[社員№],DBGenzai[〒],"",0,1)</f>
        <v/>
      </c>
      <c r="T126" s="88" t="str">
        <f>_xlfn.XLOOKUP($C126,DBGenzai[社員№],DBGenzai[住所],"",0,1)</f>
        <v/>
      </c>
      <c r="U126" s="88" t="str">
        <f>_xlfn.XLOOKUP($C126,DBGenzai[社員№],DBGenzai[ｱﾊﾟｰﾄ],"",0,1)</f>
        <v/>
      </c>
      <c r="V126" s="89" t="str">
        <f>_xlfn.XLOOKUP($C126,DBGenzai[社員№],DBGenzai[入居],"",0,1)</f>
        <v/>
      </c>
      <c r="W126" s="89" t="str">
        <f>_xlfn.XLOOKUP($F$1&amp;B126,Filtro!B:B,Filtro!AF:AF,"",0,1)</f>
        <v/>
      </c>
      <c r="X126" s="89" t="str">
        <f>_xlfn.XLOOKUP($C126,DBGenzai[社員№],DBGenzai[退社日],"",0,1)</f>
        <v/>
      </c>
      <c r="Y126" s="88" t="str">
        <f>_xlfn.XLOOKUP($C126,DBGenzai[社員№],DBGenzai[退去],"",0,1)</f>
        <v/>
      </c>
      <c r="Z126" s="88" t="str">
        <f>_xlfn.XLOOKUP($C126,DBGenzai[社員№],DBGenzai[備考],"",0,1)</f>
        <v/>
      </c>
      <c r="AA126" s="422" t="str">
        <f>_xlfn.XLOOKUP($F$1&amp;B126,Filtro!B:B,Filtro!AL:AL,"",0,1)</f>
        <v/>
      </c>
      <c r="AB126" s="157" t="str" cm="1">
        <f t="array" aca="1" ref="AB12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6" s="436" t="str">
        <f ca="1">_xlfn.XLOOKUP(TablaTransfor[[#This Row],[ライン]],TBKaishaInfo[ライン],TBKaishaInfo[まで],"NohayMarrano",0,1)</f>
        <v>NohayMarrano</v>
      </c>
    </row>
    <row r="127" spans="1:29" hidden="1">
      <c r="A127" s="424">
        <f>SUBTOTAL(103,$C$3:C127)</f>
        <v>18</v>
      </c>
      <c r="B127" s="159">
        <v>165</v>
      </c>
      <c r="C127" s="88" t="str">
        <f>_xlfn.XLOOKUP($F$1&amp;B127,Filtro!B:B,Filtro!D:D,"",0,1)</f>
        <v/>
      </c>
      <c r="D127" s="88" t="str">
        <f>_xlfn.XLOOKUP($F$1&amp;B127,Filtro!B:B,Filtro!C:C,"",0,1)</f>
        <v/>
      </c>
      <c r="E127" s="88" t="str">
        <f>_xlfn.XLOOKUP($F$1&amp;B127,Filtro!B:B,Filtro!E:E,"",0,1)</f>
        <v/>
      </c>
      <c r="F127" s="88" t="str">
        <f>_xlfn.XLOOKUP($F$1&amp;B127,Filtro!B:B,Filtro!G:G,"",0,1)</f>
        <v/>
      </c>
      <c r="G127" s="88" t="str">
        <f ca="1">MID(TablaTransfor[[#This Row],[配属先]],1,8)</f>
        <v/>
      </c>
      <c r="H127" s="88" t="str">
        <f ca="1">MID(TablaTransfor[[#This Row],[配属先]],9,6)</f>
        <v/>
      </c>
      <c r="I127" s="88" t="str">
        <f>_xlfn.XLOOKUP($C127,DBGenzai[社員№],DBGenzai[仕事内容],"",0,1)</f>
        <v/>
      </c>
      <c r="J127" s="88" t="str">
        <f>_xlfn.XLOOKUP($F$1&amp;B127,Filtro!B:B,Filtro!H:H,"",0,1)</f>
        <v/>
      </c>
      <c r="K127" s="88" t="str">
        <f>_xlfn.XLOOKUP($F$1&amp;B127,Filtro!B:B,Filtro!J:J,"",0,1)</f>
        <v/>
      </c>
      <c r="L127" s="88" t="str">
        <f ca="1">IF(TablaTransfor[[#This Row],[氏名]]="","",IF(TablaTransfor[[#This Row],[氏名]]&lt;"0","記号",IF(NOT(EXACT(UPPER(TablaTransfor[[#This Row],[氏名]]),LOWER(TablaTransfor[[#This Row],[氏名]]))),_xlfn.XLOOKUP($C127,DBGenzai[社員№],DBGenzai[カナ],"",0,1),_xlfn.XLOOKUP($C127,DBGenzai[社員№],DBGenzai[氏名],"",0,1))))</f>
        <v/>
      </c>
      <c r="M127" s="88" t="str">
        <f>_xlfn.XLOOKUP($C127,DBGenzai[社員№],DBGenzai[性別],"",0,1)</f>
        <v/>
      </c>
      <c r="N127" s="88" t="str">
        <f>_xlfn.XLOOKUP($C127,DBGenzai[社員№],DBGenzai[国籍],"",0,1)</f>
        <v/>
      </c>
      <c r="O127" s="89" t="str">
        <f>_xlfn.XLOOKUP($C127,DBGenzai[社員№],DBGenzai[生年月日],"",0,1)</f>
        <v/>
      </c>
      <c r="P127" s="88" t="str">
        <f>_xlfn.XLOOKUP($F$1&amp;B127,Filtro!B:B,Filtro!O:O,"",0,1)</f>
        <v/>
      </c>
      <c r="Q127" s="88" t="str">
        <f>_xlfn.XLOOKUP($F$1&amp;B127,Filtro!B:B,Filtro!P:P,"",0,1)</f>
        <v/>
      </c>
      <c r="R127" s="426" t="str">
        <f>_xlfn.XLOOKUP($F$1&amp;B127,Filtro!B:B,Filtro!R:R,"",0,1)</f>
        <v/>
      </c>
      <c r="S127" s="88" t="str">
        <f>_xlfn.XLOOKUP($C127,DBGenzai[社員№],DBGenzai[〒],"",0,1)</f>
        <v/>
      </c>
      <c r="T127" s="88" t="str">
        <f>_xlfn.XLOOKUP($C127,DBGenzai[社員№],DBGenzai[住所],"",0,1)</f>
        <v/>
      </c>
      <c r="U127" s="88" t="str">
        <f>_xlfn.XLOOKUP($C127,DBGenzai[社員№],DBGenzai[ｱﾊﾟｰﾄ],"",0,1)</f>
        <v/>
      </c>
      <c r="V127" s="89" t="str">
        <f>_xlfn.XLOOKUP($C127,DBGenzai[社員№],DBGenzai[入居],"",0,1)</f>
        <v/>
      </c>
      <c r="W127" s="89" t="str">
        <f>_xlfn.XLOOKUP($F$1&amp;B127,Filtro!B:B,Filtro!AF:AF,"",0,1)</f>
        <v/>
      </c>
      <c r="X127" s="89" t="str">
        <f>_xlfn.XLOOKUP($C127,DBGenzai[社員№],DBGenzai[退社日],"",0,1)</f>
        <v/>
      </c>
      <c r="Y127" s="88" t="str">
        <f>_xlfn.XLOOKUP($C127,DBGenzai[社員№],DBGenzai[退去],"",0,1)</f>
        <v/>
      </c>
      <c r="Z127" s="88" t="str">
        <f>_xlfn.XLOOKUP($C127,DBGenzai[社員№],DBGenzai[備考],"",0,1)</f>
        <v/>
      </c>
      <c r="AA127" s="422" t="str">
        <f>_xlfn.XLOOKUP($F$1&amp;B127,Filtro!B:B,Filtro!AL:AL,"",0,1)</f>
        <v/>
      </c>
      <c r="AB127" s="157" t="str" cm="1">
        <f t="array" aca="1" ref="AB12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7" s="436" t="str">
        <f ca="1">_xlfn.XLOOKUP(TablaTransfor[[#This Row],[ライン]],TBKaishaInfo[ライン],TBKaishaInfo[まで],"NohayMarrano",0,1)</f>
        <v>NohayMarrano</v>
      </c>
    </row>
    <row r="128" spans="1:29" hidden="1">
      <c r="A128" s="424">
        <f>SUBTOTAL(103,$C$3:C128)</f>
        <v>18</v>
      </c>
      <c r="B128" s="159">
        <v>166</v>
      </c>
      <c r="C128" s="88" t="str">
        <f>_xlfn.XLOOKUP($F$1&amp;B128,Filtro!B:B,Filtro!D:D,"",0,1)</f>
        <v/>
      </c>
      <c r="D128" s="88" t="str">
        <f>_xlfn.XLOOKUP($F$1&amp;B128,Filtro!B:B,Filtro!C:C,"",0,1)</f>
        <v/>
      </c>
      <c r="E128" s="88" t="str">
        <f>_xlfn.XLOOKUP($F$1&amp;B128,Filtro!B:B,Filtro!E:E,"",0,1)</f>
        <v/>
      </c>
      <c r="F128" s="88" t="str">
        <f>_xlfn.XLOOKUP($F$1&amp;B128,Filtro!B:B,Filtro!G:G,"",0,1)</f>
        <v/>
      </c>
      <c r="G128" s="88" t="str">
        <f ca="1">MID(TablaTransfor[[#This Row],[配属先]],1,8)</f>
        <v/>
      </c>
      <c r="H128" s="88" t="str">
        <f ca="1">MID(TablaTransfor[[#This Row],[配属先]],9,6)</f>
        <v/>
      </c>
      <c r="I128" s="88" t="str">
        <f>_xlfn.XLOOKUP($C128,DBGenzai[社員№],DBGenzai[仕事内容],"",0,1)</f>
        <v/>
      </c>
      <c r="J128" s="88" t="str">
        <f>_xlfn.XLOOKUP($F$1&amp;B128,Filtro!B:B,Filtro!H:H,"",0,1)</f>
        <v/>
      </c>
      <c r="K128" s="88" t="str">
        <f>_xlfn.XLOOKUP($F$1&amp;B128,Filtro!B:B,Filtro!J:J,"",0,1)</f>
        <v/>
      </c>
      <c r="L128" s="88" t="str">
        <f ca="1">IF(TablaTransfor[[#This Row],[氏名]]="","",IF(TablaTransfor[[#This Row],[氏名]]&lt;"0","記号",IF(NOT(EXACT(UPPER(TablaTransfor[[#This Row],[氏名]]),LOWER(TablaTransfor[[#This Row],[氏名]]))),_xlfn.XLOOKUP($C128,DBGenzai[社員№],DBGenzai[カナ],"",0,1),_xlfn.XLOOKUP($C128,DBGenzai[社員№],DBGenzai[氏名],"",0,1))))</f>
        <v/>
      </c>
      <c r="M128" s="88" t="str">
        <f>_xlfn.XLOOKUP($C128,DBGenzai[社員№],DBGenzai[性別],"",0,1)</f>
        <v/>
      </c>
      <c r="N128" s="88" t="str">
        <f>_xlfn.XLOOKUP($C128,DBGenzai[社員№],DBGenzai[国籍],"",0,1)</f>
        <v/>
      </c>
      <c r="O128" s="89" t="str">
        <f>_xlfn.XLOOKUP($C128,DBGenzai[社員№],DBGenzai[生年月日],"",0,1)</f>
        <v/>
      </c>
      <c r="P128" s="88" t="str">
        <f>_xlfn.XLOOKUP($F$1&amp;B128,Filtro!B:B,Filtro!O:O,"",0,1)</f>
        <v/>
      </c>
      <c r="Q128" s="88" t="str">
        <f>_xlfn.XLOOKUP($F$1&amp;B128,Filtro!B:B,Filtro!P:P,"",0,1)</f>
        <v/>
      </c>
      <c r="R128" s="426" t="str">
        <f>_xlfn.XLOOKUP($F$1&amp;B128,Filtro!B:B,Filtro!R:R,"",0,1)</f>
        <v/>
      </c>
      <c r="S128" s="88" t="str">
        <f>_xlfn.XLOOKUP($C128,DBGenzai[社員№],DBGenzai[〒],"",0,1)</f>
        <v/>
      </c>
      <c r="T128" s="88" t="str">
        <f>_xlfn.XLOOKUP($C128,DBGenzai[社員№],DBGenzai[住所],"",0,1)</f>
        <v/>
      </c>
      <c r="U128" s="88" t="str">
        <f>_xlfn.XLOOKUP($C128,DBGenzai[社員№],DBGenzai[ｱﾊﾟｰﾄ],"",0,1)</f>
        <v/>
      </c>
      <c r="V128" s="89" t="str">
        <f>_xlfn.XLOOKUP($C128,DBGenzai[社員№],DBGenzai[入居],"",0,1)</f>
        <v/>
      </c>
      <c r="W128" s="89" t="str">
        <f>_xlfn.XLOOKUP($F$1&amp;B128,Filtro!B:B,Filtro!AF:AF,"",0,1)</f>
        <v/>
      </c>
      <c r="X128" s="89" t="str">
        <f>_xlfn.XLOOKUP($C128,DBGenzai[社員№],DBGenzai[退社日],"",0,1)</f>
        <v/>
      </c>
      <c r="Y128" s="88" t="str">
        <f>_xlfn.XLOOKUP($C128,DBGenzai[社員№],DBGenzai[退去],"",0,1)</f>
        <v/>
      </c>
      <c r="Z128" s="88" t="str">
        <f>_xlfn.XLOOKUP($C128,DBGenzai[社員№],DBGenzai[備考],"",0,1)</f>
        <v/>
      </c>
      <c r="AA128" s="422" t="str">
        <f>_xlfn.XLOOKUP($F$1&amp;B128,Filtro!B:B,Filtro!AL:AL,"",0,1)</f>
        <v/>
      </c>
      <c r="AB128" s="157" t="str" cm="1">
        <f t="array" aca="1" ref="AB12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8" s="436" t="str">
        <f ca="1">_xlfn.XLOOKUP(TablaTransfor[[#This Row],[ライン]],TBKaishaInfo[ライン],TBKaishaInfo[まで],"NohayMarrano",0,1)</f>
        <v>NohayMarrano</v>
      </c>
    </row>
    <row r="129" spans="1:29" hidden="1">
      <c r="A129" s="424">
        <f>SUBTOTAL(103,$C$3:C129)</f>
        <v>18</v>
      </c>
      <c r="B129" s="159">
        <v>167</v>
      </c>
      <c r="C129" s="88" t="str">
        <f>_xlfn.XLOOKUP($F$1&amp;B129,Filtro!B:B,Filtro!D:D,"",0,1)</f>
        <v/>
      </c>
      <c r="D129" s="88" t="str">
        <f>_xlfn.XLOOKUP($F$1&amp;B129,Filtro!B:B,Filtro!C:C,"",0,1)</f>
        <v/>
      </c>
      <c r="E129" s="88" t="str">
        <f>_xlfn.XLOOKUP($F$1&amp;B129,Filtro!B:B,Filtro!E:E,"",0,1)</f>
        <v/>
      </c>
      <c r="F129" s="88" t="str">
        <f>_xlfn.XLOOKUP($F$1&amp;B129,Filtro!B:B,Filtro!G:G,"",0,1)</f>
        <v/>
      </c>
      <c r="G129" s="88" t="str">
        <f ca="1">MID(TablaTransfor[[#This Row],[配属先]],1,8)</f>
        <v/>
      </c>
      <c r="H129" s="88" t="str">
        <f ca="1">MID(TablaTransfor[[#This Row],[配属先]],9,6)</f>
        <v/>
      </c>
      <c r="I129" s="88" t="str">
        <f>_xlfn.XLOOKUP($C129,DBGenzai[社員№],DBGenzai[仕事内容],"",0,1)</f>
        <v/>
      </c>
      <c r="J129" s="88" t="str">
        <f>_xlfn.XLOOKUP($F$1&amp;B129,Filtro!B:B,Filtro!H:H,"",0,1)</f>
        <v/>
      </c>
      <c r="K129" s="88" t="str">
        <f>_xlfn.XLOOKUP($F$1&amp;B129,Filtro!B:B,Filtro!J:J,"",0,1)</f>
        <v/>
      </c>
      <c r="L129" s="88" t="str">
        <f ca="1">IF(TablaTransfor[[#This Row],[氏名]]="","",IF(TablaTransfor[[#This Row],[氏名]]&lt;"0","記号",IF(NOT(EXACT(UPPER(TablaTransfor[[#This Row],[氏名]]),LOWER(TablaTransfor[[#This Row],[氏名]]))),_xlfn.XLOOKUP($C129,DBGenzai[社員№],DBGenzai[カナ],"",0,1),_xlfn.XLOOKUP($C129,DBGenzai[社員№],DBGenzai[氏名],"",0,1))))</f>
        <v/>
      </c>
      <c r="M129" s="88" t="str">
        <f>_xlfn.XLOOKUP($C129,DBGenzai[社員№],DBGenzai[性別],"",0,1)</f>
        <v/>
      </c>
      <c r="N129" s="88" t="str">
        <f>_xlfn.XLOOKUP($C129,DBGenzai[社員№],DBGenzai[国籍],"",0,1)</f>
        <v/>
      </c>
      <c r="O129" s="89" t="str">
        <f>_xlfn.XLOOKUP($C129,DBGenzai[社員№],DBGenzai[生年月日],"",0,1)</f>
        <v/>
      </c>
      <c r="P129" s="88" t="str">
        <f>_xlfn.XLOOKUP($F$1&amp;B129,Filtro!B:B,Filtro!O:O,"",0,1)</f>
        <v/>
      </c>
      <c r="Q129" s="88" t="str">
        <f>_xlfn.XLOOKUP($F$1&amp;B129,Filtro!B:B,Filtro!P:P,"",0,1)</f>
        <v/>
      </c>
      <c r="R129" s="426" t="str">
        <f>_xlfn.XLOOKUP($F$1&amp;B129,Filtro!B:B,Filtro!R:R,"",0,1)</f>
        <v/>
      </c>
      <c r="S129" s="88" t="str">
        <f>_xlfn.XLOOKUP($C129,DBGenzai[社員№],DBGenzai[〒],"",0,1)</f>
        <v/>
      </c>
      <c r="T129" s="88" t="str">
        <f>_xlfn.XLOOKUP($C129,DBGenzai[社員№],DBGenzai[住所],"",0,1)</f>
        <v/>
      </c>
      <c r="U129" s="88" t="str">
        <f>_xlfn.XLOOKUP($C129,DBGenzai[社員№],DBGenzai[ｱﾊﾟｰﾄ],"",0,1)</f>
        <v/>
      </c>
      <c r="V129" s="89" t="str">
        <f>_xlfn.XLOOKUP($C129,DBGenzai[社員№],DBGenzai[入居],"",0,1)</f>
        <v/>
      </c>
      <c r="W129" s="89" t="str">
        <f>_xlfn.XLOOKUP($F$1&amp;B129,Filtro!B:B,Filtro!AF:AF,"",0,1)</f>
        <v/>
      </c>
      <c r="X129" s="89" t="str">
        <f>_xlfn.XLOOKUP($C129,DBGenzai[社員№],DBGenzai[退社日],"",0,1)</f>
        <v/>
      </c>
      <c r="Y129" s="88" t="str">
        <f>_xlfn.XLOOKUP($C129,DBGenzai[社員№],DBGenzai[退去],"",0,1)</f>
        <v/>
      </c>
      <c r="Z129" s="88" t="str">
        <f>_xlfn.XLOOKUP($C129,DBGenzai[社員№],DBGenzai[備考],"",0,1)</f>
        <v/>
      </c>
      <c r="AA129" s="422" t="str">
        <f>_xlfn.XLOOKUP($F$1&amp;B129,Filtro!B:B,Filtro!AL:AL,"",0,1)</f>
        <v/>
      </c>
      <c r="AB129" s="157" t="str" cm="1">
        <f t="array" aca="1" ref="AB12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29" s="436" t="str">
        <f ca="1">_xlfn.XLOOKUP(TablaTransfor[[#This Row],[ライン]],TBKaishaInfo[ライン],TBKaishaInfo[まで],"NohayMarrano",0,1)</f>
        <v>NohayMarrano</v>
      </c>
    </row>
    <row r="130" spans="1:29" hidden="1">
      <c r="A130" s="424">
        <f>SUBTOTAL(103,$C$3:C130)</f>
        <v>18</v>
      </c>
      <c r="B130" s="159">
        <v>168</v>
      </c>
      <c r="C130" s="88" t="str">
        <f>_xlfn.XLOOKUP($F$1&amp;B130,Filtro!B:B,Filtro!D:D,"",0,1)</f>
        <v/>
      </c>
      <c r="D130" s="88" t="str">
        <f>_xlfn.XLOOKUP($F$1&amp;B130,Filtro!B:B,Filtro!C:C,"",0,1)</f>
        <v/>
      </c>
      <c r="E130" s="88" t="str">
        <f>_xlfn.XLOOKUP($F$1&amp;B130,Filtro!B:B,Filtro!E:E,"",0,1)</f>
        <v/>
      </c>
      <c r="F130" s="88" t="str">
        <f>_xlfn.XLOOKUP($F$1&amp;B130,Filtro!B:B,Filtro!G:G,"",0,1)</f>
        <v/>
      </c>
      <c r="G130" s="88" t="str">
        <f ca="1">MID(TablaTransfor[[#This Row],[配属先]],1,8)</f>
        <v/>
      </c>
      <c r="H130" s="88" t="str">
        <f ca="1">MID(TablaTransfor[[#This Row],[配属先]],9,6)</f>
        <v/>
      </c>
      <c r="I130" s="88" t="str">
        <f>_xlfn.XLOOKUP($C130,DBGenzai[社員№],DBGenzai[仕事内容],"",0,1)</f>
        <v/>
      </c>
      <c r="J130" s="88" t="str">
        <f>_xlfn.XLOOKUP($F$1&amp;B130,Filtro!B:B,Filtro!H:H,"",0,1)</f>
        <v/>
      </c>
      <c r="K130" s="88" t="str">
        <f>_xlfn.XLOOKUP($F$1&amp;B130,Filtro!B:B,Filtro!J:J,"",0,1)</f>
        <v/>
      </c>
      <c r="L130" s="88" t="str">
        <f ca="1">IF(TablaTransfor[[#This Row],[氏名]]="","",IF(TablaTransfor[[#This Row],[氏名]]&lt;"0","記号",IF(NOT(EXACT(UPPER(TablaTransfor[[#This Row],[氏名]]),LOWER(TablaTransfor[[#This Row],[氏名]]))),_xlfn.XLOOKUP($C130,DBGenzai[社員№],DBGenzai[カナ],"",0,1),_xlfn.XLOOKUP($C130,DBGenzai[社員№],DBGenzai[氏名],"",0,1))))</f>
        <v/>
      </c>
      <c r="M130" s="88" t="str">
        <f>_xlfn.XLOOKUP($C130,DBGenzai[社員№],DBGenzai[性別],"",0,1)</f>
        <v/>
      </c>
      <c r="N130" s="88" t="str">
        <f>_xlfn.XLOOKUP($C130,DBGenzai[社員№],DBGenzai[国籍],"",0,1)</f>
        <v/>
      </c>
      <c r="O130" s="89" t="str">
        <f>_xlfn.XLOOKUP($C130,DBGenzai[社員№],DBGenzai[生年月日],"",0,1)</f>
        <v/>
      </c>
      <c r="P130" s="88" t="str">
        <f>_xlfn.XLOOKUP($F$1&amp;B130,Filtro!B:B,Filtro!O:O,"",0,1)</f>
        <v/>
      </c>
      <c r="Q130" s="88" t="str">
        <f>_xlfn.XLOOKUP($F$1&amp;B130,Filtro!B:B,Filtro!P:P,"",0,1)</f>
        <v/>
      </c>
      <c r="R130" s="426" t="str">
        <f>_xlfn.XLOOKUP($F$1&amp;B130,Filtro!B:B,Filtro!R:R,"",0,1)</f>
        <v/>
      </c>
      <c r="S130" s="88" t="str">
        <f>_xlfn.XLOOKUP($C130,DBGenzai[社員№],DBGenzai[〒],"",0,1)</f>
        <v/>
      </c>
      <c r="T130" s="88" t="str">
        <f>_xlfn.XLOOKUP($C130,DBGenzai[社員№],DBGenzai[住所],"",0,1)</f>
        <v/>
      </c>
      <c r="U130" s="88" t="str">
        <f>_xlfn.XLOOKUP($C130,DBGenzai[社員№],DBGenzai[ｱﾊﾟｰﾄ],"",0,1)</f>
        <v/>
      </c>
      <c r="V130" s="89" t="str">
        <f>_xlfn.XLOOKUP($C130,DBGenzai[社員№],DBGenzai[入居],"",0,1)</f>
        <v/>
      </c>
      <c r="W130" s="89" t="str">
        <f>_xlfn.XLOOKUP($F$1&amp;B130,Filtro!B:B,Filtro!AF:AF,"",0,1)</f>
        <v/>
      </c>
      <c r="X130" s="89" t="str">
        <f>_xlfn.XLOOKUP($C130,DBGenzai[社員№],DBGenzai[退社日],"",0,1)</f>
        <v/>
      </c>
      <c r="Y130" s="88" t="str">
        <f>_xlfn.XLOOKUP($C130,DBGenzai[社員№],DBGenzai[退去],"",0,1)</f>
        <v/>
      </c>
      <c r="Z130" s="88" t="str">
        <f>_xlfn.XLOOKUP($C130,DBGenzai[社員№],DBGenzai[備考],"",0,1)</f>
        <v/>
      </c>
      <c r="AA130" s="422" t="str">
        <f>_xlfn.XLOOKUP($F$1&amp;B130,Filtro!B:B,Filtro!AL:AL,"",0,1)</f>
        <v/>
      </c>
      <c r="AB130" s="157" t="str" cm="1">
        <f t="array" aca="1" ref="AB13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0" s="436" t="str">
        <f ca="1">_xlfn.XLOOKUP(TablaTransfor[[#This Row],[ライン]],TBKaishaInfo[ライン],TBKaishaInfo[まで],"NohayMarrano",0,1)</f>
        <v>NohayMarrano</v>
      </c>
    </row>
    <row r="131" spans="1:29" hidden="1">
      <c r="A131" s="424">
        <f>SUBTOTAL(103,$C$3:C131)</f>
        <v>18</v>
      </c>
      <c r="B131" s="159">
        <v>169</v>
      </c>
      <c r="C131" s="88" t="str">
        <f>_xlfn.XLOOKUP($F$1&amp;B131,Filtro!B:B,Filtro!D:D,"",0,1)</f>
        <v/>
      </c>
      <c r="D131" s="88" t="str">
        <f>_xlfn.XLOOKUP($F$1&amp;B131,Filtro!B:B,Filtro!C:C,"",0,1)</f>
        <v/>
      </c>
      <c r="E131" s="88" t="str">
        <f>_xlfn.XLOOKUP($F$1&amp;B131,Filtro!B:B,Filtro!E:E,"",0,1)</f>
        <v/>
      </c>
      <c r="F131" s="88" t="str">
        <f>_xlfn.XLOOKUP($F$1&amp;B131,Filtro!B:B,Filtro!G:G,"",0,1)</f>
        <v/>
      </c>
      <c r="G131" s="88" t="str">
        <f ca="1">MID(TablaTransfor[[#This Row],[配属先]],1,8)</f>
        <v/>
      </c>
      <c r="H131" s="88" t="str">
        <f ca="1">MID(TablaTransfor[[#This Row],[配属先]],9,6)</f>
        <v/>
      </c>
      <c r="I131" s="88" t="str">
        <f>_xlfn.XLOOKUP($C131,DBGenzai[社員№],DBGenzai[仕事内容],"",0,1)</f>
        <v/>
      </c>
      <c r="J131" s="88" t="str">
        <f>_xlfn.XLOOKUP($F$1&amp;B131,Filtro!B:B,Filtro!H:H,"",0,1)</f>
        <v/>
      </c>
      <c r="K131" s="88" t="str">
        <f>_xlfn.XLOOKUP($F$1&amp;B131,Filtro!B:B,Filtro!J:J,"",0,1)</f>
        <v/>
      </c>
      <c r="L131" s="88" t="str">
        <f ca="1">IF(TablaTransfor[[#This Row],[氏名]]="","",IF(TablaTransfor[[#This Row],[氏名]]&lt;"0","記号",IF(NOT(EXACT(UPPER(TablaTransfor[[#This Row],[氏名]]),LOWER(TablaTransfor[[#This Row],[氏名]]))),_xlfn.XLOOKUP($C131,DBGenzai[社員№],DBGenzai[カナ],"",0,1),_xlfn.XLOOKUP($C131,DBGenzai[社員№],DBGenzai[氏名],"",0,1))))</f>
        <v/>
      </c>
      <c r="M131" s="88" t="str">
        <f>_xlfn.XLOOKUP($C131,DBGenzai[社員№],DBGenzai[性別],"",0,1)</f>
        <v/>
      </c>
      <c r="N131" s="88" t="str">
        <f>_xlfn.XLOOKUP($C131,DBGenzai[社員№],DBGenzai[国籍],"",0,1)</f>
        <v/>
      </c>
      <c r="O131" s="89" t="str">
        <f>_xlfn.XLOOKUP($C131,DBGenzai[社員№],DBGenzai[生年月日],"",0,1)</f>
        <v/>
      </c>
      <c r="P131" s="88" t="str">
        <f>_xlfn.XLOOKUP($F$1&amp;B131,Filtro!B:B,Filtro!O:O,"",0,1)</f>
        <v/>
      </c>
      <c r="Q131" s="88" t="str">
        <f>_xlfn.XLOOKUP($F$1&amp;B131,Filtro!B:B,Filtro!P:P,"",0,1)</f>
        <v/>
      </c>
      <c r="R131" s="426" t="str">
        <f>_xlfn.XLOOKUP($F$1&amp;B131,Filtro!B:B,Filtro!R:R,"",0,1)</f>
        <v/>
      </c>
      <c r="S131" s="88" t="str">
        <f>_xlfn.XLOOKUP($C131,DBGenzai[社員№],DBGenzai[〒],"",0,1)</f>
        <v/>
      </c>
      <c r="T131" s="88" t="str">
        <f>_xlfn.XLOOKUP($C131,DBGenzai[社員№],DBGenzai[住所],"",0,1)</f>
        <v/>
      </c>
      <c r="U131" s="88" t="str">
        <f>_xlfn.XLOOKUP($C131,DBGenzai[社員№],DBGenzai[ｱﾊﾟｰﾄ],"",0,1)</f>
        <v/>
      </c>
      <c r="V131" s="89" t="str">
        <f>_xlfn.XLOOKUP($C131,DBGenzai[社員№],DBGenzai[入居],"",0,1)</f>
        <v/>
      </c>
      <c r="W131" s="89" t="str">
        <f>_xlfn.XLOOKUP($F$1&amp;B131,Filtro!B:B,Filtro!AF:AF,"",0,1)</f>
        <v/>
      </c>
      <c r="X131" s="89" t="str">
        <f>_xlfn.XLOOKUP($C131,DBGenzai[社員№],DBGenzai[退社日],"",0,1)</f>
        <v/>
      </c>
      <c r="Y131" s="88" t="str">
        <f>_xlfn.XLOOKUP($C131,DBGenzai[社員№],DBGenzai[退去],"",0,1)</f>
        <v/>
      </c>
      <c r="Z131" s="88" t="str">
        <f>_xlfn.XLOOKUP($C131,DBGenzai[社員№],DBGenzai[備考],"",0,1)</f>
        <v/>
      </c>
      <c r="AA131" s="422" t="str">
        <f>_xlfn.XLOOKUP($F$1&amp;B131,Filtro!B:B,Filtro!AL:AL,"",0,1)</f>
        <v/>
      </c>
      <c r="AB131" s="157" t="str" cm="1">
        <f t="array" aca="1" ref="AB13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1" s="436" t="str">
        <f ca="1">_xlfn.XLOOKUP(TablaTransfor[[#This Row],[ライン]],TBKaishaInfo[ライン],TBKaishaInfo[まで],"NohayMarrano",0,1)</f>
        <v>NohayMarrano</v>
      </c>
    </row>
    <row r="132" spans="1:29" hidden="1">
      <c r="A132" s="424">
        <f>SUBTOTAL(103,$C$3:C132)</f>
        <v>18</v>
      </c>
      <c r="B132" s="159">
        <v>170</v>
      </c>
      <c r="C132" s="88" t="str">
        <f>_xlfn.XLOOKUP($F$1&amp;B132,Filtro!B:B,Filtro!D:D,"",0,1)</f>
        <v/>
      </c>
      <c r="D132" s="88" t="str">
        <f>_xlfn.XLOOKUP($F$1&amp;B132,Filtro!B:B,Filtro!C:C,"",0,1)</f>
        <v/>
      </c>
      <c r="E132" s="88" t="str">
        <f>_xlfn.XLOOKUP($F$1&amp;B132,Filtro!B:B,Filtro!E:E,"",0,1)</f>
        <v/>
      </c>
      <c r="F132" s="88" t="str">
        <f>_xlfn.XLOOKUP($F$1&amp;B132,Filtro!B:B,Filtro!G:G,"",0,1)</f>
        <v/>
      </c>
      <c r="G132" s="88" t="str">
        <f ca="1">MID(TablaTransfor[[#This Row],[配属先]],1,8)</f>
        <v/>
      </c>
      <c r="H132" s="88" t="str">
        <f ca="1">MID(TablaTransfor[[#This Row],[配属先]],9,6)</f>
        <v/>
      </c>
      <c r="I132" s="88" t="str">
        <f>_xlfn.XLOOKUP($C132,DBGenzai[社員№],DBGenzai[仕事内容],"",0,1)</f>
        <v/>
      </c>
      <c r="J132" s="88" t="str">
        <f>_xlfn.XLOOKUP($F$1&amp;B132,Filtro!B:B,Filtro!H:H,"",0,1)</f>
        <v/>
      </c>
      <c r="K132" s="88" t="str">
        <f>_xlfn.XLOOKUP($F$1&amp;B132,Filtro!B:B,Filtro!J:J,"",0,1)</f>
        <v/>
      </c>
      <c r="L132" s="88" t="str">
        <f ca="1">IF(TablaTransfor[[#This Row],[氏名]]="","",IF(TablaTransfor[[#This Row],[氏名]]&lt;"0","記号",IF(NOT(EXACT(UPPER(TablaTransfor[[#This Row],[氏名]]),LOWER(TablaTransfor[[#This Row],[氏名]]))),_xlfn.XLOOKUP($C132,DBGenzai[社員№],DBGenzai[カナ],"",0,1),_xlfn.XLOOKUP($C132,DBGenzai[社員№],DBGenzai[氏名],"",0,1))))</f>
        <v/>
      </c>
      <c r="M132" s="88" t="str">
        <f>_xlfn.XLOOKUP($C132,DBGenzai[社員№],DBGenzai[性別],"",0,1)</f>
        <v/>
      </c>
      <c r="N132" s="88" t="str">
        <f>_xlfn.XLOOKUP($C132,DBGenzai[社員№],DBGenzai[国籍],"",0,1)</f>
        <v/>
      </c>
      <c r="O132" s="89" t="str">
        <f>_xlfn.XLOOKUP($C132,DBGenzai[社員№],DBGenzai[生年月日],"",0,1)</f>
        <v/>
      </c>
      <c r="P132" s="88" t="str">
        <f>_xlfn.XLOOKUP($F$1&amp;B132,Filtro!B:B,Filtro!O:O,"",0,1)</f>
        <v/>
      </c>
      <c r="Q132" s="88" t="str">
        <f>_xlfn.XLOOKUP($F$1&amp;B132,Filtro!B:B,Filtro!P:P,"",0,1)</f>
        <v/>
      </c>
      <c r="R132" s="426" t="str">
        <f>_xlfn.XLOOKUP($F$1&amp;B132,Filtro!B:B,Filtro!R:R,"",0,1)</f>
        <v/>
      </c>
      <c r="S132" s="88" t="str">
        <f>_xlfn.XLOOKUP($C132,DBGenzai[社員№],DBGenzai[〒],"",0,1)</f>
        <v/>
      </c>
      <c r="T132" s="88" t="str">
        <f>_xlfn.XLOOKUP($C132,DBGenzai[社員№],DBGenzai[住所],"",0,1)</f>
        <v/>
      </c>
      <c r="U132" s="88" t="str">
        <f>_xlfn.XLOOKUP($C132,DBGenzai[社員№],DBGenzai[ｱﾊﾟｰﾄ],"",0,1)</f>
        <v/>
      </c>
      <c r="V132" s="89" t="str">
        <f>_xlfn.XLOOKUP($C132,DBGenzai[社員№],DBGenzai[入居],"",0,1)</f>
        <v/>
      </c>
      <c r="W132" s="89" t="str">
        <f>_xlfn.XLOOKUP($F$1&amp;B132,Filtro!B:B,Filtro!AF:AF,"",0,1)</f>
        <v/>
      </c>
      <c r="X132" s="89" t="str">
        <f>_xlfn.XLOOKUP($C132,DBGenzai[社員№],DBGenzai[退社日],"",0,1)</f>
        <v/>
      </c>
      <c r="Y132" s="88" t="str">
        <f>_xlfn.XLOOKUP($C132,DBGenzai[社員№],DBGenzai[退去],"",0,1)</f>
        <v/>
      </c>
      <c r="Z132" s="88" t="str">
        <f>_xlfn.XLOOKUP($C132,DBGenzai[社員№],DBGenzai[備考],"",0,1)</f>
        <v/>
      </c>
      <c r="AA132" s="422" t="str">
        <f>_xlfn.XLOOKUP($F$1&amp;B132,Filtro!B:B,Filtro!AL:AL,"",0,1)</f>
        <v/>
      </c>
      <c r="AB132" s="157" t="str" cm="1">
        <f t="array" aca="1" ref="AB13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2" s="436" t="str">
        <f ca="1">_xlfn.XLOOKUP(TablaTransfor[[#This Row],[ライン]],TBKaishaInfo[ライン],TBKaishaInfo[まで],"NohayMarrano",0,1)</f>
        <v>NohayMarrano</v>
      </c>
    </row>
    <row r="133" spans="1:29" hidden="1">
      <c r="A133" s="424">
        <f>SUBTOTAL(103,$C$3:C133)</f>
        <v>18</v>
      </c>
      <c r="B133" s="159">
        <v>171</v>
      </c>
      <c r="C133" s="88" t="str">
        <f>_xlfn.XLOOKUP($F$1&amp;B133,Filtro!B:B,Filtro!D:D,"",0,1)</f>
        <v/>
      </c>
      <c r="D133" s="88" t="str">
        <f>_xlfn.XLOOKUP($F$1&amp;B133,Filtro!B:B,Filtro!C:C,"",0,1)</f>
        <v/>
      </c>
      <c r="E133" s="88" t="str">
        <f>_xlfn.XLOOKUP($F$1&amp;B133,Filtro!B:B,Filtro!E:E,"",0,1)</f>
        <v/>
      </c>
      <c r="F133" s="88" t="str">
        <f>_xlfn.XLOOKUP($F$1&amp;B133,Filtro!B:B,Filtro!G:G,"",0,1)</f>
        <v/>
      </c>
      <c r="G133" s="88" t="str">
        <f ca="1">MID(TablaTransfor[[#This Row],[配属先]],1,8)</f>
        <v/>
      </c>
      <c r="H133" s="88" t="str">
        <f ca="1">MID(TablaTransfor[[#This Row],[配属先]],9,6)</f>
        <v/>
      </c>
      <c r="I133" s="88" t="str">
        <f>_xlfn.XLOOKUP($C133,DBGenzai[社員№],DBGenzai[仕事内容],"",0,1)</f>
        <v/>
      </c>
      <c r="J133" s="88" t="str">
        <f>_xlfn.XLOOKUP($F$1&amp;B133,Filtro!B:B,Filtro!H:H,"",0,1)</f>
        <v/>
      </c>
      <c r="K133" s="88" t="str">
        <f>_xlfn.XLOOKUP($F$1&amp;B133,Filtro!B:B,Filtro!J:J,"",0,1)</f>
        <v/>
      </c>
      <c r="L133" s="88" t="str">
        <f ca="1">IF(TablaTransfor[[#This Row],[氏名]]="","",IF(TablaTransfor[[#This Row],[氏名]]&lt;"0","記号",IF(NOT(EXACT(UPPER(TablaTransfor[[#This Row],[氏名]]),LOWER(TablaTransfor[[#This Row],[氏名]]))),_xlfn.XLOOKUP($C133,DBGenzai[社員№],DBGenzai[カナ],"",0,1),_xlfn.XLOOKUP($C133,DBGenzai[社員№],DBGenzai[氏名],"",0,1))))</f>
        <v/>
      </c>
      <c r="M133" s="88" t="str">
        <f>_xlfn.XLOOKUP($C133,DBGenzai[社員№],DBGenzai[性別],"",0,1)</f>
        <v/>
      </c>
      <c r="N133" s="88" t="str">
        <f>_xlfn.XLOOKUP($C133,DBGenzai[社員№],DBGenzai[国籍],"",0,1)</f>
        <v/>
      </c>
      <c r="O133" s="89" t="str">
        <f>_xlfn.XLOOKUP($C133,DBGenzai[社員№],DBGenzai[生年月日],"",0,1)</f>
        <v/>
      </c>
      <c r="P133" s="88" t="str">
        <f>_xlfn.XLOOKUP($F$1&amp;B133,Filtro!B:B,Filtro!O:O,"",0,1)</f>
        <v/>
      </c>
      <c r="Q133" s="88" t="str">
        <f>_xlfn.XLOOKUP($F$1&amp;B133,Filtro!B:B,Filtro!P:P,"",0,1)</f>
        <v/>
      </c>
      <c r="R133" s="426" t="str">
        <f>_xlfn.XLOOKUP($F$1&amp;B133,Filtro!B:B,Filtro!R:R,"",0,1)</f>
        <v/>
      </c>
      <c r="S133" s="88" t="str">
        <f>_xlfn.XLOOKUP($C133,DBGenzai[社員№],DBGenzai[〒],"",0,1)</f>
        <v/>
      </c>
      <c r="T133" s="88" t="str">
        <f>_xlfn.XLOOKUP($C133,DBGenzai[社員№],DBGenzai[住所],"",0,1)</f>
        <v/>
      </c>
      <c r="U133" s="88" t="str">
        <f>_xlfn.XLOOKUP($C133,DBGenzai[社員№],DBGenzai[ｱﾊﾟｰﾄ],"",0,1)</f>
        <v/>
      </c>
      <c r="V133" s="89" t="str">
        <f>_xlfn.XLOOKUP($C133,DBGenzai[社員№],DBGenzai[入居],"",0,1)</f>
        <v/>
      </c>
      <c r="W133" s="89" t="str">
        <f>_xlfn.XLOOKUP($F$1&amp;B133,Filtro!B:B,Filtro!AF:AF,"",0,1)</f>
        <v/>
      </c>
      <c r="X133" s="89" t="str">
        <f>_xlfn.XLOOKUP($C133,DBGenzai[社員№],DBGenzai[退社日],"",0,1)</f>
        <v/>
      </c>
      <c r="Y133" s="88" t="str">
        <f>_xlfn.XLOOKUP($C133,DBGenzai[社員№],DBGenzai[退去],"",0,1)</f>
        <v/>
      </c>
      <c r="Z133" s="88" t="str">
        <f>_xlfn.XLOOKUP($C133,DBGenzai[社員№],DBGenzai[備考],"",0,1)</f>
        <v/>
      </c>
      <c r="AA133" s="422" t="str">
        <f>_xlfn.XLOOKUP($F$1&amp;B133,Filtro!B:B,Filtro!AL:AL,"",0,1)</f>
        <v/>
      </c>
      <c r="AB133" s="157" t="str" cm="1">
        <f t="array" aca="1" ref="AB13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3" s="436" t="str">
        <f ca="1">_xlfn.XLOOKUP(TablaTransfor[[#This Row],[ライン]],TBKaishaInfo[ライン],TBKaishaInfo[まで],"NohayMarrano",0,1)</f>
        <v>NohayMarrano</v>
      </c>
    </row>
    <row r="134" spans="1:29" hidden="1">
      <c r="A134" s="424">
        <f>SUBTOTAL(103,$C$3:C134)</f>
        <v>18</v>
      </c>
      <c r="B134" s="159">
        <v>172</v>
      </c>
      <c r="C134" s="88" t="str">
        <f>_xlfn.XLOOKUP($F$1&amp;B134,Filtro!B:B,Filtro!D:D,"",0,1)</f>
        <v/>
      </c>
      <c r="D134" s="88" t="str">
        <f>_xlfn.XLOOKUP($F$1&amp;B134,Filtro!B:B,Filtro!C:C,"",0,1)</f>
        <v/>
      </c>
      <c r="E134" s="88" t="str">
        <f>_xlfn.XLOOKUP($F$1&amp;B134,Filtro!B:B,Filtro!E:E,"",0,1)</f>
        <v/>
      </c>
      <c r="F134" s="88" t="str">
        <f>_xlfn.XLOOKUP($F$1&amp;B134,Filtro!B:B,Filtro!G:G,"",0,1)</f>
        <v/>
      </c>
      <c r="G134" s="88" t="str">
        <f ca="1">MID(TablaTransfor[[#This Row],[配属先]],1,8)</f>
        <v/>
      </c>
      <c r="H134" s="88" t="str">
        <f ca="1">MID(TablaTransfor[[#This Row],[配属先]],9,6)</f>
        <v/>
      </c>
      <c r="I134" s="88" t="str">
        <f>_xlfn.XLOOKUP($C134,DBGenzai[社員№],DBGenzai[仕事内容],"",0,1)</f>
        <v/>
      </c>
      <c r="J134" s="88" t="str">
        <f>_xlfn.XLOOKUP($F$1&amp;B134,Filtro!B:B,Filtro!H:H,"",0,1)</f>
        <v/>
      </c>
      <c r="K134" s="88" t="str">
        <f>_xlfn.XLOOKUP($F$1&amp;B134,Filtro!B:B,Filtro!J:J,"",0,1)</f>
        <v/>
      </c>
      <c r="L134" s="88" t="str">
        <f ca="1">IF(TablaTransfor[[#This Row],[氏名]]="","",IF(TablaTransfor[[#This Row],[氏名]]&lt;"0","記号",IF(NOT(EXACT(UPPER(TablaTransfor[[#This Row],[氏名]]),LOWER(TablaTransfor[[#This Row],[氏名]]))),_xlfn.XLOOKUP($C134,DBGenzai[社員№],DBGenzai[カナ],"",0,1),_xlfn.XLOOKUP($C134,DBGenzai[社員№],DBGenzai[氏名],"",0,1))))</f>
        <v/>
      </c>
      <c r="M134" s="88" t="str">
        <f>_xlfn.XLOOKUP($C134,DBGenzai[社員№],DBGenzai[性別],"",0,1)</f>
        <v/>
      </c>
      <c r="N134" s="88" t="str">
        <f>_xlfn.XLOOKUP($C134,DBGenzai[社員№],DBGenzai[国籍],"",0,1)</f>
        <v/>
      </c>
      <c r="O134" s="89" t="str">
        <f>_xlfn.XLOOKUP($C134,DBGenzai[社員№],DBGenzai[生年月日],"",0,1)</f>
        <v/>
      </c>
      <c r="P134" s="88" t="str">
        <f>_xlfn.XLOOKUP($F$1&amp;B134,Filtro!B:B,Filtro!O:O,"",0,1)</f>
        <v/>
      </c>
      <c r="Q134" s="88" t="str">
        <f>_xlfn.XLOOKUP($F$1&amp;B134,Filtro!B:B,Filtro!P:P,"",0,1)</f>
        <v/>
      </c>
      <c r="R134" s="426" t="str">
        <f>_xlfn.XLOOKUP($F$1&amp;B134,Filtro!B:B,Filtro!R:R,"",0,1)</f>
        <v/>
      </c>
      <c r="S134" s="88" t="str">
        <f>_xlfn.XLOOKUP($C134,DBGenzai[社員№],DBGenzai[〒],"",0,1)</f>
        <v/>
      </c>
      <c r="T134" s="88" t="str">
        <f>_xlfn.XLOOKUP($C134,DBGenzai[社員№],DBGenzai[住所],"",0,1)</f>
        <v/>
      </c>
      <c r="U134" s="88" t="str">
        <f>_xlfn.XLOOKUP($C134,DBGenzai[社員№],DBGenzai[ｱﾊﾟｰﾄ],"",0,1)</f>
        <v/>
      </c>
      <c r="V134" s="89" t="str">
        <f>_xlfn.XLOOKUP($C134,DBGenzai[社員№],DBGenzai[入居],"",0,1)</f>
        <v/>
      </c>
      <c r="W134" s="89" t="str">
        <f>_xlfn.XLOOKUP($F$1&amp;B134,Filtro!B:B,Filtro!AF:AF,"",0,1)</f>
        <v/>
      </c>
      <c r="X134" s="89" t="str">
        <f>_xlfn.XLOOKUP($C134,DBGenzai[社員№],DBGenzai[退社日],"",0,1)</f>
        <v/>
      </c>
      <c r="Y134" s="88" t="str">
        <f>_xlfn.XLOOKUP($C134,DBGenzai[社員№],DBGenzai[退去],"",0,1)</f>
        <v/>
      </c>
      <c r="Z134" s="88" t="str">
        <f>_xlfn.XLOOKUP($C134,DBGenzai[社員№],DBGenzai[備考],"",0,1)</f>
        <v/>
      </c>
      <c r="AA134" s="422" t="str">
        <f>_xlfn.XLOOKUP($F$1&amp;B134,Filtro!B:B,Filtro!AL:AL,"",0,1)</f>
        <v/>
      </c>
      <c r="AB134" s="157" t="str" cm="1">
        <f t="array" aca="1" ref="AB13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4" s="436" t="str">
        <f ca="1">_xlfn.XLOOKUP(TablaTransfor[[#This Row],[ライン]],TBKaishaInfo[ライン],TBKaishaInfo[まで],"NohayMarrano",0,1)</f>
        <v>NohayMarrano</v>
      </c>
    </row>
    <row r="135" spans="1:29" hidden="1">
      <c r="A135" s="424">
        <f>SUBTOTAL(103,$C$3:C135)</f>
        <v>18</v>
      </c>
      <c r="B135" s="159">
        <v>173</v>
      </c>
      <c r="C135" s="88" t="str">
        <f>_xlfn.XLOOKUP($F$1&amp;B135,Filtro!B:B,Filtro!D:D,"",0,1)</f>
        <v/>
      </c>
      <c r="D135" s="88" t="str">
        <f>_xlfn.XLOOKUP($F$1&amp;B135,Filtro!B:B,Filtro!C:C,"",0,1)</f>
        <v/>
      </c>
      <c r="E135" s="88" t="str">
        <f>_xlfn.XLOOKUP($F$1&amp;B135,Filtro!B:B,Filtro!E:E,"",0,1)</f>
        <v/>
      </c>
      <c r="F135" s="88" t="str">
        <f>_xlfn.XLOOKUP($F$1&amp;B135,Filtro!B:B,Filtro!G:G,"",0,1)</f>
        <v/>
      </c>
      <c r="G135" s="88" t="str">
        <f ca="1">MID(TablaTransfor[[#This Row],[配属先]],1,8)</f>
        <v/>
      </c>
      <c r="H135" s="88" t="str">
        <f ca="1">MID(TablaTransfor[[#This Row],[配属先]],9,6)</f>
        <v/>
      </c>
      <c r="I135" s="88" t="str">
        <f>_xlfn.XLOOKUP($C135,DBGenzai[社員№],DBGenzai[仕事内容],"",0,1)</f>
        <v/>
      </c>
      <c r="J135" s="88" t="str">
        <f>_xlfn.XLOOKUP($F$1&amp;B135,Filtro!B:B,Filtro!H:H,"",0,1)</f>
        <v/>
      </c>
      <c r="K135" s="88" t="str">
        <f>_xlfn.XLOOKUP($F$1&amp;B135,Filtro!B:B,Filtro!J:J,"",0,1)</f>
        <v/>
      </c>
      <c r="L135" s="88" t="str">
        <f ca="1">IF(TablaTransfor[[#This Row],[氏名]]="","",IF(TablaTransfor[[#This Row],[氏名]]&lt;"0","記号",IF(NOT(EXACT(UPPER(TablaTransfor[[#This Row],[氏名]]),LOWER(TablaTransfor[[#This Row],[氏名]]))),_xlfn.XLOOKUP($C135,DBGenzai[社員№],DBGenzai[カナ],"",0,1),_xlfn.XLOOKUP($C135,DBGenzai[社員№],DBGenzai[氏名],"",0,1))))</f>
        <v/>
      </c>
      <c r="M135" s="88" t="str">
        <f>_xlfn.XLOOKUP($C135,DBGenzai[社員№],DBGenzai[性別],"",0,1)</f>
        <v/>
      </c>
      <c r="N135" s="88" t="str">
        <f>_xlfn.XLOOKUP($C135,DBGenzai[社員№],DBGenzai[国籍],"",0,1)</f>
        <v/>
      </c>
      <c r="O135" s="89" t="str">
        <f>_xlfn.XLOOKUP($C135,DBGenzai[社員№],DBGenzai[生年月日],"",0,1)</f>
        <v/>
      </c>
      <c r="P135" s="88" t="str">
        <f>_xlfn.XLOOKUP($F$1&amp;B135,Filtro!B:B,Filtro!O:O,"",0,1)</f>
        <v/>
      </c>
      <c r="Q135" s="88" t="str">
        <f>_xlfn.XLOOKUP($F$1&amp;B135,Filtro!B:B,Filtro!P:P,"",0,1)</f>
        <v/>
      </c>
      <c r="R135" s="426" t="str">
        <f>_xlfn.XLOOKUP($F$1&amp;B135,Filtro!B:B,Filtro!R:R,"",0,1)</f>
        <v/>
      </c>
      <c r="S135" s="88" t="str">
        <f>_xlfn.XLOOKUP($C135,DBGenzai[社員№],DBGenzai[〒],"",0,1)</f>
        <v/>
      </c>
      <c r="T135" s="88" t="str">
        <f>_xlfn.XLOOKUP($C135,DBGenzai[社員№],DBGenzai[住所],"",0,1)</f>
        <v/>
      </c>
      <c r="U135" s="88" t="str">
        <f>_xlfn.XLOOKUP($C135,DBGenzai[社員№],DBGenzai[ｱﾊﾟｰﾄ],"",0,1)</f>
        <v/>
      </c>
      <c r="V135" s="89" t="str">
        <f>_xlfn.XLOOKUP($C135,DBGenzai[社員№],DBGenzai[入居],"",0,1)</f>
        <v/>
      </c>
      <c r="W135" s="89" t="str">
        <f>_xlfn.XLOOKUP($F$1&amp;B135,Filtro!B:B,Filtro!AF:AF,"",0,1)</f>
        <v/>
      </c>
      <c r="X135" s="89" t="str">
        <f>_xlfn.XLOOKUP($C135,DBGenzai[社員№],DBGenzai[退社日],"",0,1)</f>
        <v/>
      </c>
      <c r="Y135" s="88" t="str">
        <f>_xlfn.XLOOKUP($C135,DBGenzai[社員№],DBGenzai[退去],"",0,1)</f>
        <v/>
      </c>
      <c r="Z135" s="88" t="str">
        <f>_xlfn.XLOOKUP($C135,DBGenzai[社員№],DBGenzai[備考],"",0,1)</f>
        <v/>
      </c>
      <c r="AA135" s="422" t="str">
        <f>_xlfn.XLOOKUP($F$1&amp;B135,Filtro!B:B,Filtro!AL:AL,"",0,1)</f>
        <v/>
      </c>
      <c r="AB135" s="157" t="str" cm="1">
        <f t="array" aca="1" ref="AB13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5" s="436" t="str">
        <f ca="1">_xlfn.XLOOKUP(TablaTransfor[[#This Row],[ライン]],TBKaishaInfo[ライン],TBKaishaInfo[まで],"NohayMarrano",0,1)</f>
        <v>NohayMarrano</v>
      </c>
    </row>
    <row r="136" spans="1:29" hidden="1">
      <c r="A136" s="424">
        <f>SUBTOTAL(103,$C$3:C136)</f>
        <v>18</v>
      </c>
      <c r="B136" s="159">
        <v>174</v>
      </c>
      <c r="C136" s="88" t="str">
        <f>_xlfn.XLOOKUP($F$1&amp;B136,Filtro!B:B,Filtro!D:D,"",0,1)</f>
        <v/>
      </c>
      <c r="D136" s="88" t="str">
        <f>_xlfn.XLOOKUP($F$1&amp;B136,Filtro!B:B,Filtro!C:C,"",0,1)</f>
        <v/>
      </c>
      <c r="E136" s="88" t="str">
        <f>_xlfn.XLOOKUP($F$1&amp;B136,Filtro!B:B,Filtro!E:E,"",0,1)</f>
        <v/>
      </c>
      <c r="F136" s="88" t="str">
        <f>_xlfn.XLOOKUP($F$1&amp;B136,Filtro!B:B,Filtro!G:G,"",0,1)</f>
        <v/>
      </c>
      <c r="G136" s="88" t="str">
        <f ca="1">MID(TablaTransfor[[#This Row],[配属先]],1,8)</f>
        <v/>
      </c>
      <c r="H136" s="88" t="str">
        <f ca="1">MID(TablaTransfor[[#This Row],[配属先]],9,6)</f>
        <v/>
      </c>
      <c r="I136" s="88" t="str">
        <f>_xlfn.XLOOKUP($C136,DBGenzai[社員№],DBGenzai[仕事内容],"",0,1)</f>
        <v/>
      </c>
      <c r="J136" s="88" t="str">
        <f>_xlfn.XLOOKUP($F$1&amp;B136,Filtro!B:B,Filtro!H:H,"",0,1)</f>
        <v/>
      </c>
      <c r="K136" s="88" t="str">
        <f>_xlfn.XLOOKUP($F$1&amp;B136,Filtro!B:B,Filtro!J:J,"",0,1)</f>
        <v/>
      </c>
      <c r="L136" s="88" t="str">
        <f ca="1">IF(TablaTransfor[[#This Row],[氏名]]="","",IF(TablaTransfor[[#This Row],[氏名]]&lt;"0","記号",IF(NOT(EXACT(UPPER(TablaTransfor[[#This Row],[氏名]]),LOWER(TablaTransfor[[#This Row],[氏名]]))),_xlfn.XLOOKUP($C136,DBGenzai[社員№],DBGenzai[カナ],"",0,1),_xlfn.XLOOKUP($C136,DBGenzai[社員№],DBGenzai[氏名],"",0,1))))</f>
        <v/>
      </c>
      <c r="M136" s="88" t="str">
        <f>_xlfn.XLOOKUP($C136,DBGenzai[社員№],DBGenzai[性別],"",0,1)</f>
        <v/>
      </c>
      <c r="N136" s="88" t="str">
        <f>_xlfn.XLOOKUP($C136,DBGenzai[社員№],DBGenzai[国籍],"",0,1)</f>
        <v/>
      </c>
      <c r="O136" s="89" t="str">
        <f>_xlfn.XLOOKUP($C136,DBGenzai[社員№],DBGenzai[生年月日],"",0,1)</f>
        <v/>
      </c>
      <c r="P136" s="88" t="str">
        <f>_xlfn.XLOOKUP($F$1&amp;B136,Filtro!B:B,Filtro!O:O,"",0,1)</f>
        <v/>
      </c>
      <c r="Q136" s="88" t="str">
        <f>_xlfn.XLOOKUP($F$1&amp;B136,Filtro!B:B,Filtro!P:P,"",0,1)</f>
        <v/>
      </c>
      <c r="R136" s="426" t="str">
        <f>_xlfn.XLOOKUP($F$1&amp;B136,Filtro!B:B,Filtro!R:R,"",0,1)</f>
        <v/>
      </c>
      <c r="S136" s="88" t="str">
        <f>_xlfn.XLOOKUP($C136,DBGenzai[社員№],DBGenzai[〒],"",0,1)</f>
        <v/>
      </c>
      <c r="T136" s="88" t="str">
        <f>_xlfn.XLOOKUP($C136,DBGenzai[社員№],DBGenzai[住所],"",0,1)</f>
        <v/>
      </c>
      <c r="U136" s="88" t="str">
        <f>_xlfn.XLOOKUP($C136,DBGenzai[社員№],DBGenzai[ｱﾊﾟｰﾄ],"",0,1)</f>
        <v/>
      </c>
      <c r="V136" s="89" t="str">
        <f>_xlfn.XLOOKUP($C136,DBGenzai[社員№],DBGenzai[入居],"",0,1)</f>
        <v/>
      </c>
      <c r="W136" s="89" t="str">
        <f>_xlfn.XLOOKUP($F$1&amp;B136,Filtro!B:B,Filtro!AF:AF,"",0,1)</f>
        <v/>
      </c>
      <c r="X136" s="89" t="str">
        <f>_xlfn.XLOOKUP($C136,DBGenzai[社員№],DBGenzai[退社日],"",0,1)</f>
        <v/>
      </c>
      <c r="Y136" s="88" t="str">
        <f>_xlfn.XLOOKUP($C136,DBGenzai[社員№],DBGenzai[退去],"",0,1)</f>
        <v/>
      </c>
      <c r="Z136" s="88" t="str">
        <f>_xlfn.XLOOKUP($C136,DBGenzai[社員№],DBGenzai[備考],"",0,1)</f>
        <v/>
      </c>
      <c r="AA136" s="422" t="str">
        <f>_xlfn.XLOOKUP($F$1&amp;B136,Filtro!B:B,Filtro!AL:AL,"",0,1)</f>
        <v/>
      </c>
      <c r="AB136" s="157" t="str" cm="1">
        <f t="array" aca="1" ref="AB13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6" s="436" t="str">
        <f ca="1">_xlfn.XLOOKUP(TablaTransfor[[#This Row],[ライン]],TBKaishaInfo[ライン],TBKaishaInfo[まで],"NohayMarrano",0,1)</f>
        <v>NohayMarrano</v>
      </c>
    </row>
    <row r="137" spans="1:29" hidden="1">
      <c r="A137" s="424">
        <f>SUBTOTAL(103,$C$3:C137)</f>
        <v>18</v>
      </c>
      <c r="B137" s="159">
        <v>175</v>
      </c>
      <c r="C137" s="88" t="str">
        <f>_xlfn.XLOOKUP($F$1&amp;B137,Filtro!B:B,Filtro!D:D,"",0,1)</f>
        <v/>
      </c>
      <c r="D137" s="88" t="str">
        <f>_xlfn.XLOOKUP($F$1&amp;B137,Filtro!B:B,Filtro!C:C,"",0,1)</f>
        <v/>
      </c>
      <c r="E137" s="88" t="str">
        <f>_xlfn.XLOOKUP($F$1&amp;B137,Filtro!B:B,Filtro!E:E,"",0,1)</f>
        <v/>
      </c>
      <c r="F137" s="88" t="str">
        <f>_xlfn.XLOOKUP($F$1&amp;B137,Filtro!B:B,Filtro!G:G,"",0,1)</f>
        <v/>
      </c>
      <c r="G137" s="88" t="str">
        <f ca="1">MID(TablaTransfor[[#This Row],[配属先]],1,8)</f>
        <v/>
      </c>
      <c r="H137" s="88" t="str">
        <f ca="1">MID(TablaTransfor[[#This Row],[配属先]],9,6)</f>
        <v/>
      </c>
      <c r="I137" s="88" t="str">
        <f>_xlfn.XLOOKUP($C137,DBGenzai[社員№],DBGenzai[仕事内容],"",0,1)</f>
        <v/>
      </c>
      <c r="J137" s="88" t="str">
        <f>_xlfn.XLOOKUP($F$1&amp;B137,Filtro!B:B,Filtro!H:H,"",0,1)</f>
        <v/>
      </c>
      <c r="K137" s="88" t="str">
        <f>_xlfn.XLOOKUP($F$1&amp;B137,Filtro!B:B,Filtro!J:J,"",0,1)</f>
        <v/>
      </c>
      <c r="L137" s="88" t="str">
        <f ca="1">IF(TablaTransfor[[#This Row],[氏名]]="","",IF(TablaTransfor[[#This Row],[氏名]]&lt;"0","記号",IF(NOT(EXACT(UPPER(TablaTransfor[[#This Row],[氏名]]),LOWER(TablaTransfor[[#This Row],[氏名]]))),_xlfn.XLOOKUP($C137,DBGenzai[社員№],DBGenzai[カナ],"",0,1),_xlfn.XLOOKUP($C137,DBGenzai[社員№],DBGenzai[氏名],"",0,1))))</f>
        <v/>
      </c>
      <c r="M137" s="88" t="str">
        <f>_xlfn.XLOOKUP($C137,DBGenzai[社員№],DBGenzai[性別],"",0,1)</f>
        <v/>
      </c>
      <c r="N137" s="88" t="str">
        <f>_xlfn.XLOOKUP($C137,DBGenzai[社員№],DBGenzai[国籍],"",0,1)</f>
        <v/>
      </c>
      <c r="O137" s="89" t="str">
        <f>_xlfn.XLOOKUP($C137,DBGenzai[社員№],DBGenzai[生年月日],"",0,1)</f>
        <v/>
      </c>
      <c r="P137" s="88" t="str">
        <f>_xlfn.XLOOKUP($F$1&amp;B137,Filtro!B:B,Filtro!O:O,"",0,1)</f>
        <v/>
      </c>
      <c r="Q137" s="88" t="str">
        <f>_xlfn.XLOOKUP($F$1&amp;B137,Filtro!B:B,Filtro!P:P,"",0,1)</f>
        <v/>
      </c>
      <c r="R137" s="426" t="str">
        <f>_xlfn.XLOOKUP($F$1&amp;B137,Filtro!B:B,Filtro!R:R,"",0,1)</f>
        <v/>
      </c>
      <c r="S137" s="88" t="str">
        <f>_xlfn.XLOOKUP($C137,DBGenzai[社員№],DBGenzai[〒],"",0,1)</f>
        <v/>
      </c>
      <c r="T137" s="88" t="str">
        <f>_xlfn.XLOOKUP($C137,DBGenzai[社員№],DBGenzai[住所],"",0,1)</f>
        <v/>
      </c>
      <c r="U137" s="88" t="str">
        <f>_xlfn.XLOOKUP($C137,DBGenzai[社員№],DBGenzai[ｱﾊﾟｰﾄ],"",0,1)</f>
        <v/>
      </c>
      <c r="V137" s="89" t="str">
        <f>_xlfn.XLOOKUP($C137,DBGenzai[社員№],DBGenzai[入居],"",0,1)</f>
        <v/>
      </c>
      <c r="W137" s="89" t="str">
        <f>_xlfn.XLOOKUP($F$1&amp;B137,Filtro!B:B,Filtro!AF:AF,"",0,1)</f>
        <v/>
      </c>
      <c r="X137" s="89" t="str">
        <f>_xlfn.XLOOKUP($C137,DBGenzai[社員№],DBGenzai[退社日],"",0,1)</f>
        <v/>
      </c>
      <c r="Y137" s="88" t="str">
        <f>_xlfn.XLOOKUP($C137,DBGenzai[社員№],DBGenzai[退去],"",0,1)</f>
        <v/>
      </c>
      <c r="Z137" s="88" t="str">
        <f>_xlfn.XLOOKUP($C137,DBGenzai[社員№],DBGenzai[備考],"",0,1)</f>
        <v/>
      </c>
      <c r="AA137" s="422" t="str">
        <f>_xlfn.XLOOKUP($F$1&amp;B137,Filtro!B:B,Filtro!AL:AL,"",0,1)</f>
        <v/>
      </c>
      <c r="AB137" s="157" t="str" cm="1">
        <f t="array" aca="1" ref="AB13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7" s="436" t="str">
        <f ca="1">_xlfn.XLOOKUP(TablaTransfor[[#This Row],[ライン]],TBKaishaInfo[ライン],TBKaishaInfo[まで],"NohayMarrano",0,1)</f>
        <v>NohayMarrano</v>
      </c>
    </row>
    <row r="138" spans="1:29" hidden="1">
      <c r="A138" s="424">
        <f>SUBTOTAL(103,$C$3:C138)</f>
        <v>18</v>
      </c>
      <c r="B138" s="159">
        <v>176</v>
      </c>
      <c r="C138" s="88" t="str">
        <f>_xlfn.XLOOKUP($F$1&amp;B138,Filtro!B:B,Filtro!D:D,"",0,1)</f>
        <v/>
      </c>
      <c r="D138" s="88" t="str">
        <f>_xlfn.XLOOKUP($F$1&amp;B138,Filtro!B:B,Filtro!C:C,"",0,1)</f>
        <v/>
      </c>
      <c r="E138" s="88" t="str">
        <f>_xlfn.XLOOKUP($F$1&amp;B138,Filtro!B:B,Filtro!E:E,"",0,1)</f>
        <v/>
      </c>
      <c r="F138" s="88" t="str">
        <f>_xlfn.XLOOKUP($F$1&amp;B138,Filtro!B:B,Filtro!G:G,"",0,1)</f>
        <v/>
      </c>
      <c r="G138" s="88" t="str">
        <f ca="1">MID(TablaTransfor[[#This Row],[配属先]],1,8)</f>
        <v/>
      </c>
      <c r="H138" s="88" t="str">
        <f ca="1">MID(TablaTransfor[[#This Row],[配属先]],9,6)</f>
        <v/>
      </c>
      <c r="I138" s="88" t="str">
        <f>_xlfn.XLOOKUP($C138,DBGenzai[社員№],DBGenzai[仕事内容],"",0,1)</f>
        <v/>
      </c>
      <c r="J138" s="88" t="str">
        <f>_xlfn.XLOOKUP($F$1&amp;B138,Filtro!B:B,Filtro!H:H,"",0,1)</f>
        <v/>
      </c>
      <c r="K138" s="88" t="str">
        <f>_xlfn.XLOOKUP($F$1&amp;B138,Filtro!B:B,Filtro!J:J,"",0,1)</f>
        <v/>
      </c>
      <c r="L138" s="88" t="str">
        <f ca="1">IF(TablaTransfor[[#This Row],[氏名]]="","",IF(TablaTransfor[[#This Row],[氏名]]&lt;"0","記号",IF(NOT(EXACT(UPPER(TablaTransfor[[#This Row],[氏名]]),LOWER(TablaTransfor[[#This Row],[氏名]]))),_xlfn.XLOOKUP($C138,DBGenzai[社員№],DBGenzai[カナ],"",0,1),_xlfn.XLOOKUP($C138,DBGenzai[社員№],DBGenzai[氏名],"",0,1))))</f>
        <v/>
      </c>
      <c r="M138" s="88" t="str">
        <f>_xlfn.XLOOKUP($C138,DBGenzai[社員№],DBGenzai[性別],"",0,1)</f>
        <v/>
      </c>
      <c r="N138" s="88" t="str">
        <f>_xlfn.XLOOKUP($C138,DBGenzai[社員№],DBGenzai[国籍],"",0,1)</f>
        <v/>
      </c>
      <c r="O138" s="89" t="str">
        <f>_xlfn.XLOOKUP($C138,DBGenzai[社員№],DBGenzai[生年月日],"",0,1)</f>
        <v/>
      </c>
      <c r="P138" s="88" t="str">
        <f>_xlfn.XLOOKUP($F$1&amp;B138,Filtro!B:B,Filtro!O:O,"",0,1)</f>
        <v/>
      </c>
      <c r="Q138" s="88" t="str">
        <f>_xlfn.XLOOKUP($F$1&amp;B138,Filtro!B:B,Filtro!P:P,"",0,1)</f>
        <v/>
      </c>
      <c r="R138" s="426" t="str">
        <f>_xlfn.XLOOKUP($F$1&amp;B138,Filtro!B:B,Filtro!R:R,"",0,1)</f>
        <v/>
      </c>
      <c r="S138" s="88" t="str">
        <f>_xlfn.XLOOKUP($C138,DBGenzai[社員№],DBGenzai[〒],"",0,1)</f>
        <v/>
      </c>
      <c r="T138" s="88" t="str">
        <f>_xlfn.XLOOKUP($C138,DBGenzai[社員№],DBGenzai[住所],"",0,1)</f>
        <v/>
      </c>
      <c r="U138" s="88" t="str">
        <f>_xlfn.XLOOKUP($C138,DBGenzai[社員№],DBGenzai[ｱﾊﾟｰﾄ],"",0,1)</f>
        <v/>
      </c>
      <c r="V138" s="89" t="str">
        <f>_xlfn.XLOOKUP($C138,DBGenzai[社員№],DBGenzai[入居],"",0,1)</f>
        <v/>
      </c>
      <c r="W138" s="89" t="str">
        <f>_xlfn.XLOOKUP($F$1&amp;B138,Filtro!B:B,Filtro!AF:AF,"",0,1)</f>
        <v/>
      </c>
      <c r="X138" s="89" t="str">
        <f>_xlfn.XLOOKUP($C138,DBGenzai[社員№],DBGenzai[退社日],"",0,1)</f>
        <v/>
      </c>
      <c r="Y138" s="88" t="str">
        <f>_xlfn.XLOOKUP($C138,DBGenzai[社員№],DBGenzai[退去],"",0,1)</f>
        <v/>
      </c>
      <c r="Z138" s="88" t="str">
        <f>_xlfn.XLOOKUP($C138,DBGenzai[社員№],DBGenzai[備考],"",0,1)</f>
        <v/>
      </c>
      <c r="AA138" s="422" t="str">
        <f>_xlfn.XLOOKUP($F$1&amp;B138,Filtro!B:B,Filtro!AL:AL,"",0,1)</f>
        <v/>
      </c>
      <c r="AB138" s="157" t="str" cm="1">
        <f t="array" aca="1" ref="AB13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8" s="436" t="str">
        <f ca="1">_xlfn.XLOOKUP(TablaTransfor[[#This Row],[ライン]],TBKaishaInfo[ライン],TBKaishaInfo[まで],"NohayMarrano",0,1)</f>
        <v>NohayMarrano</v>
      </c>
    </row>
    <row r="139" spans="1:29" hidden="1">
      <c r="A139" s="424">
        <f>SUBTOTAL(103,$C$3:C139)</f>
        <v>18</v>
      </c>
      <c r="B139" s="159">
        <v>177</v>
      </c>
      <c r="C139" s="88" t="str">
        <f>_xlfn.XLOOKUP($F$1&amp;B139,Filtro!B:B,Filtro!D:D,"",0,1)</f>
        <v/>
      </c>
      <c r="D139" s="88" t="str">
        <f>_xlfn.XLOOKUP($F$1&amp;B139,Filtro!B:B,Filtro!C:C,"",0,1)</f>
        <v/>
      </c>
      <c r="E139" s="88" t="str">
        <f>_xlfn.XLOOKUP($F$1&amp;B139,Filtro!B:B,Filtro!E:E,"",0,1)</f>
        <v/>
      </c>
      <c r="F139" s="88" t="str">
        <f>_xlfn.XLOOKUP($F$1&amp;B139,Filtro!B:B,Filtro!G:G,"",0,1)</f>
        <v/>
      </c>
      <c r="G139" s="88" t="str">
        <f ca="1">MID(TablaTransfor[[#This Row],[配属先]],1,8)</f>
        <v/>
      </c>
      <c r="H139" s="88" t="str">
        <f ca="1">MID(TablaTransfor[[#This Row],[配属先]],9,6)</f>
        <v/>
      </c>
      <c r="I139" s="88" t="str">
        <f>_xlfn.XLOOKUP($C139,DBGenzai[社員№],DBGenzai[仕事内容],"",0,1)</f>
        <v/>
      </c>
      <c r="J139" s="88" t="str">
        <f>_xlfn.XLOOKUP($F$1&amp;B139,Filtro!B:B,Filtro!H:H,"",0,1)</f>
        <v/>
      </c>
      <c r="K139" s="88" t="str">
        <f>_xlfn.XLOOKUP($F$1&amp;B139,Filtro!B:B,Filtro!J:J,"",0,1)</f>
        <v/>
      </c>
      <c r="L139" s="88" t="str">
        <f ca="1">IF(TablaTransfor[[#This Row],[氏名]]="","",IF(TablaTransfor[[#This Row],[氏名]]&lt;"0","記号",IF(NOT(EXACT(UPPER(TablaTransfor[[#This Row],[氏名]]),LOWER(TablaTransfor[[#This Row],[氏名]]))),_xlfn.XLOOKUP($C139,DBGenzai[社員№],DBGenzai[カナ],"",0,1),_xlfn.XLOOKUP($C139,DBGenzai[社員№],DBGenzai[氏名],"",0,1))))</f>
        <v/>
      </c>
      <c r="M139" s="88" t="str">
        <f>_xlfn.XLOOKUP($C139,DBGenzai[社員№],DBGenzai[性別],"",0,1)</f>
        <v/>
      </c>
      <c r="N139" s="88" t="str">
        <f>_xlfn.XLOOKUP($C139,DBGenzai[社員№],DBGenzai[国籍],"",0,1)</f>
        <v/>
      </c>
      <c r="O139" s="89" t="str">
        <f>_xlfn.XLOOKUP($C139,DBGenzai[社員№],DBGenzai[生年月日],"",0,1)</f>
        <v/>
      </c>
      <c r="P139" s="88" t="str">
        <f>_xlfn.XLOOKUP($F$1&amp;B139,Filtro!B:B,Filtro!O:O,"",0,1)</f>
        <v/>
      </c>
      <c r="Q139" s="88" t="str">
        <f>_xlfn.XLOOKUP($F$1&amp;B139,Filtro!B:B,Filtro!P:P,"",0,1)</f>
        <v/>
      </c>
      <c r="R139" s="426" t="str">
        <f>_xlfn.XLOOKUP($F$1&amp;B139,Filtro!B:B,Filtro!R:R,"",0,1)</f>
        <v/>
      </c>
      <c r="S139" s="88" t="str">
        <f>_xlfn.XLOOKUP($C139,DBGenzai[社員№],DBGenzai[〒],"",0,1)</f>
        <v/>
      </c>
      <c r="T139" s="88" t="str">
        <f>_xlfn.XLOOKUP($C139,DBGenzai[社員№],DBGenzai[住所],"",0,1)</f>
        <v/>
      </c>
      <c r="U139" s="88" t="str">
        <f>_xlfn.XLOOKUP($C139,DBGenzai[社員№],DBGenzai[ｱﾊﾟｰﾄ],"",0,1)</f>
        <v/>
      </c>
      <c r="V139" s="89" t="str">
        <f>_xlfn.XLOOKUP($C139,DBGenzai[社員№],DBGenzai[入居],"",0,1)</f>
        <v/>
      </c>
      <c r="W139" s="89" t="str">
        <f>_xlfn.XLOOKUP($F$1&amp;B139,Filtro!B:B,Filtro!AF:AF,"",0,1)</f>
        <v/>
      </c>
      <c r="X139" s="89" t="str">
        <f>_xlfn.XLOOKUP($C139,DBGenzai[社員№],DBGenzai[退社日],"",0,1)</f>
        <v/>
      </c>
      <c r="Y139" s="88" t="str">
        <f>_xlfn.XLOOKUP($C139,DBGenzai[社員№],DBGenzai[退去],"",0,1)</f>
        <v/>
      </c>
      <c r="Z139" s="88" t="str">
        <f>_xlfn.XLOOKUP($C139,DBGenzai[社員№],DBGenzai[備考],"",0,1)</f>
        <v/>
      </c>
      <c r="AA139" s="422" t="str">
        <f>_xlfn.XLOOKUP($F$1&amp;B139,Filtro!B:B,Filtro!AL:AL,"",0,1)</f>
        <v/>
      </c>
      <c r="AB139" s="157" t="str" cm="1">
        <f t="array" aca="1" ref="AB13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39" s="436" t="str">
        <f ca="1">_xlfn.XLOOKUP(TablaTransfor[[#This Row],[ライン]],TBKaishaInfo[ライン],TBKaishaInfo[まで],"NohayMarrano",0,1)</f>
        <v>NohayMarrano</v>
      </c>
    </row>
    <row r="140" spans="1:29" hidden="1">
      <c r="A140" s="424">
        <f>SUBTOTAL(103,$C$3:C140)</f>
        <v>18</v>
      </c>
      <c r="B140" s="159">
        <v>178</v>
      </c>
      <c r="C140" s="88" t="str">
        <f>_xlfn.XLOOKUP($F$1&amp;B140,Filtro!B:B,Filtro!D:D,"",0,1)</f>
        <v/>
      </c>
      <c r="D140" s="88" t="str">
        <f>_xlfn.XLOOKUP($F$1&amp;B140,Filtro!B:B,Filtro!C:C,"",0,1)</f>
        <v/>
      </c>
      <c r="E140" s="88" t="str">
        <f>_xlfn.XLOOKUP($F$1&amp;B140,Filtro!B:B,Filtro!E:E,"",0,1)</f>
        <v/>
      </c>
      <c r="F140" s="88" t="str">
        <f>_xlfn.XLOOKUP($F$1&amp;B140,Filtro!B:B,Filtro!G:G,"",0,1)</f>
        <v/>
      </c>
      <c r="G140" s="88" t="str">
        <f ca="1">MID(TablaTransfor[[#This Row],[配属先]],1,8)</f>
        <v/>
      </c>
      <c r="H140" s="88" t="str">
        <f ca="1">MID(TablaTransfor[[#This Row],[配属先]],9,6)</f>
        <v/>
      </c>
      <c r="I140" s="88" t="str">
        <f>_xlfn.XLOOKUP($C140,DBGenzai[社員№],DBGenzai[仕事内容],"",0,1)</f>
        <v/>
      </c>
      <c r="J140" s="88" t="str">
        <f>_xlfn.XLOOKUP($F$1&amp;B140,Filtro!B:B,Filtro!H:H,"",0,1)</f>
        <v/>
      </c>
      <c r="K140" s="88" t="str">
        <f>_xlfn.XLOOKUP($F$1&amp;B140,Filtro!B:B,Filtro!J:J,"",0,1)</f>
        <v/>
      </c>
      <c r="L140" s="88" t="str">
        <f ca="1">IF(TablaTransfor[[#This Row],[氏名]]="","",IF(TablaTransfor[[#This Row],[氏名]]&lt;"0","記号",IF(NOT(EXACT(UPPER(TablaTransfor[[#This Row],[氏名]]),LOWER(TablaTransfor[[#This Row],[氏名]]))),_xlfn.XLOOKUP($C140,DBGenzai[社員№],DBGenzai[カナ],"",0,1),_xlfn.XLOOKUP($C140,DBGenzai[社員№],DBGenzai[氏名],"",0,1))))</f>
        <v/>
      </c>
      <c r="M140" s="88" t="str">
        <f>_xlfn.XLOOKUP($C140,DBGenzai[社員№],DBGenzai[性別],"",0,1)</f>
        <v/>
      </c>
      <c r="N140" s="88" t="str">
        <f>_xlfn.XLOOKUP($C140,DBGenzai[社員№],DBGenzai[国籍],"",0,1)</f>
        <v/>
      </c>
      <c r="O140" s="89" t="str">
        <f>_xlfn.XLOOKUP($C140,DBGenzai[社員№],DBGenzai[生年月日],"",0,1)</f>
        <v/>
      </c>
      <c r="P140" s="88" t="str">
        <f>_xlfn.XLOOKUP($F$1&amp;B140,Filtro!B:B,Filtro!O:O,"",0,1)</f>
        <v/>
      </c>
      <c r="Q140" s="88" t="str">
        <f>_xlfn.XLOOKUP($F$1&amp;B140,Filtro!B:B,Filtro!P:P,"",0,1)</f>
        <v/>
      </c>
      <c r="R140" s="426" t="str">
        <f>_xlfn.XLOOKUP($F$1&amp;B140,Filtro!B:B,Filtro!R:R,"",0,1)</f>
        <v/>
      </c>
      <c r="S140" s="88" t="str">
        <f>_xlfn.XLOOKUP($C140,DBGenzai[社員№],DBGenzai[〒],"",0,1)</f>
        <v/>
      </c>
      <c r="T140" s="88" t="str">
        <f>_xlfn.XLOOKUP($C140,DBGenzai[社員№],DBGenzai[住所],"",0,1)</f>
        <v/>
      </c>
      <c r="U140" s="88" t="str">
        <f>_xlfn.XLOOKUP($C140,DBGenzai[社員№],DBGenzai[ｱﾊﾟｰﾄ],"",0,1)</f>
        <v/>
      </c>
      <c r="V140" s="89" t="str">
        <f>_xlfn.XLOOKUP($C140,DBGenzai[社員№],DBGenzai[入居],"",0,1)</f>
        <v/>
      </c>
      <c r="W140" s="89" t="str">
        <f>_xlfn.XLOOKUP($F$1&amp;B140,Filtro!B:B,Filtro!AF:AF,"",0,1)</f>
        <v/>
      </c>
      <c r="X140" s="89" t="str">
        <f>_xlfn.XLOOKUP($C140,DBGenzai[社員№],DBGenzai[退社日],"",0,1)</f>
        <v/>
      </c>
      <c r="Y140" s="88" t="str">
        <f>_xlfn.XLOOKUP($C140,DBGenzai[社員№],DBGenzai[退去],"",0,1)</f>
        <v/>
      </c>
      <c r="Z140" s="88" t="str">
        <f>_xlfn.XLOOKUP($C140,DBGenzai[社員№],DBGenzai[備考],"",0,1)</f>
        <v/>
      </c>
      <c r="AA140" s="422" t="str">
        <f>_xlfn.XLOOKUP($F$1&amp;B140,Filtro!B:B,Filtro!AL:AL,"",0,1)</f>
        <v/>
      </c>
      <c r="AB140" s="157" t="str" cm="1">
        <f t="array" aca="1" ref="AB14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40" s="436" t="str">
        <f ca="1">_xlfn.XLOOKUP(TablaTransfor[[#This Row],[ライン]],TBKaishaInfo[ライン],TBKaishaInfo[まで],"NohayMarrano",0,1)</f>
        <v>NohayMarrano</v>
      </c>
    </row>
    <row r="141" spans="1:29">
      <c r="A141" s="424">
        <f>SUBTOTAL(103,$C$3:C141)</f>
        <v>19</v>
      </c>
      <c r="B141" s="159">
        <v>54</v>
      </c>
      <c r="C141" s="88">
        <f>_xlfn.XLOOKUP($F$1&amp;B141,Filtro!B:B,Filtro!D:D,"",0,1)</f>
        <v>250604</v>
      </c>
      <c r="D141" s="88" t="str">
        <f>_xlfn.XLOOKUP($F$1&amp;B141,Filtro!B:B,Filtro!C:C,"",0,1)</f>
        <v>在職中</v>
      </c>
      <c r="E141" s="88">
        <f>_xlfn.XLOOKUP($F$1&amp;B141,Filtro!B:B,Filtro!E:E,"",0,1)</f>
        <v>212056</v>
      </c>
      <c r="F141" s="88" t="str">
        <f>_xlfn.XLOOKUP($F$1&amp;B141,Filtro!B:B,Filtro!G:G,"",0,1)</f>
        <v>高雄工業株式会社第一営業部本社営業課</v>
      </c>
      <c r="G141" s="88" t="str">
        <f ca="1">MID(TablaTransfor[[#This Row],[配属先]],1,8)</f>
        <v>高雄工業株式会社</v>
      </c>
      <c r="H141" s="88" t="str">
        <f ca="1">MID(TablaTransfor[[#This Row],[配属先]],9,6)</f>
        <v>第一営業部本</v>
      </c>
      <c r="I141" s="88" t="str">
        <f>_xlfn.XLOOKUP($C141,DBGenzai[社員№],DBGenzai[仕事内容],"",0,1)</f>
        <v>鋳造材料の工場内加工ラインへの供給</v>
      </c>
      <c r="J141" s="88" t="str">
        <f>_xlfn.XLOOKUP($F$1&amp;B141,Filtro!B:B,Filtro!H:H,"",0,1)</f>
        <v>リフト作業</v>
      </c>
      <c r="K141" s="88" t="str">
        <f>_xlfn.XLOOKUP($F$1&amp;B141,Filtro!B:B,Filtro!J:J,"",0,1)</f>
        <v>阿波根　カロリーナ　サチコ</v>
      </c>
      <c r="L141" s="88" t="str">
        <f ca="1">IF(TablaTransfor[[#This Row],[氏名]]="","",IF(TablaTransfor[[#This Row],[氏名]]&lt;"0","記号",IF(NOT(EXACT(UPPER(TablaTransfor[[#This Row],[氏名]]),LOWER(TablaTransfor[[#This Row],[氏名]]))),_xlfn.XLOOKUP($C141,DBGenzai[社員№],DBGenzai[カナ],"",0,1),_xlfn.XLOOKUP($C141,DBGenzai[社員№],DBGenzai[氏名],"",0,1))))</f>
        <v>阿波根　カロリーナ　サチコ</v>
      </c>
      <c r="M141" s="88" t="str">
        <f>_xlfn.XLOOKUP($C141,DBGenzai[社員№],DBGenzai[性別],"",0,1)</f>
        <v>女</v>
      </c>
      <c r="N141" s="88" t="str">
        <f>_xlfn.XLOOKUP($C141,DBGenzai[社員№],DBGenzai[国籍],"",0,1)</f>
        <v>日本</v>
      </c>
      <c r="O141" s="89">
        <f>_xlfn.XLOOKUP($C141,DBGenzai[社員№],DBGenzai[生年月日],"",0,1)</f>
        <v>28403</v>
      </c>
      <c r="P141" s="88">
        <f>_xlfn.XLOOKUP($F$1&amp;B141,Filtro!B:B,Filtro!O:O,"",0,1)</f>
        <v>48</v>
      </c>
      <c r="Q141" s="88">
        <f>_xlfn.XLOOKUP($F$1&amp;B141,Filtro!B:B,Filtro!P:P,"",0,1)</f>
        <v>1400</v>
      </c>
      <c r="R141" s="426">
        <f>_xlfn.XLOOKUP($F$1&amp;B141,Filtro!B:B,Filtro!R:R,"",0,1)</f>
        <v>1750</v>
      </c>
      <c r="S141" s="88" t="str">
        <f>_xlfn.XLOOKUP($C141,DBGenzai[社員№],DBGenzai[〒],"",0,1)</f>
        <v>498-0017</v>
      </c>
      <c r="T141" s="88" t="str">
        <f>_xlfn.XLOOKUP($C141,DBGenzai[社員№],DBGenzai[住所],"",0,1)</f>
        <v>愛知県弥富市前ヶ須東勘助90-3</v>
      </c>
      <c r="U141" s="88" t="str">
        <f>_xlfn.XLOOKUP($C141,DBGenzai[社員№],DBGenzai[ｱﾊﾟｰﾄ],"",0,1)</f>
        <v>ｱｰﾙﾗｲﾌ302</v>
      </c>
      <c r="V141" s="89" t="str">
        <f>_xlfn.XLOOKUP($C141,DBGenzai[社員№],DBGenzai[入居],"",0,1)</f>
        <v>個人</v>
      </c>
      <c r="W141" s="89">
        <f>_xlfn.XLOOKUP($F$1&amp;B141,Filtro!B:B,Filtro!AF:AF,"",0,1)</f>
        <v>45812</v>
      </c>
      <c r="X141" s="89">
        <f>_xlfn.XLOOKUP($C141,DBGenzai[社員№],DBGenzai[退社日],"",0,1)</f>
        <v>0</v>
      </c>
      <c r="Y141" s="88">
        <f>_xlfn.XLOOKUP($C141,DBGenzai[社員№],DBGenzai[退去],"",0,1)</f>
        <v>0</v>
      </c>
      <c r="Z141" s="88">
        <f>_xlfn.XLOOKUP($C141,DBGenzai[社員№],DBGenzai[備考],"",0,1)</f>
        <v>0</v>
      </c>
      <c r="AA141" s="422">
        <f>_xlfn.XLOOKUP($F$1&amp;B141,Filtro!B:B,Filtro!AL:AL,"",0,1)</f>
        <v>45812</v>
      </c>
      <c r="AB141" s="157">
        <v>45931</v>
      </c>
      <c r="AC141" s="436">
        <f ca="1">_xlfn.XLOOKUP(TablaTransfor[[#This Row],[ライン]],TBKaishaInfo[ライン],TBKaishaInfo[まで],"NohayMarrano",0,1)</f>
        <v>46295</v>
      </c>
    </row>
    <row r="142" spans="1:29" hidden="1">
      <c r="A142" s="424">
        <f>SUBTOTAL(103,$C$3:C142)</f>
        <v>19</v>
      </c>
      <c r="B142" s="159">
        <v>55</v>
      </c>
      <c r="C142" s="88" t="str">
        <f>_xlfn.XLOOKUP($F$1&amp;B142,Filtro!B:B,Filtro!D:D,"",0,1)</f>
        <v/>
      </c>
      <c r="D142" s="88" t="str">
        <f>_xlfn.XLOOKUP($F$1&amp;B142,Filtro!B:B,Filtro!C:C,"",0,1)</f>
        <v/>
      </c>
      <c r="E142" s="88" t="str">
        <f>_xlfn.XLOOKUP($F$1&amp;B142,Filtro!B:B,Filtro!E:E,"",0,1)</f>
        <v/>
      </c>
      <c r="F142" s="88" t="str">
        <f>_xlfn.XLOOKUP($F$1&amp;B142,Filtro!B:B,Filtro!G:G,"",0,1)</f>
        <v/>
      </c>
      <c r="G142" s="88" t="str">
        <f ca="1">MID(TablaTransfor[[#This Row],[配属先]],1,8)</f>
        <v/>
      </c>
      <c r="H142" s="88" t="str">
        <f ca="1">MID(TablaTransfor[[#This Row],[配属先]],9,6)</f>
        <v/>
      </c>
      <c r="I142" s="88" t="str">
        <f>_xlfn.XLOOKUP($C142,DBGenzai[社員№],DBGenzai[仕事内容],"",0,1)</f>
        <v/>
      </c>
      <c r="J142" s="88" t="str">
        <f>_xlfn.XLOOKUP($F$1&amp;B142,Filtro!B:B,Filtro!H:H,"",0,1)</f>
        <v/>
      </c>
      <c r="K142" s="88" t="str">
        <f>_xlfn.XLOOKUP($F$1&amp;B142,Filtro!B:B,Filtro!J:J,"",0,1)</f>
        <v/>
      </c>
      <c r="L142" s="88" t="str">
        <f ca="1">IF(TablaTransfor[[#This Row],[氏名]]="","",IF(TablaTransfor[[#This Row],[氏名]]&lt;"0","記号",IF(NOT(EXACT(UPPER(TablaTransfor[[#This Row],[氏名]]),LOWER(TablaTransfor[[#This Row],[氏名]]))),_xlfn.XLOOKUP($C142,DBGenzai[社員№],DBGenzai[カナ],"",0,1),_xlfn.XLOOKUP($C142,DBGenzai[社員№],DBGenzai[氏名],"",0,1))))</f>
        <v/>
      </c>
      <c r="M142" s="88" t="str">
        <f>_xlfn.XLOOKUP($C142,DBGenzai[社員№],DBGenzai[性別],"",0,1)</f>
        <v/>
      </c>
      <c r="N142" s="88" t="str">
        <f>_xlfn.XLOOKUP($C142,DBGenzai[社員№],DBGenzai[国籍],"",0,1)</f>
        <v/>
      </c>
      <c r="O142" s="89" t="str">
        <f>_xlfn.XLOOKUP($C142,DBGenzai[社員№],DBGenzai[生年月日],"",0,1)</f>
        <v/>
      </c>
      <c r="P142" s="88" t="str">
        <f>_xlfn.XLOOKUP($F$1&amp;B142,Filtro!B:B,Filtro!O:O,"",0,1)</f>
        <v/>
      </c>
      <c r="Q142" s="88" t="str">
        <f>_xlfn.XLOOKUP($F$1&amp;B142,Filtro!B:B,Filtro!P:P,"",0,1)</f>
        <v/>
      </c>
      <c r="R142" s="426" t="str">
        <f>_xlfn.XLOOKUP($F$1&amp;B142,Filtro!B:B,Filtro!R:R,"",0,1)</f>
        <v/>
      </c>
      <c r="S142" s="88" t="str">
        <f>_xlfn.XLOOKUP($C142,DBGenzai[社員№],DBGenzai[〒],"",0,1)</f>
        <v/>
      </c>
      <c r="T142" s="88" t="str">
        <f>_xlfn.XLOOKUP($C142,DBGenzai[社員№],DBGenzai[住所],"",0,1)</f>
        <v/>
      </c>
      <c r="U142" s="88" t="str">
        <f>_xlfn.XLOOKUP($C142,DBGenzai[社員№],DBGenzai[ｱﾊﾟｰﾄ],"",0,1)</f>
        <v/>
      </c>
      <c r="V142" s="89" t="str">
        <f>_xlfn.XLOOKUP($C142,DBGenzai[社員№],DBGenzai[入居],"",0,1)</f>
        <v/>
      </c>
      <c r="W142" s="89" t="str">
        <f>_xlfn.XLOOKUP($F$1&amp;B142,Filtro!B:B,Filtro!AF:AF,"",0,1)</f>
        <v/>
      </c>
      <c r="X142" s="89" t="str">
        <f>_xlfn.XLOOKUP($C142,DBGenzai[社員№],DBGenzai[退社日],"",0,1)</f>
        <v/>
      </c>
      <c r="Y142" s="88" t="str">
        <f>_xlfn.XLOOKUP($C142,DBGenzai[社員№],DBGenzai[退去],"",0,1)</f>
        <v/>
      </c>
      <c r="Z142" s="88" t="str">
        <f>_xlfn.XLOOKUP($C142,DBGenzai[社員№],DBGenzai[備考],"",0,1)</f>
        <v/>
      </c>
      <c r="AA142" s="422" t="str">
        <f>_xlfn.XLOOKUP($F$1&amp;B142,Filtro!B:B,Filtro!AL:AL,"",0,1)</f>
        <v/>
      </c>
      <c r="AB142" s="157" t="str" cm="1">
        <f t="array" aca="1" ref="AB14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42" s="436" t="str">
        <f ca="1">_xlfn.XLOOKUP(TablaTransfor[[#This Row],[ライン]],TBKaishaInfo[ライン],TBKaishaInfo[まで],"NohayMarrano",0,1)</f>
        <v>NohayMarrano</v>
      </c>
    </row>
    <row r="143" spans="1:29" hidden="1">
      <c r="A143" s="424">
        <f>SUBTOTAL(103,$C$3:C143)</f>
        <v>19</v>
      </c>
      <c r="B143" s="159">
        <v>121</v>
      </c>
      <c r="C143" s="88" t="str">
        <f>_xlfn.XLOOKUP($F$1&amp;B143,Filtro!B:B,Filtro!D:D,"",0,1)</f>
        <v/>
      </c>
      <c r="D143" s="88" t="str">
        <f>_xlfn.XLOOKUP($F$1&amp;B143,Filtro!B:B,Filtro!C:C,"",0,1)</f>
        <v/>
      </c>
      <c r="E143" s="88" t="str">
        <f>_xlfn.XLOOKUP($F$1&amp;B143,Filtro!B:B,Filtro!E:E,"",0,1)</f>
        <v/>
      </c>
      <c r="F143" s="88" t="str">
        <f>_xlfn.XLOOKUP($F$1&amp;B143,Filtro!B:B,Filtro!G:G,"",0,1)</f>
        <v/>
      </c>
      <c r="G143" s="88" t="str">
        <f ca="1">MID(TablaTransfor[[#This Row],[配属先]],1,8)</f>
        <v/>
      </c>
      <c r="H143" s="88" t="str">
        <f ca="1">MID(TablaTransfor[[#This Row],[配属先]],9,6)</f>
        <v/>
      </c>
      <c r="I143" s="88" t="str">
        <f>_xlfn.XLOOKUP($C143,DBGenzai[社員№],DBGenzai[仕事内容],"",0,1)</f>
        <v/>
      </c>
      <c r="J143" s="88" t="str">
        <f>_xlfn.XLOOKUP($F$1&amp;B143,Filtro!B:B,Filtro!H:H,"",0,1)</f>
        <v/>
      </c>
      <c r="K143" s="88" t="str">
        <f>_xlfn.XLOOKUP($F$1&amp;B143,Filtro!B:B,Filtro!J:J,"",0,1)</f>
        <v/>
      </c>
      <c r="L143" s="88" t="str">
        <f ca="1">IF(TablaTransfor[[#This Row],[氏名]]="","",IF(TablaTransfor[[#This Row],[氏名]]&lt;"0","記号",IF(NOT(EXACT(UPPER(TablaTransfor[[#This Row],[氏名]]),LOWER(TablaTransfor[[#This Row],[氏名]]))),_xlfn.XLOOKUP($C143,DBGenzai[社員№],DBGenzai[カナ],"",0,1),_xlfn.XLOOKUP($C143,DBGenzai[社員№],DBGenzai[氏名],"",0,1))))</f>
        <v/>
      </c>
      <c r="M143" s="88" t="str">
        <f>_xlfn.XLOOKUP($C143,DBGenzai[社員№],DBGenzai[性別],"",0,1)</f>
        <v/>
      </c>
      <c r="N143" s="88" t="str">
        <f>_xlfn.XLOOKUP($C143,DBGenzai[社員№],DBGenzai[国籍],"",0,1)</f>
        <v/>
      </c>
      <c r="O143" s="89" t="str">
        <f>_xlfn.XLOOKUP($C143,DBGenzai[社員№],DBGenzai[生年月日],"",0,1)</f>
        <v/>
      </c>
      <c r="P143" s="88" t="str">
        <f>_xlfn.XLOOKUP($F$1&amp;B143,Filtro!B:B,Filtro!O:O,"",0,1)</f>
        <v/>
      </c>
      <c r="Q143" s="88" t="str">
        <f>_xlfn.XLOOKUP($F$1&amp;B143,Filtro!B:B,Filtro!P:P,"",0,1)</f>
        <v/>
      </c>
      <c r="R143" s="426" t="str">
        <f>_xlfn.XLOOKUP($F$1&amp;B143,Filtro!B:B,Filtro!R:R,"",0,1)</f>
        <v/>
      </c>
      <c r="S143" s="88" t="str">
        <f>_xlfn.XLOOKUP($C143,DBGenzai[社員№],DBGenzai[〒],"",0,1)</f>
        <v/>
      </c>
      <c r="T143" s="88" t="str">
        <f>_xlfn.XLOOKUP($C143,DBGenzai[社員№],DBGenzai[住所],"",0,1)</f>
        <v/>
      </c>
      <c r="U143" s="88" t="str">
        <f>_xlfn.XLOOKUP($C143,DBGenzai[社員№],DBGenzai[ｱﾊﾟｰﾄ],"",0,1)</f>
        <v/>
      </c>
      <c r="V143" s="89" t="str">
        <f>_xlfn.XLOOKUP($C143,DBGenzai[社員№],DBGenzai[入居],"",0,1)</f>
        <v/>
      </c>
      <c r="W143" s="89" t="str">
        <f>_xlfn.XLOOKUP($F$1&amp;B143,Filtro!B:B,Filtro!AF:AF,"",0,1)</f>
        <v/>
      </c>
      <c r="X143" s="89" t="str">
        <f>_xlfn.XLOOKUP($C143,DBGenzai[社員№],DBGenzai[退社日],"",0,1)</f>
        <v/>
      </c>
      <c r="Y143" s="88" t="str">
        <f>_xlfn.XLOOKUP($C143,DBGenzai[社員№],DBGenzai[退去],"",0,1)</f>
        <v/>
      </c>
      <c r="Z143" s="88" t="str">
        <f>_xlfn.XLOOKUP($C143,DBGenzai[社員№],DBGenzai[備考],"",0,1)</f>
        <v/>
      </c>
      <c r="AA143" s="422" t="str">
        <f>_xlfn.XLOOKUP($F$1&amp;B143,Filtro!B:B,Filtro!AL:AL,"",0,1)</f>
        <v/>
      </c>
      <c r="AB143" s="157" t="str" cm="1">
        <f t="array" aca="1" ref="AB14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43" s="436" t="str">
        <f ca="1">_xlfn.XLOOKUP(TablaTransfor[[#This Row],[ライン]],TBKaishaInfo[ライン],TBKaishaInfo[まで],"NohayMarrano",0,1)</f>
        <v>NohayMarrano</v>
      </c>
    </row>
    <row r="144" spans="1:29" hidden="1">
      <c r="A144" s="424">
        <f>SUBTOTAL(103,$C$3:C144)</f>
        <v>19</v>
      </c>
      <c r="B144" s="159">
        <v>122</v>
      </c>
      <c r="C144" s="88" t="str">
        <f>_xlfn.XLOOKUP($F$1&amp;B144,Filtro!B:B,Filtro!D:D,"",0,1)</f>
        <v/>
      </c>
      <c r="D144" s="88" t="str">
        <f>_xlfn.XLOOKUP($F$1&amp;B144,Filtro!B:B,Filtro!C:C,"",0,1)</f>
        <v/>
      </c>
      <c r="E144" s="88" t="str">
        <f>_xlfn.XLOOKUP($F$1&amp;B144,Filtro!B:B,Filtro!E:E,"",0,1)</f>
        <v/>
      </c>
      <c r="F144" s="88" t="str">
        <f>_xlfn.XLOOKUP($F$1&amp;B144,Filtro!B:B,Filtro!G:G,"",0,1)</f>
        <v/>
      </c>
      <c r="G144" s="88" t="str">
        <f ca="1">MID(TablaTransfor[[#This Row],[配属先]],1,8)</f>
        <v/>
      </c>
      <c r="H144" s="88" t="str">
        <f ca="1">MID(TablaTransfor[[#This Row],[配属先]],9,6)</f>
        <v/>
      </c>
      <c r="I144" s="88" t="str">
        <f>_xlfn.XLOOKUP($C144,DBGenzai[社員№],DBGenzai[仕事内容],"",0,1)</f>
        <v/>
      </c>
      <c r="J144" s="88" t="str">
        <f>_xlfn.XLOOKUP($F$1&amp;B144,Filtro!B:B,Filtro!H:H,"",0,1)</f>
        <v/>
      </c>
      <c r="K144" s="88" t="str">
        <f>_xlfn.XLOOKUP($F$1&amp;B144,Filtro!B:B,Filtro!J:J,"",0,1)</f>
        <v/>
      </c>
      <c r="L144" s="88" t="str">
        <f ca="1">IF(TablaTransfor[[#This Row],[氏名]]="","",IF(TablaTransfor[[#This Row],[氏名]]&lt;"0","記号",IF(NOT(EXACT(UPPER(TablaTransfor[[#This Row],[氏名]]),LOWER(TablaTransfor[[#This Row],[氏名]]))),_xlfn.XLOOKUP($C144,DBGenzai[社員№],DBGenzai[カナ],"",0,1),_xlfn.XLOOKUP($C144,DBGenzai[社員№],DBGenzai[氏名],"",0,1))))</f>
        <v/>
      </c>
      <c r="M144" s="88" t="str">
        <f>_xlfn.XLOOKUP($C144,DBGenzai[社員№],DBGenzai[性別],"",0,1)</f>
        <v/>
      </c>
      <c r="N144" s="88" t="str">
        <f>_xlfn.XLOOKUP($C144,DBGenzai[社員№],DBGenzai[国籍],"",0,1)</f>
        <v/>
      </c>
      <c r="O144" s="89" t="str">
        <f>_xlfn.XLOOKUP($C144,DBGenzai[社員№],DBGenzai[生年月日],"",0,1)</f>
        <v/>
      </c>
      <c r="P144" s="88" t="str">
        <f>_xlfn.XLOOKUP($F$1&amp;B144,Filtro!B:B,Filtro!O:O,"",0,1)</f>
        <v/>
      </c>
      <c r="Q144" s="88" t="str">
        <f>_xlfn.XLOOKUP($F$1&amp;B144,Filtro!B:B,Filtro!P:P,"",0,1)</f>
        <v/>
      </c>
      <c r="R144" s="426" t="str">
        <f>_xlfn.XLOOKUP($F$1&amp;B144,Filtro!B:B,Filtro!R:R,"",0,1)</f>
        <v/>
      </c>
      <c r="S144" s="88" t="str">
        <f>_xlfn.XLOOKUP($C144,DBGenzai[社員№],DBGenzai[〒],"",0,1)</f>
        <v/>
      </c>
      <c r="T144" s="88" t="str">
        <f>_xlfn.XLOOKUP($C144,DBGenzai[社員№],DBGenzai[住所],"",0,1)</f>
        <v/>
      </c>
      <c r="U144" s="88" t="str">
        <f>_xlfn.XLOOKUP($C144,DBGenzai[社員№],DBGenzai[ｱﾊﾟｰﾄ],"",0,1)</f>
        <v/>
      </c>
      <c r="V144" s="89" t="str">
        <f>_xlfn.XLOOKUP($C144,DBGenzai[社員№],DBGenzai[入居],"",0,1)</f>
        <v/>
      </c>
      <c r="W144" s="89" t="str">
        <f>_xlfn.XLOOKUP($F$1&amp;B144,Filtro!B:B,Filtro!AF:AF,"",0,1)</f>
        <v/>
      </c>
      <c r="X144" s="89" t="str">
        <f>_xlfn.XLOOKUP($C144,DBGenzai[社員№],DBGenzai[退社日],"",0,1)</f>
        <v/>
      </c>
      <c r="Y144" s="88" t="str">
        <f>_xlfn.XLOOKUP($C144,DBGenzai[社員№],DBGenzai[退去],"",0,1)</f>
        <v/>
      </c>
      <c r="Z144" s="88" t="str">
        <f>_xlfn.XLOOKUP($C144,DBGenzai[社員№],DBGenzai[備考],"",0,1)</f>
        <v/>
      </c>
      <c r="AA144" s="422" t="str">
        <f>_xlfn.XLOOKUP($F$1&amp;B144,Filtro!B:B,Filtro!AL:AL,"",0,1)</f>
        <v/>
      </c>
      <c r="AB144" s="157" t="str" cm="1">
        <f t="array" aca="1" ref="AB14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44" s="436" t="str">
        <f ca="1">_xlfn.XLOOKUP(TablaTransfor[[#This Row],[ライン]],TBKaishaInfo[ライン],TBKaishaInfo[まで],"NohayMarrano",0,1)</f>
        <v>NohayMarrano</v>
      </c>
    </row>
    <row r="145" spans="1:29">
      <c r="A145" s="424">
        <f>SUBTOTAL(103,$C$3:C145)</f>
        <v>20</v>
      </c>
      <c r="B145" s="159">
        <v>48</v>
      </c>
      <c r="C145" s="88">
        <f>_xlfn.XLOOKUP($F$1&amp;B145,Filtro!B:B,Filtro!D:D,"",0,1)</f>
        <v>230908</v>
      </c>
      <c r="D145" s="88" t="str">
        <f>_xlfn.XLOOKUP($F$1&amp;B145,Filtro!B:B,Filtro!C:C,"",0,1)</f>
        <v>退社</v>
      </c>
      <c r="E145" s="88">
        <f>_xlfn.XLOOKUP($F$1&amp;B145,Filtro!B:B,Filtro!E:E,"",0,1)</f>
        <v>212043</v>
      </c>
      <c r="F145" s="88" t="str">
        <f>_xlfn.XLOOKUP($F$1&amp;B145,Filtro!B:B,Filtro!G:G,"",0,1)</f>
        <v>高雄工業株式会社 愛知事業所本社工場製作課</v>
      </c>
      <c r="G145" s="88" t="str">
        <f ca="1">MID(TablaTransfor[[#This Row],[配属先]],1,8)</f>
        <v>高雄工業株式会社</v>
      </c>
      <c r="H145" s="88" t="str">
        <f ca="1">MID(TablaTransfor[[#This Row],[配属先]],9,6)</f>
        <v xml:space="preserve"> 愛知事業所</v>
      </c>
      <c r="I145" s="88" t="str">
        <f>_xlfn.XLOOKUP($C145,DBGenzai[社員№],DBGenzai[仕事内容],"",0,1)</f>
        <v>CVJ部品長軸品と短軸品の転造加工。</v>
      </c>
      <c r="J145" s="88" t="str">
        <f>_xlfn.XLOOKUP($F$1&amp;B145,Filtro!B:B,Filtro!H:H,"",0,1)</f>
        <v>Tライン</v>
      </c>
      <c r="K145" s="88" t="str">
        <f>_xlfn.XLOOKUP($F$1&amp;B145,Filtro!B:B,Filtro!J:J,"",0,1)</f>
        <v>LE VAN HAI</v>
      </c>
      <c r="L145" s="88" t="str">
        <f ca="1">IF(TablaTransfor[[#This Row],[氏名]]="","",IF(TablaTransfor[[#This Row],[氏名]]&lt;"0","記号",IF(NOT(EXACT(UPPER(TablaTransfor[[#This Row],[氏名]]),LOWER(TablaTransfor[[#This Row],[氏名]]))),_xlfn.XLOOKUP($C145,DBGenzai[社員№],DBGenzai[カナ],"",0,1),_xlfn.XLOOKUP($C145,DBGenzai[社員№],DBGenzai[氏名],"",0,1))))</f>
        <v>レー　バン　ハイ</v>
      </c>
      <c r="M145" s="88" t="str">
        <f>_xlfn.XLOOKUP($C145,DBGenzai[社員№],DBGenzai[性別],"",0,1)</f>
        <v>男</v>
      </c>
      <c r="N145" s="88" t="str">
        <f>_xlfn.XLOOKUP($C145,DBGenzai[社員№],DBGenzai[国籍],"",0,1)</f>
        <v>ﾍﾞﾄﾅﾑ</v>
      </c>
      <c r="O145" s="89">
        <f>_xlfn.XLOOKUP($C145,DBGenzai[社員№],DBGenzai[生年月日],"",0,1)</f>
        <v>36910</v>
      </c>
      <c r="P145" s="88">
        <f>_xlfn.XLOOKUP($F$1&amp;B145,Filtro!B:B,Filtro!O:O,"",0,1)</f>
        <v>24</v>
      </c>
      <c r="Q145" s="88">
        <f>_xlfn.XLOOKUP($F$1&amp;B145,Filtro!B:B,Filtro!P:P,"",0,1)</f>
        <v>1300</v>
      </c>
      <c r="R145" s="426">
        <f>_xlfn.XLOOKUP($F$1&amp;B145,Filtro!B:B,Filtro!R:R,"",0,1)</f>
        <v>1660</v>
      </c>
      <c r="S145" s="88" t="str">
        <f>_xlfn.XLOOKUP($C145,DBGenzai[社員№],DBGenzai[〒],"",0,1)</f>
        <v>498-0026</v>
      </c>
      <c r="T145" s="88" t="str">
        <f>_xlfn.XLOOKUP($C145,DBGenzai[社員№],DBGenzai[住所],"",0,1)</f>
        <v>愛知県弥富市鯏浦町西前新田119-1</v>
      </c>
      <c r="U145" s="88" t="str">
        <f>_xlfn.XLOOKUP($C145,DBGenzai[社員№],DBGenzai[ｱﾊﾟｰﾄ],"",0,1)</f>
        <v>ﾗｲﾌｺｱ119　301号</v>
      </c>
      <c r="V145" s="89">
        <f>_xlfn.XLOOKUP($C145,DBGenzai[社員№],DBGenzai[入居],"",0,1)</f>
        <v>45181</v>
      </c>
      <c r="W145" s="89">
        <f>_xlfn.XLOOKUP($F$1&amp;B145,Filtro!B:B,Filtro!AF:AF,"",0,1)</f>
        <v>45187</v>
      </c>
      <c r="X145" s="89">
        <f>_xlfn.XLOOKUP($C145,DBGenzai[社員№],DBGenzai[退社日],"",0,1)</f>
        <v>45737</v>
      </c>
      <c r="Y145" s="88">
        <f>_xlfn.XLOOKUP($C145,DBGenzai[社員№],DBGenzai[退去],"",0,1)</f>
        <v>0</v>
      </c>
      <c r="Z145" s="88">
        <f>_xlfn.XLOOKUP($C145,DBGenzai[社員№],DBGenzai[備考],"",0,1)</f>
        <v>0</v>
      </c>
      <c r="AA145" s="422">
        <f>_xlfn.XLOOKUP($F$1&amp;B145,Filtro!B:B,Filtro!AL:AL,"",0,1)</f>
        <v>45187</v>
      </c>
      <c r="AB145" s="157">
        <v>45931</v>
      </c>
      <c r="AC145" s="436">
        <f ca="1">_xlfn.XLOOKUP(TablaTransfor[[#This Row],[ライン]],TBKaishaInfo[ライン],TBKaishaInfo[まで],"NohayMarrano",0,1)</f>
        <v>46295</v>
      </c>
    </row>
    <row r="146" spans="1:29" hidden="1">
      <c r="A146" s="424">
        <f>SUBTOTAL(103,$C$3:C146)</f>
        <v>20</v>
      </c>
      <c r="B146" s="159">
        <v>123</v>
      </c>
      <c r="C146" s="88" t="str">
        <f>_xlfn.XLOOKUP($F$1&amp;B146,Filtro!B:B,Filtro!D:D,"",0,1)</f>
        <v/>
      </c>
      <c r="D146" s="88" t="str">
        <f>_xlfn.XLOOKUP($F$1&amp;B146,Filtro!B:B,Filtro!C:C,"",0,1)</f>
        <v/>
      </c>
      <c r="E146" s="88" t="str">
        <f>_xlfn.XLOOKUP($F$1&amp;B146,Filtro!B:B,Filtro!E:E,"",0,1)</f>
        <v/>
      </c>
      <c r="F146" s="88" t="str">
        <f>_xlfn.XLOOKUP($F$1&amp;B146,Filtro!B:B,Filtro!G:G,"",0,1)</f>
        <v/>
      </c>
      <c r="G146" s="88" t="str">
        <f ca="1">MID(TablaTransfor[[#This Row],[配属先]],1,8)</f>
        <v/>
      </c>
      <c r="H146" s="88" t="str">
        <f ca="1">MID(TablaTransfor[[#This Row],[配属先]],9,6)</f>
        <v/>
      </c>
      <c r="I146" s="88" t="str">
        <f>_xlfn.XLOOKUP($C146,DBGenzai[社員№],DBGenzai[仕事内容],"",0,1)</f>
        <v/>
      </c>
      <c r="J146" s="88" t="str">
        <f>_xlfn.XLOOKUP($F$1&amp;B146,Filtro!B:B,Filtro!H:H,"",0,1)</f>
        <v/>
      </c>
      <c r="K146" s="88" t="str">
        <f>_xlfn.XLOOKUP($F$1&amp;B146,Filtro!B:B,Filtro!J:J,"",0,1)</f>
        <v/>
      </c>
      <c r="L146" s="88" t="str">
        <f ca="1">IF(TablaTransfor[[#This Row],[氏名]]="","",IF(TablaTransfor[[#This Row],[氏名]]&lt;"0","記号",IF(NOT(EXACT(UPPER(TablaTransfor[[#This Row],[氏名]]),LOWER(TablaTransfor[[#This Row],[氏名]]))),_xlfn.XLOOKUP($C146,DBGenzai[社員№],DBGenzai[カナ],"",0,1),_xlfn.XLOOKUP($C146,DBGenzai[社員№],DBGenzai[氏名],"",0,1))))</f>
        <v/>
      </c>
      <c r="M146" s="88" t="str">
        <f>_xlfn.XLOOKUP($C146,DBGenzai[社員№],DBGenzai[性別],"",0,1)</f>
        <v/>
      </c>
      <c r="N146" s="88" t="str">
        <f>_xlfn.XLOOKUP($C146,DBGenzai[社員№],DBGenzai[国籍],"",0,1)</f>
        <v/>
      </c>
      <c r="O146" s="89" t="str">
        <f>_xlfn.XLOOKUP($C146,DBGenzai[社員№],DBGenzai[生年月日],"",0,1)</f>
        <v/>
      </c>
      <c r="P146" s="88" t="str">
        <f>_xlfn.XLOOKUP($F$1&amp;B146,Filtro!B:B,Filtro!O:O,"",0,1)</f>
        <v/>
      </c>
      <c r="Q146" s="88" t="str">
        <f>_xlfn.XLOOKUP($F$1&amp;B146,Filtro!B:B,Filtro!P:P,"",0,1)</f>
        <v/>
      </c>
      <c r="R146" s="426" t="str">
        <f>_xlfn.XLOOKUP($F$1&amp;B146,Filtro!B:B,Filtro!R:R,"",0,1)</f>
        <v/>
      </c>
      <c r="S146" s="88" t="str">
        <f>_xlfn.XLOOKUP($C146,DBGenzai[社員№],DBGenzai[〒],"",0,1)</f>
        <v/>
      </c>
      <c r="T146" s="88" t="str">
        <f>_xlfn.XLOOKUP($C146,DBGenzai[社員№],DBGenzai[住所],"",0,1)</f>
        <v/>
      </c>
      <c r="U146" s="88" t="str">
        <f>_xlfn.XLOOKUP($C146,DBGenzai[社員№],DBGenzai[ｱﾊﾟｰﾄ],"",0,1)</f>
        <v/>
      </c>
      <c r="V146" s="89" t="str">
        <f>_xlfn.XLOOKUP($C146,DBGenzai[社員№],DBGenzai[入居],"",0,1)</f>
        <v/>
      </c>
      <c r="W146" s="89" t="str">
        <f>_xlfn.XLOOKUP($F$1&amp;B146,Filtro!B:B,Filtro!AF:AF,"",0,1)</f>
        <v/>
      </c>
      <c r="X146" s="89" t="str">
        <f>_xlfn.XLOOKUP($C146,DBGenzai[社員№],DBGenzai[退社日],"",0,1)</f>
        <v/>
      </c>
      <c r="Y146" s="88" t="str">
        <f>_xlfn.XLOOKUP($C146,DBGenzai[社員№],DBGenzai[退去],"",0,1)</f>
        <v/>
      </c>
      <c r="Z146" s="88" t="str">
        <f>_xlfn.XLOOKUP($C146,DBGenzai[社員№],DBGenzai[備考],"",0,1)</f>
        <v/>
      </c>
      <c r="AA146" s="422" t="str">
        <f>_xlfn.XLOOKUP($F$1&amp;B146,Filtro!B:B,Filtro!AL:AL,"",0,1)</f>
        <v/>
      </c>
      <c r="AB146" s="157" t="str" cm="1">
        <f t="array" aca="1" ref="AB14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46" s="436" t="str">
        <f ca="1">_xlfn.XLOOKUP(TablaTransfor[[#This Row],[ライン]],TBKaishaInfo[ライン],TBKaishaInfo[まで],"NohayMarrano",0,1)</f>
        <v>NohayMarrano</v>
      </c>
    </row>
    <row r="147" spans="1:29" hidden="1">
      <c r="A147" s="424">
        <f>SUBTOTAL(103,$C$3:C147)</f>
        <v>20</v>
      </c>
      <c r="B147" s="159">
        <v>59</v>
      </c>
      <c r="C147" s="88" t="str">
        <f>_xlfn.XLOOKUP($F$1&amp;B147,Filtro!B:B,Filtro!D:D,"",0,1)</f>
        <v/>
      </c>
      <c r="D147" s="88" t="str">
        <f>_xlfn.XLOOKUP($F$1&amp;B147,Filtro!B:B,Filtro!C:C,"",0,1)</f>
        <v/>
      </c>
      <c r="E147" s="88" t="str">
        <f>_xlfn.XLOOKUP($F$1&amp;B147,Filtro!B:B,Filtro!E:E,"",0,1)</f>
        <v/>
      </c>
      <c r="F147" s="88" t="str">
        <f>_xlfn.XLOOKUP($F$1&amp;B147,Filtro!B:B,Filtro!G:G,"",0,1)</f>
        <v/>
      </c>
      <c r="G147" s="88" t="str">
        <f ca="1">MID(TablaTransfor[[#This Row],[配属先]],1,8)</f>
        <v/>
      </c>
      <c r="H147" s="88" t="str">
        <f ca="1">MID(TablaTransfor[[#This Row],[配属先]],9,6)</f>
        <v/>
      </c>
      <c r="I147" s="88" t="str">
        <f>_xlfn.XLOOKUP($C147,DBGenzai[社員№],DBGenzai[仕事内容],"",0,1)</f>
        <v/>
      </c>
      <c r="J147" s="88" t="str">
        <f>_xlfn.XLOOKUP($F$1&amp;B147,Filtro!B:B,Filtro!H:H,"",0,1)</f>
        <v/>
      </c>
      <c r="K147" s="88" t="str">
        <f>_xlfn.XLOOKUP($F$1&amp;B147,Filtro!B:B,Filtro!J:J,"",0,1)</f>
        <v/>
      </c>
      <c r="L147" s="88" t="str">
        <f ca="1">IF(TablaTransfor[[#This Row],[氏名]]="","",IF(TablaTransfor[[#This Row],[氏名]]&lt;"0","記号",IF(NOT(EXACT(UPPER(TablaTransfor[[#This Row],[氏名]]),LOWER(TablaTransfor[[#This Row],[氏名]]))),_xlfn.XLOOKUP($C147,DBGenzai[社員№],DBGenzai[カナ],"",0,1),_xlfn.XLOOKUP($C147,DBGenzai[社員№],DBGenzai[氏名],"",0,1))))</f>
        <v/>
      </c>
      <c r="M147" s="88" t="str">
        <f>_xlfn.XLOOKUP($C147,DBGenzai[社員№],DBGenzai[性別],"",0,1)</f>
        <v/>
      </c>
      <c r="N147" s="88" t="str">
        <f>_xlfn.XLOOKUP($C147,DBGenzai[社員№],DBGenzai[国籍],"",0,1)</f>
        <v/>
      </c>
      <c r="O147" s="89" t="str">
        <f>_xlfn.XLOOKUP($C147,DBGenzai[社員№],DBGenzai[生年月日],"",0,1)</f>
        <v/>
      </c>
      <c r="P147" s="88" t="str">
        <f>_xlfn.XLOOKUP($F$1&amp;B147,Filtro!B:B,Filtro!O:O,"",0,1)</f>
        <v/>
      </c>
      <c r="Q147" s="88" t="str">
        <f>_xlfn.XLOOKUP($F$1&amp;B147,Filtro!B:B,Filtro!P:P,"",0,1)</f>
        <v/>
      </c>
      <c r="R147" s="426" t="str">
        <f>_xlfn.XLOOKUP($F$1&amp;B147,Filtro!B:B,Filtro!R:R,"",0,1)</f>
        <v/>
      </c>
      <c r="S147" s="88" t="str">
        <f>_xlfn.XLOOKUP($C147,DBGenzai[社員№],DBGenzai[〒],"",0,1)</f>
        <v/>
      </c>
      <c r="T147" s="88" t="str">
        <f>_xlfn.XLOOKUP($C147,DBGenzai[社員№],DBGenzai[住所],"",0,1)</f>
        <v/>
      </c>
      <c r="U147" s="88" t="str">
        <f>_xlfn.XLOOKUP($C147,DBGenzai[社員№],DBGenzai[ｱﾊﾟｰﾄ],"",0,1)</f>
        <v/>
      </c>
      <c r="V147" s="89" t="str">
        <f>_xlfn.XLOOKUP($C147,DBGenzai[社員№],DBGenzai[入居],"",0,1)</f>
        <v/>
      </c>
      <c r="W147" s="89" t="str">
        <f>_xlfn.XLOOKUP($F$1&amp;B147,Filtro!B:B,Filtro!AF:AF,"",0,1)</f>
        <v/>
      </c>
      <c r="X147" s="89" t="str">
        <f>_xlfn.XLOOKUP($C147,DBGenzai[社員№],DBGenzai[退社日],"",0,1)</f>
        <v/>
      </c>
      <c r="Y147" s="88" t="str">
        <f>_xlfn.XLOOKUP($C147,DBGenzai[社員№],DBGenzai[退去],"",0,1)</f>
        <v/>
      </c>
      <c r="Z147" s="88" t="str">
        <f>_xlfn.XLOOKUP($C147,DBGenzai[社員№],DBGenzai[備考],"",0,1)</f>
        <v/>
      </c>
      <c r="AA147" s="422" t="str">
        <f>_xlfn.XLOOKUP($F$1&amp;B147,Filtro!B:B,Filtro!AL:AL,"",0,1)</f>
        <v/>
      </c>
      <c r="AB147" s="157" t="str" cm="1">
        <f t="array" aca="1" ref="AB14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47" s="436" t="str">
        <f ca="1">_xlfn.XLOOKUP(TablaTransfor[[#This Row],[ライン]],TBKaishaInfo[ライン],TBKaishaInfo[まで],"NohayMarrano",0,1)</f>
        <v>NohayMarrano</v>
      </c>
    </row>
    <row r="148" spans="1:29" hidden="1">
      <c r="A148" s="424">
        <f>SUBTOTAL(103,$C$3:C148)</f>
        <v>20</v>
      </c>
      <c r="B148" s="159">
        <v>124</v>
      </c>
      <c r="C148" s="88" t="str">
        <f>_xlfn.XLOOKUP($F$1&amp;B148,Filtro!B:B,Filtro!D:D,"",0,1)</f>
        <v/>
      </c>
      <c r="D148" s="88" t="str">
        <f>_xlfn.XLOOKUP($F$1&amp;B148,Filtro!B:B,Filtro!C:C,"",0,1)</f>
        <v/>
      </c>
      <c r="E148" s="88" t="str">
        <f>_xlfn.XLOOKUP($F$1&amp;B148,Filtro!B:B,Filtro!E:E,"",0,1)</f>
        <v/>
      </c>
      <c r="F148" s="88" t="str">
        <f>_xlfn.XLOOKUP($F$1&amp;B148,Filtro!B:B,Filtro!G:G,"",0,1)</f>
        <v/>
      </c>
      <c r="G148" s="88" t="str">
        <f ca="1">MID(TablaTransfor[[#This Row],[配属先]],1,8)</f>
        <v/>
      </c>
      <c r="H148" s="88" t="str">
        <f ca="1">MID(TablaTransfor[[#This Row],[配属先]],9,6)</f>
        <v/>
      </c>
      <c r="I148" s="88" t="str">
        <f>_xlfn.XLOOKUP($C148,DBGenzai[社員№],DBGenzai[仕事内容],"",0,1)</f>
        <v/>
      </c>
      <c r="J148" s="88" t="str">
        <f>_xlfn.XLOOKUP($F$1&amp;B148,Filtro!B:B,Filtro!H:H,"",0,1)</f>
        <v/>
      </c>
      <c r="K148" s="88" t="str">
        <f>_xlfn.XLOOKUP($F$1&amp;B148,Filtro!B:B,Filtro!J:J,"",0,1)</f>
        <v/>
      </c>
      <c r="L148" s="88" t="str">
        <f ca="1">IF(TablaTransfor[[#This Row],[氏名]]="","",IF(TablaTransfor[[#This Row],[氏名]]&lt;"0","記号",IF(NOT(EXACT(UPPER(TablaTransfor[[#This Row],[氏名]]),LOWER(TablaTransfor[[#This Row],[氏名]]))),_xlfn.XLOOKUP($C148,DBGenzai[社員№],DBGenzai[カナ],"",0,1),_xlfn.XLOOKUP($C148,DBGenzai[社員№],DBGenzai[氏名],"",0,1))))</f>
        <v/>
      </c>
      <c r="M148" s="88" t="str">
        <f>_xlfn.XLOOKUP($C148,DBGenzai[社員№],DBGenzai[性別],"",0,1)</f>
        <v/>
      </c>
      <c r="N148" s="88" t="str">
        <f>_xlfn.XLOOKUP($C148,DBGenzai[社員№],DBGenzai[国籍],"",0,1)</f>
        <v/>
      </c>
      <c r="O148" s="89" t="str">
        <f>_xlfn.XLOOKUP($C148,DBGenzai[社員№],DBGenzai[生年月日],"",0,1)</f>
        <v/>
      </c>
      <c r="P148" s="88" t="str">
        <f>_xlfn.XLOOKUP($F$1&amp;B148,Filtro!B:B,Filtro!O:O,"",0,1)</f>
        <v/>
      </c>
      <c r="Q148" s="88" t="str">
        <f>_xlfn.XLOOKUP($F$1&amp;B148,Filtro!B:B,Filtro!P:P,"",0,1)</f>
        <v/>
      </c>
      <c r="R148" s="426" t="str">
        <f>_xlfn.XLOOKUP($F$1&amp;B148,Filtro!B:B,Filtro!R:R,"",0,1)</f>
        <v/>
      </c>
      <c r="S148" s="88" t="str">
        <f>_xlfn.XLOOKUP($C148,DBGenzai[社員№],DBGenzai[〒],"",0,1)</f>
        <v/>
      </c>
      <c r="T148" s="88" t="str">
        <f>_xlfn.XLOOKUP($C148,DBGenzai[社員№],DBGenzai[住所],"",0,1)</f>
        <v/>
      </c>
      <c r="U148" s="88" t="str">
        <f>_xlfn.XLOOKUP($C148,DBGenzai[社員№],DBGenzai[ｱﾊﾟｰﾄ],"",0,1)</f>
        <v/>
      </c>
      <c r="V148" s="89" t="str">
        <f>_xlfn.XLOOKUP($C148,DBGenzai[社員№],DBGenzai[入居],"",0,1)</f>
        <v/>
      </c>
      <c r="W148" s="89" t="str">
        <f>_xlfn.XLOOKUP($F$1&amp;B148,Filtro!B:B,Filtro!AF:AF,"",0,1)</f>
        <v/>
      </c>
      <c r="X148" s="89" t="str">
        <f>_xlfn.XLOOKUP($C148,DBGenzai[社員№],DBGenzai[退社日],"",0,1)</f>
        <v/>
      </c>
      <c r="Y148" s="88" t="str">
        <f>_xlfn.XLOOKUP($C148,DBGenzai[社員№],DBGenzai[退去],"",0,1)</f>
        <v/>
      </c>
      <c r="Z148" s="88" t="str">
        <f>_xlfn.XLOOKUP($C148,DBGenzai[社員№],DBGenzai[備考],"",0,1)</f>
        <v/>
      </c>
      <c r="AA148" s="422" t="str">
        <f>_xlfn.XLOOKUP($F$1&amp;B148,Filtro!B:B,Filtro!AL:AL,"",0,1)</f>
        <v/>
      </c>
      <c r="AB148" s="157" t="str" cm="1">
        <f t="array" aca="1" ref="AB14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48" s="436" t="str">
        <f ca="1">_xlfn.XLOOKUP(TablaTransfor[[#This Row],[ライン]],TBKaishaInfo[ライン],TBKaishaInfo[まで],"NohayMarrano",0,1)</f>
        <v>NohayMarrano</v>
      </c>
    </row>
    <row r="149" spans="1:29">
      <c r="A149" s="424">
        <f>SUBTOTAL(103,$C$3:C149)</f>
        <v>21</v>
      </c>
      <c r="B149" s="159">
        <v>51</v>
      </c>
      <c r="C149" s="88">
        <f>_xlfn.XLOOKUP($F$1&amp;B149,Filtro!B:B,Filtro!D:D,"",0,1)</f>
        <v>250603</v>
      </c>
      <c r="D149" s="88" t="str">
        <f>_xlfn.XLOOKUP($F$1&amp;B149,Filtro!B:B,Filtro!C:C,"",0,1)</f>
        <v>在職中</v>
      </c>
      <c r="E149" s="88">
        <f>_xlfn.XLOOKUP($F$1&amp;B149,Filtro!B:B,Filtro!E:E,"",0,1)</f>
        <v>212057</v>
      </c>
      <c r="F149" s="88" t="str">
        <f>_xlfn.XLOOKUP($F$1&amp;B149,Filtro!B:B,Filtro!G:G,"",0,1)</f>
        <v>高雄工業株式会社 愛知事業所本社工場製作課</v>
      </c>
      <c r="G149" s="88" t="str">
        <f ca="1">MID(TablaTransfor[[#This Row],[配属先]],1,8)</f>
        <v>高雄工業株式会社</v>
      </c>
      <c r="H149" s="88" t="str">
        <f ca="1">MID(TablaTransfor[[#This Row],[配属先]],9,6)</f>
        <v xml:space="preserve"> 愛知事業所</v>
      </c>
      <c r="I149" s="88" t="str">
        <f>_xlfn.XLOOKUP($C149,DBGenzai[社員№],DBGenzai[仕事内容],"",0,1)</f>
        <v>CVJ部品長軸品と短軸品の転造加工。</v>
      </c>
      <c r="J149" s="88" t="str">
        <f>_xlfn.XLOOKUP($F$1&amp;B149,Filtro!B:B,Filtro!H:H,"",0,1)</f>
        <v>Tライン</v>
      </c>
      <c r="K149" s="88" t="str">
        <f>_xlfn.XLOOKUP($F$1&amp;B149,Filtro!B:B,Filtro!J:J,"",0,1)</f>
        <v>LE DINH DONG</v>
      </c>
      <c r="L149" s="88" t="str">
        <f ca="1">IF(TablaTransfor[[#This Row],[氏名]]="","",IF(TablaTransfor[[#This Row],[氏名]]&lt;"0","記号",IF(NOT(EXACT(UPPER(TablaTransfor[[#This Row],[氏名]]),LOWER(TablaTransfor[[#This Row],[氏名]]))),_xlfn.XLOOKUP($C149,DBGenzai[社員№],DBGenzai[カナ],"",0,1),_xlfn.XLOOKUP($C149,DBGenzai[社員№],DBGenzai[氏名],"",0,1))))</f>
        <v>レ　ディン　ドン</v>
      </c>
      <c r="M149" s="88" t="str">
        <f>_xlfn.XLOOKUP($C149,DBGenzai[社員№],DBGenzai[性別],"",0,1)</f>
        <v>男</v>
      </c>
      <c r="N149" s="88" t="str">
        <f>_xlfn.XLOOKUP($C149,DBGenzai[社員№],DBGenzai[国籍],"",0,1)</f>
        <v>ﾍﾞﾄﾅﾑ</v>
      </c>
      <c r="O149" s="89">
        <f>_xlfn.XLOOKUP($C149,DBGenzai[社員№],DBGenzai[生年月日],"",0,1)</f>
        <v>37181</v>
      </c>
      <c r="P149" s="88">
        <f>_xlfn.XLOOKUP($F$1&amp;B149,Filtro!B:B,Filtro!O:O,"",0,1)</f>
        <v>24</v>
      </c>
      <c r="Q149" s="88">
        <f>_xlfn.XLOOKUP($F$1&amp;B149,Filtro!B:B,Filtro!P:P,"",0,1)</f>
        <v>1200</v>
      </c>
      <c r="R149" s="426">
        <f>_xlfn.XLOOKUP($F$1&amp;B149,Filtro!B:B,Filtro!R:R,"",0,1)</f>
        <v>1650</v>
      </c>
      <c r="S149" s="88" t="str">
        <f>_xlfn.XLOOKUP($C149,DBGenzai[社員№],DBGenzai[〒],"",0,1)</f>
        <v>498-0017</v>
      </c>
      <c r="T149" s="88" t="str">
        <f>_xlfn.XLOOKUP($C149,DBGenzai[社員№],DBGenzai[住所],"",0,1)</f>
        <v>愛知県弥富市前ケ須町西勘助207番地</v>
      </c>
      <c r="U149" s="88" t="str">
        <f>_xlfn.XLOOKUP($C149,DBGenzai[社員№],DBGenzai[ｱﾊﾟｰﾄ],"",0,1)</f>
        <v>CASA弥富A203</v>
      </c>
      <c r="V149" s="89">
        <f>_xlfn.XLOOKUP($C149,DBGenzai[社員№],DBGenzai[入居],"",0,1)</f>
        <v>0</v>
      </c>
      <c r="W149" s="89">
        <f>_xlfn.XLOOKUP($F$1&amp;B149,Filtro!B:B,Filtro!AF:AF,"",0,1)</f>
        <v>45812</v>
      </c>
      <c r="X149" s="89">
        <f>_xlfn.XLOOKUP($C149,DBGenzai[社員№],DBGenzai[退社日],"",0,1)</f>
        <v>0</v>
      </c>
      <c r="Y149" s="88">
        <f>_xlfn.XLOOKUP($C149,DBGenzai[社員№],DBGenzai[退去],"",0,1)</f>
        <v>0</v>
      </c>
      <c r="Z149" s="88">
        <f>_xlfn.XLOOKUP($C149,DBGenzai[社員№],DBGenzai[備考],"",0,1)</f>
        <v>0</v>
      </c>
      <c r="AA149" s="422">
        <f>_xlfn.XLOOKUP($F$1&amp;B149,Filtro!B:B,Filtro!AL:AL,"",0,1)</f>
        <v>45812</v>
      </c>
      <c r="AB149" s="157">
        <v>45931</v>
      </c>
      <c r="AC149" s="436">
        <f ca="1">_xlfn.XLOOKUP(TablaTransfor[[#This Row],[ライン]],TBKaishaInfo[ライン],TBKaishaInfo[まで],"NohayMarrano",0,1)</f>
        <v>46295</v>
      </c>
    </row>
    <row r="150" spans="1:29" hidden="1">
      <c r="A150" s="424">
        <f>SUBTOTAL(103,$C$3:C150)</f>
        <v>21</v>
      </c>
      <c r="B150" s="159">
        <v>125</v>
      </c>
      <c r="C150" s="88" t="str">
        <f>_xlfn.XLOOKUP($F$1&amp;B150,Filtro!B:B,Filtro!D:D,"",0,1)</f>
        <v/>
      </c>
      <c r="D150" s="88" t="str">
        <f>_xlfn.XLOOKUP($F$1&amp;B150,Filtro!B:B,Filtro!C:C,"",0,1)</f>
        <v/>
      </c>
      <c r="E150" s="88" t="str">
        <f>_xlfn.XLOOKUP($F$1&amp;B150,Filtro!B:B,Filtro!E:E,"",0,1)</f>
        <v/>
      </c>
      <c r="F150" s="88" t="str">
        <f>_xlfn.XLOOKUP($F$1&amp;B150,Filtro!B:B,Filtro!G:G,"",0,1)</f>
        <v/>
      </c>
      <c r="G150" s="88" t="str">
        <f ca="1">MID(TablaTransfor[[#This Row],[配属先]],1,8)</f>
        <v/>
      </c>
      <c r="H150" s="88" t="str">
        <f ca="1">MID(TablaTransfor[[#This Row],[配属先]],9,6)</f>
        <v/>
      </c>
      <c r="I150" s="88" t="str">
        <f>_xlfn.XLOOKUP($C150,DBGenzai[社員№],DBGenzai[仕事内容],"",0,1)</f>
        <v/>
      </c>
      <c r="J150" s="88" t="str">
        <f>_xlfn.XLOOKUP($F$1&amp;B150,Filtro!B:B,Filtro!H:H,"",0,1)</f>
        <v/>
      </c>
      <c r="K150" s="88" t="str">
        <f>_xlfn.XLOOKUP($F$1&amp;B150,Filtro!B:B,Filtro!J:J,"",0,1)</f>
        <v/>
      </c>
      <c r="L150" s="88" t="str">
        <f ca="1">IF(TablaTransfor[[#This Row],[氏名]]="","",IF(TablaTransfor[[#This Row],[氏名]]&lt;"0","記号",IF(NOT(EXACT(UPPER(TablaTransfor[[#This Row],[氏名]]),LOWER(TablaTransfor[[#This Row],[氏名]]))),_xlfn.XLOOKUP($C150,DBGenzai[社員№],DBGenzai[カナ],"",0,1),_xlfn.XLOOKUP($C150,DBGenzai[社員№],DBGenzai[氏名],"",0,1))))</f>
        <v/>
      </c>
      <c r="M150" s="88" t="str">
        <f>_xlfn.XLOOKUP($C150,DBGenzai[社員№],DBGenzai[性別],"",0,1)</f>
        <v/>
      </c>
      <c r="N150" s="88" t="str">
        <f>_xlfn.XLOOKUP($C150,DBGenzai[社員№],DBGenzai[国籍],"",0,1)</f>
        <v/>
      </c>
      <c r="O150" s="89" t="str">
        <f>_xlfn.XLOOKUP($C150,DBGenzai[社員№],DBGenzai[生年月日],"",0,1)</f>
        <v/>
      </c>
      <c r="P150" s="88" t="str">
        <f>_xlfn.XLOOKUP($F$1&amp;B150,Filtro!B:B,Filtro!O:O,"",0,1)</f>
        <v/>
      </c>
      <c r="Q150" s="88" t="str">
        <f>_xlfn.XLOOKUP($F$1&amp;B150,Filtro!B:B,Filtro!P:P,"",0,1)</f>
        <v/>
      </c>
      <c r="R150" s="426" t="str">
        <f>_xlfn.XLOOKUP($F$1&amp;B150,Filtro!B:B,Filtro!R:R,"",0,1)</f>
        <v/>
      </c>
      <c r="S150" s="88" t="str">
        <f>_xlfn.XLOOKUP($C150,DBGenzai[社員№],DBGenzai[〒],"",0,1)</f>
        <v/>
      </c>
      <c r="T150" s="88" t="str">
        <f>_xlfn.XLOOKUP($C150,DBGenzai[社員№],DBGenzai[住所],"",0,1)</f>
        <v/>
      </c>
      <c r="U150" s="88" t="str">
        <f>_xlfn.XLOOKUP($C150,DBGenzai[社員№],DBGenzai[ｱﾊﾟｰﾄ],"",0,1)</f>
        <v/>
      </c>
      <c r="V150" s="89" t="str">
        <f>_xlfn.XLOOKUP($C150,DBGenzai[社員№],DBGenzai[入居],"",0,1)</f>
        <v/>
      </c>
      <c r="W150" s="89" t="str">
        <f>_xlfn.XLOOKUP($F$1&amp;B150,Filtro!B:B,Filtro!AF:AF,"",0,1)</f>
        <v/>
      </c>
      <c r="X150" s="89" t="str">
        <f>_xlfn.XLOOKUP($C150,DBGenzai[社員№],DBGenzai[退社日],"",0,1)</f>
        <v/>
      </c>
      <c r="Y150" s="88" t="str">
        <f>_xlfn.XLOOKUP($C150,DBGenzai[社員№],DBGenzai[退去],"",0,1)</f>
        <v/>
      </c>
      <c r="Z150" s="88" t="str">
        <f>_xlfn.XLOOKUP($C150,DBGenzai[社員№],DBGenzai[備考],"",0,1)</f>
        <v/>
      </c>
      <c r="AA150" s="422" t="str">
        <f>_xlfn.XLOOKUP($F$1&amp;B150,Filtro!B:B,Filtro!AL:AL,"",0,1)</f>
        <v/>
      </c>
      <c r="AB150" s="157" t="str" cm="1">
        <f t="array" aca="1" ref="AB15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0" s="436" t="str">
        <f ca="1">_xlfn.XLOOKUP(TablaTransfor[[#This Row],[ライン]],TBKaishaInfo[ライン],TBKaishaInfo[まで],"NohayMarrano",0,1)</f>
        <v>NohayMarrano</v>
      </c>
    </row>
    <row r="151" spans="1:29" hidden="1">
      <c r="A151" s="424">
        <f>SUBTOTAL(103,$C$3:C151)</f>
        <v>21</v>
      </c>
      <c r="B151" s="159">
        <v>61</v>
      </c>
      <c r="C151" s="88" t="str">
        <f>_xlfn.XLOOKUP($F$1&amp;B151,Filtro!B:B,Filtro!D:D,"",0,1)</f>
        <v/>
      </c>
      <c r="D151" s="88" t="str">
        <f>_xlfn.XLOOKUP($F$1&amp;B151,Filtro!B:B,Filtro!C:C,"",0,1)</f>
        <v/>
      </c>
      <c r="E151" s="88" t="str">
        <f>_xlfn.XLOOKUP($F$1&amp;B151,Filtro!B:B,Filtro!E:E,"",0,1)</f>
        <v/>
      </c>
      <c r="F151" s="88" t="str">
        <f>_xlfn.XLOOKUP($F$1&amp;B151,Filtro!B:B,Filtro!G:G,"",0,1)</f>
        <v/>
      </c>
      <c r="G151" s="88" t="str">
        <f ca="1">MID(TablaTransfor[[#This Row],[配属先]],1,8)</f>
        <v/>
      </c>
      <c r="H151" s="88" t="str">
        <f ca="1">MID(TablaTransfor[[#This Row],[配属先]],9,6)</f>
        <v/>
      </c>
      <c r="I151" s="88" t="str">
        <f>_xlfn.XLOOKUP($C151,DBGenzai[社員№],DBGenzai[仕事内容],"",0,1)</f>
        <v/>
      </c>
      <c r="J151" s="88" t="str">
        <f>_xlfn.XLOOKUP($F$1&amp;B151,Filtro!B:B,Filtro!H:H,"",0,1)</f>
        <v/>
      </c>
      <c r="K151" s="88" t="str">
        <f>_xlfn.XLOOKUP($F$1&amp;B151,Filtro!B:B,Filtro!J:J,"",0,1)</f>
        <v/>
      </c>
      <c r="L151" s="88" t="str">
        <f ca="1">IF(TablaTransfor[[#This Row],[氏名]]="","",IF(TablaTransfor[[#This Row],[氏名]]&lt;"0","記号",IF(NOT(EXACT(UPPER(TablaTransfor[[#This Row],[氏名]]),LOWER(TablaTransfor[[#This Row],[氏名]]))),_xlfn.XLOOKUP($C151,DBGenzai[社員№],DBGenzai[カナ],"",0,1),_xlfn.XLOOKUP($C151,DBGenzai[社員№],DBGenzai[氏名],"",0,1))))</f>
        <v/>
      </c>
      <c r="M151" s="88" t="str">
        <f>_xlfn.XLOOKUP($C151,DBGenzai[社員№],DBGenzai[性別],"",0,1)</f>
        <v/>
      </c>
      <c r="N151" s="88" t="str">
        <f>_xlfn.XLOOKUP($C151,DBGenzai[社員№],DBGenzai[国籍],"",0,1)</f>
        <v/>
      </c>
      <c r="O151" s="89" t="str">
        <f>_xlfn.XLOOKUP($C151,DBGenzai[社員№],DBGenzai[生年月日],"",0,1)</f>
        <v/>
      </c>
      <c r="P151" s="88" t="str">
        <f>_xlfn.XLOOKUP($F$1&amp;B151,Filtro!B:B,Filtro!O:O,"",0,1)</f>
        <v/>
      </c>
      <c r="Q151" s="88" t="str">
        <f>_xlfn.XLOOKUP($F$1&amp;B151,Filtro!B:B,Filtro!P:P,"",0,1)</f>
        <v/>
      </c>
      <c r="R151" s="426" t="str">
        <f>_xlfn.XLOOKUP($F$1&amp;B151,Filtro!B:B,Filtro!R:R,"",0,1)</f>
        <v/>
      </c>
      <c r="S151" s="88" t="str">
        <f>_xlfn.XLOOKUP($C151,DBGenzai[社員№],DBGenzai[〒],"",0,1)</f>
        <v/>
      </c>
      <c r="T151" s="88" t="str">
        <f>_xlfn.XLOOKUP($C151,DBGenzai[社員№],DBGenzai[住所],"",0,1)</f>
        <v/>
      </c>
      <c r="U151" s="88" t="str">
        <f>_xlfn.XLOOKUP($C151,DBGenzai[社員№],DBGenzai[ｱﾊﾟｰﾄ],"",0,1)</f>
        <v/>
      </c>
      <c r="V151" s="89" t="str">
        <f>_xlfn.XLOOKUP($C151,DBGenzai[社員№],DBGenzai[入居],"",0,1)</f>
        <v/>
      </c>
      <c r="W151" s="89" t="str">
        <f>_xlfn.XLOOKUP($F$1&amp;B151,Filtro!B:B,Filtro!AF:AF,"",0,1)</f>
        <v/>
      </c>
      <c r="X151" s="89" t="str">
        <f>_xlfn.XLOOKUP($C151,DBGenzai[社員№],DBGenzai[退社日],"",0,1)</f>
        <v/>
      </c>
      <c r="Y151" s="88" t="str">
        <f>_xlfn.XLOOKUP($C151,DBGenzai[社員№],DBGenzai[退去],"",0,1)</f>
        <v/>
      </c>
      <c r="Z151" s="88" t="str">
        <f>_xlfn.XLOOKUP($C151,DBGenzai[社員№],DBGenzai[備考],"",0,1)</f>
        <v/>
      </c>
      <c r="AA151" s="422" t="str">
        <f>_xlfn.XLOOKUP($F$1&amp;B151,Filtro!B:B,Filtro!AL:AL,"",0,1)</f>
        <v/>
      </c>
      <c r="AB151" s="157" t="str" cm="1">
        <f t="array" aca="1" ref="AB15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1" s="436" t="str">
        <f ca="1">_xlfn.XLOOKUP(TablaTransfor[[#This Row],[ライン]],TBKaishaInfo[ライン],TBKaishaInfo[まで],"NohayMarrano",0,1)</f>
        <v>NohayMarrano</v>
      </c>
    </row>
    <row r="152" spans="1:29" hidden="1">
      <c r="A152" s="424">
        <f>SUBTOTAL(103,$C$3:C152)</f>
        <v>21</v>
      </c>
      <c r="B152" s="159">
        <v>126</v>
      </c>
      <c r="C152" s="88" t="str">
        <f>_xlfn.XLOOKUP($F$1&amp;B152,Filtro!B:B,Filtro!D:D,"",0,1)</f>
        <v/>
      </c>
      <c r="D152" s="88" t="str">
        <f>_xlfn.XLOOKUP($F$1&amp;B152,Filtro!B:B,Filtro!C:C,"",0,1)</f>
        <v/>
      </c>
      <c r="E152" s="88" t="str">
        <f>_xlfn.XLOOKUP($F$1&amp;B152,Filtro!B:B,Filtro!E:E,"",0,1)</f>
        <v/>
      </c>
      <c r="F152" s="88" t="str">
        <f>_xlfn.XLOOKUP($F$1&amp;B152,Filtro!B:B,Filtro!G:G,"",0,1)</f>
        <v/>
      </c>
      <c r="G152" s="88" t="str">
        <f ca="1">MID(TablaTransfor[[#This Row],[配属先]],1,8)</f>
        <v/>
      </c>
      <c r="H152" s="88" t="str">
        <f ca="1">MID(TablaTransfor[[#This Row],[配属先]],9,6)</f>
        <v/>
      </c>
      <c r="I152" s="88" t="str">
        <f>_xlfn.XLOOKUP($C152,DBGenzai[社員№],DBGenzai[仕事内容],"",0,1)</f>
        <v/>
      </c>
      <c r="J152" s="88" t="str">
        <f>_xlfn.XLOOKUP($F$1&amp;B152,Filtro!B:B,Filtro!H:H,"",0,1)</f>
        <v/>
      </c>
      <c r="K152" s="88" t="str">
        <f>_xlfn.XLOOKUP($F$1&amp;B152,Filtro!B:B,Filtro!J:J,"",0,1)</f>
        <v/>
      </c>
      <c r="L152" s="88" t="str">
        <f ca="1">IF(TablaTransfor[[#This Row],[氏名]]="","",IF(TablaTransfor[[#This Row],[氏名]]&lt;"0","記号",IF(NOT(EXACT(UPPER(TablaTransfor[[#This Row],[氏名]]),LOWER(TablaTransfor[[#This Row],[氏名]]))),_xlfn.XLOOKUP($C152,DBGenzai[社員№],DBGenzai[カナ],"",0,1),_xlfn.XLOOKUP($C152,DBGenzai[社員№],DBGenzai[氏名],"",0,1))))</f>
        <v/>
      </c>
      <c r="M152" s="88" t="str">
        <f>_xlfn.XLOOKUP($C152,DBGenzai[社員№],DBGenzai[性別],"",0,1)</f>
        <v/>
      </c>
      <c r="N152" s="88" t="str">
        <f>_xlfn.XLOOKUP($C152,DBGenzai[社員№],DBGenzai[国籍],"",0,1)</f>
        <v/>
      </c>
      <c r="O152" s="89" t="str">
        <f>_xlfn.XLOOKUP($C152,DBGenzai[社員№],DBGenzai[生年月日],"",0,1)</f>
        <v/>
      </c>
      <c r="P152" s="88" t="str">
        <f>_xlfn.XLOOKUP($F$1&amp;B152,Filtro!B:B,Filtro!O:O,"",0,1)</f>
        <v/>
      </c>
      <c r="Q152" s="88" t="str">
        <f>_xlfn.XLOOKUP($F$1&amp;B152,Filtro!B:B,Filtro!P:P,"",0,1)</f>
        <v/>
      </c>
      <c r="R152" s="426" t="str">
        <f>_xlfn.XLOOKUP($F$1&amp;B152,Filtro!B:B,Filtro!R:R,"",0,1)</f>
        <v/>
      </c>
      <c r="S152" s="88" t="str">
        <f>_xlfn.XLOOKUP($C152,DBGenzai[社員№],DBGenzai[〒],"",0,1)</f>
        <v/>
      </c>
      <c r="T152" s="88" t="str">
        <f>_xlfn.XLOOKUP($C152,DBGenzai[社員№],DBGenzai[住所],"",0,1)</f>
        <v/>
      </c>
      <c r="U152" s="88" t="str">
        <f>_xlfn.XLOOKUP($C152,DBGenzai[社員№],DBGenzai[ｱﾊﾟｰﾄ],"",0,1)</f>
        <v/>
      </c>
      <c r="V152" s="89" t="str">
        <f>_xlfn.XLOOKUP($C152,DBGenzai[社員№],DBGenzai[入居],"",0,1)</f>
        <v/>
      </c>
      <c r="W152" s="89" t="str">
        <f>_xlfn.XLOOKUP($F$1&amp;B152,Filtro!B:B,Filtro!AF:AF,"",0,1)</f>
        <v/>
      </c>
      <c r="X152" s="89" t="str">
        <f>_xlfn.XLOOKUP($C152,DBGenzai[社員№],DBGenzai[退社日],"",0,1)</f>
        <v/>
      </c>
      <c r="Y152" s="88" t="str">
        <f>_xlfn.XLOOKUP($C152,DBGenzai[社員№],DBGenzai[退去],"",0,1)</f>
        <v/>
      </c>
      <c r="Z152" s="88" t="str">
        <f>_xlfn.XLOOKUP($C152,DBGenzai[社員№],DBGenzai[備考],"",0,1)</f>
        <v/>
      </c>
      <c r="AA152" s="422" t="str">
        <f>_xlfn.XLOOKUP($F$1&amp;B152,Filtro!B:B,Filtro!AL:AL,"",0,1)</f>
        <v/>
      </c>
      <c r="AB152" s="157" t="str" cm="1">
        <f t="array" aca="1" ref="AB15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2" s="436" t="str">
        <f ca="1">_xlfn.XLOOKUP(TablaTransfor[[#This Row],[ライン]],TBKaishaInfo[ライン],TBKaishaInfo[まで],"NohayMarrano",0,1)</f>
        <v>NohayMarrano</v>
      </c>
    </row>
    <row r="153" spans="1:29" hidden="1">
      <c r="A153" s="424">
        <f>SUBTOTAL(103,$C$3:C153)</f>
        <v>21</v>
      </c>
      <c r="B153" s="159">
        <v>127</v>
      </c>
      <c r="C153" s="88" t="str">
        <f>_xlfn.XLOOKUP($F$1&amp;B153,Filtro!B:B,Filtro!D:D,"",0,1)</f>
        <v/>
      </c>
      <c r="D153" s="88" t="str">
        <f>_xlfn.XLOOKUP($F$1&amp;B153,Filtro!B:B,Filtro!C:C,"",0,1)</f>
        <v/>
      </c>
      <c r="E153" s="88" t="str">
        <f>_xlfn.XLOOKUP($F$1&amp;B153,Filtro!B:B,Filtro!E:E,"",0,1)</f>
        <v/>
      </c>
      <c r="F153" s="88" t="str">
        <f>_xlfn.XLOOKUP($F$1&amp;B153,Filtro!B:B,Filtro!G:G,"",0,1)</f>
        <v/>
      </c>
      <c r="G153" s="88" t="str">
        <f ca="1">MID(TablaTransfor[[#This Row],[配属先]],1,8)</f>
        <v/>
      </c>
      <c r="H153" s="88" t="str">
        <f ca="1">MID(TablaTransfor[[#This Row],[配属先]],9,6)</f>
        <v/>
      </c>
      <c r="I153" s="88" t="str">
        <f>_xlfn.XLOOKUP($C153,DBGenzai[社員№],DBGenzai[仕事内容],"",0,1)</f>
        <v/>
      </c>
      <c r="J153" s="88" t="str">
        <f>_xlfn.XLOOKUP($F$1&amp;B153,Filtro!B:B,Filtro!H:H,"",0,1)</f>
        <v/>
      </c>
      <c r="K153" s="88" t="str">
        <f>_xlfn.XLOOKUP($F$1&amp;B153,Filtro!B:B,Filtro!J:J,"",0,1)</f>
        <v/>
      </c>
      <c r="L153" s="88" t="str">
        <f ca="1">IF(TablaTransfor[[#This Row],[氏名]]="","",IF(TablaTransfor[[#This Row],[氏名]]&lt;"0","記号",IF(NOT(EXACT(UPPER(TablaTransfor[[#This Row],[氏名]]),LOWER(TablaTransfor[[#This Row],[氏名]]))),_xlfn.XLOOKUP($C153,DBGenzai[社員№],DBGenzai[カナ],"",0,1),_xlfn.XLOOKUP($C153,DBGenzai[社員№],DBGenzai[氏名],"",0,1))))</f>
        <v/>
      </c>
      <c r="M153" s="88" t="str">
        <f>_xlfn.XLOOKUP($C153,DBGenzai[社員№],DBGenzai[性別],"",0,1)</f>
        <v/>
      </c>
      <c r="N153" s="88" t="str">
        <f>_xlfn.XLOOKUP($C153,DBGenzai[社員№],DBGenzai[国籍],"",0,1)</f>
        <v/>
      </c>
      <c r="O153" s="89" t="str">
        <f>_xlfn.XLOOKUP($C153,DBGenzai[社員№],DBGenzai[生年月日],"",0,1)</f>
        <v/>
      </c>
      <c r="P153" s="88" t="str">
        <f>_xlfn.XLOOKUP($F$1&amp;B153,Filtro!B:B,Filtro!O:O,"",0,1)</f>
        <v/>
      </c>
      <c r="Q153" s="88" t="str">
        <f>_xlfn.XLOOKUP($F$1&amp;B153,Filtro!B:B,Filtro!P:P,"",0,1)</f>
        <v/>
      </c>
      <c r="R153" s="426" t="str">
        <f>_xlfn.XLOOKUP($F$1&amp;B153,Filtro!B:B,Filtro!R:R,"",0,1)</f>
        <v/>
      </c>
      <c r="S153" s="88" t="str">
        <f>_xlfn.XLOOKUP($C153,DBGenzai[社員№],DBGenzai[〒],"",0,1)</f>
        <v/>
      </c>
      <c r="T153" s="88" t="str">
        <f>_xlfn.XLOOKUP($C153,DBGenzai[社員№],DBGenzai[住所],"",0,1)</f>
        <v/>
      </c>
      <c r="U153" s="88" t="str">
        <f>_xlfn.XLOOKUP($C153,DBGenzai[社員№],DBGenzai[ｱﾊﾟｰﾄ],"",0,1)</f>
        <v/>
      </c>
      <c r="V153" s="89" t="str">
        <f>_xlfn.XLOOKUP($C153,DBGenzai[社員№],DBGenzai[入居],"",0,1)</f>
        <v/>
      </c>
      <c r="W153" s="89" t="str">
        <f>_xlfn.XLOOKUP($F$1&amp;B153,Filtro!B:B,Filtro!AF:AF,"",0,1)</f>
        <v/>
      </c>
      <c r="X153" s="89" t="str">
        <f>_xlfn.XLOOKUP($C153,DBGenzai[社員№],DBGenzai[退社日],"",0,1)</f>
        <v/>
      </c>
      <c r="Y153" s="88" t="str">
        <f>_xlfn.XLOOKUP($C153,DBGenzai[社員№],DBGenzai[退去],"",0,1)</f>
        <v/>
      </c>
      <c r="Z153" s="88" t="str">
        <f>_xlfn.XLOOKUP($C153,DBGenzai[社員№],DBGenzai[備考],"",0,1)</f>
        <v/>
      </c>
      <c r="AA153" s="422" t="str">
        <f>_xlfn.XLOOKUP($F$1&amp;B153,Filtro!B:B,Filtro!AL:AL,"",0,1)</f>
        <v/>
      </c>
      <c r="AB153" s="157" t="str" cm="1">
        <f t="array" aca="1" ref="AB15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3" s="436" t="str">
        <f ca="1">_xlfn.XLOOKUP(TablaTransfor[[#This Row],[ライン]],TBKaishaInfo[ライン],TBKaishaInfo[まで],"NohayMarrano",0,1)</f>
        <v>NohayMarrano</v>
      </c>
    </row>
    <row r="154" spans="1:29" hidden="1">
      <c r="A154" s="424">
        <f>SUBTOTAL(103,$C$3:C154)</f>
        <v>21</v>
      </c>
      <c r="B154" s="159">
        <v>63</v>
      </c>
      <c r="C154" s="88" t="str">
        <f>_xlfn.XLOOKUP($F$1&amp;B154,Filtro!B:B,Filtro!D:D,"",0,1)</f>
        <v/>
      </c>
      <c r="D154" s="88" t="str">
        <f>_xlfn.XLOOKUP($F$1&amp;B154,Filtro!B:B,Filtro!C:C,"",0,1)</f>
        <v/>
      </c>
      <c r="E154" s="88" t="str">
        <f>_xlfn.XLOOKUP($F$1&amp;B154,Filtro!B:B,Filtro!E:E,"",0,1)</f>
        <v/>
      </c>
      <c r="F154" s="88" t="str">
        <f>_xlfn.XLOOKUP($F$1&amp;B154,Filtro!B:B,Filtro!G:G,"",0,1)</f>
        <v/>
      </c>
      <c r="G154" s="88" t="str">
        <f ca="1">MID(TablaTransfor[[#This Row],[配属先]],1,8)</f>
        <v/>
      </c>
      <c r="H154" s="88" t="str">
        <f ca="1">MID(TablaTransfor[[#This Row],[配属先]],9,6)</f>
        <v/>
      </c>
      <c r="I154" s="88" t="str">
        <f>_xlfn.XLOOKUP($C154,DBGenzai[社員№],DBGenzai[仕事内容],"",0,1)</f>
        <v/>
      </c>
      <c r="J154" s="88" t="str">
        <f>_xlfn.XLOOKUP($F$1&amp;B154,Filtro!B:B,Filtro!H:H,"",0,1)</f>
        <v/>
      </c>
      <c r="K154" s="88" t="str">
        <f>_xlfn.XLOOKUP($F$1&amp;B154,Filtro!B:B,Filtro!J:J,"",0,1)</f>
        <v/>
      </c>
      <c r="L154" s="88" t="str">
        <f ca="1">IF(TablaTransfor[[#This Row],[氏名]]="","",IF(TablaTransfor[[#This Row],[氏名]]&lt;"0","記号",IF(NOT(EXACT(UPPER(TablaTransfor[[#This Row],[氏名]]),LOWER(TablaTransfor[[#This Row],[氏名]]))),_xlfn.XLOOKUP($C154,DBGenzai[社員№],DBGenzai[カナ],"",0,1),_xlfn.XLOOKUP($C154,DBGenzai[社員№],DBGenzai[氏名],"",0,1))))</f>
        <v/>
      </c>
      <c r="M154" s="88" t="str">
        <f>_xlfn.XLOOKUP($C154,DBGenzai[社員№],DBGenzai[性別],"",0,1)</f>
        <v/>
      </c>
      <c r="N154" s="88" t="str">
        <f>_xlfn.XLOOKUP($C154,DBGenzai[社員№],DBGenzai[国籍],"",0,1)</f>
        <v/>
      </c>
      <c r="O154" s="89" t="str">
        <f>_xlfn.XLOOKUP($C154,DBGenzai[社員№],DBGenzai[生年月日],"",0,1)</f>
        <v/>
      </c>
      <c r="P154" s="88" t="str">
        <f>_xlfn.XLOOKUP($F$1&amp;B154,Filtro!B:B,Filtro!O:O,"",0,1)</f>
        <v/>
      </c>
      <c r="Q154" s="88" t="str">
        <f>_xlfn.XLOOKUP($F$1&amp;B154,Filtro!B:B,Filtro!P:P,"",0,1)</f>
        <v/>
      </c>
      <c r="R154" s="426" t="str">
        <f>_xlfn.XLOOKUP($F$1&amp;B154,Filtro!B:B,Filtro!R:R,"",0,1)</f>
        <v/>
      </c>
      <c r="S154" s="88" t="str">
        <f>_xlfn.XLOOKUP($C154,DBGenzai[社員№],DBGenzai[〒],"",0,1)</f>
        <v/>
      </c>
      <c r="T154" s="88" t="str">
        <f>_xlfn.XLOOKUP($C154,DBGenzai[社員№],DBGenzai[住所],"",0,1)</f>
        <v/>
      </c>
      <c r="U154" s="88" t="str">
        <f>_xlfn.XLOOKUP($C154,DBGenzai[社員№],DBGenzai[ｱﾊﾟｰﾄ],"",0,1)</f>
        <v/>
      </c>
      <c r="V154" s="89" t="str">
        <f>_xlfn.XLOOKUP($C154,DBGenzai[社員№],DBGenzai[入居],"",0,1)</f>
        <v/>
      </c>
      <c r="W154" s="89" t="str">
        <f>_xlfn.XLOOKUP($F$1&amp;B154,Filtro!B:B,Filtro!AF:AF,"",0,1)</f>
        <v/>
      </c>
      <c r="X154" s="89" t="str">
        <f>_xlfn.XLOOKUP($C154,DBGenzai[社員№],DBGenzai[退社日],"",0,1)</f>
        <v/>
      </c>
      <c r="Y154" s="88" t="str">
        <f>_xlfn.XLOOKUP($C154,DBGenzai[社員№],DBGenzai[退去],"",0,1)</f>
        <v/>
      </c>
      <c r="Z154" s="88" t="str">
        <f>_xlfn.XLOOKUP($C154,DBGenzai[社員№],DBGenzai[備考],"",0,1)</f>
        <v/>
      </c>
      <c r="AA154" s="422" t="str">
        <f>_xlfn.XLOOKUP($F$1&amp;B154,Filtro!B:B,Filtro!AL:AL,"",0,1)</f>
        <v/>
      </c>
      <c r="AB154" s="157" t="str" cm="1">
        <f t="array" aca="1" ref="AB15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4" s="436" t="str">
        <f ca="1">_xlfn.XLOOKUP(TablaTransfor[[#This Row],[ライン]],TBKaishaInfo[ライン],TBKaishaInfo[まで],"NohayMarrano",0,1)</f>
        <v>NohayMarrano</v>
      </c>
    </row>
    <row r="155" spans="1:29" hidden="1">
      <c r="A155" s="424">
        <f>SUBTOTAL(103,$C$3:C155)</f>
        <v>21</v>
      </c>
      <c r="B155" s="159">
        <v>68</v>
      </c>
      <c r="C155" s="88" t="str">
        <f>_xlfn.XLOOKUP($F$1&amp;B155,Filtro!B:B,Filtro!D:D,"",0,1)</f>
        <v/>
      </c>
      <c r="D155" s="88" t="str">
        <f>_xlfn.XLOOKUP($F$1&amp;B155,Filtro!B:B,Filtro!C:C,"",0,1)</f>
        <v/>
      </c>
      <c r="E155" s="88" t="str">
        <f>_xlfn.XLOOKUP($F$1&amp;B155,Filtro!B:B,Filtro!E:E,"",0,1)</f>
        <v/>
      </c>
      <c r="F155" s="88" t="str">
        <f>_xlfn.XLOOKUP($F$1&amp;B155,Filtro!B:B,Filtro!G:G,"",0,1)</f>
        <v/>
      </c>
      <c r="G155" s="88" t="str">
        <f ca="1">MID(TablaTransfor[[#This Row],[配属先]],1,8)</f>
        <v/>
      </c>
      <c r="H155" s="88" t="str">
        <f ca="1">MID(TablaTransfor[[#This Row],[配属先]],9,6)</f>
        <v/>
      </c>
      <c r="I155" s="88" t="str">
        <f>_xlfn.XLOOKUP($C155,DBGenzai[社員№],DBGenzai[仕事内容],"",0,1)</f>
        <v/>
      </c>
      <c r="J155" s="88" t="str">
        <f>_xlfn.XLOOKUP($F$1&amp;B155,Filtro!B:B,Filtro!H:H,"",0,1)</f>
        <v/>
      </c>
      <c r="K155" s="88" t="str">
        <f>_xlfn.XLOOKUP($F$1&amp;B155,Filtro!B:B,Filtro!J:J,"",0,1)</f>
        <v/>
      </c>
      <c r="L155" s="88" t="str">
        <f ca="1">IF(TablaTransfor[[#This Row],[氏名]]="","",IF(TablaTransfor[[#This Row],[氏名]]&lt;"0","記号",IF(NOT(EXACT(UPPER(TablaTransfor[[#This Row],[氏名]]),LOWER(TablaTransfor[[#This Row],[氏名]]))),_xlfn.XLOOKUP($C155,DBGenzai[社員№],DBGenzai[カナ],"",0,1),_xlfn.XLOOKUP($C155,DBGenzai[社員№],DBGenzai[氏名],"",0,1))))</f>
        <v/>
      </c>
      <c r="M155" s="88" t="str">
        <f>_xlfn.XLOOKUP($C155,DBGenzai[社員№],DBGenzai[性別],"",0,1)</f>
        <v/>
      </c>
      <c r="N155" s="88" t="str">
        <f>_xlfn.XLOOKUP($C155,DBGenzai[社員№],DBGenzai[国籍],"",0,1)</f>
        <v/>
      </c>
      <c r="O155" s="89" t="str">
        <f>_xlfn.XLOOKUP($C155,DBGenzai[社員№],DBGenzai[生年月日],"",0,1)</f>
        <v/>
      </c>
      <c r="P155" s="88" t="str">
        <f>_xlfn.XLOOKUP($F$1&amp;B155,Filtro!B:B,Filtro!O:O,"",0,1)</f>
        <v/>
      </c>
      <c r="Q155" s="88" t="str">
        <f>_xlfn.XLOOKUP($F$1&amp;B155,Filtro!B:B,Filtro!P:P,"",0,1)</f>
        <v/>
      </c>
      <c r="R155" s="426" t="str">
        <f>_xlfn.XLOOKUP($F$1&amp;B155,Filtro!B:B,Filtro!R:R,"",0,1)</f>
        <v/>
      </c>
      <c r="S155" s="88" t="str">
        <f>_xlfn.XLOOKUP($C155,DBGenzai[社員№],DBGenzai[〒],"",0,1)</f>
        <v/>
      </c>
      <c r="T155" s="88" t="str">
        <f>_xlfn.XLOOKUP($C155,DBGenzai[社員№],DBGenzai[住所],"",0,1)</f>
        <v/>
      </c>
      <c r="U155" s="88" t="str">
        <f>_xlfn.XLOOKUP($C155,DBGenzai[社員№],DBGenzai[ｱﾊﾟｰﾄ],"",0,1)</f>
        <v/>
      </c>
      <c r="V155" s="89" t="str">
        <f>_xlfn.XLOOKUP($C155,DBGenzai[社員№],DBGenzai[入居],"",0,1)</f>
        <v/>
      </c>
      <c r="W155" s="89" t="str">
        <f>_xlfn.XLOOKUP($F$1&amp;B155,Filtro!B:B,Filtro!AF:AF,"",0,1)</f>
        <v/>
      </c>
      <c r="X155" s="89" t="str">
        <f>_xlfn.XLOOKUP($C155,DBGenzai[社員№],DBGenzai[退社日],"",0,1)</f>
        <v/>
      </c>
      <c r="Y155" s="88" t="str">
        <f>_xlfn.XLOOKUP($C155,DBGenzai[社員№],DBGenzai[退去],"",0,1)</f>
        <v/>
      </c>
      <c r="Z155" s="88" t="str">
        <f>_xlfn.XLOOKUP($C155,DBGenzai[社員№],DBGenzai[備考],"",0,1)</f>
        <v/>
      </c>
      <c r="AA155" s="422" t="str">
        <f>_xlfn.XLOOKUP($F$1&amp;B155,Filtro!B:B,Filtro!AL:AL,"",0,1)</f>
        <v/>
      </c>
      <c r="AB155" s="157" t="str" cm="1">
        <f t="array" aca="1" ref="AB15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5" s="436" t="str">
        <f ca="1">_xlfn.XLOOKUP(TablaTransfor[[#This Row],[ライン]],TBKaishaInfo[ライン],TBKaishaInfo[まで],"NohayMarrano",0,1)</f>
        <v>NohayMarrano</v>
      </c>
    </row>
    <row r="156" spans="1:29" hidden="1">
      <c r="A156" s="424">
        <f>SUBTOTAL(103,$C$3:C156)</f>
        <v>21</v>
      </c>
      <c r="B156" s="159">
        <v>64</v>
      </c>
      <c r="C156" s="88" t="str">
        <f>_xlfn.XLOOKUP($F$1&amp;B156,Filtro!B:B,Filtro!D:D,"",0,1)</f>
        <v/>
      </c>
      <c r="D156" s="88" t="str">
        <f>_xlfn.XLOOKUP($F$1&amp;B156,Filtro!B:B,Filtro!C:C,"",0,1)</f>
        <v/>
      </c>
      <c r="E156" s="88" t="str">
        <f>_xlfn.XLOOKUP($F$1&amp;B156,Filtro!B:B,Filtro!E:E,"",0,1)</f>
        <v/>
      </c>
      <c r="F156" s="88" t="str">
        <f>_xlfn.XLOOKUP($F$1&amp;B156,Filtro!B:B,Filtro!G:G,"",0,1)</f>
        <v/>
      </c>
      <c r="G156" s="88" t="str">
        <f ca="1">MID(TablaTransfor[[#This Row],[配属先]],1,8)</f>
        <v/>
      </c>
      <c r="H156" s="88" t="str">
        <f ca="1">MID(TablaTransfor[[#This Row],[配属先]],9,6)</f>
        <v/>
      </c>
      <c r="I156" s="88" t="str">
        <f>_xlfn.XLOOKUP($C156,DBGenzai[社員№],DBGenzai[仕事内容],"",0,1)</f>
        <v/>
      </c>
      <c r="J156" s="88" t="str">
        <f>_xlfn.XLOOKUP($F$1&amp;B156,Filtro!B:B,Filtro!H:H,"",0,1)</f>
        <v/>
      </c>
      <c r="K156" s="88" t="str">
        <f>_xlfn.XLOOKUP($F$1&amp;B156,Filtro!B:B,Filtro!J:J,"",0,1)</f>
        <v/>
      </c>
      <c r="L156" s="88" t="str">
        <f ca="1">IF(TablaTransfor[[#This Row],[氏名]]="","",IF(TablaTransfor[[#This Row],[氏名]]&lt;"0","記号",IF(NOT(EXACT(UPPER(TablaTransfor[[#This Row],[氏名]]),LOWER(TablaTransfor[[#This Row],[氏名]]))),_xlfn.XLOOKUP($C156,DBGenzai[社員№],DBGenzai[カナ],"",0,1),_xlfn.XLOOKUP($C156,DBGenzai[社員№],DBGenzai[氏名],"",0,1))))</f>
        <v/>
      </c>
      <c r="M156" s="88" t="str">
        <f>_xlfn.XLOOKUP($C156,DBGenzai[社員№],DBGenzai[性別],"",0,1)</f>
        <v/>
      </c>
      <c r="N156" s="88" t="str">
        <f>_xlfn.XLOOKUP($C156,DBGenzai[社員№],DBGenzai[国籍],"",0,1)</f>
        <v/>
      </c>
      <c r="O156" s="89" t="str">
        <f>_xlfn.XLOOKUP($C156,DBGenzai[社員№],DBGenzai[生年月日],"",0,1)</f>
        <v/>
      </c>
      <c r="P156" s="88" t="str">
        <f>_xlfn.XLOOKUP($F$1&amp;B156,Filtro!B:B,Filtro!O:O,"",0,1)</f>
        <v/>
      </c>
      <c r="Q156" s="88" t="str">
        <f>_xlfn.XLOOKUP($F$1&amp;B156,Filtro!B:B,Filtro!P:P,"",0,1)</f>
        <v/>
      </c>
      <c r="R156" s="426" t="str">
        <f>_xlfn.XLOOKUP($F$1&amp;B156,Filtro!B:B,Filtro!R:R,"",0,1)</f>
        <v/>
      </c>
      <c r="S156" s="88" t="str">
        <f>_xlfn.XLOOKUP($C156,DBGenzai[社員№],DBGenzai[〒],"",0,1)</f>
        <v/>
      </c>
      <c r="T156" s="88" t="str">
        <f>_xlfn.XLOOKUP($C156,DBGenzai[社員№],DBGenzai[住所],"",0,1)</f>
        <v/>
      </c>
      <c r="U156" s="88" t="str">
        <f>_xlfn.XLOOKUP($C156,DBGenzai[社員№],DBGenzai[ｱﾊﾟｰﾄ],"",0,1)</f>
        <v/>
      </c>
      <c r="V156" s="89" t="str">
        <f>_xlfn.XLOOKUP($C156,DBGenzai[社員№],DBGenzai[入居],"",0,1)</f>
        <v/>
      </c>
      <c r="W156" s="89" t="str">
        <f>_xlfn.XLOOKUP($F$1&amp;B156,Filtro!B:B,Filtro!AF:AF,"",0,1)</f>
        <v/>
      </c>
      <c r="X156" s="89" t="str">
        <f>_xlfn.XLOOKUP($C156,DBGenzai[社員№],DBGenzai[退社日],"",0,1)</f>
        <v/>
      </c>
      <c r="Y156" s="88" t="str">
        <f>_xlfn.XLOOKUP($C156,DBGenzai[社員№],DBGenzai[退去],"",0,1)</f>
        <v/>
      </c>
      <c r="Z156" s="88" t="str">
        <f>_xlfn.XLOOKUP($C156,DBGenzai[社員№],DBGenzai[備考],"",0,1)</f>
        <v/>
      </c>
      <c r="AA156" s="422" t="str">
        <f>_xlfn.XLOOKUP($F$1&amp;B156,Filtro!B:B,Filtro!AL:AL,"",0,1)</f>
        <v/>
      </c>
      <c r="AB156" s="157" t="str" cm="1">
        <f t="array" aca="1" ref="AB15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6" s="436" t="str">
        <f ca="1">_xlfn.XLOOKUP(TablaTransfor[[#This Row],[ライン]],TBKaishaInfo[ライン],TBKaishaInfo[まで],"NohayMarrano",0,1)</f>
        <v>NohayMarrano</v>
      </c>
    </row>
    <row r="157" spans="1:29" hidden="1">
      <c r="A157" s="424">
        <f>SUBTOTAL(103,$C$3:C157)</f>
        <v>21</v>
      </c>
      <c r="B157" s="159">
        <v>128</v>
      </c>
      <c r="C157" s="88" t="str">
        <f>_xlfn.XLOOKUP($F$1&amp;B157,Filtro!B:B,Filtro!D:D,"",0,1)</f>
        <v/>
      </c>
      <c r="D157" s="88" t="str">
        <f>_xlfn.XLOOKUP($F$1&amp;B157,Filtro!B:B,Filtro!C:C,"",0,1)</f>
        <v/>
      </c>
      <c r="E157" s="88" t="str">
        <f>_xlfn.XLOOKUP($F$1&amp;B157,Filtro!B:B,Filtro!E:E,"",0,1)</f>
        <v/>
      </c>
      <c r="F157" s="88" t="str">
        <f>_xlfn.XLOOKUP($F$1&amp;B157,Filtro!B:B,Filtro!G:G,"",0,1)</f>
        <v/>
      </c>
      <c r="G157" s="88" t="str">
        <f ca="1">MID(TablaTransfor[[#This Row],[配属先]],1,8)</f>
        <v/>
      </c>
      <c r="H157" s="88" t="str">
        <f ca="1">MID(TablaTransfor[[#This Row],[配属先]],9,6)</f>
        <v/>
      </c>
      <c r="I157" s="88" t="str">
        <f>_xlfn.XLOOKUP($C157,DBGenzai[社員№],DBGenzai[仕事内容],"",0,1)</f>
        <v/>
      </c>
      <c r="J157" s="88" t="str">
        <f>_xlfn.XLOOKUP($F$1&amp;B157,Filtro!B:B,Filtro!H:H,"",0,1)</f>
        <v/>
      </c>
      <c r="K157" s="88" t="str">
        <f>_xlfn.XLOOKUP($F$1&amp;B157,Filtro!B:B,Filtro!J:J,"",0,1)</f>
        <v/>
      </c>
      <c r="L157" s="88" t="str">
        <f ca="1">IF(TablaTransfor[[#This Row],[氏名]]="","",IF(TablaTransfor[[#This Row],[氏名]]&lt;"0","記号",IF(NOT(EXACT(UPPER(TablaTransfor[[#This Row],[氏名]]),LOWER(TablaTransfor[[#This Row],[氏名]]))),_xlfn.XLOOKUP($C157,DBGenzai[社員№],DBGenzai[カナ],"",0,1),_xlfn.XLOOKUP($C157,DBGenzai[社員№],DBGenzai[氏名],"",0,1))))</f>
        <v/>
      </c>
      <c r="M157" s="88" t="str">
        <f>_xlfn.XLOOKUP($C157,DBGenzai[社員№],DBGenzai[性別],"",0,1)</f>
        <v/>
      </c>
      <c r="N157" s="88" t="str">
        <f>_xlfn.XLOOKUP($C157,DBGenzai[社員№],DBGenzai[国籍],"",0,1)</f>
        <v/>
      </c>
      <c r="O157" s="89" t="str">
        <f>_xlfn.XLOOKUP($C157,DBGenzai[社員№],DBGenzai[生年月日],"",0,1)</f>
        <v/>
      </c>
      <c r="P157" s="88" t="str">
        <f>_xlfn.XLOOKUP($F$1&amp;B157,Filtro!B:B,Filtro!O:O,"",0,1)</f>
        <v/>
      </c>
      <c r="Q157" s="88" t="str">
        <f>_xlfn.XLOOKUP($F$1&amp;B157,Filtro!B:B,Filtro!P:P,"",0,1)</f>
        <v/>
      </c>
      <c r="R157" s="426" t="str">
        <f>_xlfn.XLOOKUP($F$1&amp;B157,Filtro!B:B,Filtro!R:R,"",0,1)</f>
        <v/>
      </c>
      <c r="S157" s="88" t="str">
        <f>_xlfn.XLOOKUP($C157,DBGenzai[社員№],DBGenzai[〒],"",0,1)</f>
        <v/>
      </c>
      <c r="T157" s="88" t="str">
        <f>_xlfn.XLOOKUP($C157,DBGenzai[社員№],DBGenzai[住所],"",0,1)</f>
        <v/>
      </c>
      <c r="U157" s="88" t="str">
        <f>_xlfn.XLOOKUP($C157,DBGenzai[社員№],DBGenzai[ｱﾊﾟｰﾄ],"",0,1)</f>
        <v/>
      </c>
      <c r="V157" s="89" t="str">
        <f>_xlfn.XLOOKUP($C157,DBGenzai[社員№],DBGenzai[入居],"",0,1)</f>
        <v/>
      </c>
      <c r="W157" s="89" t="str">
        <f>_xlfn.XLOOKUP($F$1&amp;B157,Filtro!B:B,Filtro!AF:AF,"",0,1)</f>
        <v/>
      </c>
      <c r="X157" s="89" t="str">
        <f>_xlfn.XLOOKUP($C157,DBGenzai[社員№],DBGenzai[退社日],"",0,1)</f>
        <v/>
      </c>
      <c r="Y157" s="88" t="str">
        <f>_xlfn.XLOOKUP($C157,DBGenzai[社員№],DBGenzai[退去],"",0,1)</f>
        <v/>
      </c>
      <c r="Z157" s="88" t="str">
        <f>_xlfn.XLOOKUP($C157,DBGenzai[社員№],DBGenzai[備考],"",0,1)</f>
        <v/>
      </c>
      <c r="AA157" s="422" t="str">
        <f>_xlfn.XLOOKUP($F$1&amp;B157,Filtro!B:B,Filtro!AL:AL,"",0,1)</f>
        <v/>
      </c>
      <c r="AB157" s="157" t="str" cm="1">
        <f t="array" aca="1" ref="AB15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7" s="436" t="str">
        <f ca="1">_xlfn.XLOOKUP(TablaTransfor[[#This Row],[ライン]],TBKaishaInfo[ライン],TBKaishaInfo[まで],"NohayMarrano",0,1)</f>
        <v>NohayMarrano</v>
      </c>
    </row>
    <row r="158" spans="1:29" hidden="1">
      <c r="A158" s="424">
        <f>SUBTOTAL(103,$C$3:C158)</f>
        <v>21</v>
      </c>
      <c r="B158" s="159">
        <v>129</v>
      </c>
      <c r="C158" s="88" t="str">
        <f>_xlfn.XLOOKUP($F$1&amp;B158,Filtro!B:B,Filtro!D:D,"",0,1)</f>
        <v/>
      </c>
      <c r="D158" s="88" t="str">
        <f>_xlfn.XLOOKUP($F$1&amp;B158,Filtro!B:B,Filtro!C:C,"",0,1)</f>
        <v/>
      </c>
      <c r="E158" s="88" t="str">
        <f>_xlfn.XLOOKUP($F$1&amp;B158,Filtro!B:B,Filtro!E:E,"",0,1)</f>
        <v/>
      </c>
      <c r="F158" s="88" t="str">
        <f>_xlfn.XLOOKUP($F$1&amp;B158,Filtro!B:B,Filtro!G:G,"",0,1)</f>
        <v/>
      </c>
      <c r="G158" s="88" t="str">
        <f ca="1">MID(TablaTransfor[[#This Row],[配属先]],1,8)</f>
        <v/>
      </c>
      <c r="H158" s="88" t="str">
        <f ca="1">MID(TablaTransfor[[#This Row],[配属先]],9,6)</f>
        <v/>
      </c>
      <c r="I158" s="88" t="str">
        <f>_xlfn.XLOOKUP($C158,DBGenzai[社員№],DBGenzai[仕事内容],"",0,1)</f>
        <v/>
      </c>
      <c r="J158" s="88" t="str">
        <f>_xlfn.XLOOKUP($F$1&amp;B158,Filtro!B:B,Filtro!H:H,"",0,1)</f>
        <v/>
      </c>
      <c r="K158" s="88" t="str">
        <f>_xlfn.XLOOKUP($F$1&amp;B158,Filtro!B:B,Filtro!J:J,"",0,1)</f>
        <v/>
      </c>
      <c r="L158" s="88" t="str">
        <f ca="1">IF(TablaTransfor[[#This Row],[氏名]]="","",IF(TablaTransfor[[#This Row],[氏名]]&lt;"0","記号",IF(NOT(EXACT(UPPER(TablaTransfor[[#This Row],[氏名]]),LOWER(TablaTransfor[[#This Row],[氏名]]))),_xlfn.XLOOKUP($C158,DBGenzai[社員№],DBGenzai[カナ],"",0,1),_xlfn.XLOOKUP($C158,DBGenzai[社員№],DBGenzai[氏名],"",0,1))))</f>
        <v/>
      </c>
      <c r="M158" s="88" t="str">
        <f>_xlfn.XLOOKUP($C158,DBGenzai[社員№],DBGenzai[性別],"",0,1)</f>
        <v/>
      </c>
      <c r="N158" s="88" t="str">
        <f>_xlfn.XLOOKUP($C158,DBGenzai[社員№],DBGenzai[国籍],"",0,1)</f>
        <v/>
      </c>
      <c r="O158" s="89" t="str">
        <f>_xlfn.XLOOKUP($C158,DBGenzai[社員№],DBGenzai[生年月日],"",0,1)</f>
        <v/>
      </c>
      <c r="P158" s="88" t="str">
        <f>_xlfn.XLOOKUP($F$1&amp;B158,Filtro!B:B,Filtro!O:O,"",0,1)</f>
        <v/>
      </c>
      <c r="Q158" s="88" t="str">
        <f>_xlfn.XLOOKUP($F$1&amp;B158,Filtro!B:B,Filtro!P:P,"",0,1)</f>
        <v/>
      </c>
      <c r="R158" s="426" t="str">
        <f>_xlfn.XLOOKUP($F$1&amp;B158,Filtro!B:B,Filtro!R:R,"",0,1)</f>
        <v/>
      </c>
      <c r="S158" s="88" t="str">
        <f>_xlfn.XLOOKUP($C158,DBGenzai[社員№],DBGenzai[〒],"",0,1)</f>
        <v/>
      </c>
      <c r="T158" s="88" t="str">
        <f>_xlfn.XLOOKUP($C158,DBGenzai[社員№],DBGenzai[住所],"",0,1)</f>
        <v/>
      </c>
      <c r="U158" s="88" t="str">
        <f>_xlfn.XLOOKUP($C158,DBGenzai[社員№],DBGenzai[ｱﾊﾟｰﾄ],"",0,1)</f>
        <v/>
      </c>
      <c r="V158" s="89" t="str">
        <f>_xlfn.XLOOKUP($C158,DBGenzai[社員№],DBGenzai[入居],"",0,1)</f>
        <v/>
      </c>
      <c r="W158" s="89" t="str">
        <f>_xlfn.XLOOKUP($F$1&amp;B158,Filtro!B:B,Filtro!AF:AF,"",0,1)</f>
        <v/>
      </c>
      <c r="X158" s="89" t="str">
        <f>_xlfn.XLOOKUP($C158,DBGenzai[社員№],DBGenzai[退社日],"",0,1)</f>
        <v/>
      </c>
      <c r="Y158" s="88" t="str">
        <f>_xlfn.XLOOKUP($C158,DBGenzai[社員№],DBGenzai[退去],"",0,1)</f>
        <v/>
      </c>
      <c r="Z158" s="88" t="str">
        <f>_xlfn.XLOOKUP($C158,DBGenzai[社員№],DBGenzai[備考],"",0,1)</f>
        <v/>
      </c>
      <c r="AA158" s="422" t="str">
        <f>_xlfn.XLOOKUP($F$1&amp;B158,Filtro!B:B,Filtro!AL:AL,"",0,1)</f>
        <v/>
      </c>
      <c r="AB158" s="157" t="str" cm="1">
        <f t="array" aca="1" ref="AB15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8" s="436" t="str">
        <f ca="1">_xlfn.XLOOKUP(TablaTransfor[[#This Row],[ライン]],TBKaishaInfo[ライン],TBKaishaInfo[まで],"NohayMarrano",0,1)</f>
        <v>NohayMarrano</v>
      </c>
    </row>
    <row r="159" spans="1:29" hidden="1">
      <c r="A159" s="424">
        <f>SUBTOTAL(103,$C$3:C159)</f>
        <v>21</v>
      </c>
      <c r="B159" s="159">
        <v>67</v>
      </c>
      <c r="C159" s="88" t="str">
        <f>_xlfn.XLOOKUP($F$1&amp;B159,Filtro!B:B,Filtro!D:D,"",0,1)</f>
        <v/>
      </c>
      <c r="D159" s="88" t="str">
        <f>_xlfn.XLOOKUP($F$1&amp;B159,Filtro!B:B,Filtro!C:C,"",0,1)</f>
        <v/>
      </c>
      <c r="E159" s="88" t="str">
        <f>_xlfn.XLOOKUP($F$1&amp;B159,Filtro!B:B,Filtro!E:E,"",0,1)</f>
        <v/>
      </c>
      <c r="F159" s="88" t="str">
        <f>_xlfn.XLOOKUP($F$1&amp;B159,Filtro!B:B,Filtro!G:G,"",0,1)</f>
        <v/>
      </c>
      <c r="G159" s="88" t="str">
        <f ca="1">MID(TablaTransfor[[#This Row],[配属先]],1,8)</f>
        <v/>
      </c>
      <c r="H159" s="88" t="str">
        <f ca="1">MID(TablaTransfor[[#This Row],[配属先]],9,6)</f>
        <v/>
      </c>
      <c r="I159" s="88" t="str">
        <f>_xlfn.XLOOKUP($C159,DBGenzai[社員№],DBGenzai[仕事内容],"",0,1)</f>
        <v/>
      </c>
      <c r="J159" s="88" t="str">
        <f>_xlfn.XLOOKUP($F$1&amp;B159,Filtro!B:B,Filtro!H:H,"",0,1)</f>
        <v/>
      </c>
      <c r="K159" s="88" t="str">
        <f>_xlfn.XLOOKUP($F$1&amp;B159,Filtro!B:B,Filtro!J:J,"",0,1)</f>
        <v/>
      </c>
      <c r="L159" s="88" t="str">
        <f ca="1">IF(TablaTransfor[[#This Row],[氏名]]="","",IF(TablaTransfor[[#This Row],[氏名]]&lt;"0","記号",IF(NOT(EXACT(UPPER(TablaTransfor[[#This Row],[氏名]]),LOWER(TablaTransfor[[#This Row],[氏名]]))),_xlfn.XLOOKUP($C159,DBGenzai[社員№],DBGenzai[カナ],"",0,1),_xlfn.XLOOKUP($C159,DBGenzai[社員№],DBGenzai[氏名],"",0,1))))</f>
        <v/>
      </c>
      <c r="M159" s="88" t="str">
        <f>_xlfn.XLOOKUP($C159,DBGenzai[社員№],DBGenzai[性別],"",0,1)</f>
        <v/>
      </c>
      <c r="N159" s="88" t="str">
        <f>_xlfn.XLOOKUP($C159,DBGenzai[社員№],DBGenzai[国籍],"",0,1)</f>
        <v/>
      </c>
      <c r="O159" s="89" t="str">
        <f>_xlfn.XLOOKUP($C159,DBGenzai[社員№],DBGenzai[生年月日],"",0,1)</f>
        <v/>
      </c>
      <c r="P159" s="88" t="str">
        <f>_xlfn.XLOOKUP($F$1&amp;B159,Filtro!B:B,Filtro!O:O,"",0,1)</f>
        <v/>
      </c>
      <c r="Q159" s="88" t="str">
        <f>_xlfn.XLOOKUP($F$1&amp;B159,Filtro!B:B,Filtro!P:P,"",0,1)</f>
        <v/>
      </c>
      <c r="R159" s="426" t="str">
        <f>_xlfn.XLOOKUP($F$1&amp;B159,Filtro!B:B,Filtro!R:R,"",0,1)</f>
        <v/>
      </c>
      <c r="S159" s="88" t="str">
        <f>_xlfn.XLOOKUP($C159,DBGenzai[社員№],DBGenzai[〒],"",0,1)</f>
        <v/>
      </c>
      <c r="T159" s="88" t="str">
        <f>_xlfn.XLOOKUP($C159,DBGenzai[社員№],DBGenzai[住所],"",0,1)</f>
        <v/>
      </c>
      <c r="U159" s="88" t="str">
        <f>_xlfn.XLOOKUP($C159,DBGenzai[社員№],DBGenzai[ｱﾊﾟｰﾄ],"",0,1)</f>
        <v/>
      </c>
      <c r="V159" s="89" t="str">
        <f>_xlfn.XLOOKUP($C159,DBGenzai[社員№],DBGenzai[入居],"",0,1)</f>
        <v/>
      </c>
      <c r="W159" s="89" t="str">
        <f>_xlfn.XLOOKUP($F$1&amp;B159,Filtro!B:B,Filtro!AF:AF,"",0,1)</f>
        <v/>
      </c>
      <c r="X159" s="89" t="str">
        <f>_xlfn.XLOOKUP($C159,DBGenzai[社員№],DBGenzai[退社日],"",0,1)</f>
        <v/>
      </c>
      <c r="Y159" s="88" t="str">
        <f>_xlfn.XLOOKUP($C159,DBGenzai[社員№],DBGenzai[退去],"",0,1)</f>
        <v/>
      </c>
      <c r="Z159" s="88" t="str">
        <f>_xlfn.XLOOKUP($C159,DBGenzai[社員№],DBGenzai[備考],"",0,1)</f>
        <v/>
      </c>
      <c r="AA159" s="422" t="str">
        <f>_xlfn.XLOOKUP($F$1&amp;B159,Filtro!B:B,Filtro!AL:AL,"",0,1)</f>
        <v/>
      </c>
      <c r="AB159" s="157" t="str" cm="1">
        <f t="array" aca="1" ref="AB15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59" s="436" t="str">
        <f ca="1">_xlfn.XLOOKUP(TablaTransfor[[#This Row],[ライン]],TBKaishaInfo[ライン],TBKaishaInfo[まで],"NohayMarrano",0,1)</f>
        <v>NohayMarrano</v>
      </c>
    </row>
    <row r="160" spans="1:29" hidden="1">
      <c r="A160" s="424">
        <f>SUBTOTAL(103,$C$3:C160)</f>
        <v>21</v>
      </c>
      <c r="B160" s="159">
        <v>130</v>
      </c>
      <c r="C160" s="88" t="str">
        <f>_xlfn.XLOOKUP($F$1&amp;B160,Filtro!B:B,Filtro!D:D,"",0,1)</f>
        <v/>
      </c>
      <c r="D160" s="88" t="str">
        <f>_xlfn.XLOOKUP($F$1&amp;B160,Filtro!B:B,Filtro!C:C,"",0,1)</f>
        <v/>
      </c>
      <c r="E160" s="88" t="str">
        <f>_xlfn.XLOOKUP($F$1&amp;B160,Filtro!B:B,Filtro!E:E,"",0,1)</f>
        <v/>
      </c>
      <c r="F160" s="88" t="str">
        <f>_xlfn.XLOOKUP($F$1&amp;B160,Filtro!B:B,Filtro!G:G,"",0,1)</f>
        <v/>
      </c>
      <c r="G160" s="88" t="str">
        <f ca="1">MID(TablaTransfor[[#This Row],[配属先]],1,8)</f>
        <v/>
      </c>
      <c r="H160" s="88" t="str">
        <f ca="1">MID(TablaTransfor[[#This Row],[配属先]],9,6)</f>
        <v/>
      </c>
      <c r="I160" s="88" t="str">
        <f>_xlfn.XLOOKUP($C160,DBGenzai[社員№],DBGenzai[仕事内容],"",0,1)</f>
        <v/>
      </c>
      <c r="J160" s="88" t="str">
        <f>_xlfn.XLOOKUP($F$1&amp;B160,Filtro!B:B,Filtro!H:H,"",0,1)</f>
        <v/>
      </c>
      <c r="K160" s="88" t="str">
        <f>_xlfn.XLOOKUP($F$1&amp;B160,Filtro!B:B,Filtro!J:J,"",0,1)</f>
        <v/>
      </c>
      <c r="L160" s="88" t="str">
        <f ca="1">IF(TablaTransfor[[#This Row],[氏名]]="","",IF(TablaTransfor[[#This Row],[氏名]]&lt;"0","記号",IF(NOT(EXACT(UPPER(TablaTransfor[[#This Row],[氏名]]),LOWER(TablaTransfor[[#This Row],[氏名]]))),_xlfn.XLOOKUP($C160,DBGenzai[社員№],DBGenzai[カナ],"",0,1),_xlfn.XLOOKUP($C160,DBGenzai[社員№],DBGenzai[氏名],"",0,1))))</f>
        <v/>
      </c>
      <c r="M160" s="88" t="str">
        <f>_xlfn.XLOOKUP($C160,DBGenzai[社員№],DBGenzai[性別],"",0,1)</f>
        <v/>
      </c>
      <c r="N160" s="88" t="str">
        <f>_xlfn.XLOOKUP($C160,DBGenzai[社員№],DBGenzai[国籍],"",0,1)</f>
        <v/>
      </c>
      <c r="O160" s="89" t="str">
        <f>_xlfn.XLOOKUP($C160,DBGenzai[社員№],DBGenzai[生年月日],"",0,1)</f>
        <v/>
      </c>
      <c r="P160" s="88" t="str">
        <f>_xlfn.XLOOKUP($F$1&amp;B160,Filtro!B:B,Filtro!O:O,"",0,1)</f>
        <v/>
      </c>
      <c r="Q160" s="88" t="str">
        <f>_xlfn.XLOOKUP($F$1&amp;B160,Filtro!B:B,Filtro!P:P,"",0,1)</f>
        <v/>
      </c>
      <c r="R160" s="426" t="str">
        <f>_xlfn.XLOOKUP($F$1&amp;B160,Filtro!B:B,Filtro!R:R,"",0,1)</f>
        <v/>
      </c>
      <c r="S160" s="88" t="str">
        <f>_xlfn.XLOOKUP($C160,DBGenzai[社員№],DBGenzai[〒],"",0,1)</f>
        <v/>
      </c>
      <c r="T160" s="88" t="str">
        <f>_xlfn.XLOOKUP($C160,DBGenzai[社員№],DBGenzai[住所],"",0,1)</f>
        <v/>
      </c>
      <c r="U160" s="88" t="str">
        <f>_xlfn.XLOOKUP($C160,DBGenzai[社員№],DBGenzai[ｱﾊﾟｰﾄ],"",0,1)</f>
        <v/>
      </c>
      <c r="V160" s="89" t="str">
        <f>_xlfn.XLOOKUP($C160,DBGenzai[社員№],DBGenzai[入居],"",0,1)</f>
        <v/>
      </c>
      <c r="W160" s="89" t="str">
        <f>_xlfn.XLOOKUP($F$1&amp;B160,Filtro!B:B,Filtro!AF:AF,"",0,1)</f>
        <v/>
      </c>
      <c r="X160" s="89" t="str">
        <f>_xlfn.XLOOKUP($C160,DBGenzai[社員№],DBGenzai[退社日],"",0,1)</f>
        <v/>
      </c>
      <c r="Y160" s="88" t="str">
        <f>_xlfn.XLOOKUP($C160,DBGenzai[社員№],DBGenzai[退去],"",0,1)</f>
        <v/>
      </c>
      <c r="Z160" s="88" t="str">
        <f>_xlfn.XLOOKUP($C160,DBGenzai[社員№],DBGenzai[備考],"",0,1)</f>
        <v/>
      </c>
      <c r="AA160" s="422" t="str">
        <f>_xlfn.XLOOKUP($F$1&amp;B160,Filtro!B:B,Filtro!AL:AL,"",0,1)</f>
        <v/>
      </c>
      <c r="AB160" s="157" t="str" cm="1">
        <f t="array" aca="1" ref="AB16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0" s="436" t="str">
        <f ca="1">_xlfn.XLOOKUP(TablaTransfor[[#This Row],[ライン]],TBKaishaInfo[ライン],TBKaishaInfo[まで],"NohayMarrano",0,1)</f>
        <v>NohayMarrano</v>
      </c>
    </row>
    <row r="161" spans="1:29" hidden="1">
      <c r="A161" s="424">
        <f>SUBTOTAL(103,$C$3:C161)</f>
        <v>21</v>
      </c>
      <c r="B161" s="159">
        <v>69</v>
      </c>
      <c r="C161" s="88" t="str">
        <f>_xlfn.XLOOKUP($F$1&amp;B161,Filtro!B:B,Filtro!D:D,"",0,1)</f>
        <v/>
      </c>
      <c r="D161" s="88" t="str">
        <f>_xlfn.XLOOKUP($F$1&amp;B161,Filtro!B:B,Filtro!C:C,"",0,1)</f>
        <v/>
      </c>
      <c r="E161" s="88" t="str">
        <f>_xlfn.XLOOKUP($F$1&amp;B161,Filtro!B:B,Filtro!E:E,"",0,1)</f>
        <v/>
      </c>
      <c r="F161" s="88" t="str">
        <f>_xlfn.XLOOKUP($F$1&amp;B161,Filtro!B:B,Filtro!G:G,"",0,1)</f>
        <v/>
      </c>
      <c r="G161" s="88" t="str">
        <f ca="1">MID(TablaTransfor[[#This Row],[配属先]],1,8)</f>
        <v/>
      </c>
      <c r="H161" s="88" t="str">
        <f ca="1">MID(TablaTransfor[[#This Row],[配属先]],9,6)</f>
        <v/>
      </c>
      <c r="I161" s="88" t="str">
        <f>_xlfn.XLOOKUP($C161,DBGenzai[社員№],DBGenzai[仕事内容],"",0,1)</f>
        <v/>
      </c>
      <c r="J161" s="88" t="str">
        <f>_xlfn.XLOOKUP($F$1&amp;B161,Filtro!B:B,Filtro!H:H,"",0,1)</f>
        <v/>
      </c>
      <c r="K161" s="88" t="str">
        <f>_xlfn.XLOOKUP($F$1&amp;B161,Filtro!B:B,Filtro!J:J,"",0,1)</f>
        <v/>
      </c>
      <c r="L161" s="88" t="str">
        <f ca="1">IF(TablaTransfor[[#This Row],[氏名]]="","",IF(TablaTransfor[[#This Row],[氏名]]&lt;"0","記号",IF(NOT(EXACT(UPPER(TablaTransfor[[#This Row],[氏名]]),LOWER(TablaTransfor[[#This Row],[氏名]]))),_xlfn.XLOOKUP($C161,DBGenzai[社員№],DBGenzai[カナ],"",0,1),_xlfn.XLOOKUP($C161,DBGenzai[社員№],DBGenzai[氏名],"",0,1))))</f>
        <v/>
      </c>
      <c r="M161" s="88" t="str">
        <f>_xlfn.XLOOKUP($C161,DBGenzai[社員№],DBGenzai[性別],"",0,1)</f>
        <v/>
      </c>
      <c r="N161" s="88" t="str">
        <f>_xlfn.XLOOKUP($C161,DBGenzai[社員№],DBGenzai[国籍],"",0,1)</f>
        <v/>
      </c>
      <c r="O161" s="89" t="str">
        <f>_xlfn.XLOOKUP($C161,DBGenzai[社員№],DBGenzai[生年月日],"",0,1)</f>
        <v/>
      </c>
      <c r="P161" s="88" t="str">
        <f>_xlfn.XLOOKUP($F$1&amp;B161,Filtro!B:B,Filtro!O:O,"",0,1)</f>
        <v/>
      </c>
      <c r="Q161" s="88" t="str">
        <f>_xlfn.XLOOKUP($F$1&amp;B161,Filtro!B:B,Filtro!P:P,"",0,1)</f>
        <v/>
      </c>
      <c r="R161" s="426" t="str">
        <f>_xlfn.XLOOKUP($F$1&amp;B161,Filtro!B:B,Filtro!R:R,"",0,1)</f>
        <v/>
      </c>
      <c r="S161" s="88" t="str">
        <f>_xlfn.XLOOKUP($C161,DBGenzai[社員№],DBGenzai[〒],"",0,1)</f>
        <v/>
      </c>
      <c r="T161" s="88" t="str">
        <f>_xlfn.XLOOKUP($C161,DBGenzai[社員№],DBGenzai[住所],"",0,1)</f>
        <v/>
      </c>
      <c r="U161" s="88" t="str">
        <f>_xlfn.XLOOKUP($C161,DBGenzai[社員№],DBGenzai[ｱﾊﾟｰﾄ],"",0,1)</f>
        <v/>
      </c>
      <c r="V161" s="89" t="str">
        <f>_xlfn.XLOOKUP($C161,DBGenzai[社員№],DBGenzai[入居],"",0,1)</f>
        <v/>
      </c>
      <c r="W161" s="89" t="str">
        <f>_xlfn.XLOOKUP($F$1&amp;B161,Filtro!B:B,Filtro!AF:AF,"",0,1)</f>
        <v/>
      </c>
      <c r="X161" s="89" t="str">
        <f>_xlfn.XLOOKUP($C161,DBGenzai[社員№],DBGenzai[退社日],"",0,1)</f>
        <v/>
      </c>
      <c r="Y161" s="88" t="str">
        <f>_xlfn.XLOOKUP($C161,DBGenzai[社員№],DBGenzai[退去],"",0,1)</f>
        <v/>
      </c>
      <c r="Z161" s="88" t="str">
        <f>_xlfn.XLOOKUP($C161,DBGenzai[社員№],DBGenzai[備考],"",0,1)</f>
        <v/>
      </c>
      <c r="AA161" s="422" t="str">
        <f>_xlfn.XLOOKUP($F$1&amp;B161,Filtro!B:B,Filtro!AL:AL,"",0,1)</f>
        <v/>
      </c>
      <c r="AB161" s="157" t="str" cm="1">
        <f t="array" aca="1" ref="AB16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1" s="436" t="str">
        <f ca="1">_xlfn.XLOOKUP(TablaTransfor[[#This Row],[ライン]],TBKaishaInfo[ライン],TBKaishaInfo[まで],"NohayMarrano",0,1)</f>
        <v>NohayMarrano</v>
      </c>
    </row>
    <row r="162" spans="1:29" hidden="1">
      <c r="A162" s="424">
        <f>SUBTOTAL(103,$C$3:C162)</f>
        <v>21</v>
      </c>
      <c r="B162" s="159">
        <v>73</v>
      </c>
      <c r="C162" s="88" t="str">
        <f>_xlfn.XLOOKUP($F$1&amp;B162,Filtro!B:B,Filtro!D:D,"",0,1)</f>
        <v/>
      </c>
      <c r="D162" s="88" t="str">
        <f>_xlfn.XLOOKUP($F$1&amp;B162,Filtro!B:B,Filtro!C:C,"",0,1)</f>
        <v/>
      </c>
      <c r="E162" s="88" t="str">
        <f>_xlfn.XLOOKUP($F$1&amp;B162,Filtro!B:B,Filtro!E:E,"",0,1)</f>
        <v/>
      </c>
      <c r="F162" s="88" t="str">
        <f>_xlfn.XLOOKUP($F$1&amp;B162,Filtro!B:B,Filtro!G:G,"",0,1)</f>
        <v/>
      </c>
      <c r="G162" s="88" t="str">
        <f ca="1">MID(TablaTransfor[[#This Row],[配属先]],1,8)</f>
        <v/>
      </c>
      <c r="H162" s="88" t="str">
        <f ca="1">MID(TablaTransfor[[#This Row],[配属先]],9,6)</f>
        <v/>
      </c>
      <c r="I162" s="88" t="str">
        <f>_xlfn.XLOOKUP($C162,DBGenzai[社員№],DBGenzai[仕事内容],"",0,1)</f>
        <v/>
      </c>
      <c r="J162" s="88" t="str">
        <f>_xlfn.XLOOKUP($F$1&amp;B162,Filtro!B:B,Filtro!H:H,"",0,1)</f>
        <v/>
      </c>
      <c r="K162" s="88" t="str">
        <f>_xlfn.XLOOKUP($F$1&amp;B162,Filtro!B:B,Filtro!J:J,"",0,1)</f>
        <v/>
      </c>
      <c r="L162" s="88" t="str">
        <f ca="1">IF(TablaTransfor[[#This Row],[氏名]]="","",IF(TablaTransfor[[#This Row],[氏名]]&lt;"0","記号",IF(NOT(EXACT(UPPER(TablaTransfor[[#This Row],[氏名]]),LOWER(TablaTransfor[[#This Row],[氏名]]))),_xlfn.XLOOKUP($C162,DBGenzai[社員№],DBGenzai[カナ],"",0,1),_xlfn.XLOOKUP($C162,DBGenzai[社員№],DBGenzai[氏名],"",0,1))))</f>
        <v/>
      </c>
      <c r="M162" s="88" t="str">
        <f>_xlfn.XLOOKUP($C162,DBGenzai[社員№],DBGenzai[性別],"",0,1)</f>
        <v/>
      </c>
      <c r="N162" s="88" t="str">
        <f>_xlfn.XLOOKUP($C162,DBGenzai[社員№],DBGenzai[国籍],"",0,1)</f>
        <v/>
      </c>
      <c r="O162" s="89" t="str">
        <f>_xlfn.XLOOKUP($C162,DBGenzai[社員№],DBGenzai[生年月日],"",0,1)</f>
        <v/>
      </c>
      <c r="P162" s="88" t="str">
        <f>_xlfn.XLOOKUP($F$1&amp;B162,Filtro!B:B,Filtro!O:O,"",0,1)</f>
        <v/>
      </c>
      <c r="Q162" s="88" t="str">
        <f>_xlfn.XLOOKUP($F$1&amp;B162,Filtro!B:B,Filtro!P:P,"",0,1)</f>
        <v/>
      </c>
      <c r="R162" s="426" t="str">
        <f>_xlfn.XLOOKUP($F$1&amp;B162,Filtro!B:B,Filtro!R:R,"",0,1)</f>
        <v/>
      </c>
      <c r="S162" s="88" t="str">
        <f>_xlfn.XLOOKUP($C162,DBGenzai[社員№],DBGenzai[〒],"",0,1)</f>
        <v/>
      </c>
      <c r="T162" s="88" t="str">
        <f>_xlfn.XLOOKUP($C162,DBGenzai[社員№],DBGenzai[住所],"",0,1)</f>
        <v/>
      </c>
      <c r="U162" s="88" t="str">
        <f>_xlfn.XLOOKUP($C162,DBGenzai[社員№],DBGenzai[ｱﾊﾟｰﾄ],"",0,1)</f>
        <v/>
      </c>
      <c r="V162" s="89" t="str">
        <f>_xlfn.XLOOKUP($C162,DBGenzai[社員№],DBGenzai[入居],"",0,1)</f>
        <v/>
      </c>
      <c r="W162" s="89" t="str">
        <f>_xlfn.XLOOKUP($F$1&amp;B162,Filtro!B:B,Filtro!AF:AF,"",0,1)</f>
        <v/>
      </c>
      <c r="X162" s="89" t="str">
        <f>_xlfn.XLOOKUP($C162,DBGenzai[社員№],DBGenzai[退社日],"",0,1)</f>
        <v/>
      </c>
      <c r="Y162" s="88" t="str">
        <f>_xlfn.XLOOKUP($C162,DBGenzai[社員№],DBGenzai[退去],"",0,1)</f>
        <v/>
      </c>
      <c r="Z162" s="88" t="str">
        <f>_xlfn.XLOOKUP($C162,DBGenzai[社員№],DBGenzai[備考],"",0,1)</f>
        <v/>
      </c>
      <c r="AA162" s="422" t="str">
        <f>_xlfn.XLOOKUP($F$1&amp;B162,Filtro!B:B,Filtro!AL:AL,"",0,1)</f>
        <v/>
      </c>
      <c r="AB162" s="157" t="str" cm="1">
        <f t="array" aca="1" ref="AB16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2" s="436" t="str">
        <f ca="1">_xlfn.XLOOKUP(TablaTransfor[[#This Row],[ライン]],TBKaishaInfo[ライン],TBKaishaInfo[まで],"NohayMarrano",0,1)</f>
        <v>NohayMarrano</v>
      </c>
    </row>
    <row r="163" spans="1:29" hidden="1">
      <c r="A163" s="424">
        <f>SUBTOTAL(103,$C$3:C163)</f>
        <v>21</v>
      </c>
      <c r="B163" s="159">
        <v>71</v>
      </c>
      <c r="C163" s="88" t="str">
        <f>_xlfn.XLOOKUP($F$1&amp;B163,Filtro!B:B,Filtro!D:D,"",0,1)</f>
        <v/>
      </c>
      <c r="D163" s="88" t="str">
        <f>_xlfn.XLOOKUP($F$1&amp;B163,Filtro!B:B,Filtro!C:C,"",0,1)</f>
        <v/>
      </c>
      <c r="E163" s="88" t="str">
        <f>_xlfn.XLOOKUP($F$1&amp;B163,Filtro!B:B,Filtro!E:E,"",0,1)</f>
        <v/>
      </c>
      <c r="F163" s="88" t="str">
        <f>_xlfn.XLOOKUP($F$1&amp;B163,Filtro!B:B,Filtro!G:G,"",0,1)</f>
        <v/>
      </c>
      <c r="G163" s="88" t="str">
        <f ca="1">MID(TablaTransfor[[#This Row],[配属先]],1,8)</f>
        <v/>
      </c>
      <c r="H163" s="88" t="str">
        <f ca="1">MID(TablaTransfor[[#This Row],[配属先]],9,6)</f>
        <v/>
      </c>
      <c r="I163" s="88" t="str">
        <f>_xlfn.XLOOKUP($C163,DBGenzai[社員№],DBGenzai[仕事内容],"",0,1)</f>
        <v/>
      </c>
      <c r="J163" s="88" t="str">
        <f>_xlfn.XLOOKUP($F$1&amp;B163,Filtro!B:B,Filtro!H:H,"",0,1)</f>
        <v/>
      </c>
      <c r="K163" s="88" t="str">
        <f>_xlfn.XLOOKUP($F$1&amp;B163,Filtro!B:B,Filtro!J:J,"",0,1)</f>
        <v/>
      </c>
      <c r="L163" s="88" t="str">
        <f ca="1">IF(TablaTransfor[[#This Row],[氏名]]="","",IF(TablaTransfor[[#This Row],[氏名]]&lt;"0","記号",IF(NOT(EXACT(UPPER(TablaTransfor[[#This Row],[氏名]]),LOWER(TablaTransfor[[#This Row],[氏名]]))),_xlfn.XLOOKUP($C163,DBGenzai[社員№],DBGenzai[カナ],"",0,1),_xlfn.XLOOKUP($C163,DBGenzai[社員№],DBGenzai[氏名],"",0,1))))</f>
        <v/>
      </c>
      <c r="M163" s="88" t="str">
        <f>_xlfn.XLOOKUP($C163,DBGenzai[社員№],DBGenzai[性別],"",0,1)</f>
        <v/>
      </c>
      <c r="N163" s="88" t="str">
        <f>_xlfn.XLOOKUP($C163,DBGenzai[社員№],DBGenzai[国籍],"",0,1)</f>
        <v/>
      </c>
      <c r="O163" s="89" t="str">
        <f>_xlfn.XLOOKUP($C163,DBGenzai[社員№],DBGenzai[生年月日],"",0,1)</f>
        <v/>
      </c>
      <c r="P163" s="88" t="str">
        <f>_xlfn.XLOOKUP($F$1&amp;B163,Filtro!B:B,Filtro!O:O,"",0,1)</f>
        <v/>
      </c>
      <c r="Q163" s="88" t="str">
        <f>_xlfn.XLOOKUP($F$1&amp;B163,Filtro!B:B,Filtro!P:P,"",0,1)</f>
        <v/>
      </c>
      <c r="R163" s="426" t="str">
        <f>_xlfn.XLOOKUP($F$1&amp;B163,Filtro!B:B,Filtro!R:R,"",0,1)</f>
        <v/>
      </c>
      <c r="S163" s="88" t="str">
        <f>_xlfn.XLOOKUP($C163,DBGenzai[社員№],DBGenzai[〒],"",0,1)</f>
        <v/>
      </c>
      <c r="T163" s="88" t="str">
        <f>_xlfn.XLOOKUP($C163,DBGenzai[社員№],DBGenzai[住所],"",0,1)</f>
        <v/>
      </c>
      <c r="U163" s="88" t="str">
        <f>_xlfn.XLOOKUP($C163,DBGenzai[社員№],DBGenzai[ｱﾊﾟｰﾄ],"",0,1)</f>
        <v/>
      </c>
      <c r="V163" s="89" t="str">
        <f>_xlfn.XLOOKUP($C163,DBGenzai[社員№],DBGenzai[入居],"",0,1)</f>
        <v/>
      </c>
      <c r="W163" s="89" t="str">
        <f>_xlfn.XLOOKUP($F$1&amp;B163,Filtro!B:B,Filtro!AF:AF,"",0,1)</f>
        <v/>
      </c>
      <c r="X163" s="89" t="str">
        <f>_xlfn.XLOOKUP($C163,DBGenzai[社員№],DBGenzai[退社日],"",0,1)</f>
        <v/>
      </c>
      <c r="Y163" s="88" t="str">
        <f>_xlfn.XLOOKUP($C163,DBGenzai[社員№],DBGenzai[退去],"",0,1)</f>
        <v/>
      </c>
      <c r="Z163" s="88" t="str">
        <f>_xlfn.XLOOKUP($C163,DBGenzai[社員№],DBGenzai[備考],"",0,1)</f>
        <v/>
      </c>
      <c r="AA163" s="422" t="str">
        <f>_xlfn.XLOOKUP($F$1&amp;B163,Filtro!B:B,Filtro!AL:AL,"",0,1)</f>
        <v/>
      </c>
      <c r="AB163" s="157" t="str" cm="1">
        <f t="array" aca="1" ref="AB16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3" s="436" t="str">
        <f ca="1">_xlfn.XLOOKUP(TablaTransfor[[#This Row],[ライン]],TBKaishaInfo[ライン],TBKaishaInfo[まで],"NohayMarrano",0,1)</f>
        <v>NohayMarrano</v>
      </c>
    </row>
    <row r="164" spans="1:29" hidden="1">
      <c r="A164" s="424">
        <f>SUBTOTAL(103,$C$3:C164)</f>
        <v>21</v>
      </c>
      <c r="B164" s="159">
        <v>131</v>
      </c>
      <c r="C164" s="88" t="str">
        <f>_xlfn.XLOOKUP($F$1&amp;B164,Filtro!B:B,Filtro!D:D,"",0,1)</f>
        <v/>
      </c>
      <c r="D164" s="88" t="str">
        <f>_xlfn.XLOOKUP($F$1&amp;B164,Filtro!B:B,Filtro!C:C,"",0,1)</f>
        <v/>
      </c>
      <c r="E164" s="88" t="str">
        <f>_xlfn.XLOOKUP($F$1&amp;B164,Filtro!B:B,Filtro!E:E,"",0,1)</f>
        <v/>
      </c>
      <c r="F164" s="88" t="str">
        <f>_xlfn.XLOOKUP($F$1&amp;B164,Filtro!B:B,Filtro!G:G,"",0,1)</f>
        <v/>
      </c>
      <c r="G164" s="88" t="str">
        <f ca="1">MID(TablaTransfor[[#This Row],[配属先]],1,8)</f>
        <v/>
      </c>
      <c r="H164" s="88" t="str">
        <f ca="1">MID(TablaTransfor[[#This Row],[配属先]],9,6)</f>
        <v/>
      </c>
      <c r="I164" s="88" t="str">
        <f>_xlfn.XLOOKUP($C164,DBGenzai[社員№],DBGenzai[仕事内容],"",0,1)</f>
        <v/>
      </c>
      <c r="J164" s="88" t="str">
        <f>_xlfn.XLOOKUP($F$1&amp;B164,Filtro!B:B,Filtro!H:H,"",0,1)</f>
        <v/>
      </c>
      <c r="K164" s="88" t="str">
        <f>_xlfn.XLOOKUP($F$1&amp;B164,Filtro!B:B,Filtro!J:J,"",0,1)</f>
        <v/>
      </c>
      <c r="L164" s="88" t="str">
        <f ca="1">IF(TablaTransfor[[#This Row],[氏名]]="","",IF(TablaTransfor[[#This Row],[氏名]]&lt;"0","記号",IF(NOT(EXACT(UPPER(TablaTransfor[[#This Row],[氏名]]),LOWER(TablaTransfor[[#This Row],[氏名]]))),_xlfn.XLOOKUP($C164,DBGenzai[社員№],DBGenzai[カナ],"",0,1),_xlfn.XLOOKUP($C164,DBGenzai[社員№],DBGenzai[氏名],"",0,1))))</f>
        <v/>
      </c>
      <c r="M164" s="88" t="str">
        <f>_xlfn.XLOOKUP($C164,DBGenzai[社員№],DBGenzai[性別],"",0,1)</f>
        <v/>
      </c>
      <c r="N164" s="88" t="str">
        <f>_xlfn.XLOOKUP($C164,DBGenzai[社員№],DBGenzai[国籍],"",0,1)</f>
        <v/>
      </c>
      <c r="O164" s="89" t="str">
        <f>_xlfn.XLOOKUP($C164,DBGenzai[社員№],DBGenzai[生年月日],"",0,1)</f>
        <v/>
      </c>
      <c r="P164" s="88" t="str">
        <f>_xlfn.XLOOKUP($F$1&amp;B164,Filtro!B:B,Filtro!O:O,"",0,1)</f>
        <v/>
      </c>
      <c r="Q164" s="88" t="str">
        <f>_xlfn.XLOOKUP($F$1&amp;B164,Filtro!B:B,Filtro!P:P,"",0,1)</f>
        <v/>
      </c>
      <c r="R164" s="426" t="str">
        <f>_xlfn.XLOOKUP($F$1&amp;B164,Filtro!B:B,Filtro!R:R,"",0,1)</f>
        <v/>
      </c>
      <c r="S164" s="88" t="str">
        <f>_xlfn.XLOOKUP($C164,DBGenzai[社員№],DBGenzai[〒],"",0,1)</f>
        <v/>
      </c>
      <c r="T164" s="88" t="str">
        <f>_xlfn.XLOOKUP($C164,DBGenzai[社員№],DBGenzai[住所],"",0,1)</f>
        <v/>
      </c>
      <c r="U164" s="88" t="str">
        <f>_xlfn.XLOOKUP($C164,DBGenzai[社員№],DBGenzai[ｱﾊﾟｰﾄ],"",0,1)</f>
        <v/>
      </c>
      <c r="V164" s="89" t="str">
        <f>_xlfn.XLOOKUP($C164,DBGenzai[社員№],DBGenzai[入居],"",0,1)</f>
        <v/>
      </c>
      <c r="W164" s="89" t="str">
        <f>_xlfn.XLOOKUP($F$1&amp;B164,Filtro!B:B,Filtro!AF:AF,"",0,1)</f>
        <v/>
      </c>
      <c r="X164" s="89" t="str">
        <f>_xlfn.XLOOKUP($C164,DBGenzai[社員№],DBGenzai[退社日],"",0,1)</f>
        <v/>
      </c>
      <c r="Y164" s="88" t="str">
        <f>_xlfn.XLOOKUP($C164,DBGenzai[社員№],DBGenzai[退去],"",0,1)</f>
        <v/>
      </c>
      <c r="Z164" s="88" t="str">
        <f>_xlfn.XLOOKUP($C164,DBGenzai[社員№],DBGenzai[備考],"",0,1)</f>
        <v/>
      </c>
      <c r="AA164" s="422" t="str">
        <f>_xlfn.XLOOKUP($F$1&amp;B164,Filtro!B:B,Filtro!AL:AL,"",0,1)</f>
        <v/>
      </c>
      <c r="AB164" s="157" t="str" cm="1">
        <f t="array" aca="1" ref="AB16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4" s="436" t="str">
        <f ca="1">_xlfn.XLOOKUP(TablaTransfor[[#This Row],[ライン]],TBKaishaInfo[ライン],TBKaishaInfo[まで],"NohayMarrano",0,1)</f>
        <v>NohayMarrano</v>
      </c>
    </row>
    <row r="165" spans="1:29" hidden="1">
      <c r="A165" s="424">
        <f>SUBTOTAL(103,$C$3:C165)</f>
        <v>21</v>
      </c>
      <c r="B165" s="159">
        <v>132</v>
      </c>
      <c r="C165" s="88" t="str">
        <f>_xlfn.XLOOKUP($F$1&amp;B165,Filtro!B:B,Filtro!D:D,"",0,1)</f>
        <v/>
      </c>
      <c r="D165" s="88" t="str">
        <f>_xlfn.XLOOKUP($F$1&amp;B165,Filtro!B:B,Filtro!C:C,"",0,1)</f>
        <v/>
      </c>
      <c r="E165" s="88" t="str">
        <f>_xlfn.XLOOKUP($F$1&amp;B165,Filtro!B:B,Filtro!E:E,"",0,1)</f>
        <v/>
      </c>
      <c r="F165" s="88" t="str">
        <f>_xlfn.XLOOKUP($F$1&amp;B165,Filtro!B:B,Filtro!G:G,"",0,1)</f>
        <v/>
      </c>
      <c r="G165" s="88" t="str">
        <f ca="1">MID(TablaTransfor[[#This Row],[配属先]],1,8)</f>
        <v/>
      </c>
      <c r="H165" s="88" t="str">
        <f ca="1">MID(TablaTransfor[[#This Row],[配属先]],9,6)</f>
        <v/>
      </c>
      <c r="I165" s="88" t="str">
        <f>_xlfn.XLOOKUP($C165,DBGenzai[社員№],DBGenzai[仕事内容],"",0,1)</f>
        <v/>
      </c>
      <c r="J165" s="88" t="str">
        <f>_xlfn.XLOOKUP($F$1&amp;B165,Filtro!B:B,Filtro!H:H,"",0,1)</f>
        <v/>
      </c>
      <c r="K165" s="88" t="str">
        <f>_xlfn.XLOOKUP($F$1&amp;B165,Filtro!B:B,Filtro!J:J,"",0,1)</f>
        <v/>
      </c>
      <c r="L165" s="88" t="str">
        <f ca="1">IF(TablaTransfor[[#This Row],[氏名]]="","",IF(TablaTransfor[[#This Row],[氏名]]&lt;"0","記号",IF(NOT(EXACT(UPPER(TablaTransfor[[#This Row],[氏名]]),LOWER(TablaTransfor[[#This Row],[氏名]]))),_xlfn.XLOOKUP($C165,DBGenzai[社員№],DBGenzai[カナ],"",0,1),_xlfn.XLOOKUP($C165,DBGenzai[社員№],DBGenzai[氏名],"",0,1))))</f>
        <v/>
      </c>
      <c r="M165" s="88" t="str">
        <f>_xlfn.XLOOKUP($C165,DBGenzai[社員№],DBGenzai[性別],"",0,1)</f>
        <v/>
      </c>
      <c r="N165" s="88" t="str">
        <f>_xlfn.XLOOKUP($C165,DBGenzai[社員№],DBGenzai[国籍],"",0,1)</f>
        <v/>
      </c>
      <c r="O165" s="89" t="str">
        <f>_xlfn.XLOOKUP($C165,DBGenzai[社員№],DBGenzai[生年月日],"",0,1)</f>
        <v/>
      </c>
      <c r="P165" s="88" t="str">
        <f>_xlfn.XLOOKUP($F$1&amp;B165,Filtro!B:B,Filtro!O:O,"",0,1)</f>
        <v/>
      </c>
      <c r="Q165" s="88" t="str">
        <f>_xlfn.XLOOKUP($F$1&amp;B165,Filtro!B:B,Filtro!P:P,"",0,1)</f>
        <v/>
      </c>
      <c r="R165" s="426" t="str">
        <f>_xlfn.XLOOKUP($F$1&amp;B165,Filtro!B:B,Filtro!R:R,"",0,1)</f>
        <v/>
      </c>
      <c r="S165" s="88" t="str">
        <f>_xlfn.XLOOKUP($C165,DBGenzai[社員№],DBGenzai[〒],"",0,1)</f>
        <v/>
      </c>
      <c r="T165" s="88" t="str">
        <f>_xlfn.XLOOKUP($C165,DBGenzai[社員№],DBGenzai[住所],"",0,1)</f>
        <v/>
      </c>
      <c r="U165" s="88" t="str">
        <f>_xlfn.XLOOKUP($C165,DBGenzai[社員№],DBGenzai[ｱﾊﾟｰﾄ],"",0,1)</f>
        <v/>
      </c>
      <c r="V165" s="89" t="str">
        <f>_xlfn.XLOOKUP($C165,DBGenzai[社員№],DBGenzai[入居],"",0,1)</f>
        <v/>
      </c>
      <c r="W165" s="89" t="str">
        <f>_xlfn.XLOOKUP($F$1&amp;B165,Filtro!B:B,Filtro!AF:AF,"",0,1)</f>
        <v/>
      </c>
      <c r="X165" s="89" t="str">
        <f>_xlfn.XLOOKUP($C165,DBGenzai[社員№],DBGenzai[退社日],"",0,1)</f>
        <v/>
      </c>
      <c r="Y165" s="88" t="str">
        <f>_xlfn.XLOOKUP($C165,DBGenzai[社員№],DBGenzai[退去],"",0,1)</f>
        <v/>
      </c>
      <c r="Z165" s="88" t="str">
        <f>_xlfn.XLOOKUP($C165,DBGenzai[社員№],DBGenzai[備考],"",0,1)</f>
        <v/>
      </c>
      <c r="AA165" s="422" t="str">
        <f>_xlfn.XLOOKUP($F$1&amp;B165,Filtro!B:B,Filtro!AL:AL,"",0,1)</f>
        <v/>
      </c>
      <c r="AB165" s="157" t="str" cm="1">
        <f t="array" aca="1" ref="AB16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5" s="436" t="str">
        <f ca="1">_xlfn.XLOOKUP(TablaTransfor[[#This Row],[ライン]],TBKaishaInfo[ライン],TBKaishaInfo[まで],"NohayMarrano",0,1)</f>
        <v>NohayMarrano</v>
      </c>
    </row>
    <row r="166" spans="1:29" hidden="1">
      <c r="A166" s="424">
        <f>SUBTOTAL(103,$C$3:C166)</f>
        <v>21</v>
      </c>
      <c r="B166" s="159">
        <v>133</v>
      </c>
      <c r="C166" s="88" t="str">
        <f>_xlfn.XLOOKUP($F$1&amp;B166,Filtro!B:B,Filtro!D:D,"",0,1)</f>
        <v/>
      </c>
      <c r="D166" s="88" t="str">
        <f>_xlfn.XLOOKUP($F$1&amp;B166,Filtro!B:B,Filtro!C:C,"",0,1)</f>
        <v/>
      </c>
      <c r="E166" s="88" t="str">
        <f>_xlfn.XLOOKUP($F$1&amp;B166,Filtro!B:B,Filtro!E:E,"",0,1)</f>
        <v/>
      </c>
      <c r="F166" s="88" t="str">
        <f>_xlfn.XLOOKUP($F$1&amp;B166,Filtro!B:B,Filtro!G:G,"",0,1)</f>
        <v/>
      </c>
      <c r="G166" s="88" t="str">
        <f ca="1">MID(TablaTransfor[[#This Row],[配属先]],1,8)</f>
        <v/>
      </c>
      <c r="H166" s="88" t="str">
        <f ca="1">MID(TablaTransfor[[#This Row],[配属先]],9,6)</f>
        <v/>
      </c>
      <c r="I166" s="88" t="str">
        <f>_xlfn.XLOOKUP($C166,DBGenzai[社員№],DBGenzai[仕事内容],"",0,1)</f>
        <v/>
      </c>
      <c r="J166" s="88" t="str">
        <f>_xlfn.XLOOKUP($F$1&amp;B166,Filtro!B:B,Filtro!H:H,"",0,1)</f>
        <v/>
      </c>
      <c r="K166" s="88" t="str">
        <f>_xlfn.XLOOKUP($F$1&amp;B166,Filtro!B:B,Filtro!J:J,"",0,1)</f>
        <v/>
      </c>
      <c r="L166" s="88" t="str">
        <f ca="1">IF(TablaTransfor[[#This Row],[氏名]]="","",IF(TablaTransfor[[#This Row],[氏名]]&lt;"0","記号",IF(NOT(EXACT(UPPER(TablaTransfor[[#This Row],[氏名]]),LOWER(TablaTransfor[[#This Row],[氏名]]))),_xlfn.XLOOKUP($C166,DBGenzai[社員№],DBGenzai[カナ],"",0,1),_xlfn.XLOOKUP($C166,DBGenzai[社員№],DBGenzai[氏名],"",0,1))))</f>
        <v/>
      </c>
      <c r="M166" s="88" t="str">
        <f>_xlfn.XLOOKUP($C166,DBGenzai[社員№],DBGenzai[性別],"",0,1)</f>
        <v/>
      </c>
      <c r="N166" s="88" t="str">
        <f>_xlfn.XLOOKUP($C166,DBGenzai[社員№],DBGenzai[国籍],"",0,1)</f>
        <v/>
      </c>
      <c r="O166" s="89" t="str">
        <f>_xlfn.XLOOKUP($C166,DBGenzai[社員№],DBGenzai[生年月日],"",0,1)</f>
        <v/>
      </c>
      <c r="P166" s="88" t="str">
        <f>_xlfn.XLOOKUP($F$1&amp;B166,Filtro!B:B,Filtro!O:O,"",0,1)</f>
        <v/>
      </c>
      <c r="Q166" s="88" t="str">
        <f>_xlfn.XLOOKUP($F$1&amp;B166,Filtro!B:B,Filtro!P:P,"",0,1)</f>
        <v/>
      </c>
      <c r="R166" s="426" t="str">
        <f>_xlfn.XLOOKUP($F$1&amp;B166,Filtro!B:B,Filtro!R:R,"",0,1)</f>
        <v/>
      </c>
      <c r="S166" s="88" t="str">
        <f>_xlfn.XLOOKUP($C166,DBGenzai[社員№],DBGenzai[〒],"",0,1)</f>
        <v/>
      </c>
      <c r="T166" s="88" t="str">
        <f>_xlfn.XLOOKUP($C166,DBGenzai[社員№],DBGenzai[住所],"",0,1)</f>
        <v/>
      </c>
      <c r="U166" s="88" t="str">
        <f>_xlfn.XLOOKUP($C166,DBGenzai[社員№],DBGenzai[ｱﾊﾟｰﾄ],"",0,1)</f>
        <v/>
      </c>
      <c r="V166" s="89" t="str">
        <f>_xlfn.XLOOKUP($C166,DBGenzai[社員№],DBGenzai[入居],"",0,1)</f>
        <v/>
      </c>
      <c r="W166" s="89" t="str">
        <f>_xlfn.XLOOKUP($F$1&amp;B166,Filtro!B:B,Filtro!AF:AF,"",0,1)</f>
        <v/>
      </c>
      <c r="X166" s="89" t="str">
        <f>_xlfn.XLOOKUP($C166,DBGenzai[社員№],DBGenzai[退社日],"",0,1)</f>
        <v/>
      </c>
      <c r="Y166" s="88" t="str">
        <f>_xlfn.XLOOKUP($C166,DBGenzai[社員№],DBGenzai[退去],"",0,1)</f>
        <v/>
      </c>
      <c r="Z166" s="88" t="str">
        <f>_xlfn.XLOOKUP($C166,DBGenzai[社員№],DBGenzai[備考],"",0,1)</f>
        <v/>
      </c>
      <c r="AA166" s="422" t="str">
        <f>_xlfn.XLOOKUP($F$1&amp;B166,Filtro!B:B,Filtro!AL:AL,"",0,1)</f>
        <v/>
      </c>
      <c r="AB166" s="157" t="str" cm="1">
        <f t="array" aca="1" ref="AB16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6" s="436" t="str">
        <f ca="1">_xlfn.XLOOKUP(TablaTransfor[[#This Row],[ライン]],TBKaishaInfo[ライン],TBKaishaInfo[まで],"NohayMarrano",0,1)</f>
        <v>NohayMarrano</v>
      </c>
    </row>
    <row r="167" spans="1:29" hidden="1">
      <c r="A167" s="424">
        <f>SUBTOTAL(103,$C$3:C167)</f>
        <v>21</v>
      </c>
      <c r="B167" s="159">
        <v>134</v>
      </c>
      <c r="C167" s="88" t="str">
        <f>_xlfn.XLOOKUP($F$1&amp;B167,Filtro!B:B,Filtro!D:D,"",0,1)</f>
        <v/>
      </c>
      <c r="D167" s="88" t="str">
        <f>_xlfn.XLOOKUP($F$1&amp;B167,Filtro!B:B,Filtro!C:C,"",0,1)</f>
        <v/>
      </c>
      <c r="E167" s="88" t="str">
        <f>_xlfn.XLOOKUP($F$1&amp;B167,Filtro!B:B,Filtro!E:E,"",0,1)</f>
        <v/>
      </c>
      <c r="F167" s="88" t="str">
        <f>_xlfn.XLOOKUP($F$1&amp;B167,Filtro!B:B,Filtro!G:G,"",0,1)</f>
        <v/>
      </c>
      <c r="G167" s="88" t="str">
        <f ca="1">MID(TablaTransfor[[#This Row],[配属先]],1,8)</f>
        <v/>
      </c>
      <c r="H167" s="88" t="str">
        <f ca="1">MID(TablaTransfor[[#This Row],[配属先]],9,6)</f>
        <v/>
      </c>
      <c r="I167" s="88" t="str">
        <f>_xlfn.XLOOKUP($C167,DBGenzai[社員№],DBGenzai[仕事内容],"",0,1)</f>
        <v/>
      </c>
      <c r="J167" s="88" t="str">
        <f>_xlfn.XLOOKUP($F$1&amp;B167,Filtro!B:B,Filtro!H:H,"",0,1)</f>
        <v/>
      </c>
      <c r="K167" s="88" t="str">
        <f>_xlfn.XLOOKUP($F$1&amp;B167,Filtro!B:B,Filtro!J:J,"",0,1)</f>
        <v/>
      </c>
      <c r="L167" s="88" t="str">
        <f ca="1">IF(TablaTransfor[[#This Row],[氏名]]="","",IF(TablaTransfor[[#This Row],[氏名]]&lt;"0","記号",IF(NOT(EXACT(UPPER(TablaTransfor[[#This Row],[氏名]]),LOWER(TablaTransfor[[#This Row],[氏名]]))),_xlfn.XLOOKUP($C167,DBGenzai[社員№],DBGenzai[カナ],"",0,1),_xlfn.XLOOKUP($C167,DBGenzai[社員№],DBGenzai[氏名],"",0,1))))</f>
        <v/>
      </c>
      <c r="M167" s="88" t="str">
        <f>_xlfn.XLOOKUP($C167,DBGenzai[社員№],DBGenzai[性別],"",0,1)</f>
        <v/>
      </c>
      <c r="N167" s="88" t="str">
        <f>_xlfn.XLOOKUP($C167,DBGenzai[社員№],DBGenzai[国籍],"",0,1)</f>
        <v/>
      </c>
      <c r="O167" s="89" t="str">
        <f>_xlfn.XLOOKUP($C167,DBGenzai[社員№],DBGenzai[生年月日],"",0,1)</f>
        <v/>
      </c>
      <c r="P167" s="88" t="str">
        <f>_xlfn.XLOOKUP($F$1&amp;B167,Filtro!B:B,Filtro!O:O,"",0,1)</f>
        <v/>
      </c>
      <c r="Q167" s="88" t="str">
        <f>_xlfn.XLOOKUP($F$1&amp;B167,Filtro!B:B,Filtro!P:P,"",0,1)</f>
        <v/>
      </c>
      <c r="R167" s="426" t="str">
        <f>_xlfn.XLOOKUP($F$1&amp;B167,Filtro!B:B,Filtro!R:R,"",0,1)</f>
        <v/>
      </c>
      <c r="S167" s="88" t="str">
        <f>_xlfn.XLOOKUP($C167,DBGenzai[社員№],DBGenzai[〒],"",0,1)</f>
        <v/>
      </c>
      <c r="T167" s="88" t="str">
        <f>_xlfn.XLOOKUP($C167,DBGenzai[社員№],DBGenzai[住所],"",0,1)</f>
        <v/>
      </c>
      <c r="U167" s="88" t="str">
        <f>_xlfn.XLOOKUP($C167,DBGenzai[社員№],DBGenzai[ｱﾊﾟｰﾄ],"",0,1)</f>
        <v/>
      </c>
      <c r="V167" s="89" t="str">
        <f>_xlfn.XLOOKUP($C167,DBGenzai[社員№],DBGenzai[入居],"",0,1)</f>
        <v/>
      </c>
      <c r="W167" s="89" t="str">
        <f>_xlfn.XLOOKUP($F$1&amp;B167,Filtro!B:B,Filtro!AF:AF,"",0,1)</f>
        <v/>
      </c>
      <c r="X167" s="89" t="str">
        <f>_xlfn.XLOOKUP($C167,DBGenzai[社員№],DBGenzai[退社日],"",0,1)</f>
        <v/>
      </c>
      <c r="Y167" s="88" t="str">
        <f>_xlfn.XLOOKUP($C167,DBGenzai[社員№],DBGenzai[退去],"",0,1)</f>
        <v/>
      </c>
      <c r="Z167" s="88" t="str">
        <f>_xlfn.XLOOKUP($C167,DBGenzai[社員№],DBGenzai[備考],"",0,1)</f>
        <v/>
      </c>
      <c r="AA167" s="422" t="str">
        <f>_xlfn.XLOOKUP($F$1&amp;B167,Filtro!B:B,Filtro!AL:AL,"",0,1)</f>
        <v/>
      </c>
      <c r="AB167" s="157" t="str" cm="1">
        <f t="array" aca="1" ref="AB16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7" s="436" t="str">
        <f ca="1">_xlfn.XLOOKUP(TablaTransfor[[#This Row],[ライン]],TBKaishaInfo[ライン],TBKaishaInfo[まで],"NohayMarrano",0,1)</f>
        <v>NohayMarrano</v>
      </c>
    </row>
    <row r="168" spans="1:29" hidden="1">
      <c r="A168" s="424">
        <f>SUBTOTAL(103,$C$3:C168)</f>
        <v>21</v>
      </c>
      <c r="B168" s="159">
        <v>72</v>
      </c>
      <c r="C168" s="88" t="str">
        <f>_xlfn.XLOOKUP($F$1&amp;B168,Filtro!B:B,Filtro!D:D,"",0,1)</f>
        <v/>
      </c>
      <c r="D168" s="88" t="str">
        <f>_xlfn.XLOOKUP($F$1&amp;B168,Filtro!B:B,Filtro!C:C,"",0,1)</f>
        <v/>
      </c>
      <c r="E168" s="88" t="str">
        <f>_xlfn.XLOOKUP($F$1&amp;B168,Filtro!B:B,Filtro!E:E,"",0,1)</f>
        <v/>
      </c>
      <c r="F168" s="88" t="str">
        <f>_xlfn.XLOOKUP($F$1&amp;B168,Filtro!B:B,Filtro!G:G,"",0,1)</f>
        <v/>
      </c>
      <c r="G168" s="88" t="str">
        <f ca="1">MID(TablaTransfor[[#This Row],[配属先]],1,8)</f>
        <v/>
      </c>
      <c r="H168" s="88" t="str">
        <f ca="1">MID(TablaTransfor[[#This Row],[配属先]],9,6)</f>
        <v/>
      </c>
      <c r="I168" s="88" t="str">
        <f>_xlfn.XLOOKUP($C168,DBGenzai[社員№],DBGenzai[仕事内容],"",0,1)</f>
        <v/>
      </c>
      <c r="J168" s="88" t="str">
        <f>_xlfn.XLOOKUP($F$1&amp;B168,Filtro!B:B,Filtro!H:H,"",0,1)</f>
        <v/>
      </c>
      <c r="K168" s="88" t="str">
        <f>_xlfn.XLOOKUP($F$1&amp;B168,Filtro!B:B,Filtro!J:J,"",0,1)</f>
        <v/>
      </c>
      <c r="L168" s="88" t="str">
        <f ca="1">IF(TablaTransfor[[#This Row],[氏名]]="","",IF(TablaTransfor[[#This Row],[氏名]]&lt;"0","記号",IF(NOT(EXACT(UPPER(TablaTransfor[[#This Row],[氏名]]),LOWER(TablaTransfor[[#This Row],[氏名]]))),_xlfn.XLOOKUP($C168,DBGenzai[社員№],DBGenzai[カナ],"",0,1),_xlfn.XLOOKUP($C168,DBGenzai[社員№],DBGenzai[氏名],"",0,1))))</f>
        <v/>
      </c>
      <c r="M168" s="88" t="str">
        <f>_xlfn.XLOOKUP($C168,DBGenzai[社員№],DBGenzai[性別],"",0,1)</f>
        <v/>
      </c>
      <c r="N168" s="88" t="str">
        <f>_xlfn.XLOOKUP($C168,DBGenzai[社員№],DBGenzai[国籍],"",0,1)</f>
        <v/>
      </c>
      <c r="O168" s="89" t="str">
        <f>_xlfn.XLOOKUP($C168,DBGenzai[社員№],DBGenzai[生年月日],"",0,1)</f>
        <v/>
      </c>
      <c r="P168" s="88" t="str">
        <f>_xlfn.XLOOKUP($F$1&amp;B168,Filtro!B:B,Filtro!O:O,"",0,1)</f>
        <v/>
      </c>
      <c r="Q168" s="88" t="str">
        <f>_xlfn.XLOOKUP($F$1&amp;B168,Filtro!B:B,Filtro!P:P,"",0,1)</f>
        <v/>
      </c>
      <c r="R168" s="426" t="str">
        <f>_xlfn.XLOOKUP($F$1&amp;B168,Filtro!B:B,Filtro!R:R,"",0,1)</f>
        <v/>
      </c>
      <c r="S168" s="88" t="str">
        <f>_xlfn.XLOOKUP($C168,DBGenzai[社員№],DBGenzai[〒],"",0,1)</f>
        <v/>
      </c>
      <c r="T168" s="88" t="str">
        <f>_xlfn.XLOOKUP($C168,DBGenzai[社員№],DBGenzai[住所],"",0,1)</f>
        <v/>
      </c>
      <c r="U168" s="88" t="str">
        <f>_xlfn.XLOOKUP($C168,DBGenzai[社員№],DBGenzai[ｱﾊﾟｰﾄ],"",0,1)</f>
        <v/>
      </c>
      <c r="V168" s="89" t="str">
        <f>_xlfn.XLOOKUP($C168,DBGenzai[社員№],DBGenzai[入居],"",0,1)</f>
        <v/>
      </c>
      <c r="W168" s="89" t="str">
        <f>_xlfn.XLOOKUP($F$1&amp;B168,Filtro!B:B,Filtro!AF:AF,"",0,1)</f>
        <v/>
      </c>
      <c r="X168" s="89" t="str">
        <f>_xlfn.XLOOKUP($C168,DBGenzai[社員№],DBGenzai[退社日],"",0,1)</f>
        <v/>
      </c>
      <c r="Y168" s="88" t="str">
        <f>_xlfn.XLOOKUP($C168,DBGenzai[社員№],DBGenzai[退去],"",0,1)</f>
        <v/>
      </c>
      <c r="Z168" s="88" t="str">
        <f>_xlfn.XLOOKUP($C168,DBGenzai[社員№],DBGenzai[備考],"",0,1)</f>
        <v/>
      </c>
      <c r="AA168" s="422" t="str">
        <f>_xlfn.XLOOKUP($F$1&amp;B168,Filtro!B:B,Filtro!AL:AL,"",0,1)</f>
        <v/>
      </c>
      <c r="AB168" s="157" t="str" cm="1">
        <f t="array" aca="1" ref="AB16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68" s="436" t="str">
        <f ca="1">_xlfn.XLOOKUP(TablaTransfor[[#This Row],[ライン]],TBKaishaInfo[ライン],TBKaishaInfo[まで],"NohayMarrano",0,1)</f>
        <v>NohayMarrano</v>
      </c>
    </row>
    <row r="169" spans="1:29">
      <c r="A169" s="424">
        <f>SUBTOTAL(103,$C$3:C169)</f>
        <v>22</v>
      </c>
      <c r="B169" s="159">
        <v>52</v>
      </c>
      <c r="C169" s="88">
        <f>_xlfn.XLOOKUP($F$1&amp;B169,Filtro!B:B,Filtro!D:D,"",0,1)</f>
        <v>240318</v>
      </c>
      <c r="D169" s="88" t="str">
        <f>_xlfn.XLOOKUP($F$1&amp;B169,Filtro!B:B,Filtro!C:C,"",0,1)</f>
        <v>退社</v>
      </c>
      <c r="E169" s="88">
        <f>_xlfn.XLOOKUP($F$1&amp;B169,Filtro!B:B,Filtro!E:E,"",0,1)</f>
        <v>212048</v>
      </c>
      <c r="F169" s="88" t="str">
        <f>_xlfn.XLOOKUP($F$1&amp;B169,Filtro!B:B,Filtro!G:G,"",0,1)</f>
        <v>高雄工業株式会社 愛知事業所本社工場製作課</v>
      </c>
      <c r="G169" s="88" t="str">
        <f ca="1">MID(TablaTransfor[[#This Row],[配属先]],1,8)</f>
        <v>高雄工業株式会社</v>
      </c>
      <c r="H169" s="88" t="str">
        <f ca="1">MID(TablaTransfor[[#This Row],[配属先]],9,6)</f>
        <v xml:space="preserve"> 愛知事業所</v>
      </c>
      <c r="I169" s="88" t="str">
        <f>_xlfn.XLOOKUP($C169,DBGenzai[社員№],DBGenzai[仕事内容],"",0,1)</f>
        <v>CVJ部品長軸品の施削加工、NCプログラム修正</v>
      </c>
      <c r="J169" s="88" t="str">
        <f>_xlfn.XLOOKUP($F$1&amp;B169,Filtro!B:B,Filtro!H:H,"",0,1)</f>
        <v>Gライン</v>
      </c>
      <c r="K169" s="88" t="str">
        <f>_xlfn.XLOOKUP($F$1&amp;B169,Filtro!B:B,Filtro!J:J,"",0,1)</f>
        <v>NGUYEN VAN HUNG</v>
      </c>
      <c r="L169" s="88" t="str">
        <f ca="1">IF(TablaTransfor[[#This Row],[氏名]]="","",IF(TablaTransfor[[#This Row],[氏名]]&lt;"0","記号",IF(NOT(EXACT(UPPER(TablaTransfor[[#This Row],[氏名]]),LOWER(TablaTransfor[[#This Row],[氏名]]))),_xlfn.XLOOKUP($C169,DBGenzai[社員№],DBGenzai[カナ],"",0,1),_xlfn.XLOOKUP($C169,DBGenzai[社員№],DBGenzai[氏名],"",0,1))))</f>
        <v>グエン　ヴァン　フン</v>
      </c>
      <c r="M169" s="88" t="str">
        <f>_xlfn.XLOOKUP($C169,DBGenzai[社員№],DBGenzai[性別],"",0,1)</f>
        <v>男</v>
      </c>
      <c r="N169" s="88" t="str">
        <f>_xlfn.XLOOKUP($C169,DBGenzai[社員№],DBGenzai[国籍],"",0,1)</f>
        <v>ﾍﾞﾄﾅﾑ</v>
      </c>
      <c r="O169" s="89">
        <f>_xlfn.XLOOKUP($C169,DBGenzai[社員№],DBGenzai[生年月日],"",0,1)</f>
        <v>36066</v>
      </c>
      <c r="P169" s="88">
        <f>_xlfn.XLOOKUP($F$1&amp;B169,Filtro!B:B,Filtro!O:O,"",0,1)</f>
        <v>27</v>
      </c>
      <c r="Q169" s="88">
        <f>_xlfn.XLOOKUP($F$1&amp;B169,Filtro!B:B,Filtro!P:P,"",0,1)</f>
        <v>1300</v>
      </c>
      <c r="R169" s="426">
        <f>_xlfn.XLOOKUP($F$1&amp;B169,Filtro!B:B,Filtro!R:R,"",0,1)</f>
        <v>1670</v>
      </c>
      <c r="S169" s="88" t="str">
        <f>_xlfn.XLOOKUP($C169,DBGenzai[社員№],DBGenzai[〒],"",0,1)</f>
        <v>498-0031</v>
      </c>
      <c r="T169" s="88" t="str">
        <f>_xlfn.XLOOKUP($C169,DBGenzai[社員№],DBGenzai[住所],"",0,1)</f>
        <v>愛知県弥富市平島町甲新田72-6</v>
      </c>
      <c r="U169" s="88" t="str">
        <f>_xlfn.XLOOKUP($C169,DBGenzai[社員№],DBGenzai[ｱﾊﾟｰﾄ],"",0,1)</f>
        <v>ﾊｯﾋﾟｰｳｲﾝ長尾201</v>
      </c>
      <c r="V169" s="89">
        <f>_xlfn.XLOOKUP($C169,DBGenzai[社員№],DBGenzai[入居],"",0,1)</f>
        <v>0</v>
      </c>
      <c r="W169" s="89">
        <f>_xlfn.XLOOKUP($F$1&amp;B169,Filtro!B:B,Filtro!AF:AF,"",0,1)</f>
        <v>45366</v>
      </c>
      <c r="X169" s="89">
        <f>_xlfn.XLOOKUP($C169,DBGenzai[社員№],DBGenzai[退社日],"",0,1)</f>
        <v>45898</v>
      </c>
      <c r="Y169" s="88">
        <f>_xlfn.XLOOKUP($C169,DBGenzai[社員№],DBGenzai[退去],"",0,1)</f>
        <v>0</v>
      </c>
      <c r="Z169" s="88">
        <f>_xlfn.XLOOKUP($C169,DBGenzai[社員№],DBGenzai[備考],"",0,1)</f>
        <v>0</v>
      </c>
      <c r="AA169" s="422">
        <f>_xlfn.XLOOKUP($F$1&amp;B169,Filtro!B:B,Filtro!AL:AL,"",0,1)</f>
        <v>45366</v>
      </c>
      <c r="AB169" s="157">
        <v>45931</v>
      </c>
      <c r="AC169" s="436">
        <f ca="1">_xlfn.XLOOKUP(TablaTransfor[[#This Row],[ライン]],TBKaishaInfo[ライン],TBKaishaInfo[まで],"NohayMarrano",0,1)</f>
        <v>46295</v>
      </c>
    </row>
    <row r="170" spans="1:29" hidden="1">
      <c r="A170" s="424">
        <f>SUBTOTAL(103,$C$3:C170)</f>
        <v>22</v>
      </c>
      <c r="B170" s="159">
        <v>135</v>
      </c>
      <c r="C170" s="88" t="str">
        <f>_xlfn.XLOOKUP($F$1&amp;B170,Filtro!B:B,Filtro!D:D,"",0,1)</f>
        <v/>
      </c>
      <c r="D170" s="88" t="str">
        <f>_xlfn.XLOOKUP($F$1&amp;B170,Filtro!B:B,Filtro!C:C,"",0,1)</f>
        <v/>
      </c>
      <c r="E170" s="88" t="str">
        <f>_xlfn.XLOOKUP($F$1&amp;B170,Filtro!B:B,Filtro!E:E,"",0,1)</f>
        <v/>
      </c>
      <c r="F170" s="88" t="str">
        <f>_xlfn.XLOOKUP($F$1&amp;B170,Filtro!B:B,Filtro!G:G,"",0,1)</f>
        <v/>
      </c>
      <c r="G170" s="88" t="str">
        <f ca="1">MID(TablaTransfor[[#This Row],[配属先]],1,8)</f>
        <v/>
      </c>
      <c r="H170" s="88" t="str">
        <f ca="1">MID(TablaTransfor[[#This Row],[配属先]],9,6)</f>
        <v/>
      </c>
      <c r="I170" s="88" t="str">
        <f>_xlfn.XLOOKUP($C170,DBGenzai[社員№],DBGenzai[仕事内容],"",0,1)</f>
        <v/>
      </c>
      <c r="J170" s="88" t="str">
        <f>_xlfn.XLOOKUP($F$1&amp;B170,Filtro!B:B,Filtro!H:H,"",0,1)</f>
        <v/>
      </c>
      <c r="K170" s="88" t="str">
        <f>_xlfn.XLOOKUP($F$1&amp;B170,Filtro!B:B,Filtro!J:J,"",0,1)</f>
        <v/>
      </c>
      <c r="L170" s="88" t="str">
        <f ca="1">IF(TablaTransfor[[#This Row],[氏名]]="","",IF(TablaTransfor[[#This Row],[氏名]]&lt;"0","記号",IF(NOT(EXACT(UPPER(TablaTransfor[[#This Row],[氏名]]),LOWER(TablaTransfor[[#This Row],[氏名]]))),_xlfn.XLOOKUP($C170,DBGenzai[社員№],DBGenzai[カナ],"",0,1),_xlfn.XLOOKUP($C170,DBGenzai[社員№],DBGenzai[氏名],"",0,1))))</f>
        <v/>
      </c>
      <c r="M170" s="88" t="str">
        <f>_xlfn.XLOOKUP($C170,DBGenzai[社員№],DBGenzai[性別],"",0,1)</f>
        <v/>
      </c>
      <c r="N170" s="88" t="str">
        <f>_xlfn.XLOOKUP($C170,DBGenzai[社員№],DBGenzai[国籍],"",0,1)</f>
        <v/>
      </c>
      <c r="O170" s="89" t="str">
        <f>_xlfn.XLOOKUP($C170,DBGenzai[社員№],DBGenzai[生年月日],"",0,1)</f>
        <v/>
      </c>
      <c r="P170" s="88" t="str">
        <f>_xlfn.XLOOKUP($F$1&amp;B170,Filtro!B:B,Filtro!O:O,"",0,1)</f>
        <v/>
      </c>
      <c r="Q170" s="88" t="str">
        <f>_xlfn.XLOOKUP($F$1&amp;B170,Filtro!B:B,Filtro!P:P,"",0,1)</f>
        <v/>
      </c>
      <c r="R170" s="426" t="str">
        <f>_xlfn.XLOOKUP($F$1&amp;B170,Filtro!B:B,Filtro!R:R,"",0,1)</f>
        <v/>
      </c>
      <c r="S170" s="88" t="str">
        <f>_xlfn.XLOOKUP($C170,DBGenzai[社員№],DBGenzai[〒],"",0,1)</f>
        <v/>
      </c>
      <c r="T170" s="88" t="str">
        <f>_xlfn.XLOOKUP($C170,DBGenzai[社員№],DBGenzai[住所],"",0,1)</f>
        <v/>
      </c>
      <c r="U170" s="88" t="str">
        <f>_xlfn.XLOOKUP($C170,DBGenzai[社員№],DBGenzai[ｱﾊﾟｰﾄ],"",0,1)</f>
        <v/>
      </c>
      <c r="V170" s="89" t="str">
        <f>_xlfn.XLOOKUP($C170,DBGenzai[社員№],DBGenzai[入居],"",0,1)</f>
        <v/>
      </c>
      <c r="W170" s="89" t="str">
        <f>_xlfn.XLOOKUP($F$1&amp;B170,Filtro!B:B,Filtro!AF:AF,"",0,1)</f>
        <v/>
      </c>
      <c r="X170" s="89" t="str">
        <f>_xlfn.XLOOKUP($C170,DBGenzai[社員№],DBGenzai[退社日],"",0,1)</f>
        <v/>
      </c>
      <c r="Y170" s="88" t="str">
        <f>_xlfn.XLOOKUP($C170,DBGenzai[社員№],DBGenzai[退去],"",0,1)</f>
        <v/>
      </c>
      <c r="Z170" s="88" t="str">
        <f>_xlfn.XLOOKUP($C170,DBGenzai[社員№],DBGenzai[備考],"",0,1)</f>
        <v/>
      </c>
      <c r="AA170" s="422" t="str">
        <f>_xlfn.XLOOKUP($F$1&amp;B170,Filtro!B:B,Filtro!AL:AL,"",0,1)</f>
        <v/>
      </c>
      <c r="AB170" s="157" t="str" cm="1">
        <f t="array" aca="1" ref="AB17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0" s="436" t="str">
        <f ca="1">_xlfn.XLOOKUP(TablaTransfor[[#This Row],[ライン]],TBKaishaInfo[ライン],TBKaishaInfo[まで],"NohayMarrano",0,1)</f>
        <v>NohayMarrano</v>
      </c>
    </row>
    <row r="171" spans="1:29" hidden="1">
      <c r="A171" s="424">
        <f>SUBTOTAL(103,$C$3:C171)</f>
        <v>22</v>
      </c>
      <c r="B171" s="159">
        <v>136</v>
      </c>
      <c r="C171" s="88" t="str">
        <f>_xlfn.XLOOKUP($F$1&amp;B171,Filtro!B:B,Filtro!D:D,"",0,1)</f>
        <v/>
      </c>
      <c r="D171" s="88" t="str">
        <f>_xlfn.XLOOKUP($F$1&amp;B171,Filtro!B:B,Filtro!C:C,"",0,1)</f>
        <v/>
      </c>
      <c r="E171" s="88" t="str">
        <f>_xlfn.XLOOKUP($F$1&amp;B171,Filtro!B:B,Filtro!E:E,"",0,1)</f>
        <v/>
      </c>
      <c r="F171" s="88" t="str">
        <f>_xlfn.XLOOKUP($F$1&amp;B171,Filtro!B:B,Filtro!G:G,"",0,1)</f>
        <v/>
      </c>
      <c r="G171" s="88" t="str">
        <f ca="1">MID(TablaTransfor[[#This Row],[配属先]],1,8)</f>
        <v/>
      </c>
      <c r="H171" s="88" t="str">
        <f ca="1">MID(TablaTransfor[[#This Row],[配属先]],9,6)</f>
        <v/>
      </c>
      <c r="I171" s="88" t="str">
        <f>_xlfn.XLOOKUP($C171,DBGenzai[社員№],DBGenzai[仕事内容],"",0,1)</f>
        <v/>
      </c>
      <c r="J171" s="88" t="str">
        <f>_xlfn.XLOOKUP($F$1&amp;B171,Filtro!B:B,Filtro!H:H,"",0,1)</f>
        <v/>
      </c>
      <c r="K171" s="88" t="str">
        <f>_xlfn.XLOOKUP($F$1&amp;B171,Filtro!B:B,Filtro!J:J,"",0,1)</f>
        <v/>
      </c>
      <c r="L171" s="88" t="str">
        <f ca="1">IF(TablaTransfor[[#This Row],[氏名]]="","",IF(TablaTransfor[[#This Row],[氏名]]&lt;"0","記号",IF(NOT(EXACT(UPPER(TablaTransfor[[#This Row],[氏名]]),LOWER(TablaTransfor[[#This Row],[氏名]]))),_xlfn.XLOOKUP($C171,DBGenzai[社員№],DBGenzai[カナ],"",0,1),_xlfn.XLOOKUP($C171,DBGenzai[社員№],DBGenzai[氏名],"",0,1))))</f>
        <v/>
      </c>
      <c r="M171" s="88" t="str">
        <f>_xlfn.XLOOKUP($C171,DBGenzai[社員№],DBGenzai[性別],"",0,1)</f>
        <v/>
      </c>
      <c r="N171" s="88" t="str">
        <f>_xlfn.XLOOKUP($C171,DBGenzai[社員№],DBGenzai[国籍],"",0,1)</f>
        <v/>
      </c>
      <c r="O171" s="89" t="str">
        <f>_xlfn.XLOOKUP($C171,DBGenzai[社員№],DBGenzai[生年月日],"",0,1)</f>
        <v/>
      </c>
      <c r="P171" s="88" t="str">
        <f>_xlfn.XLOOKUP($F$1&amp;B171,Filtro!B:B,Filtro!O:O,"",0,1)</f>
        <v/>
      </c>
      <c r="Q171" s="88" t="str">
        <f>_xlfn.XLOOKUP($F$1&amp;B171,Filtro!B:B,Filtro!P:P,"",0,1)</f>
        <v/>
      </c>
      <c r="R171" s="426" t="str">
        <f>_xlfn.XLOOKUP($F$1&amp;B171,Filtro!B:B,Filtro!R:R,"",0,1)</f>
        <v/>
      </c>
      <c r="S171" s="88" t="str">
        <f>_xlfn.XLOOKUP($C171,DBGenzai[社員№],DBGenzai[〒],"",0,1)</f>
        <v/>
      </c>
      <c r="T171" s="88" t="str">
        <f>_xlfn.XLOOKUP($C171,DBGenzai[社員№],DBGenzai[住所],"",0,1)</f>
        <v/>
      </c>
      <c r="U171" s="88" t="str">
        <f>_xlfn.XLOOKUP($C171,DBGenzai[社員№],DBGenzai[ｱﾊﾟｰﾄ],"",0,1)</f>
        <v/>
      </c>
      <c r="V171" s="89" t="str">
        <f>_xlfn.XLOOKUP($C171,DBGenzai[社員№],DBGenzai[入居],"",0,1)</f>
        <v/>
      </c>
      <c r="W171" s="89" t="str">
        <f>_xlfn.XLOOKUP($F$1&amp;B171,Filtro!B:B,Filtro!AF:AF,"",0,1)</f>
        <v/>
      </c>
      <c r="X171" s="89" t="str">
        <f>_xlfn.XLOOKUP($C171,DBGenzai[社員№],DBGenzai[退社日],"",0,1)</f>
        <v/>
      </c>
      <c r="Y171" s="88" t="str">
        <f>_xlfn.XLOOKUP($C171,DBGenzai[社員№],DBGenzai[退去],"",0,1)</f>
        <v/>
      </c>
      <c r="Z171" s="88" t="str">
        <f>_xlfn.XLOOKUP($C171,DBGenzai[社員№],DBGenzai[備考],"",0,1)</f>
        <v/>
      </c>
      <c r="AA171" s="422" t="str">
        <f>_xlfn.XLOOKUP($F$1&amp;B171,Filtro!B:B,Filtro!AL:AL,"",0,1)</f>
        <v/>
      </c>
      <c r="AB171" s="157" t="str" cm="1">
        <f t="array" aca="1" ref="AB17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1" s="436" t="str">
        <f ca="1">_xlfn.XLOOKUP(TablaTransfor[[#This Row],[ライン]],TBKaishaInfo[ライン],TBKaishaInfo[まで],"NohayMarrano",0,1)</f>
        <v>NohayMarrano</v>
      </c>
    </row>
    <row r="172" spans="1:29" hidden="1">
      <c r="A172" s="424">
        <f>SUBTOTAL(103,$C$3:C172)</f>
        <v>22</v>
      </c>
      <c r="B172" s="159">
        <v>79</v>
      </c>
      <c r="C172" s="88" t="str">
        <f>_xlfn.XLOOKUP($F$1&amp;B172,Filtro!B:B,Filtro!D:D,"",0,1)</f>
        <v/>
      </c>
      <c r="D172" s="88" t="str">
        <f>_xlfn.XLOOKUP($F$1&amp;B172,Filtro!B:B,Filtro!C:C,"",0,1)</f>
        <v/>
      </c>
      <c r="E172" s="88" t="str">
        <f>_xlfn.XLOOKUP($F$1&amp;B172,Filtro!B:B,Filtro!E:E,"",0,1)</f>
        <v/>
      </c>
      <c r="F172" s="88" t="str">
        <f>_xlfn.XLOOKUP($F$1&amp;B172,Filtro!B:B,Filtro!G:G,"",0,1)</f>
        <v/>
      </c>
      <c r="G172" s="88" t="str">
        <f ca="1">MID(TablaTransfor[[#This Row],[配属先]],1,8)</f>
        <v/>
      </c>
      <c r="H172" s="88" t="str">
        <f ca="1">MID(TablaTransfor[[#This Row],[配属先]],9,6)</f>
        <v/>
      </c>
      <c r="I172" s="88" t="str">
        <f>_xlfn.XLOOKUP($C172,DBGenzai[社員№],DBGenzai[仕事内容],"",0,1)</f>
        <v/>
      </c>
      <c r="J172" s="88" t="str">
        <f>_xlfn.XLOOKUP($F$1&amp;B172,Filtro!B:B,Filtro!H:H,"",0,1)</f>
        <v/>
      </c>
      <c r="K172" s="88" t="str">
        <f>_xlfn.XLOOKUP($F$1&amp;B172,Filtro!B:B,Filtro!J:J,"",0,1)</f>
        <v/>
      </c>
      <c r="L172" s="88" t="str">
        <f ca="1">IF(TablaTransfor[[#This Row],[氏名]]="","",IF(TablaTransfor[[#This Row],[氏名]]&lt;"0","記号",IF(NOT(EXACT(UPPER(TablaTransfor[[#This Row],[氏名]]),LOWER(TablaTransfor[[#This Row],[氏名]]))),_xlfn.XLOOKUP($C172,DBGenzai[社員№],DBGenzai[カナ],"",0,1),_xlfn.XLOOKUP($C172,DBGenzai[社員№],DBGenzai[氏名],"",0,1))))</f>
        <v/>
      </c>
      <c r="M172" s="88" t="str">
        <f>_xlfn.XLOOKUP($C172,DBGenzai[社員№],DBGenzai[性別],"",0,1)</f>
        <v/>
      </c>
      <c r="N172" s="88" t="str">
        <f>_xlfn.XLOOKUP($C172,DBGenzai[社員№],DBGenzai[国籍],"",0,1)</f>
        <v/>
      </c>
      <c r="O172" s="89" t="str">
        <f>_xlfn.XLOOKUP($C172,DBGenzai[社員№],DBGenzai[生年月日],"",0,1)</f>
        <v/>
      </c>
      <c r="P172" s="88" t="str">
        <f>_xlfn.XLOOKUP($F$1&amp;B172,Filtro!B:B,Filtro!O:O,"",0,1)</f>
        <v/>
      </c>
      <c r="Q172" s="88" t="str">
        <f>_xlfn.XLOOKUP($F$1&amp;B172,Filtro!B:B,Filtro!P:P,"",0,1)</f>
        <v/>
      </c>
      <c r="R172" s="426" t="str">
        <f>_xlfn.XLOOKUP($F$1&amp;B172,Filtro!B:B,Filtro!R:R,"",0,1)</f>
        <v/>
      </c>
      <c r="S172" s="88" t="str">
        <f>_xlfn.XLOOKUP($C172,DBGenzai[社員№],DBGenzai[〒],"",0,1)</f>
        <v/>
      </c>
      <c r="T172" s="88" t="str">
        <f>_xlfn.XLOOKUP($C172,DBGenzai[社員№],DBGenzai[住所],"",0,1)</f>
        <v/>
      </c>
      <c r="U172" s="88" t="str">
        <f>_xlfn.XLOOKUP($C172,DBGenzai[社員№],DBGenzai[ｱﾊﾟｰﾄ],"",0,1)</f>
        <v/>
      </c>
      <c r="V172" s="89" t="str">
        <f>_xlfn.XLOOKUP($C172,DBGenzai[社員№],DBGenzai[入居],"",0,1)</f>
        <v/>
      </c>
      <c r="W172" s="89" t="str">
        <f>_xlfn.XLOOKUP($F$1&amp;B172,Filtro!B:B,Filtro!AF:AF,"",0,1)</f>
        <v/>
      </c>
      <c r="X172" s="89" t="str">
        <f>_xlfn.XLOOKUP($C172,DBGenzai[社員№],DBGenzai[退社日],"",0,1)</f>
        <v/>
      </c>
      <c r="Y172" s="88" t="str">
        <f>_xlfn.XLOOKUP($C172,DBGenzai[社員№],DBGenzai[退去],"",0,1)</f>
        <v/>
      </c>
      <c r="Z172" s="88" t="str">
        <f>_xlfn.XLOOKUP($C172,DBGenzai[社員№],DBGenzai[備考],"",0,1)</f>
        <v/>
      </c>
      <c r="AA172" s="422" t="str">
        <f>_xlfn.XLOOKUP($F$1&amp;B172,Filtro!B:B,Filtro!AL:AL,"",0,1)</f>
        <v/>
      </c>
      <c r="AB172" s="157" t="str" cm="1">
        <f t="array" aca="1" ref="AB17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2" s="436" t="str">
        <f ca="1">_xlfn.XLOOKUP(TablaTransfor[[#This Row],[ライン]],TBKaishaInfo[ライン],TBKaishaInfo[まで],"NohayMarrano",0,1)</f>
        <v>NohayMarrano</v>
      </c>
    </row>
    <row r="173" spans="1:29" hidden="1">
      <c r="A173" s="424">
        <f>SUBTOTAL(103,$C$3:C173)</f>
        <v>22</v>
      </c>
      <c r="B173" s="159">
        <v>81</v>
      </c>
      <c r="C173" s="88" t="str">
        <f>_xlfn.XLOOKUP($F$1&amp;B173,Filtro!B:B,Filtro!D:D,"",0,1)</f>
        <v/>
      </c>
      <c r="D173" s="88" t="str">
        <f>_xlfn.XLOOKUP($F$1&amp;B173,Filtro!B:B,Filtro!C:C,"",0,1)</f>
        <v/>
      </c>
      <c r="E173" s="88" t="str">
        <f>_xlfn.XLOOKUP($F$1&amp;B173,Filtro!B:B,Filtro!E:E,"",0,1)</f>
        <v/>
      </c>
      <c r="F173" s="88" t="str">
        <f>_xlfn.XLOOKUP($F$1&amp;B173,Filtro!B:B,Filtro!G:G,"",0,1)</f>
        <v/>
      </c>
      <c r="G173" s="88" t="str">
        <f ca="1">MID(TablaTransfor[[#This Row],[配属先]],1,8)</f>
        <v/>
      </c>
      <c r="H173" s="88" t="str">
        <f ca="1">MID(TablaTransfor[[#This Row],[配属先]],9,6)</f>
        <v/>
      </c>
      <c r="I173" s="88" t="str">
        <f>_xlfn.XLOOKUP($C173,DBGenzai[社員№],DBGenzai[仕事内容],"",0,1)</f>
        <v/>
      </c>
      <c r="J173" s="88" t="str">
        <f>_xlfn.XLOOKUP($F$1&amp;B173,Filtro!B:B,Filtro!H:H,"",0,1)</f>
        <v/>
      </c>
      <c r="K173" s="88" t="str">
        <f>_xlfn.XLOOKUP($F$1&amp;B173,Filtro!B:B,Filtro!J:J,"",0,1)</f>
        <v/>
      </c>
      <c r="L173" s="88" t="str">
        <f ca="1">IF(TablaTransfor[[#This Row],[氏名]]="","",IF(TablaTransfor[[#This Row],[氏名]]&lt;"0","記号",IF(NOT(EXACT(UPPER(TablaTransfor[[#This Row],[氏名]]),LOWER(TablaTransfor[[#This Row],[氏名]]))),_xlfn.XLOOKUP($C173,DBGenzai[社員№],DBGenzai[カナ],"",0,1),_xlfn.XLOOKUP($C173,DBGenzai[社員№],DBGenzai[氏名],"",0,1))))</f>
        <v/>
      </c>
      <c r="M173" s="88" t="str">
        <f>_xlfn.XLOOKUP($C173,DBGenzai[社員№],DBGenzai[性別],"",0,1)</f>
        <v/>
      </c>
      <c r="N173" s="88" t="str">
        <f>_xlfn.XLOOKUP($C173,DBGenzai[社員№],DBGenzai[国籍],"",0,1)</f>
        <v/>
      </c>
      <c r="O173" s="89" t="str">
        <f>_xlfn.XLOOKUP($C173,DBGenzai[社員№],DBGenzai[生年月日],"",0,1)</f>
        <v/>
      </c>
      <c r="P173" s="88" t="str">
        <f>_xlfn.XLOOKUP($F$1&amp;B173,Filtro!B:B,Filtro!O:O,"",0,1)</f>
        <v/>
      </c>
      <c r="Q173" s="88" t="str">
        <f>_xlfn.XLOOKUP($F$1&amp;B173,Filtro!B:B,Filtro!P:P,"",0,1)</f>
        <v/>
      </c>
      <c r="R173" s="426" t="str">
        <f>_xlfn.XLOOKUP($F$1&amp;B173,Filtro!B:B,Filtro!R:R,"",0,1)</f>
        <v/>
      </c>
      <c r="S173" s="88" t="str">
        <f>_xlfn.XLOOKUP($C173,DBGenzai[社員№],DBGenzai[〒],"",0,1)</f>
        <v/>
      </c>
      <c r="T173" s="88" t="str">
        <f>_xlfn.XLOOKUP($C173,DBGenzai[社員№],DBGenzai[住所],"",0,1)</f>
        <v/>
      </c>
      <c r="U173" s="88" t="str">
        <f>_xlfn.XLOOKUP($C173,DBGenzai[社員№],DBGenzai[ｱﾊﾟｰﾄ],"",0,1)</f>
        <v/>
      </c>
      <c r="V173" s="89" t="str">
        <f>_xlfn.XLOOKUP($C173,DBGenzai[社員№],DBGenzai[入居],"",0,1)</f>
        <v/>
      </c>
      <c r="W173" s="89" t="str">
        <f>_xlfn.XLOOKUP($F$1&amp;B173,Filtro!B:B,Filtro!AF:AF,"",0,1)</f>
        <v/>
      </c>
      <c r="X173" s="89" t="str">
        <f>_xlfn.XLOOKUP($C173,DBGenzai[社員№],DBGenzai[退社日],"",0,1)</f>
        <v/>
      </c>
      <c r="Y173" s="88" t="str">
        <f>_xlfn.XLOOKUP($C173,DBGenzai[社員№],DBGenzai[退去],"",0,1)</f>
        <v/>
      </c>
      <c r="Z173" s="88" t="str">
        <f>_xlfn.XLOOKUP($C173,DBGenzai[社員№],DBGenzai[備考],"",0,1)</f>
        <v/>
      </c>
      <c r="AA173" s="422" t="str">
        <f>_xlfn.XLOOKUP($F$1&amp;B173,Filtro!B:B,Filtro!AL:AL,"",0,1)</f>
        <v/>
      </c>
      <c r="AB173" s="157" t="str" cm="1">
        <f t="array" aca="1" ref="AB17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3" s="436" t="str">
        <f ca="1">_xlfn.XLOOKUP(TablaTransfor[[#This Row],[ライン]],TBKaishaInfo[ライン],TBKaishaInfo[まで],"NohayMarrano",0,1)</f>
        <v>NohayMarrano</v>
      </c>
    </row>
    <row r="174" spans="1:29" hidden="1">
      <c r="A174" s="424">
        <f>SUBTOTAL(103,$C$3:C174)</f>
        <v>22</v>
      </c>
      <c r="B174" s="159">
        <v>137</v>
      </c>
      <c r="C174" s="88" t="str">
        <f>_xlfn.XLOOKUP($F$1&amp;B174,Filtro!B:B,Filtro!D:D,"",0,1)</f>
        <v/>
      </c>
      <c r="D174" s="88" t="str">
        <f>_xlfn.XLOOKUP($F$1&amp;B174,Filtro!B:B,Filtro!C:C,"",0,1)</f>
        <v/>
      </c>
      <c r="E174" s="88" t="str">
        <f>_xlfn.XLOOKUP($F$1&amp;B174,Filtro!B:B,Filtro!E:E,"",0,1)</f>
        <v/>
      </c>
      <c r="F174" s="88" t="str">
        <f>_xlfn.XLOOKUP($F$1&amp;B174,Filtro!B:B,Filtro!G:G,"",0,1)</f>
        <v/>
      </c>
      <c r="G174" s="88" t="str">
        <f ca="1">MID(TablaTransfor[[#This Row],[配属先]],1,8)</f>
        <v/>
      </c>
      <c r="H174" s="88" t="str">
        <f ca="1">MID(TablaTransfor[[#This Row],[配属先]],9,6)</f>
        <v/>
      </c>
      <c r="I174" s="88" t="str">
        <f>_xlfn.XLOOKUP($C174,DBGenzai[社員№],DBGenzai[仕事内容],"",0,1)</f>
        <v/>
      </c>
      <c r="J174" s="88" t="str">
        <f>_xlfn.XLOOKUP($F$1&amp;B174,Filtro!B:B,Filtro!H:H,"",0,1)</f>
        <v/>
      </c>
      <c r="K174" s="88" t="str">
        <f>_xlfn.XLOOKUP($F$1&amp;B174,Filtro!B:B,Filtro!J:J,"",0,1)</f>
        <v/>
      </c>
      <c r="L174" s="88" t="str">
        <f ca="1">IF(TablaTransfor[[#This Row],[氏名]]="","",IF(TablaTransfor[[#This Row],[氏名]]&lt;"0","記号",IF(NOT(EXACT(UPPER(TablaTransfor[[#This Row],[氏名]]),LOWER(TablaTransfor[[#This Row],[氏名]]))),_xlfn.XLOOKUP($C174,DBGenzai[社員№],DBGenzai[カナ],"",0,1),_xlfn.XLOOKUP($C174,DBGenzai[社員№],DBGenzai[氏名],"",0,1))))</f>
        <v/>
      </c>
      <c r="M174" s="88" t="str">
        <f>_xlfn.XLOOKUP($C174,DBGenzai[社員№],DBGenzai[性別],"",0,1)</f>
        <v/>
      </c>
      <c r="N174" s="88" t="str">
        <f>_xlfn.XLOOKUP($C174,DBGenzai[社員№],DBGenzai[国籍],"",0,1)</f>
        <v/>
      </c>
      <c r="O174" s="89" t="str">
        <f>_xlfn.XLOOKUP($C174,DBGenzai[社員№],DBGenzai[生年月日],"",0,1)</f>
        <v/>
      </c>
      <c r="P174" s="88" t="str">
        <f>_xlfn.XLOOKUP($F$1&amp;B174,Filtro!B:B,Filtro!O:O,"",0,1)</f>
        <v/>
      </c>
      <c r="Q174" s="88" t="str">
        <f>_xlfn.XLOOKUP($F$1&amp;B174,Filtro!B:B,Filtro!P:P,"",0,1)</f>
        <v/>
      </c>
      <c r="R174" s="426" t="str">
        <f>_xlfn.XLOOKUP($F$1&amp;B174,Filtro!B:B,Filtro!R:R,"",0,1)</f>
        <v/>
      </c>
      <c r="S174" s="88" t="str">
        <f>_xlfn.XLOOKUP($C174,DBGenzai[社員№],DBGenzai[〒],"",0,1)</f>
        <v/>
      </c>
      <c r="T174" s="88" t="str">
        <f>_xlfn.XLOOKUP($C174,DBGenzai[社員№],DBGenzai[住所],"",0,1)</f>
        <v/>
      </c>
      <c r="U174" s="88" t="str">
        <f>_xlfn.XLOOKUP($C174,DBGenzai[社員№],DBGenzai[ｱﾊﾟｰﾄ],"",0,1)</f>
        <v/>
      </c>
      <c r="V174" s="89" t="str">
        <f>_xlfn.XLOOKUP($C174,DBGenzai[社員№],DBGenzai[入居],"",0,1)</f>
        <v/>
      </c>
      <c r="W174" s="89" t="str">
        <f>_xlfn.XLOOKUP($F$1&amp;B174,Filtro!B:B,Filtro!AF:AF,"",0,1)</f>
        <v/>
      </c>
      <c r="X174" s="89" t="str">
        <f>_xlfn.XLOOKUP($C174,DBGenzai[社員№],DBGenzai[退社日],"",0,1)</f>
        <v/>
      </c>
      <c r="Y174" s="88" t="str">
        <f>_xlfn.XLOOKUP($C174,DBGenzai[社員№],DBGenzai[退去],"",0,1)</f>
        <v/>
      </c>
      <c r="Z174" s="88" t="str">
        <f>_xlfn.XLOOKUP($C174,DBGenzai[社員№],DBGenzai[備考],"",0,1)</f>
        <v/>
      </c>
      <c r="AA174" s="422" t="str">
        <f>_xlfn.XLOOKUP($F$1&amp;B174,Filtro!B:B,Filtro!AL:AL,"",0,1)</f>
        <v/>
      </c>
      <c r="AB174" s="157" t="str" cm="1">
        <f t="array" aca="1" ref="AB17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4" s="436" t="str">
        <f ca="1">_xlfn.XLOOKUP(TablaTransfor[[#This Row],[ライン]],TBKaishaInfo[ライン],TBKaishaInfo[まで],"NohayMarrano",0,1)</f>
        <v>NohayMarrano</v>
      </c>
    </row>
    <row r="175" spans="1:29" hidden="1">
      <c r="A175" s="424">
        <f>SUBTOTAL(103,$C$3:C175)</f>
        <v>22</v>
      </c>
      <c r="B175" s="159">
        <v>66</v>
      </c>
      <c r="C175" s="88" t="str">
        <f>_xlfn.XLOOKUP($F$1&amp;B175,Filtro!B:B,Filtro!D:D,"",0,1)</f>
        <v/>
      </c>
      <c r="D175" s="88" t="str">
        <f>_xlfn.XLOOKUP($F$1&amp;B175,Filtro!B:B,Filtro!C:C,"",0,1)</f>
        <v/>
      </c>
      <c r="E175" s="88" t="str">
        <f>_xlfn.XLOOKUP($F$1&amp;B175,Filtro!B:B,Filtro!E:E,"",0,1)</f>
        <v/>
      </c>
      <c r="F175" s="88" t="str">
        <f>_xlfn.XLOOKUP($F$1&amp;B175,Filtro!B:B,Filtro!G:G,"",0,1)</f>
        <v/>
      </c>
      <c r="G175" s="88" t="str">
        <f ca="1">MID(TablaTransfor[[#This Row],[配属先]],1,8)</f>
        <v/>
      </c>
      <c r="H175" s="88" t="str">
        <f ca="1">MID(TablaTransfor[[#This Row],[配属先]],9,6)</f>
        <v/>
      </c>
      <c r="I175" s="88" t="str">
        <f>_xlfn.XLOOKUP($C175,DBGenzai[社員№],DBGenzai[仕事内容],"",0,1)</f>
        <v/>
      </c>
      <c r="J175" s="88" t="str">
        <f>_xlfn.XLOOKUP($F$1&amp;B175,Filtro!B:B,Filtro!H:H,"",0,1)</f>
        <v/>
      </c>
      <c r="K175" s="88" t="str">
        <f>_xlfn.XLOOKUP($F$1&amp;B175,Filtro!B:B,Filtro!J:J,"",0,1)</f>
        <v/>
      </c>
      <c r="L175" s="88" t="str">
        <f ca="1">IF(TablaTransfor[[#This Row],[氏名]]="","",IF(TablaTransfor[[#This Row],[氏名]]&lt;"0","記号",IF(NOT(EXACT(UPPER(TablaTransfor[[#This Row],[氏名]]),LOWER(TablaTransfor[[#This Row],[氏名]]))),_xlfn.XLOOKUP($C175,DBGenzai[社員№],DBGenzai[カナ],"",0,1),_xlfn.XLOOKUP($C175,DBGenzai[社員№],DBGenzai[氏名],"",0,1))))</f>
        <v/>
      </c>
      <c r="M175" s="88" t="str">
        <f>_xlfn.XLOOKUP($C175,DBGenzai[社員№],DBGenzai[性別],"",0,1)</f>
        <v/>
      </c>
      <c r="N175" s="88" t="str">
        <f>_xlfn.XLOOKUP($C175,DBGenzai[社員№],DBGenzai[国籍],"",0,1)</f>
        <v/>
      </c>
      <c r="O175" s="89" t="str">
        <f>_xlfn.XLOOKUP($C175,DBGenzai[社員№],DBGenzai[生年月日],"",0,1)</f>
        <v/>
      </c>
      <c r="P175" s="88" t="str">
        <f>_xlfn.XLOOKUP($F$1&amp;B175,Filtro!B:B,Filtro!O:O,"",0,1)</f>
        <v/>
      </c>
      <c r="Q175" s="88" t="str">
        <f>_xlfn.XLOOKUP($F$1&amp;B175,Filtro!B:B,Filtro!P:P,"",0,1)</f>
        <v/>
      </c>
      <c r="R175" s="426" t="str">
        <f>_xlfn.XLOOKUP($F$1&amp;B175,Filtro!B:B,Filtro!R:R,"",0,1)</f>
        <v/>
      </c>
      <c r="S175" s="88" t="str">
        <f>_xlfn.XLOOKUP($C175,DBGenzai[社員№],DBGenzai[〒],"",0,1)</f>
        <v/>
      </c>
      <c r="T175" s="88" t="str">
        <f>_xlfn.XLOOKUP($C175,DBGenzai[社員№],DBGenzai[住所],"",0,1)</f>
        <v/>
      </c>
      <c r="U175" s="88" t="str">
        <f>_xlfn.XLOOKUP($C175,DBGenzai[社員№],DBGenzai[ｱﾊﾟｰﾄ],"",0,1)</f>
        <v/>
      </c>
      <c r="V175" s="89" t="str">
        <f>_xlfn.XLOOKUP($C175,DBGenzai[社員№],DBGenzai[入居],"",0,1)</f>
        <v/>
      </c>
      <c r="W175" s="89" t="str">
        <f>_xlfn.XLOOKUP($F$1&amp;B175,Filtro!B:B,Filtro!AF:AF,"",0,1)</f>
        <v/>
      </c>
      <c r="X175" s="89" t="str">
        <f>_xlfn.XLOOKUP($C175,DBGenzai[社員№],DBGenzai[退社日],"",0,1)</f>
        <v/>
      </c>
      <c r="Y175" s="88" t="str">
        <f>_xlfn.XLOOKUP($C175,DBGenzai[社員№],DBGenzai[退去],"",0,1)</f>
        <v/>
      </c>
      <c r="Z175" s="88" t="str">
        <f>_xlfn.XLOOKUP($C175,DBGenzai[社員№],DBGenzai[備考],"",0,1)</f>
        <v/>
      </c>
      <c r="AA175" s="422" t="str">
        <f>_xlfn.XLOOKUP($F$1&amp;B175,Filtro!B:B,Filtro!AL:AL,"",0,1)</f>
        <v/>
      </c>
      <c r="AB175" s="157" t="str" cm="1">
        <f t="array" aca="1" ref="AB17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5" s="436" t="str">
        <f ca="1">_xlfn.XLOOKUP(TablaTransfor[[#This Row],[ライン]],TBKaishaInfo[ライン],TBKaishaInfo[まで],"NohayMarrano",0,1)</f>
        <v>NohayMarrano</v>
      </c>
    </row>
    <row r="176" spans="1:29" hidden="1">
      <c r="A176" s="424">
        <f>SUBTOTAL(103,$C$3:C176)</f>
        <v>22</v>
      </c>
      <c r="B176" s="159">
        <v>82</v>
      </c>
      <c r="C176" s="88" t="str">
        <f>_xlfn.XLOOKUP($F$1&amp;B176,Filtro!B:B,Filtro!D:D,"",0,1)</f>
        <v/>
      </c>
      <c r="D176" s="88" t="str">
        <f>_xlfn.XLOOKUP($F$1&amp;B176,Filtro!B:B,Filtro!C:C,"",0,1)</f>
        <v/>
      </c>
      <c r="E176" s="88" t="str">
        <f>_xlfn.XLOOKUP($F$1&amp;B176,Filtro!B:B,Filtro!E:E,"",0,1)</f>
        <v/>
      </c>
      <c r="F176" s="88" t="str">
        <f>_xlfn.XLOOKUP($F$1&amp;B176,Filtro!B:B,Filtro!G:G,"",0,1)</f>
        <v/>
      </c>
      <c r="G176" s="88" t="str">
        <f ca="1">MID(TablaTransfor[[#This Row],[配属先]],1,8)</f>
        <v/>
      </c>
      <c r="H176" s="88" t="str">
        <f ca="1">MID(TablaTransfor[[#This Row],[配属先]],9,6)</f>
        <v/>
      </c>
      <c r="I176" s="88" t="str">
        <f>_xlfn.XLOOKUP($C176,DBGenzai[社員№],DBGenzai[仕事内容],"",0,1)</f>
        <v/>
      </c>
      <c r="J176" s="88" t="str">
        <f>_xlfn.XLOOKUP($F$1&amp;B176,Filtro!B:B,Filtro!H:H,"",0,1)</f>
        <v/>
      </c>
      <c r="K176" s="88" t="str">
        <f>_xlfn.XLOOKUP($F$1&amp;B176,Filtro!B:B,Filtro!J:J,"",0,1)</f>
        <v/>
      </c>
      <c r="L176" s="88" t="str">
        <f ca="1">IF(TablaTransfor[[#This Row],[氏名]]="","",IF(TablaTransfor[[#This Row],[氏名]]&lt;"0","記号",IF(NOT(EXACT(UPPER(TablaTransfor[[#This Row],[氏名]]),LOWER(TablaTransfor[[#This Row],[氏名]]))),_xlfn.XLOOKUP($C176,DBGenzai[社員№],DBGenzai[カナ],"",0,1),_xlfn.XLOOKUP($C176,DBGenzai[社員№],DBGenzai[氏名],"",0,1))))</f>
        <v/>
      </c>
      <c r="M176" s="88" t="str">
        <f>_xlfn.XLOOKUP($C176,DBGenzai[社員№],DBGenzai[性別],"",0,1)</f>
        <v/>
      </c>
      <c r="N176" s="88" t="str">
        <f>_xlfn.XLOOKUP($C176,DBGenzai[社員№],DBGenzai[国籍],"",0,1)</f>
        <v/>
      </c>
      <c r="O176" s="89" t="str">
        <f>_xlfn.XLOOKUP($C176,DBGenzai[社員№],DBGenzai[生年月日],"",0,1)</f>
        <v/>
      </c>
      <c r="P176" s="88" t="str">
        <f>_xlfn.XLOOKUP($F$1&amp;B176,Filtro!B:B,Filtro!O:O,"",0,1)</f>
        <v/>
      </c>
      <c r="Q176" s="88" t="str">
        <f>_xlfn.XLOOKUP($F$1&amp;B176,Filtro!B:B,Filtro!P:P,"",0,1)</f>
        <v/>
      </c>
      <c r="R176" s="426" t="str">
        <f>_xlfn.XLOOKUP($F$1&amp;B176,Filtro!B:B,Filtro!R:R,"",0,1)</f>
        <v/>
      </c>
      <c r="S176" s="88" t="str">
        <f>_xlfn.XLOOKUP($C176,DBGenzai[社員№],DBGenzai[〒],"",0,1)</f>
        <v/>
      </c>
      <c r="T176" s="88" t="str">
        <f>_xlfn.XLOOKUP($C176,DBGenzai[社員№],DBGenzai[住所],"",0,1)</f>
        <v/>
      </c>
      <c r="U176" s="88" t="str">
        <f>_xlfn.XLOOKUP($C176,DBGenzai[社員№],DBGenzai[ｱﾊﾟｰﾄ],"",0,1)</f>
        <v/>
      </c>
      <c r="V176" s="89" t="str">
        <f>_xlfn.XLOOKUP($C176,DBGenzai[社員№],DBGenzai[入居],"",0,1)</f>
        <v/>
      </c>
      <c r="W176" s="89" t="str">
        <f>_xlfn.XLOOKUP($F$1&amp;B176,Filtro!B:B,Filtro!AF:AF,"",0,1)</f>
        <v/>
      </c>
      <c r="X176" s="89" t="str">
        <f>_xlfn.XLOOKUP($C176,DBGenzai[社員№],DBGenzai[退社日],"",0,1)</f>
        <v/>
      </c>
      <c r="Y176" s="88" t="str">
        <f>_xlfn.XLOOKUP($C176,DBGenzai[社員№],DBGenzai[退去],"",0,1)</f>
        <v/>
      </c>
      <c r="Z176" s="88" t="str">
        <f>_xlfn.XLOOKUP($C176,DBGenzai[社員№],DBGenzai[備考],"",0,1)</f>
        <v/>
      </c>
      <c r="AA176" s="422" t="str">
        <f>_xlfn.XLOOKUP($F$1&amp;B176,Filtro!B:B,Filtro!AL:AL,"",0,1)</f>
        <v/>
      </c>
      <c r="AB176" s="157" t="str" cm="1">
        <f t="array" aca="1" ref="AB17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6" s="436" t="str">
        <f ca="1">_xlfn.XLOOKUP(TablaTransfor[[#This Row],[ライン]],TBKaishaInfo[ライン],TBKaishaInfo[まで],"NohayMarrano",0,1)</f>
        <v>NohayMarrano</v>
      </c>
    </row>
    <row r="177" spans="1:29" hidden="1">
      <c r="A177" s="424">
        <f>SUBTOTAL(103,$C$3:C177)</f>
        <v>22</v>
      </c>
      <c r="B177" s="159">
        <v>138</v>
      </c>
      <c r="C177" s="88" t="str">
        <f>_xlfn.XLOOKUP($F$1&amp;B177,Filtro!B:B,Filtro!D:D,"",0,1)</f>
        <v/>
      </c>
      <c r="D177" s="88" t="str">
        <f>_xlfn.XLOOKUP($F$1&amp;B177,Filtro!B:B,Filtro!C:C,"",0,1)</f>
        <v/>
      </c>
      <c r="E177" s="88" t="str">
        <f>_xlfn.XLOOKUP($F$1&amp;B177,Filtro!B:B,Filtro!E:E,"",0,1)</f>
        <v/>
      </c>
      <c r="F177" s="88" t="str">
        <f>_xlfn.XLOOKUP($F$1&amp;B177,Filtro!B:B,Filtro!G:G,"",0,1)</f>
        <v/>
      </c>
      <c r="G177" s="88" t="str">
        <f ca="1">MID(TablaTransfor[[#This Row],[配属先]],1,8)</f>
        <v/>
      </c>
      <c r="H177" s="88" t="str">
        <f ca="1">MID(TablaTransfor[[#This Row],[配属先]],9,6)</f>
        <v/>
      </c>
      <c r="I177" s="88" t="str">
        <f>_xlfn.XLOOKUP($C177,DBGenzai[社員№],DBGenzai[仕事内容],"",0,1)</f>
        <v/>
      </c>
      <c r="J177" s="88" t="str">
        <f>_xlfn.XLOOKUP($F$1&amp;B177,Filtro!B:B,Filtro!H:H,"",0,1)</f>
        <v/>
      </c>
      <c r="K177" s="88" t="str">
        <f>_xlfn.XLOOKUP($F$1&amp;B177,Filtro!B:B,Filtro!J:J,"",0,1)</f>
        <v/>
      </c>
      <c r="L177" s="88" t="str">
        <f ca="1">IF(TablaTransfor[[#This Row],[氏名]]="","",IF(TablaTransfor[[#This Row],[氏名]]&lt;"0","記号",IF(NOT(EXACT(UPPER(TablaTransfor[[#This Row],[氏名]]),LOWER(TablaTransfor[[#This Row],[氏名]]))),_xlfn.XLOOKUP($C177,DBGenzai[社員№],DBGenzai[カナ],"",0,1),_xlfn.XLOOKUP($C177,DBGenzai[社員№],DBGenzai[氏名],"",0,1))))</f>
        <v/>
      </c>
      <c r="M177" s="88" t="str">
        <f>_xlfn.XLOOKUP($C177,DBGenzai[社員№],DBGenzai[性別],"",0,1)</f>
        <v/>
      </c>
      <c r="N177" s="88" t="str">
        <f>_xlfn.XLOOKUP($C177,DBGenzai[社員№],DBGenzai[国籍],"",0,1)</f>
        <v/>
      </c>
      <c r="O177" s="89" t="str">
        <f>_xlfn.XLOOKUP($C177,DBGenzai[社員№],DBGenzai[生年月日],"",0,1)</f>
        <v/>
      </c>
      <c r="P177" s="88" t="str">
        <f>_xlfn.XLOOKUP($F$1&amp;B177,Filtro!B:B,Filtro!O:O,"",0,1)</f>
        <v/>
      </c>
      <c r="Q177" s="88" t="str">
        <f>_xlfn.XLOOKUP($F$1&amp;B177,Filtro!B:B,Filtro!P:P,"",0,1)</f>
        <v/>
      </c>
      <c r="R177" s="426" t="str">
        <f>_xlfn.XLOOKUP($F$1&amp;B177,Filtro!B:B,Filtro!R:R,"",0,1)</f>
        <v/>
      </c>
      <c r="S177" s="88" t="str">
        <f>_xlfn.XLOOKUP($C177,DBGenzai[社員№],DBGenzai[〒],"",0,1)</f>
        <v/>
      </c>
      <c r="T177" s="88" t="str">
        <f>_xlfn.XLOOKUP($C177,DBGenzai[社員№],DBGenzai[住所],"",0,1)</f>
        <v/>
      </c>
      <c r="U177" s="88" t="str">
        <f>_xlfn.XLOOKUP($C177,DBGenzai[社員№],DBGenzai[ｱﾊﾟｰﾄ],"",0,1)</f>
        <v/>
      </c>
      <c r="V177" s="89" t="str">
        <f>_xlfn.XLOOKUP($C177,DBGenzai[社員№],DBGenzai[入居],"",0,1)</f>
        <v/>
      </c>
      <c r="W177" s="89" t="str">
        <f>_xlfn.XLOOKUP($F$1&amp;B177,Filtro!B:B,Filtro!AF:AF,"",0,1)</f>
        <v/>
      </c>
      <c r="X177" s="89" t="str">
        <f>_xlfn.XLOOKUP($C177,DBGenzai[社員№],DBGenzai[退社日],"",0,1)</f>
        <v/>
      </c>
      <c r="Y177" s="88" t="str">
        <f>_xlfn.XLOOKUP($C177,DBGenzai[社員№],DBGenzai[退去],"",0,1)</f>
        <v/>
      </c>
      <c r="Z177" s="88" t="str">
        <f>_xlfn.XLOOKUP($C177,DBGenzai[社員№],DBGenzai[備考],"",0,1)</f>
        <v/>
      </c>
      <c r="AA177" s="422" t="str">
        <f>_xlfn.XLOOKUP($F$1&amp;B177,Filtro!B:B,Filtro!AL:AL,"",0,1)</f>
        <v/>
      </c>
      <c r="AB177" s="157" t="str" cm="1">
        <f t="array" aca="1" ref="AB17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7" s="436" t="str">
        <f ca="1">_xlfn.XLOOKUP(TablaTransfor[[#This Row],[ライン]],TBKaishaInfo[ライン],TBKaishaInfo[まで],"NohayMarrano",0,1)</f>
        <v>NohayMarrano</v>
      </c>
    </row>
    <row r="178" spans="1:29" hidden="1">
      <c r="A178" s="424">
        <f>SUBTOTAL(103,$C$3:C178)</f>
        <v>22</v>
      </c>
      <c r="B178" s="159">
        <v>139</v>
      </c>
      <c r="C178" s="88" t="str">
        <f>_xlfn.XLOOKUP($F$1&amp;B178,Filtro!B:B,Filtro!D:D,"",0,1)</f>
        <v/>
      </c>
      <c r="D178" s="88" t="str">
        <f>_xlfn.XLOOKUP($F$1&amp;B178,Filtro!B:B,Filtro!C:C,"",0,1)</f>
        <v/>
      </c>
      <c r="E178" s="88" t="str">
        <f>_xlfn.XLOOKUP($F$1&amp;B178,Filtro!B:B,Filtro!E:E,"",0,1)</f>
        <v/>
      </c>
      <c r="F178" s="88" t="str">
        <f>_xlfn.XLOOKUP($F$1&amp;B178,Filtro!B:B,Filtro!G:G,"",0,1)</f>
        <v/>
      </c>
      <c r="G178" s="88" t="str">
        <f ca="1">MID(TablaTransfor[[#This Row],[配属先]],1,8)</f>
        <v/>
      </c>
      <c r="H178" s="88" t="str">
        <f ca="1">MID(TablaTransfor[[#This Row],[配属先]],9,6)</f>
        <v/>
      </c>
      <c r="I178" s="88" t="str">
        <f>_xlfn.XLOOKUP($C178,DBGenzai[社員№],DBGenzai[仕事内容],"",0,1)</f>
        <v/>
      </c>
      <c r="J178" s="88" t="str">
        <f>_xlfn.XLOOKUP($F$1&amp;B178,Filtro!B:B,Filtro!H:H,"",0,1)</f>
        <v/>
      </c>
      <c r="K178" s="88" t="str">
        <f>_xlfn.XLOOKUP($F$1&amp;B178,Filtro!B:B,Filtro!J:J,"",0,1)</f>
        <v/>
      </c>
      <c r="L178" s="88" t="str">
        <f ca="1">IF(TablaTransfor[[#This Row],[氏名]]="","",IF(TablaTransfor[[#This Row],[氏名]]&lt;"0","記号",IF(NOT(EXACT(UPPER(TablaTransfor[[#This Row],[氏名]]),LOWER(TablaTransfor[[#This Row],[氏名]]))),_xlfn.XLOOKUP($C178,DBGenzai[社員№],DBGenzai[カナ],"",0,1),_xlfn.XLOOKUP($C178,DBGenzai[社員№],DBGenzai[氏名],"",0,1))))</f>
        <v/>
      </c>
      <c r="M178" s="88" t="str">
        <f>_xlfn.XLOOKUP($C178,DBGenzai[社員№],DBGenzai[性別],"",0,1)</f>
        <v/>
      </c>
      <c r="N178" s="88" t="str">
        <f>_xlfn.XLOOKUP($C178,DBGenzai[社員№],DBGenzai[国籍],"",0,1)</f>
        <v/>
      </c>
      <c r="O178" s="89" t="str">
        <f>_xlfn.XLOOKUP($C178,DBGenzai[社員№],DBGenzai[生年月日],"",0,1)</f>
        <v/>
      </c>
      <c r="P178" s="88" t="str">
        <f>_xlfn.XLOOKUP($F$1&amp;B178,Filtro!B:B,Filtro!O:O,"",0,1)</f>
        <v/>
      </c>
      <c r="Q178" s="88" t="str">
        <f>_xlfn.XLOOKUP($F$1&amp;B178,Filtro!B:B,Filtro!P:P,"",0,1)</f>
        <v/>
      </c>
      <c r="R178" s="426" t="str">
        <f>_xlfn.XLOOKUP($F$1&amp;B178,Filtro!B:B,Filtro!R:R,"",0,1)</f>
        <v/>
      </c>
      <c r="S178" s="88" t="str">
        <f>_xlfn.XLOOKUP($C178,DBGenzai[社員№],DBGenzai[〒],"",0,1)</f>
        <v/>
      </c>
      <c r="T178" s="88" t="str">
        <f>_xlfn.XLOOKUP($C178,DBGenzai[社員№],DBGenzai[住所],"",0,1)</f>
        <v/>
      </c>
      <c r="U178" s="88" t="str">
        <f>_xlfn.XLOOKUP($C178,DBGenzai[社員№],DBGenzai[ｱﾊﾟｰﾄ],"",0,1)</f>
        <v/>
      </c>
      <c r="V178" s="89" t="str">
        <f>_xlfn.XLOOKUP($C178,DBGenzai[社員№],DBGenzai[入居],"",0,1)</f>
        <v/>
      </c>
      <c r="W178" s="89" t="str">
        <f>_xlfn.XLOOKUP($F$1&amp;B178,Filtro!B:B,Filtro!AF:AF,"",0,1)</f>
        <v/>
      </c>
      <c r="X178" s="89" t="str">
        <f>_xlfn.XLOOKUP($C178,DBGenzai[社員№],DBGenzai[退社日],"",0,1)</f>
        <v/>
      </c>
      <c r="Y178" s="88" t="str">
        <f>_xlfn.XLOOKUP($C178,DBGenzai[社員№],DBGenzai[退去],"",0,1)</f>
        <v/>
      </c>
      <c r="Z178" s="88" t="str">
        <f>_xlfn.XLOOKUP($C178,DBGenzai[社員№],DBGenzai[備考],"",0,1)</f>
        <v/>
      </c>
      <c r="AA178" s="422" t="str">
        <f>_xlfn.XLOOKUP($F$1&amp;B178,Filtro!B:B,Filtro!AL:AL,"",0,1)</f>
        <v/>
      </c>
      <c r="AB178" s="157" t="str" cm="1">
        <f t="array" aca="1" ref="AB17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8" s="436" t="str">
        <f ca="1">_xlfn.XLOOKUP(TablaTransfor[[#This Row],[ライン]],TBKaishaInfo[ライン],TBKaishaInfo[まで],"NohayMarrano",0,1)</f>
        <v>NohayMarrano</v>
      </c>
    </row>
    <row r="179" spans="1:29" hidden="1">
      <c r="A179" s="424">
        <f>SUBTOTAL(103,$C$3:C179)</f>
        <v>22</v>
      </c>
      <c r="B179" s="159">
        <v>140</v>
      </c>
      <c r="C179" s="88" t="str">
        <f>_xlfn.XLOOKUP($F$1&amp;B179,Filtro!B:B,Filtro!D:D,"",0,1)</f>
        <v/>
      </c>
      <c r="D179" s="88" t="str">
        <f>_xlfn.XLOOKUP($F$1&amp;B179,Filtro!B:B,Filtro!C:C,"",0,1)</f>
        <v/>
      </c>
      <c r="E179" s="88" t="str">
        <f>_xlfn.XLOOKUP($F$1&amp;B179,Filtro!B:B,Filtro!E:E,"",0,1)</f>
        <v/>
      </c>
      <c r="F179" s="88" t="str">
        <f>_xlfn.XLOOKUP($F$1&amp;B179,Filtro!B:B,Filtro!G:G,"",0,1)</f>
        <v/>
      </c>
      <c r="G179" s="88" t="str">
        <f ca="1">MID(TablaTransfor[[#This Row],[配属先]],1,8)</f>
        <v/>
      </c>
      <c r="H179" s="88" t="str">
        <f ca="1">MID(TablaTransfor[[#This Row],[配属先]],9,6)</f>
        <v/>
      </c>
      <c r="I179" s="88" t="str">
        <f>_xlfn.XLOOKUP($C179,DBGenzai[社員№],DBGenzai[仕事内容],"",0,1)</f>
        <v/>
      </c>
      <c r="J179" s="88" t="str">
        <f>_xlfn.XLOOKUP($F$1&amp;B179,Filtro!B:B,Filtro!H:H,"",0,1)</f>
        <v/>
      </c>
      <c r="K179" s="88" t="str">
        <f>_xlfn.XLOOKUP($F$1&amp;B179,Filtro!B:B,Filtro!J:J,"",0,1)</f>
        <v/>
      </c>
      <c r="L179" s="88" t="str">
        <f ca="1">IF(TablaTransfor[[#This Row],[氏名]]="","",IF(TablaTransfor[[#This Row],[氏名]]&lt;"0","記号",IF(NOT(EXACT(UPPER(TablaTransfor[[#This Row],[氏名]]),LOWER(TablaTransfor[[#This Row],[氏名]]))),_xlfn.XLOOKUP($C179,DBGenzai[社員№],DBGenzai[カナ],"",0,1),_xlfn.XLOOKUP($C179,DBGenzai[社員№],DBGenzai[氏名],"",0,1))))</f>
        <v/>
      </c>
      <c r="M179" s="88" t="str">
        <f>_xlfn.XLOOKUP($C179,DBGenzai[社員№],DBGenzai[性別],"",0,1)</f>
        <v/>
      </c>
      <c r="N179" s="88" t="str">
        <f>_xlfn.XLOOKUP($C179,DBGenzai[社員№],DBGenzai[国籍],"",0,1)</f>
        <v/>
      </c>
      <c r="O179" s="89" t="str">
        <f>_xlfn.XLOOKUP($C179,DBGenzai[社員№],DBGenzai[生年月日],"",0,1)</f>
        <v/>
      </c>
      <c r="P179" s="88" t="str">
        <f>_xlfn.XLOOKUP($F$1&amp;B179,Filtro!B:B,Filtro!O:O,"",0,1)</f>
        <v/>
      </c>
      <c r="Q179" s="88" t="str">
        <f>_xlfn.XLOOKUP($F$1&amp;B179,Filtro!B:B,Filtro!P:P,"",0,1)</f>
        <v/>
      </c>
      <c r="R179" s="426" t="str">
        <f>_xlfn.XLOOKUP($F$1&amp;B179,Filtro!B:B,Filtro!R:R,"",0,1)</f>
        <v/>
      </c>
      <c r="S179" s="88" t="str">
        <f>_xlfn.XLOOKUP($C179,DBGenzai[社員№],DBGenzai[〒],"",0,1)</f>
        <v/>
      </c>
      <c r="T179" s="88" t="str">
        <f>_xlfn.XLOOKUP($C179,DBGenzai[社員№],DBGenzai[住所],"",0,1)</f>
        <v/>
      </c>
      <c r="U179" s="88" t="str">
        <f>_xlfn.XLOOKUP($C179,DBGenzai[社員№],DBGenzai[ｱﾊﾟｰﾄ],"",0,1)</f>
        <v/>
      </c>
      <c r="V179" s="89" t="str">
        <f>_xlfn.XLOOKUP($C179,DBGenzai[社員№],DBGenzai[入居],"",0,1)</f>
        <v/>
      </c>
      <c r="W179" s="89" t="str">
        <f>_xlfn.XLOOKUP($F$1&amp;B179,Filtro!B:B,Filtro!AF:AF,"",0,1)</f>
        <v/>
      </c>
      <c r="X179" s="89" t="str">
        <f>_xlfn.XLOOKUP($C179,DBGenzai[社員№],DBGenzai[退社日],"",0,1)</f>
        <v/>
      </c>
      <c r="Y179" s="88" t="str">
        <f>_xlfn.XLOOKUP($C179,DBGenzai[社員№],DBGenzai[退去],"",0,1)</f>
        <v/>
      </c>
      <c r="Z179" s="88" t="str">
        <f>_xlfn.XLOOKUP($C179,DBGenzai[社員№],DBGenzai[備考],"",0,1)</f>
        <v/>
      </c>
      <c r="AA179" s="422" t="str">
        <f>_xlfn.XLOOKUP($F$1&amp;B179,Filtro!B:B,Filtro!AL:AL,"",0,1)</f>
        <v/>
      </c>
      <c r="AB179" s="157" t="str" cm="1">
        <f t="array" aca="1" ref="AB17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79" s="436" t="str">
        <f ca="1">_xlfn.XLOOKUP(TablaTransfor[[#This Row],[ライン]],TBKaishaInfo[ライン],TBKaishaInfo[まで],"NohayMarrano",0,1)</f>
        <v>NohayMarrano</v>
      </c>
    </row>
    <row r="180" spans="1:29" ht="15" hidden="1">
      <c r="A180" s="448">
        <f>SUBTOTAL(103,$C$3:C198)</f>
        <v>22</v>
      </c>
      <c r="B180" s="159">
        <v>141</v>
      </c>
      <c r="C180" s="88" t="str">
        <f>_xlfn.XLOOKUP($F$1&amp;B180,Filtro!B:B,Filtro!D:D,"",0,1)</f>
        <v/>
      </c>
      <c r="D180" s="88" t="str">
        <f>_xlfn.XLOOKUP($F$1&amp;B180,Filtro!B:B,Filtro!C:C,"",0,1)</f>
        <v/>
      </c>
      <c r="E180" s="88" t="str">
        <f>_xlfn.XLOOKUP($F$1&amp;B180,Filtro!B:B,Filtro!E:E,"",0,1)</f>
        <v/>
      </c>
      <c r="F180" s="88" t="str">
        <f>_xlfn.XLOOKUP($F$1&amp;B180,Filtro!B:B,Filtro!G:G,"",0,1)</f>
        <v/>
      </c>
      <c r="G180" s="88" t="str">
        <f ca="1">MID(TablaTransfor[[#This Row],[配属先]],1,8)</f>
        <v/>
      </c>
      <c r="H180" s="88" t="str">
        <f ca="1">MID(TablaTransfor[[#This Row],[配属先]],9,6)</f>
        <v/>
      </c>
      <c r="I180" s="88" t="str">
        <f>_xlfn.XLOOKUP($C180,DBGenzai[社員№],DBGenzai[仕事内容],"",0,1)</f>
        <v/>
      </c>
      <c r="J180" s="88" t="str">
        <f>_xlfn.XLOOKUP($F$1&amp;B180,Filtro!B:B,Filtro!H:H,"",0,1)</f>
        <v/>
      </c>
      <c r="K180" s="88" t="str">
        <f>_xlfn.XLOOKUP($F$1&amp;B180,Filtro!B:B,Filtro!J:J,"",0,1)</f>
        <v/>
      </c>
      <c r="L180" s="88" t="str">
        <f ca="1">IF(TablaTransfor[[#This Row],[氏名]]="","",IF(TablaTransfor[[#This Row],[氏名]]&lt;"0","記号",IF(NOT(EXACT(UPPER(TablaTransfor[[#This Row],[氏名]]),LOWER(TablaTransfor[[#This Row],[氏名]]))),_xlfn.XLOOKUP($C180,DBGenzai[社員№],DBGenzai[カナ],"",0,1),_xlfn.XLOOKUP($C180,DBGenzai[社員№],DBGenzai[氏名],"",0,1))))</f>
        <v/>
      </c>
      <c r="M180" s="88" t="str">
        <f>_xlfn.XLOOKUP($C180,DBGenzai[社員№],DBGenzai[性別],"",0,1)</f>
        <v/>
      </c>
      <c r="N180" s="88" t="str">
        <f>_xlfn.XLOOKUP($C180,DBGenzai[社員№],DBGenzai[国籍],"",0,1)</f>
        <v/>
      </c>
      <c r="O180" s="89" t="str">
        <f>_xlfn.XLOOKUP($C180,DBGenzai[社員№],DBGenzai[生年月日],"",0,1)</f>
        <v/>
      </c>
      <c r="P180" s="88" t="str">
        <f>_xlfn.XLOOKUP($F$1&amp;B180,Filtro!B:B,Filtro!O:O,"",0,1)</f>
        <v/>
      </c>
      <c r="Q180" s="88" t="str">
        <f>_xlfn.XLOOKUP($F$1&amp;B180,Filtro!B:B,Filtro!P:P,"",0,1)</f>
        <v/>
      </c>
      <c r="R180" s="426" t="str">
        <f>_xlfn.XLOOKUP($F$1&amp;B180,Filtro!B:B,Filtro!R:R,"",0,1)</f>
        <v/>
      </c>
      <c r="S180" s="88" t="str">
        <f>_xlfn.XLOOKUP($C180,DBGenzai[社員№],DBGenzai[〒],"",0,1)</f>
        <v/>
      </c>
      <c r="T180" s="88" t="str">
        <f>_xlfn.XLOOKUP($C180,DBGenzai[社員№],DBGenzai[住所],"",0,1)</f>
        <v/>
      </c>
      <c r="U180" s="88" t="str">
        <f>_xlfn.XLOOKUP($C180,DBGenzai[社員№],DBGenzai[ｱﾊﾟｰﾄ],"",0,1)</f>
        <v/>
      </c>
      <c r="V180" s="89" t="str">
        <f>_xlfn.XLOOKUP($C180,DBGenzai[社員№],DBGenzai[入居],"",0,1)</f>
        <v/>
      </c>
      <c r="W180" s="89" t="str">
        <f>_xlfn.XLOOKUP($F$1&amp;B180,Filtro!B:B,Filtro!AF:AF,"",0,1)</f>
        <v/>
      </c>
      <c r="X180" s="89" t="str">
        <f>_xlfn.XLOOKUP($C180,DBGenzai[社員№],DBGenzai[退社日],"",0,1)</f>
        <v/>
      </c>
      <c r="Y180" s="88" t="str">
        <f>_xlfn.XLOOKUP($C180,DBGenzai[社員№],DBGenzai[退去],"",0,1)</f>
        <v/>
      </c>
      <c r="Z180" s="88" t="str">
        <f>_xlfn.XLOOKUP($C180,DBGenzai[社員№],DBGenzai[備考],"",0,1)</f>
        <v/>
      </c>
      <c r="AA180" s="422" t="str">
        <f>_xlfn.XLOOKUP($F$1&amp;B180,Filtro!B:B,Filtro!AL:AL,"",0,1)</f>
        <v/>
      </c>
      <c r="AB180" s="157" t="str" cm="1">
        <f t="array" aca="1" ref="AB18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0" s="436" t="str">
        <f ca="1">_xlfn.XLOOKUP(TablaTransfor[[#This Row],[ライン]],TBKaishaInfo[ライン],TBKaishaInfo[まで],"NohayMarrano",0,1)</f>
        <v>NohayMarrano</v>
      </c>
    </row>
    <row r="181" spans="1:29" hidden="1">
      <c r="A181" s="80"/>
      <c r="C181" s="62" t="str">
        <f>_xlfn.XLOOKUP($F$1&amp;B181,Filtro!B:B,Filtro!D:D,"",0,1)</f>
        <v/>
      </c>
      <c r="D181" s="62" t="str">
        <f>_xlfn.XLOOKUP($F$1&amp;B181,Filtro!B:B,Filtro!C:C,"",0,1)</f>
        <v/>
      </c>
      <c r="E181" s="62" t="str">
        <f>_xlfn.XLOOKUP($F$1&amp;B181,Filtro!B:B,Filtro!E:E,"",0,1)</f>
        <v/>
      </c>
      <c r="F181" s="62" t="str">
        <f>_xlfn.XLOOKUP($F$1&amp;B181,Filtro!B:B,Filtro!G:G,"",0,1)</f>
        <v/>
      </c>
      <c r="G181" s="62" t="str">
        <f ca="1">MID(TablaTransfor[[#This Row],[配属先]],1,8)</f>
        <v/>
      </c>
      <c r="H181" s="62" t="str">
        <f ca="1">MID(TablaTransfor[[#This Row],[配属先]],9,6)</f>
        <v/>
      </c>
      <c r="I181" s="62" t="str">
        <f>_xlfn.XLOOKUP($C181,DBGenzai[社員№],DBGenzai[仕事内容],"",0,1)</f>
        <v/>
      </c>
      <c r="J181" s="62" t="str">
        <f>_xlfn.XLOOKUP($F$1&amp;B181,Filtro!B:B,Filtro!H:H,"",0,1)</f>
        <v/>
      </c>
      <c r="K181" s="62" t="str">
        <f>_xlfn.XLOOKUP($F$1&amp;B181,Filtro!B:B,Filtro!J:J,"",0,1)</f>
        <v/>
      </c>
      <c r="L181" s="62" t="str">
        <f ca="1">IF(TablaTransfor[[#This Row],[氏名]]="","",IF(TablaTransfor[[#This Row],[氏名]]&lt;"0","記号",IF(NOT(EXACT(UPPER(TablaTransfor[[#This Row],[氏名]]),LOWER(TablaTransfor[[#This Row],[氏名]]))),_xlfn.XLOOKUP($C181,DBGenzai[社員№],DBGenzai[カナ],"",0,1),_xlfn.XLOOKUP($C181,DBGenzai[社員№],DBGenzai[氏名],"",0,1))))</f>
        <v/>
      </c>
      <c r="M181" s="62" t="str">
        <f>_xlfn.XLOOKUP($C181,DBGenzai[社員№],DBGenzai[性別],"",0,1)</f>
        <v/>
      </c>
      <c r="N181" s="62" t="str">
        <f>_xlfn.XLOOKUP($C181,DBGenzai[社員№],DBGenzai[国籍],"",0,1)</f>
        <v/>
      </c>
      <c r="O181" s="64" t="str">
        <f>_xlfn.XLOOKUP($C181,DBGenzai[社員№],DBGenzai[生年月日],"",0,1)</f>
        <v/>
      </c>
      <c r="P181" s="62" t="str">
        <f>_xlfn.XLOOKUP($F$1&amp;B181,Filtro!B:B,Filtro!O:O,"",0,1)</f>
        <v/>
      </c>
      <c r="Q181" s="62" t="str">
        <f>_xlfn.XLOOKUP($F$1&amp;B181,Filtro!B:B,Filtro!P:P,"",0,1)</f>
        <v/>
      </c>
      <c r="R181" s="62" t="str">
        <f>_xlfn.XLOOKUP($F$1&amp;B181,Filtro!B:B,Filtro!R:R,"",0,1)</f>
        <v/>
      </c>
      <c r="S181" s="62" t="str">
        <f>_xlfn.XLOOKUP($C181,DBGenzai[社員№],DBGenzai[〒],"",0,1)</f>
        <v/>
      </c>
      <c r="T181" s="62" t="str">
        <f>_xlfn.XLOOKUP($C181,DBGenzai[社員№],DBGenzai[住所],"",0,1)</f>
        <v/>
      </c>
      <c r="U181" s="62" t="str">
        <f>_xlfn.XLOOKUP($C181,DBGenzai[社員№],DBGenzai[ｱﾊﾟｰﾄ],"",0,1)</f>
        <v/>
      </c>
      <c r="V181" s="64" t="str">
        <f>_xlfn.XLOOKUP($C181,DBGenzai[社員№],DBGenzai[入居],"",0,1)</f>
        <v/>
      </c>
      <c r="W181" s="64" t="str">
        <f>_xlfn.XLOOKUP($F$1&amp;B181,Filtro!B:B,Filtro!AF:AF,"",0,1)</f>
        <v/>
      </c>
      <c r="X181" s="64" t="str">
        <f>_xlfn.XLOOKUP($C181,DBGenzai[社員№],DBGenzai[退社日],"",0,1)</f>
        <v/>
      </c>
      <c r="Y181" s="62" t="str">
        <f>_xlfn.XLOOKUP($C181,DBGenzai[社員№],DBGenzai[退去],"",0,1)</f>
        <v/>
      </c>
      <c r="Z181" s="62" t="str">
        <f>_xlfn.XLOOKUP($C181,DBGenzai[社員№],DBGenzai[備考],"",0,1)</f>
        <v/>
      </c>
      <c r="AA181" s="156" t="str">
        <f>_xlfn.XLOOKUP($F$1&amp;B181,Filtro!B:B,Filtro!AL:AL,"",0,1)</f>
        <v/>
      </c>
      <c r="AB181" s="157" t="str" cm="1">
        <f t="array" aca="1" ref="AB18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1" s="436" t="str">
        <f ca="1">_xlfn.XLOOKUP(TablaTransfor[[#This Row],[ライン]],TBKaishaInfo[ライン],TBKaishaInfo[まで],"NohayMarrano",0,1)</f>
        <v>NohayMarrano</v>
      </c>
    </row>
    <row r="182" spans="1:29" hidden="1">
      <c r="A182" s="80"/>
      <c r="C182" s="62" t="str">
        <f>_xlfn.XLOOKUP($F$1&amp;B182,Filtro!B:B,Filtro!D:D,"",0,1)</f>
        <v/>
      </c>
      <c r="D182" s="62" t="str">
        <f>_xlfn.XLOOKUP($F$1&amp;B182,Filtro!B:B,Filtro!C:C,"",0,1)</f>
        <v/>
      </c>
      <c r="E182" s="62" t="str">
        <f>_xlfn.XLOOKUP($F$1&amp;B182,Filtro!B:B,Filtro!E:E,"",0,1)</f>
        <v/>
      </c>
      <c r="F182" s="62" t="str">
        <f>_xlfn.XLOOKUP($F$1&amp;B182,Filtro!B:B,Filtro!G:G,"",0,1)</f>
        <v/>
      </c>
      <c r="G182" s="62" t="str">
        <f ca="1">MID(TablaTransfor[[#This Row],[配属先]],1,8)</f>
        <v/>
      </c>
      <c r="H182" s="62" t="str">
        <f ca="1">MID(TablaTransfor[[#This Row],[配属先]],9,6)</f>
        <v/>
      </c>
      <c r="I182" s="62" t="str">
        <f>_xlfn.XLOOKUP($C182,DBGenzai[社員№],DBGenzai[仕事内容],"",0,1)</f>
        <v/>
      </c>
      <c r="J182" s="62" t="str">
        <f>_xlfn.XLOOKUP($F$1&amp;B182,Filtro!B:B,Filtro!H:H,"",0,1)</f>
        <v/>
      </c>
      <c r="K182" s="62" t="str">
        <f>_xlfn.XLOOKUP($F$1&amp;B182,Filtro!B:B,Filtro!J:J,"",0,1)</f>
        <v/>
      </c>
      <c r="L182" s="62" t="str">
        <f ca="1">IF(TablaTransfor[[#This Row],[氏名]]="","",IF(TablaTransfor[[#This Row],[氏名]]&lt;"0","記号",IF(NOT(EXACT(UPPER(TablaTransfor[[#This Row],[氏名]]),LOWER(TablaTransfor[[#This Row],[氏名]]))),_xlfn.XLOOKUP($C182,DBGenzai[社員№],DBGenzai[カナ],"",0,1),_xlfn.XLOOKUP($C182,DBGenzai[社員№],DBGenzai[氏名],"",0,1))))</f>
        <v/>
      </c>
      <c r="M182" s="62" t="str">
        <f>_xlfn.XLOOKUP($C182,DBGenzai[社員№],DBGenzai[性別],"",0,1)</f>
        <v/>
      </c>
      <c r="N182" s="62" t="str">
        <f>_xlfn.XLOOKUP($C182,DBGenzai[社員№],DBGenzai[国籍],"",0,1)</f>
        <v/>
      </c>
      <c r="O182" s="64" t="str">
        <f>_xlfn.XLOOKUP($C182,DBGenzai[社員№],DBGenzai[生年月日],"",0,1)</f>
        <v/>
      </c>
      <c r="P182" s="62" t="str">
        <f>_xlfn.XLOOKUP($F$1&amp;B182,Filtro!B:B,Filtro!O:O,"",0,1)</f>
        <v/>
      </c>
      <c r="Q182" s="62" t="str">
        <f>_xlfn.XLOOKUP($F$1&amp;B182,Filtro!B:B,Filtro!P:P,"",0,1)</f>
        <v/>
      </c>
      <c r="R182" s="62" t="str">
        <f>_xlfn.XLOOKUP($F$1&amp;B182,Filtro!B:B,Filtro!R:R,"",0,1)</f>
        <v/>
      </c>
      <c r="S182" s="62" t="str">
        <f>_xlfn.XLOOKUP($C182,DBGenzai[社員№],DBGenzai[〒],"",0,1)</f>
        <v/>
      </c>
      <c r="T182" s="62" t="str">
        <f>_xlfn.XLOOKUP($C182,DBGenzai[社員№],DBGenzai[住所],"",0,1)</f>
        <v/>
      </c>
      <c r="U182" s="62" t="str">
        <f>_xlfn.XLOOKUP($C182,DBGenzai[社員№],DBGenzai[ｱﾊﾟｰﾄ],"",0,1)</f>
        <v/>
      </c>
      <c r="V182" s="64" t="str">
        <f>_xlfn.XLOOKUP($C182,DBGenzai[社員№],DBGenzai[入居],"",0,1)</f>
        <v/>
      </c>
      <c r="W182" s="64" t="str">
        <f>_xlfn.XLOOKUP($F$1&amp;B182,Filtro!B:B,Filtro!AF:AF,"",0,1)</f>
        <v/>
      </c>
      <c r="X182" s="64" t="str">
        <f>_xlfn.XLOOKUP($C182,DBGenzai[社員№],DBGenzai[退社日],"",0,1)</f>
        <v/>
      </c>
      <c r="Y182" s="62" t="str">
        <f>_xlfn.XLOOKUP($C182,DBGenzai[社員№],DBGenzai[退去],"",0,1)</f>
        <v/>
      </c>
      <c r="Z182" s="62" t="str">
        <f>_xlfn.XLOOKUP($C182,DBGenzai[社員№],DBGenzai[備考],"",0,1)</f>
        <v/>
      </c>
      <c r="AA182" s="156" t="str">
        <f>_xlfn.XLOOKUP($F$1&amp;B182,Filtro!B:B,Filtro!AL:AL,"",0,1)</f>
        <v/>
      </c>
      <c r="AB182" s="157" t="str" cm="1">
        <f t="array" aca="1" ref="AB18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2" s="436" t="str">
        <f ca="1">_xlfn.XLOOKUP(TablaTransfor[[#This Row],[ライン]],TBKaishaInfo[ライン],TBKaishaInfo[まで],"NohayMarrano",0,1)</f>
        <v>NohayMarrano</v>
      </c>
    </row>
    <row r="183" spans="1:29" hidden="1">
      <c r="A183" s="80"/>
      <c r="C183" s="62" t="str">
        <f>_xlfn.XLOOKUP($F$1&amp;B183,Filtro!B:B,Filtro!D:D,"",0,1)</f>
        <v/>
      </c>
      <c r="D183" s="62" t="str">
        <f>_xlfn.XLOOKUP($F$1&amp;B183,Filtro!B:B,Filtro!C:C,"",0,1)</f>
        <v/>
      </c>
      <c r="E183" s="62" t="str">
        <f>_xlfn.XLOOKUP($F$1&amp;B183,Filtro!B:B,Filtro!E:E,"",0,1)</f>
        <v/>
      </c>
      <c r="F183" s="62" t="str">
        <f>_xlfn.XLOOKUP($F$1&amp;B183,Filtro!B:B,Filtro!G:G,"",0,1)</f>
        <v/>
      </c>
      <c r="G183" s="62" t="str">
        <f ca="1">MID(TablaTransfor[[#This Row],[配属先]],1,8)</f>
        <v/>
      </c>
      <c r="H183" s="62" t="str">
        <f ca="1">MID(TablaTransfor[[#This Row],[配属先]],9,6)</f>
        <v/>
      </c>
      <c r="I183" s="62" t="str">
        <f>_xlfn.XLOOKUP($C183,DBGenzai[社員№],DBGenzai[仕事内容],"",0,1)</f>
        <v/>
      </c>
      <c r="J183" s="62" t="str">
        <f>_xlfn.XLOOKUP($F$1&amp;B183,Filtro!B:B,Filtro!H:H,"",0,1)</f>
        <v/>
      </c>
      <c r="K183" s="62" t="str">
        <f>_xlfn.XLOOKUP($F$1&amp;B183,Filtro!B:B,Filtro!J:J,"",0,1)</f>
        <v/>
      </c>
      <c r="L183" s="62" t="str">
        <f ca="1">IF(TablaTransfor[[#This Row],[氏名]]="","",IF(TablaTransfor[[#This Row],[氏名]]&lt;"0","記号",IF(NOT(EXACT(UPPER(TablaTransfor[[#This Row],[氏名]]),LOWER(TablaTransfor[[#This Row],[氏名]]))),_xlfn.XLOOKUP($C183,DBGenzai[社員№],DBGenzai[カナ],"",0,1),_xlfn.XLOOKUP($C183,DBGenzai[社員№],DBGenzai[氏名],"",0,1))))</f>
        <v/>
      </c>
      <c r="M183" s="62" t="str">
        <f>_xlfn.XLOOKUP($C183,DBGenzai[社員№],DBGenzai[性別],"",0,1)</f>
        <v/>
      </c>
      <c r="N183" s="62" t="str">
        <f>_xlfn.XLOOKUP($C183,DBGenzai[社員№],DBGenzai[国籍],"",0,1)</f>
        <v/>
      </c>
      <c r="O183" s="64" t="str">
        <f>_xlfn.XLOOKUP($C183,DBGenzai[社員№],DBGenzai[生年月日],"",0,1)</f>
        <v/>
      </c>
      <c r="P183" s="62" t="str">
        <f>_xlfn.XLOOKUP($F$1&amp;B183,Filtro!B:B,Filtro!O:O,"",0,1)</f>
        <v/>
      </c>
      <c r="Q183" s="62" t="str">
        <f>_xlfn.XLOOKUP($F$1&amp;B183,Filtro!B:B,Filtro!P:P,"",0,1)</f>
        <v/>
      </c>
      <c r="R183" s="62" t="str">
        <f>_xlfn.XLOOKUP($F$1&amp;B183,Filtro!B:B,Filtro!R:R,"",0,1)</f>
        <v/>
      </c>
      <c r="S183" s="62" t="str">
        <f>_xlfn.XLOOKUP($C183,DBGenzai[社員№],DBGenzai[〒],"",0,1)</f>
        <v/>
      </c>
      <c r="T183" s="62" t="str">
        <f>_xlfn.XLOOKUP($C183,DBGenzai[社員№],DBGenzai[住所],"",0,1)</f>
        <v/>
      </c>
      <c r="U183" s="62" t="str">
        <f>_xlfn.XLOOKUP($C183,DBGenzai[社員№],DBGenzai[ｱﾊﾟｰﾄ],"",0,1)</f>
        <v/>
      </c>
      <c r="V183" s="64" t="str">
        <f>_xlfn.XLOOKUP($C183,DBGenzai[社員№],DBGenzai[入居],"",0,1)</f>
        <v/>
      </c>
      <c r="W183" s="64" t="str">
        <f>_xlfn.XLOOKUP($F$1&amp;B183,Filtro!B:B,Filtro!AF:AF,"",0,1)</f>
        <v/>
      </c>
      <c r="X183" s="64" t="str">
        <f>_xlfn.XLOOKUP($C183,DBGenzai[社員№],DBGenzai[退社日],"",0,1)</f>
        <v/>
      </c>
      <c r="Y183" s="62" t="str">
        <f>_xlfn.XLOOKUP($C183,DBGenzai[社員№],DBGenzai[退去],"",0,1)</f>
        <v/>
      </c>
      <c r="Z183" s="62" t="str">
        <f>_xlfn.XLOOKUP($C183,DBGenzai[社員№],DBGenzai[備考],"",0,1)</f>
        <v/>
      </c>
      <c r="AA183" s="156" t="str">
        <f>_xlfn.XLOOKUP($F$1&amp;B183,Filtro!B:B,Filtro!AL:AL,"",0,1)</f>
        <v/>
      </c>
      <c r="AB183" s="157" t="str" cm="1">
        <f t="array" aca="1" ref="AB18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3" s="436" t="str">
        <f ca="1">_xlfn.XLOOKUP(TablaTransfor[[#This Row],[ライン]],TBKaishaInfo[ライン],TBKaishaInfo[まで],"NohayMarrano",0,1)</f>
        <v>NohayMarrano</v>
      </c>
    </row>
    <row r="184" spans="1:29" hidden="1">
      <c r="A184" s="80"/>
      <c r="C184" s="62" t="str">
        <f>_xlfn.XLOOKUP($F$1&amp;B184,Filtro!B:B,Filtro!D:D,"",0,1)</f>
        <v/>
      </c>
      <c r="D184" s="62" t="str">
        <f>_xlfn.XLOOKUP($F$1&amp;B184,Filtro!B:B,Filtro!C:C,"",0,1)</f>
        <v/>
      </c>
      <c r="E184" s="62" t="str">
        <f>_xlfn.XLOOKUP($F$1&amp;B184,Filtro!B:B,Filtro!E:E,"",0,1)</f>
        <v/>
      </c>
      <c r="F184" s="62" t="str">
        <f>_xlfn.XLOOKUP($F$1&amp;B184,Filtro!B:B,Filtro!G:G,"",0,1)</f>
        <v/>
      </c>
      <c r="G184" s="62" t="str">
        <f ca="1">MID(TablaTransfor[[#This Row],[配属先]],1,8)</f>
        <v/>
      </c>
      <c r="H184" s="62" t="str">
        <f ca="1">MID(TablaTransfor[[#This Row],[配属先]],9,6)</f>
        <v/>
      </c>
      <c r="I184" s="62" t="str">
        <f>_xlfn.XLOOKUP($C184,DBGenzai[社員№],DBGenzai[仕事内容],"",0,1)</f>
        <v/>
      </c>
      <c r="J184" s="62" t="str">
        <f>_xlfn.XLOOKUP($F$1&amp;B184,Filtro!B:B,Filtro!H:H,"",0,1)</f>
        <v/>
      </c>
      <c r="K184" s="62" t="str">
        <f>_xlfn.XLOOKUP($F$1&amp;B184,Filtro!B:B,Filtro!J:J,"",0,1)</f>
        <v/>
      </c>
      <c r="L184" s="62" t="str">
        <f ca="1">IF(TablaTransfor[[#This Row],[氏名]]="","",IF(TablaTransfor[[#This Row],[氏名]]&lt;"0","記号",IF(NOT(EXACT(UPPER(TablaTransfor[[#This Row],[氏名]]),LOWER(TablaTransfor[[#This Row],[氏名]]))),_xlfn.XLOOKUP($C184,DBGenzai[社員№],DBGenzai[カナ],"",0,1),_xlfn.XLOOKUP($C184,DBGenzai[社員№],DBGenzai[氏名],"",0,1))))</f>
        <v/>
      </c>
      <c r="M184" s="62" t="str">
        <f>_xlfn.XLOOKUP($C184,DBGenzai[社員№],DBGenzai[性別],"",0,1)</f>
        <v/>
      </c>
      <c r="N184" s="62" t="str">
        <f>_xlfn.XLOOKUP($C184,DBGenzai[社員№],DBGenzai[国籍],"",0,1)</f>
        <v/>
      </c>
      <c r="O184" s="64" t="str">
        <f>_xlfn.XLOOKUP($C184,DBGenzai[社員№],DBGenzai[生年月日],"",0,1)</f>
        <v/>
      </c>
      <c r="P184" s="62" t="str">
        <f>_xlfn.XLOOKUP($F$1&amp;B184,Filtro!B:B,Filtro!O:O,"",0,1)</f>
        <v/>
      </c>
      <c r="Q184" s="62" t="str">
        <f>_xlfn.XLOOKUP($F$1&amp;B184,Filtro!B:B,Filtro!P:P,"",0,1)</f>
        <v/>
      </c>
      <c r="R184" s="62" t="str">
        <f>_xlfn.XLOOKUP($F$1&amp;B184,Filtro!B:B,Filtro!R:R,"",0,1)</f>
        <v/>
      </c>
      <c r="S184" s="62" t="str">
        <f>_xlfn.XLOOKUP($C184,DBGenzai[社員№],DBGenzai[〒],"",0,1)</f>
        <v/>
      </c>
      <c r="T184" s="62" t="str">
        <f>_xlfn.XLOOKUP($C184,DBGenzai[社員№],DBGenzai[住所],"",0,1)</f>
        <v/>
      </c>
      <c r="U184" s="62" t="str">
        <f>_xlfn.XLOOKUP($C184,DBGenzai[社員№],DBGenzai[ｱﾊﾟｰﾄ],"",0,1)</f>
        <v/>
      </c>
      <c r="V184" s="64" t="str">
        <f>_xlfn.XLOOKUP($C184,DBGenzai[社員№],DBGenzai[入居],"",0,1)</f>
        <v/>
      </c>
      <c r="W184" s="64" t="str">
        <f>_xlfn.XLOOKUP($F$1&amp;B184,Filtro!B:B,Filtro!AF:AF,"",0,1)</f>
        <v/>
      </c>
      <c r="X184" s="64" t="str">
        <f>_xlfn.XLOOKUP($C184,DBGenzai[社員№],DBGenzai[退社日],"",0,1)</f>
        <v/>
      </c>
      <c r="Y184" s="62" t="str">
        <f>_xlfn.XLOOKUP($C184,DBGenzai[社員№],DBGenzai[退去],"",0,1)</f>
        <v/>
      </c>
      <c r="Z184" s="62" t="str">
        <f>_xlfn.XLOOKUP($C184,DBGenzai[社員№],DBGenzai[備考],"",0,1)</f>
        <v/>
      </c>
      <c r="AA184" s="156" t="str">
        <f>_xlfn.XLOOKUP($F$1&amp;B184,Filtro!B:B,Filtro!AL:AL,"",0,1)</f>
        <v/>
      </c>
      <c r="AB184" s="157" t="str" cm="1">
        <f t="array" aca="1" ref="AB18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4" s="436" t="str">
        <f ca="1">_xlfn.XLOOKUP(TablaTransfor[[#This Row],[ライン]],TBKaishaInfo[ライン],TBKaishaInfo[まで],"NohayMarrano",0,1)</f>
        <v>NohayMarrano</v>
      </c>
    </row>
    <row r="185" spans="1:29" hidden="1">
      <c r="A185" s="80"/>
      <c r="C185" s="62" t="str">
        <f>_xlfn.XLOOKUP($F$1&amp;B185,Filtro!B:B,Filtro!D:D,"",0,1)</f>
        <v/>
      </c>
      <c r="D185" s="62" t="str">
        <f>_xlfn.XLOOKUP($F$1&amp;B185,Filtro!B:B,Filtro!C:C,"",0,1)</f>
        <v/>
      </c>
      <c r="E185" s="62" t="str">
        <f>_xlfn.XLOOKUP($F$1&amp;B185,Filtro!B:B,Filtro!E:E,"",0,1)</f>
        <v/>
      </c>
      <c r="F185" s="62" t="str">
        <f>_xlfn.XLOOKUP($F$1&amp;B185,Filtro!B:B,Filtro!G:G,"",0,1)</f>
        <v/>
      </c>
      <c r="G185" s="62" t="str">
        <f ca="1">MID(TablaTransfor[[#This Row],[配属先]],1,8)</f>
        <v/>
      </c>
      <c r="H185" s="62" t="str">
        <f ca="1">MID(TablaTransfor[[#This Row],[配属先]],9,6)</f>
        <v/>
      </c>
      <c r="I185" s="62" t="str">
        <f>_xlfn.XLOOKUP($C185,DBGenzai[社員№],DBGenzai[仕事内容],"",0,1)</f>
        <v/>
      </c>
      <c r="J185" s="62" t="str">
        <f>_xlfn.XLOOKUP($F$1&amp;B185,Filtro!B:B,Filtro!H:H,"",0,1)</f>
        <v/>
      </c>
      <c r="K185" s="62" t="str">
        <f>_xlfn.XLOOKUP($F$1&amp;B185,Filtro!B:B,Filtro!J:J,"",0,1)</f>
        <v/>
      </c>
      <c r="L185" s="62" t="str">
        <f ca="1">IF(TablaTransfor[[#This Row],[氏名]]="","",IF(TablaTransfor[[#This Row],[氏名]]&lt;"0","記号",IF(NOT(EXACT(UPPER(TablaTransfor[[#This Row],[氏名]]),LOWER(TablaTransfor[[#This Row],[氏名]]))),_xlfn.XLOOKUP($C185,DBGenzai[社員№],DBGenzai[カナ],"",0,1),_xlfn.XLOOKUP($C185,DBGenzai[社員№],DBGenzai[氏名],"",0,1))))</f>
        <v/>
      </c>
      <c r="M185" s="62" t="str">
        <f>_xlfn.XLOOKUP($C185,DBGenzai[社員№],DBGenzai[性別],"",0,1)</f>
        <v/>
      </c>
      <c r="N185" s="62" t="str">
        <f>_xlfn.XLOOKUP($C185,DBGenzai[社員№],DBGenzai[国籍],"",0,1)</f>
        <v/>
      </c>
      <c r="O185" s="64" t="str">
        <f>_xlfn.XLOOKUP($C185,DBGenzai[社員№],DBGenzai[生年月日],"",0,1)</f>
        <v/>
      </c>
      <c r="P185" s="62" t="str">
        <f>_xlfn.XLOOKUP($F$1&amp;B185,Filtro!B:B,Filtro!O:O,"",0,1)</f>
        <v/>
      </c>
      <c r="Q185" s="62" t="str">
        <f>_xlfn.XLOOKUP($F$1&amp;B185,Filtro!B:B,Filtro!P:P,"",0,1)</f>
        <v/>
      </c>
      <c r="R185" s="62" t="str">
        <f>_xlfn.XLOOKUP($F$1&amp;B185,Filtro!B:B,Filtro!R:R,"",0,1)</f>
        <v/>
      </c>
      <c r="S185" s="62" t="str">
        <f>_xlfn.XLOOKUP($C185,DBGenzai[社員№],DBGenzai[〒],"",0,1)</f>
        <v/>
      </c>
      <c r="T185" s="62" t="str">
        <f>_xlfn.XLOOKUP($C185,DBGenzai[社員№],DBGenzai[住所],"",0,1)</f>
        <v/>
      </c>
      <c r="U185" s="62" t="str">
        <f>_xlfn.XLOOKUP($C185,DBGenzai[社員№],DBGenzai[ｱﾊﾟｰﾄ],"",0,1)</f>
        <v/>
      </c>
      <c r="V185" s="64" t="str">
        <f>_xlfn.XLOOKUP($C185,DBGenzai[社員№],DBGenzai[入居],"",0,1)</f>
        <v/>
      </c>
      <c r="W185" s="64" t="str">
        <f>_xlfn.XLOOKUP($F$1&amp;B185,Filtro!B:B,Filtro!AF:AF,"",0,1)</f>
        <v/>
      </c>
      <c r="X185" s="64" t="str">
        <f>_xlfn.XLOOKUP($C185,DBGenzai[社員№],DBGenzai[退社日],"",0,1)</f>
        <v/>
      </c>
      <c r="Y185" s="62" t="str">
        <f>_xlfn.XLOOKUP($C185,DBGenzai[社員№],DBGenzai[退去],"",0,1)</f>
        <v/>
      </c>
      <c r="Z185" s="62" t="str">
        <f>_xlfn.XLOOKUP($C185,DBGenzai[社員№],DBGenzai[備考],"",0,1)</f>
        <v/>
      </c>
      <c r="AA185" s="156" t="str">
        <f>_xlfn.XLOOKUP($F$1&amp;B185,Filtro!B:B,Filtro!AL:AL,"",0,1)</f>
        <v/>
      </c>
      <c r="AB185" s="157" t="str" cm="1">
        <f t="array" aca="1" ref="AB18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5" s="436" t="str">
        <f ca="1">_xlfn.XLOOKUP(TablaTransfor[[#This Row],[ライン]],TBKaishaInfo[ライン],TBKaishaInfo[まで],"NohayMarrano",0,1)</f>
        <v>NohayMarrano</v>
      </c>
    </row>
    <row r="186" spans="1:29" hidden="1">
      <c r="A186" s="80"/>
      <c r="C186" s="62" t="str">
        <f>_xlfn.XLOOKUP($F$1&amp;B186,Filtro!B:B,Filtro!D:D,"",0,1)</f>
        <v/>
      </c>
      <c r="D186" s="62" t="str">
        <f>_xlfn.XLOOKUP($F$1&amp;B186,Filtro!B:B,Filtro!C:C,"",0,1)</f>
        <v/>
      </c>
      <c r="E186" s="62" t="str">
        <f>_xlfn.XLOOKUP($F$1&amp;B186,Filtro!B:B,Filtro!E:E,"",0,1)</f>
        <v/>
      </c>
      <c r="F186" s="62" t="str">
        <f>_xlfn.XLOOKUP($F$1&amp;B186,Filtro!B:B,Filtro!G:G,"",0,1)</f>
        <v/>
      </c>
      <c r="G186" s="62" t="str">
        <f ca="1">MID(TablaTransfor[[#This Row],[配属先]],1,8)</f>
        <v/>
      </c>
      <c r="H186" s="62" t="str">
        <f ca="1">MID(TablaTransfor[[#This Row],[配属先]],9,6)</f>
        <v/>
      </c>
      <c r="I186" s="62" t="str">
        <f>_xlfn.XLOOKUP($C186,DBGenzai[社員№],DBGenzai[仕事内容],"",0,1)</f>
        <v/>
      </c>
      <c r="J186" s="62" t="str">
        <f>_xlfn.XLOOKUP($F$1&amp;B186,Filtro!B:B,Filtro!H:H,"",0,1)</f>
        <v/>
      </c>
      <c r="K186" s="62" t="str">
        <f>_xlfn.XLOOKUP($F$1&amp;B186,Filtro!B:B,Filtro!J:J,"",0,1)</f>
        <v/>
      </c>
      <c r="L186" s="62" t="str">
        <f ca="1">IF(TablaTransfor[[#This Row],[氏名]]="","",IF(TablaTransfor[[#This Row],[氏名]]&lt;"0","記号",IF(NOT(EXACT(UPPER(TablaTransfor[[#This Row],[氏名]]),LOWER(TablaTransfor[[#This Row],[氏名]]))),_xlfn.XLOOKUP($C186,DBGenzai[社員№],DBGenzai[カナ],"",0,1),_xlfn.XLOOKUP($C186,DBGenzai[社員№],DBGenzai[氏名],"",0,1))))</f>
        <v/>
      </c>
      <c r="M186" s="62" t="str">
        <f>_xlfn.XLOOKUP($C186,DBGenzai[社員№],DBGenzai[性別],"",0,1)</f>
        <v/>
      </c>
      <c r="N186" s="62" t="str">
        <f>_xlfn.XLOOKUP($C186,DBGenzai[社員№],DBGenzai[国籍],"",0,1)</f>
        <v/>
      </c>
      <c r="O186" s="64" t="str">
        <f>_xlfn.XLOOKUP($C186,DBGenzai[社員№],DBGenzai[生年月日],"",0,1)</f>
        <v/>
      </c>
      <c r="P186" s="62" t="str">
        <f>_xlfn.XLOOKUP($F$1&amp;B186,Filtro!B:B,Filtro!O:O,"",0,1)</f>
        <v/>
      </c>
      <c r="Q186" s="62" t="str">
        <f>_xlfn.XLOOKUP($F$1&amp;B186,Filtro!B:B,Filtro!P:P,"",0,1)</f>
        <v/>
      </c>
      <c r="R186" s="62" t="str">
        <f>_xlfn.XLOOKUP($F$1&amp;B186,Filtro!B:B,Filtro!R:R,"",0,1)</f>
        <v/>
      </c>
      <c r="S186" s="62" t="str">
        <f>_xlfn.XLOOKUP($C186,DBGenzai[社員№],DBGenzai[〒],"",0,1)</f>
        <v/>
      </c>
      <c r="T186" s="62" t="str">
        <f>_xlfn.XLOOKUP($C186,DBGenzai[社員№],DBGenzai[住所],"",0,1)</f>
        <v/>
      </c>
      <c r="U186" s="62" t="str">
        <f>_xlfn.XLOOKUP($C186,DBGenzai[社員№],DBGenzai[ｱﾊﾟｰﾄ],"",0,1)</f>
        <v/>
      </c>
      <c r="V186" s="64" t="str">
        <f>_xlfn.XLOOKUP($C186,DBGenzai[社員№],DBGenzai[入居],"",0,1)</f>
        <v/>
      </c>
      <c r="W186" s="64" t="str">
        <f>_xlfn.XLOOKUP($F$1&amp;B186,Filtro!B:B,Filtro!AF:AF,"",0,1)</f>
        <v/>
      </c>
      <c r="X186" s="64" t="str">
        <f>_xlfn.XLOOKUP($C186,DBGenzai[社員№],DBGenzai[退社日],"",0,1)</f>
        <v/>
      </c>
      <c r="Y186" s="62" t="str">
        <f>_xlfn.XLOOKUP($C186,DBGenzai[社員№],DBGenzai[退去],"",0,1)</f>
        <v/>
      </c>
      <c r="Z186" s="62" t="str">
        <f>_xlfn.XLOOKUP($C186,DBGenzai[社員№],DBGenzai[備考],"",0,1)</f>
        <v/>
      </c>
      <c r="AA186" s="156" t="str">
        <f>_xlfn.XLOOKUP($F$1&amp;B186,Filtro!B:B,Filtro!AL:AL,"",0,1)</f>
        <v/>
      </c>
      <c r="AB186" s="157" t="str" cm="1">
        <f t="array" aca="1" ref="AB18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6" s="436" t="str">
        <f ca="1">_xlfn.XLOOKUP(TablaTransfor[[#This Row],[ライン]],TBKaishaInfo[ライン],TBKaishaInfo[まで],"NohayMarrano",0,1)</f>
        <v>NohayMarrano</v>
      </c>
    </row>
    <row r="187" spans="1:29" hidden="1">
      <c r="A187" s="80"/>
      <c r="C187" s="62" t="str">
        <f>_xlfn.XLOOKUP($F$1&amp;B187,Filtro!B:B,Filtro!D:D,"",0,1)</f>
        <v/>
      </c>
      <c r="D187" s="62" t="str">
        <f>_xlfn.XLOOKUP($F$1&amp;B187,Filtro!B:B,Filtro!C:C,"",0,1)</f>
        <v/>
      </c>
      <c r="E187" s="62" t="str">
        <f>_xlfn.XLOOKUP($F$1&amp;B187,Filtro!B:B,Filtro!E:E,"",0,1)</f>
        <v/>
      </c>
      <c r="F187" s="62" t="str">
        <f>_xlfn.XLOOKUP($F$1&amp;B187,Filtro!B:B,Filtro!G:G,"",0,1)</f>
        <v/>
      </c>
      <c r="G187" s="62" t="str">
        <f ca="1">MID(TablaTransfor[[#This Row],[配属先]],1,8)</f>
        <v/>
      </c>
      <c r="H187" s="62" t="str">
        <f ca="1">MID(TablaTransfor[[#This Row],[配属先]],9,6)</f>
        <v/>
      </c>
      <c r="I187" s="62" t="str">
        <f>_xlfn.XLOOKUP($C187,DBGenzai[社員№],DBGenzai[仕事内容],"",0,1)</f>
        <v/>
      </c>
      <c r="J187" s="62" t="str">
        <f>_xlfn.XLOOKUP($F$1&amp;B187,Filtro!B:B,Filtro!H:H,"",0,1)</f>
        <v/>
      </c>
      <c r="K187" s="62" t="str">
        <f>_xlfn.XLOOKUP($F$1&amp;B187,Filtro!B:B,Filtro!J:J,"",0,1)</f>
        <v/>
      </c>
      <c r="L187" s="62" t="str">
        <f ca="1">IF(TablaTransfor[[#This Row],[氏名]]="","",IF(TablaTransfor[[#This Row],[氏名]]&lt;"0","記号",IF(NOT(EXACT(UPPER(TablaTransfor[[#This Row],[氏名]]),LOWER(TablaTransfor[[#This Row],[氏名]]))),_xlfn.XLOOKUP($C187,DBGenzai[社員№],DBGenzai[カナ],"",0,1),_xlfn.XLOOKUP($C187,DBGenzai[社員№],DBGenzai[氏名],"",0,1))))</f>
        <v/>
      </c>
      <c r="M187" s="62" t="str">
        <f>_xlfn.XLOOKUP($C187,DBGenzai[社員№],DBGenzai[性別],"",0,1)</f>
        <v/>
      </c>
      <c r="N187" s="62" t="str">
        <f>_xlfn.XLOOKUP($C187,DBGenzai[社員№],DBGenzai[国籍],"",0,1)</f>
        <v/>
      </c>
      <c r="O187" s="64" t="str">
        <f>_xlfn.XLOOKUP($C187,DBGenzai[社員№],DBGenzai[生年月日],"",0,1)</f>
        <v/>
      </c>
      <c r="P187" s="62" t="str">
        <f>_xlfn.XLOOKUP($F$1&amp;B187,Filtro!B:B,Filtro!O:O,"",0,1)</f>
        <v/>
      </c>
      <c r="Q187" s="62" t="str">
        <f>_xlfn.XLOOKUP($F$1&amp;B187,Filtro!B:B,Filtro!P:P,"",0,1)</f>
        <v/>
      </c>
      <c r="R187" s="62" t="str">
        <f>_xlfn.XLOOKUP($F$1&amp;B187,Filtro!B:B,Filtro!R:R,"",0,1)</f>
        <v/>
      </c>
      <c r="S187" s="62" t="str">
        <f>_xlfn.XLOOKUP($C187,DBGenzai[社員№],DBGenzai[〒],"",0,1)</f>
        <v/>
      </c>
      <c r="T187" s="62" t="str">
        <f>_xlfn.XLOOKUP($C187,DBGenzai[社員№],DBGenzai[住所],"",0,1)</f>
        <v/>
      </c>
      <c r="U187" s="62" t="str">
        <f>_xlfn.XLOOKUP($C187,DBGenzai[社員№],DBGenzai[ｱﾊﾟｰﾄ],"",0,1)</f>
        <v/>
      </c>
      <c r="V187" s="64" t="str">
        <f>_xlfn.XLOOKUP($C187,DBGenzai[社員№],DBGenzai[入居],"",0,1)</f>
        <v/>
      </c>
      <c r="W187" s="64" t="str">
        <f>_xlfn.XLOOKUP($F$1&amp;B187,Filtro!B:B,Filtro!AF:AF,"",0,1)</f>
        <v/>
      </c>
      <c r="X187" s="64" t="str">
        <f>_xlfn.XLOOKUP($C187,DBGenzai[社員№],DBGenzai[退社日],"",0,1)</f>
        <v/>
      </c>
      <c r="Y187" s="62" t="str">
        <f>_xlfn.XLOOKUP($C187,DBGenzai[社員№],DBGenzai[退去],"",0,1)</f>
        <v/>
      </c>
      <c r="Z187" s="62" t="str">
        <f>_xlfn.XLOOKUP($C187,DBGenzai[社員№],DBGenzai[備考],"",0,1)</f>
        <v/>
      </c>
      <c r="AA187" s="156" t="str">
        <f>_xlfn.XLOOKUP($F$1&amp;B187,Filtro!B:B,Filtro!AL:AL,"",0,1)</f>
        <v/>
      </c>
      <c r="AB187" s="157" t="str" cm="1">
        <f t="array" aca="1" ref="AB18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7" s="436" t="str">
        <f ca="1">_xlfn.XLOOKUP(TablaTransfor[[#This Row],[ライン]],TBKaishaInfo[ライン],TBKaishaInfo[まで],"NohayMarrano",0,1)</f>
        <v>NohayMarrano</v>
      </c>
    </row>
    <row r="188" spans="1:29" hidden="1">
      <c r="A188" s="80"/>
      <c r="C188" s="62" t="str">
        <f>_xlfn.XLOOKUP($F$1&amp;B188,Filtro!B:B,Filtro!D:D,"",0,1)</f>
        <v/>
      </c>
      <c r="D188" s="62" t="str">
        <f>_xlfn.XLOOKUP($F$1&amp;B188,Filtro!B:B,Filtro!C:C,"",0,1)</f>
        <v/>
      </c>
      <c r="E188" s="62" t="str">
        <f>_xlfn.XLOOKUP($F$1&amp;B188,Filtro!B:B,Filtro!E:E,"",0,1)</f>
        <v/>
      </c>
      <c r="F188" s="62" t="str">
        <f>_xlfn.XLOOKUP($F$1&amp;B188,Filtro!B:B,Filtro!G:G,"",0,1)</f>
        <v/>
      </c>
      <c r="G188" s="62" t="str">
        <f ca="1">MID(TablaTransfor[[#This Row],[配属先]],1,8)</f>
        <v/>
      </c>
      <c r="H188" s="62" t="str">
        <f ca="1">MID(TablaTransfor[[#This Row],[配属先]],9,6)</f>
        <v/>
      </c>
      <c r="I188" s="62" t="str">
        <f>_xlfn.XLOOKUP($C188,DBGenzai[社員№],DBGenzai[仕事内容],"",0,1)</f>
        <v/>
      </c>
      <c r="J188" s="62" t="str">
        <f>_xlfn.XLOOKUP($F$1&amp;B188,Filtro!B:B,Filtro!H:H,"",0,1)</f>
        <v/>
      </c>
      <c r="K188" s="62" t="str">
        <f>_xlfn.XLOOKUP($F$1&amp;B188,Filtro!B:B,Filtro!J:J,"",0,1)</f>
        <v/>
      </c>
      <c r="L188" s="62" t="str">
        <f ca="1">IF(TablaTransfor[[#This Row],[氏名]]="","",IF(TablaTransfor[[#This Row],[氏名]]&lt;"0","記号",IF(NOT(EXACT(UPPER(TablaTransfor[[#This Row],[氏名]]),LOWER(TablaTransfor[[#This Row],[氏名]]))),_xlfn.XLOOKUP($C188,DBGenzai[社員№],DBGenzai[カナ],"",0,1),_xlfn.XLOOKUP($C188,DBGenzai[社員№],DBGenzai[氏名],"",0,1))))</f>
        <v/>
      </c>
      <c r="M188" s="62" t="str">
        <f>_xlfn.XLOOKUP($C188,DBGenzai[社員№],DBGenzai[性別],"",0,1)</f>
        <v/>
      </c>
      <c r="N188" s="62" t="str">
        <f>_xlfn.XLOOKUP($C188,DBGenzai[社員№],DBGenzai[国籍],"",0,1)</f>
        <v/>
      </c>
      <c r="O188" s="64" t="str">
        <f>_xlfn.XLOOKUP($C188,DBGenzai[社員№],DBGenzai[生年月日],"",0,1)</f>
        <v/>
      </c>
      <c r="P188" s="62" t="str">
        <f>_xlfn.XLOOKUP($F$1&amp;B188,Filtro!B:B,Filtro!O:O,"",0,1)</f>
        <v/>
      </c>
      <c r="Q188" s="62" t="str">
        <f>_xlfn.XLOOKUP($F$1&amp;B188,Filtro!B:B,Filtro!P:P,"",0,1)</f>
        <v/>
      </c>
      <c r="R188" s="62" t="str">
        <f>_xlfn.XLOOKUP($F$1&amp;B188,Filtro!B:B,Filtro!R:R,"",0,1)</f>
        <v/>
      </c>
      <c r="S188" s="62" t="str">
        <f>_xlfn.XLOOKUP($C188,DBGenzai[社員№],DBGenzai[〒],"",0,1)</f>
        <v/>
      </c>
      <c r="T188" s="62" t="str">
        <f>_xlfn.XLOOKUP($C188,DBGenzai[社員№],DBGenzai[住所],"",0,1)</f>
        <v/>
      </c>
      <c r="U188" s="62" t="str">
        <f>_xlfn.XLOOKUP($C188,DBGenzai[社員№],DBGenzai[ｱﾊﾟｰﾄ],"",0,1)</f>
        <v/>
      </c>
      <c r="V188" s="64" t="str">
        <f>_xlfn.XLOOKUP($C188,DBGenzai[社員№],DBGenzai[入居],"",0,1)</f>
        <v/>
      </c>
      <c r="W188" s="64" t="str">
        <f>_xlfn.XLOOKUP($F$1&amp;B188,Filtro!B:B,Filtro!AF:AF,"",0,1)</f>
        <v/>
      </c>
      <c r="X188" s="64" t="str">
        <f>_xlfn.XLOOKUP($C188,DBGenzai[社員№],DBGenzai[退社日],"",0,1)</f>
        <v/>
      </c>
      <c r="Y188" s="62" t="str">
        <f>_xlfn.XLOOKUP($C188,DBGenzai[社員№],DBGenzai[退去],"",0,1)</f>
        <v/>
      </c>
      <c r="Z188" s="62" t="str">
        <f>_xlfn.XLOOKUP($C188,DBGenzai[社員№],DBGenzai[備考],"",0,1)</f>
        <v/>
      </c>
      <c r="AA188" s="156" t="str">
        <f>_xlfn.XLOOKUP($F$1&amp;B188,Filtro!B:B,Filtro!AL:AL,"",0,1)</f>
        <v/>
      </c>
      <c r="AB188" s="157" t="str" cm="1">
        <f t="array" aca="1" ref="AB188"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8" s="436" t="str">
        <f ca="1">_xlfn.XLOOKUP(TablaTransfor[[#This Row],[ライン]],TBKaishaInfo[ライン],TBKaishaInfo[まで],"NohayMarrano",0,1)</f>
        <v>NohayMarrano</v>
      </c>
    </row>
    <row r="189" spans="1:29" hidden="1">
      <c r="A189" s="80"/>
      <c r="C189" s="62" t="str">
        <f>_xlfn.XLOOKUP($F$1&amp;B189,Filtro!B:B,Filtro!D:D,"",0,1)</f>
        <v/>
      </c>
      <c r="D189" s="62" t="str">
        <f>_xlfn.XLOOKUP($F$1&amp;B189,Filtro!B:B,Filtro!C:C,"",0,1)</f>
        <v/>
      </c>
      <c r="E189" s="62" t="str">
        <f>_xlfn.XLOOKUP($F$1&amp;B189,Filtro!B:B,Filtro!E:E,"",0,1)</f>
        <v/>
      </c>
      <c r="F189" s="62" t="str">
        <f>_xlfn.XLOOKUP($F$1&amp;B189,Filtro!B:B,Filtro!G:G,"",0,1)</f>
        <v/>
      </c>
      <c r="G189" s="62" t="str">
        <f ca="1">MID(TablaTransfor[[#This Row],[配属先]],1,8)</f>
        <v/>
      </c>
      <c r="H189" s="62" t="str">
        <f ca="1">MID(TablaTransfor[[#This Row],[配属先]],9,6)</f>
        <v/>
      </c>
      <c r="I189" s="62" t="str">
        <f>_xlfn.XLOOKUP($C189,DBGenzai[社員№],DBGenzai[仕事内容],"",0,1)</f>
        <v/>
      </c>
      <c r="J189" s="62" t="str">
        <f>_xlfn.XLOOKUP($F$1&amp;B189,Filtro!B:B,Filtro!H:H,"",0,1)</f>
        <v/>
      </c>
      <c r="K189" s="62" t="str">
        <f>_xlfn.XLOOKUP($F$1&amp;B189,Filtro!B:B,Filtro!J:J,"",0,1)</f>
        <v/>
      </c>
      <c r="L189" s="62" t="str">
        <f ca="1">IF(TablaTransfor[[#This Row],[氏名]]="","",IF(TablaTransfor[[#This Row],[氏名]]&lt;"0","記号",IF(NOT(EXACT(UPPER(TablaTransfor[[#This Row],[氏名]]),LOWER(TablaTransfor[[#This Row],[氏名]]))),_xlfn.XLOOKUP($C189,DBGenzai[社員№],DBGenzai[カナ],"",0,1),_xlfn.XLOOKUP($C189,DBGenzai[社員№],DBGenzai[氏名],"",0,1))))</f>
        <v/>
      </c>
      <c r="M189" s="62" t="str">
        <f>_xlfn.XLOOKUP($C189,DBGenzai[社員№],DBGenzai[性別],"",0,1)</f>
        <v/>
      </c>
      <c r="N189" s="62" t="str">
        <f>_xlfn.XLOOKUP($C189,DBGenzai[社員№],DBGenzai[国籍],"",0,1)</f>
        <v/>
      </c>
      <c r="O189" s="64" t="str">
        <f>_xlfn.XLOOKUP($C189,DBGenzai[社員№],DBGenzai[生年月日],"",0,1)</f>
        <v/>
      </c>
      <c r="P189" s="62" t="str">
        <f>_xlfn.XLOOKUP($F$1&amp;B189,Filtro!B:B,Filtro!O:O,"",0,1)</f>
        <v/>
      </c>
      <c r="Q189" s="62" t="str">
        <f>_xlfn.XLOOKUP($F$1&amp;B189,Filtro!B:B,Filtro!P:P,"",0,1)</f>
        <v/>
      </c>
      <c r="R189" s="62" t="str">
        <f>_xlfn.XLOOKUP($F$1&amp;B189,Filtro!B:B,Filtro!R:R,"",0,1)</f>
        <v/>
      </c>
      <c r="S189" s="62" t="str">
        <f>_xlfn.XLOOKUP($C189,DBGenzai[社員№],DBGenzai[〒],"",0,1)</f>
        <v/>
      </c>
      <c r="T189" s="62" t="str">
        <f>_xlfn.XLOOKUP($C189,DBGenzai[社員№],DBGenzai[住所],"",0,1)</f>
        <v/>
      </c>
      <c r="U189" s="62" t="str">
        <f>_xlfn.XLOOKUP($C189,DBGenzai[社員№],DBGenzai[ｱﾊﾟｰﾄ],"",0,1)</f>
        <v/>
      </c>
      <c r="V189" s="64" t="str">
        <f>_xlfn.XLOOKUP($C189,DBGenzai[社員№],DBGenzai[入居],"",0,1)</f>
        <v/>
      </c>
      <c r="W189" s="64" t="str">
        <f>_xlfn.XLOOKUP($F$1&amp;B189,Filtro!B:B,Filtro!AF:AF,"",0,1)</f>
        <v/>
      </c>
      <c r="X189" s="64" t="str">
        <f>_xlfn.XLOOKUP($C189,DBGenzai[社員№],DBGenzai[退社日],"",0,1)</f>
        <v/>
      </c>
      <c r="Y189" s="62" t="str">
        <f>_xlfn.XLOOKUP($C189,DBGenzai[社員№],DBGenzai[退去],"",0,1)</f>
        <v/>
      </c>
      <c r="Z189" s="62" t="str">
        <f>_xlfn.XLOOKUP($C189,DBGenzai[社員№],DBGenzai[備考],"",0,1)</f>
        <v/>
      </c>
      <c r="AA189" s="156" t="str">
        <f>_xlfn.XLOOKUP($F$1&amp;B189,Filtro!B:B,Filtro!AL:AL,"",0,1)</f>
        <v/>
      </c>
      <c r="AB189" s="157" t="str" cm="1">
        <f t="array" aca="1" ref="AB189"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89" s="436" t="str">
        <f ca="1">_xlfn.XLOOKUP(TablaTransfor[[#This Row],[ライン]],TBKaishaInfo[ライン],TBKaishaInfo[まで],"NohayMarrano",0,1)</f>
        <v>NohayMarrano</v>
      </c>
    </row>
    <row r="190" spans="1:29" hidden="1">
      <c r="A190" s="80"/>
      <c r="C190" s="62" t="str">
        <f>_xlfn.XLOOKUP($F$1&amp;B190,Filtro!B:B,Filtro!D:D,"",0,1)</f>
        <v/>
      </c>
      <c r="D190" s="62" t="str">
        <f>_xlfn.XLOOKUP($F$1&amp;B190,Filtro!B:B,Filtro!C:C,"",0,1)</f>
        <v/>
      </c>
      <c r="E190" s="62" t="str">
        <f>_xlfn.XLOOKUP($F$1&amp;B190,Filtro!B:B,Filtro!E:E,"",0,1)</f>
        <v/>
      </c>
      <c r="F190" s="62" t="str">
        <f>_xlfn.XLOOKUP($F$1&amp;B190,Filtro!B:B,Filtro!G:G,"",0,1)</f>
        <v/>
      </c>
      <c r="G190" s="62" t="str">
        <f ca="1">MID(TablaTransfor[[#This Row],[配属先]],1,8)</f>
        <v/>
      </c>
      <c r="H190" s="62" t="str">
        <f ca="1">MID(TablaTransfor[[#This Row],[配属先]],9,6)</f>
        <v/>
      </c>
      <c r="I190" s="62" t="str">
        <f>_xlfn.XLOOKUP($C190,DBGenzai[社員№],DBGenzai[仕事内容],"",0,1)</f>
        <v/>
      </c>
      <c r="J190" s="62" t="str">
        <f>_xlfn.XLOOKUP($F$1&amp;B190,Filtro!B:B,Filtro!H:H,"",0,1)</f>
        <v/>
      </c>
      <c r="K190" s="62" t="str">
        <f>_xlfn.XLOOKUP($F$1&amp;B190,Filtro!B:B,Filtro!J:J,"",0,1)</f>
        <v/>
      </c>
      <c r="L190" s="62" t="str">
        <f ca="1">IF(TablaTransfor[[#This Row],[氏名]]="","",IF(TablaTransfor[[#This Row],[氏名]]&lt;"0","記号",IF(NOT(EXACT(UPPER(TablaTransfor[[#This Row],[氏名]]),LOWER(TablaTransfor[[#This Row],[氏名]]))),_xlfn.XLOOKUP($C190,DBGenzai[社員№],DBGenzai[カナ],"",0,1),_xlfn.XLOOKUP($C190,DBGenzai[社員№],DBGenzai[氏名],"",0,1))))</f>
        <v/>
      </c>
      <c r="M190" s="62" t="str">
        <f>_xlfn.XLOOKUP($C190,DBGenzai[社員№],DBGenzai[性別],"",0,1)</f>
        <v/>
      </c>
      <c r="N190" s="62" t="str">
        <f>_xlfn.XLOOKUP($C190,DBGenzai[社員№],DBGenzai[国籍],"",0,1)</f>
        <v/>
      </c>
      <c r="O190" s="64" t="str">
        <f>_xlfn.XLOOKUP($C190,DBGenzai[社員№],DBGenzai[生年月日],"",0,1)</f>
        <v/>
      </c>
      <c r="P190" s="62" t="str">
        <f>_xlfn.XLOOKUP($F$1&amp;B190,Filtro!B:B,Filtro!O:O,"",0,1)</f>
        <v/>
      </c>
      <c r="Q190" s="62" t="str">
        <f>_xlfn.XLOOKUP($F$1&amp;B190,Filtro!B:B,Filtro!P:P,"",0,1)</f>
        <v/>
      </c>
      <c r="R190" s="62" t="str">
        <f>_xlfn.XLOOKUP($F$1&amp;B190,Filtro!B:B,Filtro!R:R,"",0,1)</f>
        <v/>
      </c>
      <c r="S190" s="62" t="str">
        <f>_xlfn.XLOOKUP($C190,DBGenzai[社員№],DBGenzai[〒],"",0,1)</f>
        <v/>
      </c>
      <c r="T190" s="62" t="str">
        <f>_xlfn.XLOOKUP($C190,DBGenzai[社員№],DBGenzai[住所],"",0,1)</f>
        <v/>
      </c>
      <c r="U190" s="62" t="str">
        <f>_xlfn.XLOOKUP($C190,DBGenzai[社員№],DBGenzai[ｱﾊﾟｰﾄ],"",0,1)</f>
        <v/>
      </c>
      <c r="V190" s="64" t="str">
        <f>_xlfn.XLOOKUP($C190,DBGenzai[社員№],DBGenzai[入居],"",0,1)</f>
        <v/>
      </c>
      <c r="W190" s="64" t="str">
        <f>_xlfn.XLOOKUP($F$1&amp;B190,Filtro!B:B,Filtro!AF:AF,"",0,1)</f>
        <v/>
      </c>
      <c r="X190" s="64" t="str">
        <f>_xlfn.XLOOKUP($C190,DBGenzai[社員№],DBGenzai[退社日],"",0,1)</f>
        <v/>
      </c>
      <c r="Y190" s="62" t="str">
        <f>_xlfn.XLOOKUP($C190,DBGenzai[社員№],DBGenzai[退去],"",0,1)</f>
        <v/>
      </c>
      <c r="Z190" s="62" t="str">
        <f>_xlfn.XLOOKUP($C190,DBGenzai[社員№],DBGenzai[備考],"",0,1)</f>
        <v/>
      </c>
      <c r="AA190" s="156" t="str">
        <f>_xlfn.XLOOKUP($F$1&amp;B190,Filtro!B:B,Filtro!AL:AL,"",0,1)</f>
        <v/>
      </c>
      <c r="AB190" s="157" t="str" cm="1">
        <f t="array" aca="1" ref="AB190"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0" s="436" t="str">
        <f ca="1">_xlfn.XLOOKUP(TablaTransfor[[#This Row],[ライン]],TBKaishaInfo[ライン],TBKaishaInfo[まで],"NohayMarrano",0,1)</f>
        <v>NohayMarrano</v>
      </c>
    </row>
    <row r="191" spans="1:29" hidden="1">
      <c r="A191" s="80"/>
      <c r="C191" s="62" t="str">
        <f>_xlfn.XLOOKUP($F$1&amp;B191,Filtro!B:B,Filtro!D:D,"",0,1)</f>
        <v/>
      </c>
      <c r="D191" s="62" t="str">
        <f>_xlfn.XLOOKUP($F$1&amp;B191,Filtro!B:B,Filtro!C:C,"",0,1)</f>
        <v/>
      </c>
      <c r="E191" s="62" t="str">
        <f>_xlfn.XLOOKUP($F$1&amp;B191,Filtro!B:B,Filtro!E:E,"",0,1)</f>
        <v/>
      </c>
      <c r="F191" s="62" t="str">
        <f>_xlfn.XLOOKUP($F$1&amp;B191,Filtro!B:B,Filtro!G:G,"",0,1)</f>
        <v/>
      </c>
      <c r="G191" s="62" t="str">
        <f ca="1">MID(TablaTransfor[[#This Row],[配属先]],1,8)</f>
        <v/>
      </c>
      <c r="H191" s="62" t="str">
        <f ca="1">MID(TablaTransfor[[#This Row],[配属先]],9,6)</f>
        <v/>
      </c>
      <c r="I191" s="62" t="str">
        <f>_xlfn.XLOOKUP($C191,DBGenzai[社員№],DBGenzai[仕事内容],"",0,1)</f>
        <v/>
      </c>
      <c r="J191" s="62" t="str">
        <f>_xlfn.XLOOKUP($F$1&amp;B191,Filtro!B:B,Filtro!H:H,"",0,1)</f>
        <v/>
      </c>
      <c r="K191" s="62" t="str">
        <f>_xlfn.XLOOKUP($F$1&amp;B191,Filtro!B:B,Filtro!J:J,"",0,1)</f>
        <v/>
      </c>
      <c r="L191" s="62" t="str">
        <f ca="1">IF(TablaTransfor[[#This Row],[氏名]]="","",IF(TablaTransfor[[#This Row],[氏名]]&lt;"0","記号",IF(NOT(EXACT(UPPER(TablaTransfor[[#This Row],[氏名]]),LOWER(TablaTransfor[[#This Row],[氏名]]))),_xlfn.XLOOKUP($C191,DBGenzai[社員№],DBGenzai[カナ],"",0,1),_xlfn.XLOOKUP($C191,DBGenzai[社員№],DBGenzai[氏名],"",0,1))))</f>
        <v/>
      </c>
      <c r="M191" s="62" t="str">
        <f>_xlfn.XLOOKUP($C191,DBGenzai[社員№],DBGenzai[性別],"",0,1)</f>
        <v/>
      </c>
      <c r="N191" s="62" t="str">
        <f>_xlfn.XLOOKUP($C191,DBGenzai[社員№],DBGenzai[国籍],"",0,1)</f>
        <v/>
      </c>
      <c r="O191" s="64" t="str">
        <f>_xlfn.XLOOKUP($C191,DBGenzai[社員№],DBGenzai[生年月日],"",0,1)</f>
        <v/>
      </c>
      <c r="P191" s="62" t="str">
        <f>_xlfn.XLOOKUP($F$1&amp;B191,Filtro!B:B,Filtro!O:O,"",0,1)</f>
        <v/>
      </c>
      <c r="Q191" s="62" t="str">
        <f>_xlfn.XLOOKUP($F$1&amp;B191,Filtro!B:B,Filtro!P:P,"",0,1)</f>
        <v/>
      </c>
      <c r="R191" s="62" t="str">
        <f>_xlfn.XLOOKUP($F$1&amp;B191,Filtro!B:B,Filtro!R:R,"",0,1)</f>
        <v/>
      </c>
      <c r="S191" s="62" t="str">
        <f>_xlfn.XLOOKUP($C191,DBGenzai[社員№],DBGenzai[〒],"",0,1)</f>
        <v/>
      </c>
      <c r="T191" s="62" t="str">
        <f>_xlfn.XLOOKUP($C191,DBGenzai[社員№],DBGenzai[住所],"",0,1)</f>
        <v/>
      </c>
      <c r="U191" s="62" t="str">
        <f>_xlfn.XLOOKUP($C191,DBGenzai[社員№],DBGenzai[ｱﾊﾟｰﾄ],"",0,1)</f>
        <v/>
      </c>
      <c r="V191" s="64" t="str">
        <f>_xlfn.XLOOKUP($C191,DBGenzai[社員№],DBGenzai[入居],"",0,1)</f>
        <v/>
      </c>
      <c r="W191" s="64" t="str">
        <f>_xlfn.XLOOKUP($F$1&amp;B191,Filtro!B:B,Filtro!AF:AF,"",0,1)</f>
        <v/>
      </c>
      <c r="X191" s="64" t="str">
        <f>_xlfn.XLOOKUP($C191,DBGenzai[社員№],DBGenzai[退社日],"",0,1)</f>
        <v/>
      </c>
      <c r="Y191" s="62" t="str">
        <f>_xlfn.XLOOKUP($C191,DBGenzai[社員№],DBGenzai[退去],"",0,1)</f>
        <v/>
      </c>
      <c r="Z191" s="62" t="str">
        <f>_xlfn.XLOOKUP($C191,DBGenzai[社員№],DBGenzai[備考],"",0,1)</f>
        <v/>
      </c>
      <c r="AA191" s="156" t="str">
        <f>_xlfn.XLOOKUP($F$1&amp;B191,Filtro!B:B,Filtro!AL:AL,"",0,1)</f>
        <v/>
      </c>
      <c r="AB191" s="157" t="str" cm="1">
        <f t="array" aca="1" ref="AB191"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1" s="436" t="str">
        <f ca="1">_xlfn.XLOOKUP(TablaTransfor[[#This Row],[ライン]],TBKaishaInfo[ライン],TBKaishaInfo[まで],"NohayMarrano",0,1)</f>
        <v>NohayMarrano</v>
      </c>
    </row>
    <row r="192" spans="1:29" hidden="1">
      <c r="A192" s="80"/>
      <c r="C192" s="62" t="str">
        <f>_xlfn.XLOOKUP($F$1&amp;B192,Filtro!B:B,Filtro!D:D,"",0,1)</f>
        <v/>
      </c>
      <c r="D192" s="62" t="str">
        <f>_xlfn.XLOOKUP($F$1&amp;B192,Filtro!B:B,Filtro!C:C,"",0,1)</f>
        <v/>
      </c>
      <c r="E192" s="62" t="str">
        <f>_xlfn.XLOOKUP($F$1&amp;B192,Filtro!B:B,Filtro!E:E,"",0,1)</f>
        <v/>
      </c>
      <c r="F192" s="62" t="str">
        <f>_xlfn.XLOOKUP($F$1&amp;B192,Filtro!B:B,Filtro!G:G,"",0,1)</f>
        <v/>
      </c>
      <c r="G192" s="62" t="str">
        <f ca="1">MID(TablaTransfor[[#This Row],[配属先]],1,8)</f>
        <v/>
      </c>
      <c r="H192" s="62" t="str">
        <f ca="1">MID(TablaTransfor[[#This Row],[配属先]],9,6)</f>
        <v/>
      </c>
      <c r="I192" s="62" t="str">
        <f>_xlfn.XLOOKUP($C192,DBGenzai[社員№],DBGenzai[仕事内容],"",0,1)</f>
        <v/>
      </c>
      <c r="J192" s="62" t="str">
        <f>_xlfn.XLOOKUP($F$1&amp;B192,Filtro!B:B,Filtro!H:H,"",0,1)</f>
        <v/>
      </c>
      <c r="K192" s="62" t="str">
        <f>_xlfn.XLOOKUP($F$1&amp;B192,Filtro!B:B,Filtro!J:J,"",0,1)</f>
        <v/>
      </c>
      <c r="L192" s="62" t="str">
        <f ca="1">IF(TablaTransfor[[#This Row],[氏名]]="","",IF(TablaTransfor[[#This Row],[氏名]]&lt;"0","記号",IF(NOT(EXACT(UPPER(TablaTransfor[[#This Row],[氏名]]),LOWER(TablaTransfor[[#This Row],[氏名]]))),_xlfn.XLOOKUP($C192,DBGenzai[社員№],DBGenzai[カナ],"",0,1),_xlfn.XLOOKUP($C192,DBGenzai[社員№],DBGenzai[氏名],"",0,1))))</f>
        <v/>
      </c>
      <c r="M192" s="62" t="str">
        <f>_xlfn.XLOOKUP($C192,DBGenzai[社員№],DBGenzai[性別],"",0,1)</f>
        <v/>
      </c>
      <c r="N192" s="62" t="str">
        <f>_xlfn.XLOOKUP($C192,DBGenzai[社員№],DBGenzai[国籍],"",0,1)</f>
        <v/>
      </c>
      <c r="O192" s="64" t="str">
        <f>_xlfn.XLOOKUP($C192,DBGenzai[社員№],DBGenzai[生年月日],"",0,1)</f>
        <v/>
      </c>
      <c r="P192" s="62" t="str">
        <f>_xlfn.XLOOKUP($F$1&amp;B192,Filtro!B:B,Filtro!O:O,"",0,1)</f>
        <v/>
      </c>
      <c r="Q192" s="62" t="str">
        <f>_xlfn.XLOOKUP($F$1&amp;B192,Filtro!B:B,Filtro!P:P,"",0,1)</f>
        <v/>
      </c>
      <c r="R192" s="62" t="str">
        <f>_xlfn.XLOOKUP($F$1&amp;B192,Filtro!B:B,Filtro!R:R,"",0,1)</f>
        <v/>
      </c>
      <c r="S192" s="62" t="str">
        <f>_xlfn.XLOOKUP($C192,DBGenzai[社員№],DBGenzai[〒],"",0,1)</f>
        <v/>
      </c>
      <c r="T192" s="62" t="str">
        <f>_xlfn.XLOOKUP($C192,DBGenzai[社員№],DBGenzai[住所],"",0,1)</f>
        <v/>
      </c>
      <c r="U192" s="62" t="str">
        <f>_xlfn.XLOOKUP($C192,DBGenzai[社員№],DBGenzai[ｱﾊﾟｰﾄ],"",0,1)</f>
        <v/>
      </c>
      <c r="V192" s="64" t="str">
        <f>_xlfn.XLOOKUP($C192,DBGenzai[社員№],DBGenzai[入居],"",0,1)</f>
        <v/>
      </c>
      <c r="W192" s="64" t="str">
        <f>_xlfn.XLOOKUP($F$1&amp;B192,Filtro!B:B,Filtro!AF:AF,"",0,1)</f>
        <v/>
      </c>
      <c r="X192" s="64" t="str">
        <f>_xlfn.XLOOKUP($C192,DBGenzai[社員№],DBGenzai[退社日],"",0,1)</f>
        <v/>
      </c>
      <c r="Y192" s="62" t="str">
        <f>_xlfn.XLOOKUP($C192,DBGenzai[社員№],DBGenzai[退去],"",0,1)</f>
        <v/>
      </c>
      <c r="Z192" s="62" t="str">
        <f>_xlfn.XLOOKUP($C192,DBGenzai[社員№],DBGenzai[備考],"",0,1)</f>
        <v/>
      </c>
      <c r="AA192" s="156" t="str">
        <f>_xlfn.XLOOKUP($F$1&amp;B192,Filtro!B:B,Filtro!AL:AL,"",0,1)</f>
        <v/>
      </c>
      <c r="AB192" s="157" t="str" cm="1">
        <f t="array" aca="1" ref="AB192"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2" s="436" t="str">
        <f ca="1">_xlfn.XLOOKUP(TablaTransfor[[#This Row],[ライン]],TBKaishaInfo[ライン],TBKaishaInfo[まで],"NohayMarrano",0,1)</f>
        <v>NohayMarrano</v>
      </c>
    </row>
    <row r="193" spans="1:29" hidden="1">
      <c r="A193" s="80"/>
      <c r="C193" s="62" t="str">
        <f>_xlfn.XLOOKUP($F$1&amp;B193,Filtro!B:B,Filtro!D:D,"",0,1)</f>
        <v/>
      </c>
      <c r="D193" s="62" t="str">
        <f>_xlfn.XLOOKUP($F$1&amp;B193,Filtro!B:B,Filtro!C:C,"",0,1)</f>
        <v/>
      </c>
      <c r="E193" s="62" t="str">
        <f>_xlfn.XLOOKUP($F$1&amp;B193,Filtro!B:B,Filtro!E:E,"",0,1)</f>
        <v/>
      </c>
      <c r="F193" s="62" t="str">
        <f>_xlfn.XLOOKUP($F$1&amp;B193,Filtro!B:B,Filtro!G:G,"",0,1)</f>
        <v/>
      </c>
      <c r="G193" s="62" t="str">
        <f ca="1">MID(TablaTransfor[[#This Row],[配属先]],1,8)</f>
        <v/>
      </c>
      <c r="H193" s="62" t="str">
        <f ca="1">MID(TablaTransfor[[#This Row],[配属先]],9,6)</f>
        <v/>
      </c>
      <c r="I193" s="62" t="str">
        <f>_xlfn.XLOOKUP($C193,DBGenzai[社員№],DBGenzai[仕事内容],"",0,1)</f>
        <v/>
      </c>
      <c r="J193" s="62" t="str">
        <f>_xlfn.XLOOKUP($F$1&amp;B193,Filtro!B:B,Filtro!H:H,"",0,1)</f>
        <v/>
      </c>
      <c r="K193" s="62" t="str">
        <f>_xlfn.XLOOKUP($F$1&amp;B193,Filtro!B:B,Filtro!J:J,"",0,1)</f>
        <v/>
      </c>
      <c r="L193" s="62" t="str">
        <f ca="1">IF(TablaTransfor[[#This Row],[氏名]]="","",IF(TablaTransfor[[#This Row],[氏名]]&lt;"0","記号",IF(NOT(EXACT(UPPER(TablaTransfor[[#This Row],[氏名]]),LOWER(TablaTransfor[[#This Row],[氏名]]))),_xlfn.XLOOKUP($C193,DBGenzai[社員№],DBGenzai[カナ],"",0,1),_xlfn.XLOOKUP($C193,DBGenzai[社員№],DBGenzai[氏名],"",0,1))))</f>
        <v/>
      </c>
      <c r="M193" s="62" t="str">
        <f>_xlfn.XLOOKUP($C193,DBGenzai[社員№],DBGenzai[性別],"",0,1)</f>
        <v/>
      </c>
      <c r="N193" s="62" t="str">
        <f>_xlfn.XLOOKUP($C193,DBGenzai[社員№],DBGenzai[国籍],"",0,1)</f>
        <v/>
      </c>
      <c r="O193" s="64" t="str">
        <f>_xlfn.XLOOKUP($C193,DBGenzai[社員№],DBGenzai[生年月日],"",0,1)</f>
        <v/>
      </c>
      <c r="P193" s="62" t="str">
        <f>_xlfn.XLOOKUP($F$1&amp;B193,Filtro!B:B,Filtro!O:O,"",0,1)</f>
        <v/>
      </c>
      <c r="Q193" s="62" t="str">
        <f>_xlfn.XLOOKUP($F$1&amp;B193,Filtro!B:B,Filtro!P:P,"",0,1)</f>
        <v/>
      </c>
      <c r="R193" s="62" t="str">
        <f>_xlfn.XLOOKUP($F$1&amp;B193,Filtro!B:B,Filtro!R:R,"",0,1)</f>
        <v/>
      </c>
      <c r="S193" s="62" t="str">
        <f>_xlfn.XLOOKUP($C193,DBGenzai[社員№],DBGenzai[〒],"",0,1)</f>
        <v/>
      </c>
      <c r="T193" s="62" t="str">
        <f>_xlfn.XLOOKUP($C193,DBGenzai[社員№],DBGenzai[住所],"",0,1)</f>
        <v/>
      </c>
      <c r="U193" s="62" t="str">
        <f>_xlfn.XLOOKUP($C193,DBGenzai[社員№],DBGenzai[ｱﾊﾟｰﾄ],"",0,1)</f>
        <v/>
      </c>
      <c r="V193" s="64" t="str">
        <f>_xlfn.XLOOKUP($C193,DBGenzai[社員№],DBGenzai[入居],"",0,1)</f>
        <v/>
      </c>
      <c r="W193" s="64" t="str">
        <f>_xlfn.XLOOKUP($F$1&amp;B193,Filtro!B:B,Filtro!AF:AF,"",0,1)</f>
        <v/>
      </c>
      <c r="X193" s="64" t="str">
        <f>_xlfn.XLOOKUP($C193,DBGenzai[社員№],DBGenzai[退社日],"",0,1)</f>
        <v/>
      </c>
      <c r="Y193" s="62" t="str">
        <f>_xlfn.XLOOKUP($C193,DBGenzai[社員№],DBGenzai[退去],"",0,1)</f>
        <v/>
      </c>
      <c r="Z193" s="62" t="str">
        <f>_xlfn.XLOOKUP($C193,DBGenzai[社員№],DBGenzai[備考],"",0,1)</f>
        <v/>
      </c>
      <c r="AA193" s="156" t="str">
        <f>_xlfn.XLOOKUP($F$1&amp;B193,Filtro!B:B,Filtro!AL:AL,"",0,1)</f>
        <v/>
      </c>
      <c r="AB193" s="157" t="str" cm="1">
        <f t="array" aca="1" ref="AB193"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3" s="436" t="str">
        <f ca="1">_xlfn.XLOOKUP(TablaTransfor[[#This Row],[ライン]],TBKaishaInfo[ライン],TBKaishaInfo[まで],"NohayMarrano",0,1)</f>
        <v>NohayMarrano</v>
      </c>
    </row>
    <row r="194" spans="1:29" hidden="1">
      <c r="A194" s="80"/>
      <c r="C194" s="62" t="str">
        <f>_xlfn.XLOOKUP($F$1&amp;B194,Filtro!B:B,Filtro!D:D,"",0,1)</f>
        <v/>
      </c>
      <c r="D194" s="62" t="str">
        <f>_xlfn.XLOOKUP($F$1&amp;B194,Filtro!B:B,Filtro!C:C,"",0,1)</f>
        <v/>
      </c>
      <c r="E194" s="62" t="str">
        <f>_xlfn.XLOOKUP($F$1&amp;B194,Filtro!B:B,Filtro!E:E,"",0,1)</f>
        <v/>
      </c>
      <c r="F194" s="62" t="str">
        <f>_xlfn.XLOOKUP($F$1&amp;B194,Filtro!B:B,Filtro!G:G,"",0,1)</f>
        <v/>
      </c>
      <c r="G194" s="62" t="str">
        <f ca="1">MID(TablaTransfor[[#This Row],[配属先]],1,8)</f>
        <v/>
      </c>
      <c r="H194" s="62" t="str">
        <f ca="1">MID(TablaTransfor[[#This Row],[配属先]],9,6)</f>
        <v/>
      </c>
      <c r="I194" s="62" t="str">
        <f>_xlfn.XLOOKUP($C194,DBGenzai[社員№],DBGenzai[仕事内容],"",0,1)</f>
        <v/>
      </c>
      <c r="J194" s="62" t="str">
        <f>_xlfn.XLOOKUP($F$1&amp;B194,Filtro!B:B,Filtro!H:H,"",0,1)</f>
        <v/>
      </c>
      <c r="K194" s="62" t="str">
        <f>_xlfn.XLOOKUP($F$1&amp;B194,Filtro!B:B,Filtro!J:J,"",0,1)</f>
        <v/>
      </c>
      <c r="L194" s="62" t="str">
        <f ca="1">IF(TablaTransfor[[#This Row],[氏名]]="","",IF(TablaTransfor[[#This Row],[氏名]]&lt;"0","記号",IF(NOT(EXACT(UPPER(TablaTransfor[[#This Row],[氏名]]),LOWER(TablaTransfor[[#This Row],[氏名]]))),_xlfn.XLOOKUP($C194,DBGenzai[社員№],DBGenzai[カナ],"",0,1),_xlfn.XLOOKUP($C194,DBGenzai[社員№],DBGenzai[氏名],"",0,1))))</f>
        <v/>
      </c>
      <c r="M194" s="62" t="str">
        <f>_xlfn.XLOOKUP($C194,DBGenzai[社員№],DBGenzai[性別],"",0,1)</f>
        <v/>
      </c>
      <c r="N194" s="62" t="str">
        <f>_xlfn.XLOOKUP($C194,DBGenzai[社員№],DBGenzai[国籍],"",0,1)</f>
        <v/>
      </c>
      <c r="O194" s="64" t="str">
        <f>_xlfn.XLOOKUP($C194,DBGenzai[社員№],DBGenzai[生年月日],"",0,1)</f>
        <v/>
      </c>
      <c r="P194" s="62" t="str">
        <f>_xlfn.XLOOKUP($F$1&amp;B194,Filtro!B:B,Filtro!O:O,"",0,1)</f>
        <v/>
      </c>
      <c r="Q194" s="62" t="str">
        <f>_xlfn.XLOOKUP($F$1&amp;B194,Filtro!B:B,Filtro!P:P,"",0,1)</f>
        <v/>
      </c>
      <c r="R194" s="62" t="str">
        <f>_xlfn.XLOOKUP($F$1&amp;B194,Filtro!B:B,Filtro!R:R,"",0,1)</f>
        <v/>
      </c>
      <c r="S194" s="62" t="str">
        <f>_xlfn.XLOOKUP($C194,DBGenzai[社員№],DBGenzai[〒],"",0,1)</f>
        <v/>
      </c>
      <c r="T194" s="62" t="str">
        <f>_xlfn.XLOOKUP($C194,DBGenzai[社員№],DBGenzai[住所],"",0,1)</f>
        <v/>
      </c>
      <c r="U194" s="62" t="str">
        <f>_xlfn.XLOOKUP($C194,DBGenzai[社員№],DBGenzai[ｱﾊﾟｰﾄ],"",0,1)</f>
        <v/>
      </c>
      <c r="V194" s="64" t="str">
        <f>_xlfn.XLOOKUP($C194,DBGenzai[社員№],DBGenzai[入居],"",0,1)</f>
        <v/>
      </c>
      <c r="W194" s="64" t="str">
        <f>_xlfn.XLOOKUP($F$1&amp;B194,Filtro!B:B,Filtro!AF:AF,"",0,1)</f>
        <v/>
      </c>
      <c r="X194" s="64" t="str">
        <f>_xlfn.XLOOKUP($C194,DBGenzai[社員№],DBGenzai[退社日],"",0,1)</f>
        <v/>
      </c>
      <c r="Y194" s="62" t="str">
        <f>_xlfn.XLOOKUP($C194,DBGenzai[社員№],DBGenzai[退去],"",0,1)</f>
        <v/>
      </c>
      <c r="Z194" s="62" t="str">
        <f>_xlfn.XLOOKUP($C194,DBGenzai[社員№],DBGenzai[備考],"",0,1)</f>
        <v/>
      </c>
      <c r="AA194" s="156" t="str">
        <f>_xlfn.XLOOKUP($F$1&amp;B194,Filtro!B:B,Filtro!AL:AL,"",0,1)</f>
        <v/>
      </c>
      <c r="AB194" s="157" t="str" cm="1">
        <f t="array" aca="1" ref="AB194"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4" s="436" t="str">
        <f ca="1">_xlfn.XLOOKUP(TablaTransfor[[#This Row],[ライン]],TBKaishaInfo[ライン],TBKaishaInfo[まで],"NohayMarrano",0,1)</f>
        <v>NohayMarrano</v>
      </c>
    </row>
    <row r="195" spans="1:29" hidden="1">
      <c r="A195" s="80"/>
      <c r="C195" s="62" t="str">
        <f>_xlfn.XLOOKUP($F$1&amp;B195,Filtro!B:B,Filtro!D:D,"",0,1)</f>
        <v/>
      </c>
      <c r="D195" s="62" t="str">
        <f>_xlfn.XLOOKUP($F$1&amp;B195,Filtro!B:B,Filtro!C:C,"",0,1)</f>
        <v/>
      </c>
      <c r="E195" s="62" t="str">
        <f>_xlfn.XLOOKUP($F$1&amp;B195,Filtro!B:B,Filtro!E:E,"",0,1)</f>
        <v/>
      </c>
      <c r="F195" s="62" t="str">
        <f>_xlfn.XLOOKUP($F$1&amp;B195,Filtro!B:B,Filtro!G:G,"",0,1)</f>
        <v/>
      </c>
      <c r="G195" s="62" t="str">
        <f ca="1">MID(TablaTransfor[[#This Row],[配属先]],1,8)</f>
        <v/>
      </c>
      <c r="H195" s="62" t="str">
        <f ca="1">MID(TablaTransfor[[#This Row],[配属先]],9,6)</f>
        <v/>
      </c>
      <c r="I195" s="62" t="str">
        <f>_xlfn.XLOOKUP($C195,DBGenzai[社員№],DBGenzai[仕事内容],"",0,1)</f>
        <v/>
      </c>
      <c r="J195" s="62" t="str">
        <f>_xlfn.XLOOKUP($F$1&amp;B195,Filtro!B:B,Filtro!H:H,"",0,1)</f>
        <v/>
      </c>
      <c r="K195" s="62" t="str">
        <f>_xlfn.XLOOKUP($F$1&amp;B195,Filtro!B:B,Filtro!J:J,"",0,1)</f>
        <v/>
      </c>
      <c r="L195" s="62" t="str">
        <f ca="1">IF(TablaTransfor[[#This Row],[氏名]]="","",IF(TablaTransfor[[#This Row],[氏名]]&lt;"0","記号",IF(NOT(EXACT(UPPER(TablaTransfor[[#This Row],[氏名]]),LOWER(TablaTransfor[[#This Row],[氏名]]))),_xlfn.XLOOKUP($C195,DBGenzai[社員№],DBGenzai[カナ],"",0,1),_xlfn.XLOOKUP($C195,DBGenzai[社員№],DBGenzai[氏名],"",0,1))))</f>
        <v/>
      </c>
      <c r="M195" s="62" t="str">
        <f>_xlfn.XLOOKUP($C195,DBGenzai[社員№],DBGenzai[性別],"",0,1)</f>
        <v/>
      </c>
      <c r="N195" s="62" t="str">
        <f>_xlfn.XLOOKUP($C195,DBGenzai[社員№],DBGenzai[国籍],"",0,1)</f>
        <v/>
      </c>
      <c r="O195" s="64" t="str">
        <f>_xlfn.XLOOKUP($C195,DBGenzai[社員№],DBGenzai[生年月日],"",0,1)</f>
        <v/>
      </c>
      <c r="P195" s="62" t="str">
        <f>_xlfn.XLOOKUP($F$1&amp;B195,Filtro!B:B,Filtro!O:O,"",0,1)</f>
        <v/>
      </c>
      <c r="Q195" s="62" t="str">
        <f>_xlfn.XLOOKUP($F$1&amp;B195,Filtro!B:B,Filtro!P:P,"",0,1)</f>
        <v/>
      </c>
      <c r="R195" s="62" t="str">
        <f>_xlfn.XLOOKUP($F$1&amp;B195,Filtro!B:B,Filtro!R:R,"",0,1)</f>
        <v/>
      </c>
      <c r="S195" s="62" t="str">
        <f>_xlfn.XLOOKUP($C195,DBGenzai[社員№],DBGenzai[〒],"",0,1)</f>
        <v/>
      </c>
      <c r="T195" s="62" t="str">
        <f>_xlfn.XLOOKUP($C195,DBGenzai[社員№],DBGenzai[住所],"",0,1)</f>
        <v/>
      </c>
      <c r="U195" s="62" t="str">
        <f>_xlfn.XLOOKUP($C195,DBGenzai[社員№],DBGenzai[ｱﾊﾟｰﾄ],"",0,1)</f>
        <v/>
      </c>
      <c r="V195" s="64" t="str">
        <f>_xlfn.XLOOKUP($C195,DBGenzai[社員№],DBGenzai[入居],"",0,1)</f>
        <v/>
      </c>
      <c r="W195" s="64" t="str">
        <f>_xlfn.XLOOKUP($F$1&amp;B195,Filtro!B:B,Filtro!AF:AF,"",0,1)</f>
        <v/>
      </c>
      <c r="X195" s="64" t="str">
        <f>_xlfn.XLOOKUP($C195,DBGenzai[社員№],DBGenzai[退社日],"",0,1)</f>
        <v/>
      </c>
      <c r="Y195" s="62" t="str">
        <f>_xlfn.XLOOKUP($C195,DBGenzai[社員№],DBGenzai[退去],"",0,1)</f>
        <v/>
      </c>
      <c r="Z195" s="62" t="str">
        <f>_xlfn.XLOOKUP($C195,DBGenzai[社員№],DBGenzai[備考],"",0,1)</f>
        <v/>
      </c>
      <c r="AA195" s="156" t="str">
        <f>_xlfn.XLOOKUP($F$1&amp;B195,Filtro!B:B,Filtro!AL:AL,"",0,1)</f>
        <v/>
      </c>
      <c r="AB195" s="157" t="str" cm="1">
        <f t="array" aca="1" ref="AB195"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5" s="436" t="str">
        <f ca="1">_xlfn.XLOOKUP(TablaTransfor[[#This Row],[ライン]],TBKaishaInfo[ライン],TBKaishaInfo[まで],"NohayMarrano",0,1)</f>
        <v>NohayMarrano</v>
      </c>
    </row>
    <row r="196" spans="1:29" hidden="1">
      <c r="A196" s="80"/>
      <c r="C196" s="62" t="str">
        <f>_xlfn.XLOOKUP($F$1&amp;B196,Filtro!B:B,Filtro!D:D,"",0,1)</f>
        <v/>
      </c>
      <c r="D196" s="62" t="str">
        <f>_xlfn.XLOOKUP($F$1&amp;B196,Filtro!B:B,Filtro!C:C,"",0,1)</f>
        <v/>
      </c>
      <c r="E196" s="62" t="str">
        <f>_xlfn.XLOOKUP($F$1&amp;B196,Filtro!B:B,Filtro!E:E,"",0,1)</f>
        <v/>
      </c>
      <c r="F196" s="62" t="str">
        <f>_xlfn.XLOOKUP($F$1&amp;B196,Filtro!B:B,Filtro!G:G,"",0,1)</f>
        <v/>
      </c>
      <c r="G196" s="62" t="str">
        <f ca="1">MID(TablaTransfor[[#This Row],[配属先]],1,8)</f>
        <v/>
      </c>
      <c r="H196" s="62" t="str">
        <f ca="1">MID(TablaTransfor[[#This Row],[配属先]],9,6)</f>
        <v/>
      </c>
      <c r="I196" s="62" t="str">
        <f>_xlfn.XLOOKUP($C196,DBGenzai[社員№],DBGenzai[仕事内容],"",0,1)</f>
        <v/>
      </c>
      <c r="J196" s="62" t="str">
        <f>_xlfn.XLOOKUP($F$1&amp;B196,Filtro!B:B,Filtro!H:H,"",0,1)</f>
        <v/>
      </c>
      <c r="K196" s="62" t="str">
        <f>_xlfn.XLOOKUP($F$1&amp;B196,Filtro!B:B,Filtro!J:J,"",0,1)</f>
        <v/>
      </c>
      <c r="L196" s="62" t="str">
        <f ca="1">IF(TablaTransfor[[#This Row],[氏名]]="","",IF(TablaTransfor[[#This Row],[氏名]]&lt;"0","記号",IF(NOT(EXACT(UPPER(TablaTransfor[[#This Row],[氏名]]),LOWER(TablaTransfor[[#This Row],[氏名]]))),_xlfn.XLOOKUP($C196,DBGenzai[社員№],DBGenzai[カナ],"",0,1),_xlfn.XLOOKUP($C196,DBGenzai[社員№],DBGenzai[氏名],"",0,1))))</f>
        <v/>
      </c>
      <c r="M196" s="62" t="str">
        <f>_xlfn.XLOOKUP($C196,DBGenzai[社員№],DBGenzai[性別],"",0,1)</f>
        <v/>
      </c>
      <c r="N196" s="62" t="str">
        <f>_xlfn.XLOOKUP($C196,DBGenzai[社員№],DBGenzai[国籍],"",0,1)</f>
        <v/>
      </c>
      <c r="O196" s="64" t="str">
        <f>_xlfn.XLOOKUP($C196,DBGenzai[社員№],DBGenzai[生年月日],"",0,1)</f>
        <v/>
      </c>
      <c r="P196" s="62" t="str">
        <f>_xlfn.XLOOKUP($F$1&amp;B196,Filtro!B:B,Filtro!O:O,"",0,1)</f>
        <v/>
      </c>
      <c r="Q196" s="62" t="str">
        <f>_xlfn.XLOOKUP($F$1&amp;B196,Filtro!B:B,Filtro!P:P,"",0,1)</f>
        <v/>
      </c>
      <c r="R196" s="62" t="str">
        <f>_xlfn.XLOOKUP($F$1&amp;B196,Filtro!B:B,Filtro!R:R,"",0,1)</f>
        <v/>
      </c>
      <c r="S196" s="62" t="str">
        <f>_xlfn.XLOOKUP($C196,DBGenzai[社員№],DBGenzai[〒],"",0,1)</f>
        <v/>
      </c>
      <c r="T196" s="62" t="str">
        <f>_xlfn.XLOOKUP($C196,DBGenzai[社員№],DBGenzai[住所],"",0,1)</f>
        <v/>
      </c>
      <c r="U196" s="62" t="str">
        <f>_xlfn.XLOOKUP($C196,DBGenzai[社員№],DBGenzai[ｱﾊﾟｰﾄ],"",0,1)</f>
        <v/>
      </c>
      <c r="V196" s="64" t="str">
        <f>_xlfn.XLOOKUP($C196,DBGenzai[社員№],DBGenzai[入居],"",0,1)</f>
        <v/>
      </c>
      <c r="W196" s="64" t="str">
        <f>_xlfn.XLOOKUP($F$1&amp;B196,Filtro!B:B,Filtro!AF:AF,"",0,1)</f>
        <v/>
      </c>
      <c r="X196" s="64" t="str">
        <f>_xlfn.XLOOKUP($C196,DBGenzai[社員№],DBGenzai[退社日],"",0,1)</f>
        <v/>
      </c>
      <c r="Y196" s="62" t="str">
        <f>_xlfn.XLOOKUP($C196,DBGenzai[社員№],DBGenzai[退去],"",0,1)</f>
        <v/>
      </c>
      <c r="Z196" s="62" t="str">
        <f>_xlfn.XLOOKUP($C196,DBGenzai[社員№],DBGenzai[備考],"",0,1)</f>
        <v/>
      </c>
      <c r="AA196" s="156" t="str">
        <f>_xlfn.XLOOKUP($F$1&amp;B196,Filtro!B:B,Filtro!AL:AL,"",0,1)</f>
        <v/>
      </c>
      <c r="AB196" s="157" t="str" cm="1">
        <f t="array" aca="1" ref="AB196"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6" s="436" t="str">
        <f ca="1">_xlfn.XLOOKUP(TablaTransfor[[#This Row],[ライン]],TBKaishaInfo[ライン],TBKaishaInfo[まで],"NohayMarrano",0,1)</f>
        <v>NohayMarrano</v>
      </c>
    </row>
    <row r="197" spans="1:29" hidden="1">
      <c r="A197" s="80"/>
      <c r="C197" s="62" t="str">
        <f>_xlfn.XLOOKUP($F$1&amp;B197,Filtro!B:B,Filtro!D:D,"",0,1)</f>
        <v/>
      </c>
      <c r="D197" s="62" t="str">
        <f>_xlfn.XLOOKUP($F$1&amp;B197,Filtro!B:B,Filtro!C:C,"",0,1)</f>
        <v/>
      </c>
      <c r="E197" s="62" t="str">
        <f>_xlfn.XLOOKUP($F$1&amp;B197,Filtro!B:B,Filtro!E:E,"",0,1)</f>
        <v/>
      </c>
      <c r="F197" s="62" t="str">
        <f>_xlfn.XLOOKUP($F$1&amp;B197,Filtro!B:B,Filtro!G:G,"",0,1)</f>
        <v/>
      </c>
      <c r="G197" s="62" t="str">
        <f ca="1">MID(TablaTransfor[[#This Row],[配属先]],1,8)</f>
        <v/>
      </c>
      <c r="H197" s="62" t="str">
        <f ca="1">MID(TablaTransfor[[#This Row],[配属先]],9,6)</f>
        <v/>
      </c>
      <c r="I197" s="62" t="str">
        <f>_xlfn.XLOOKUP($C197,DBGenzai[社員№],DBGenzai[仕事内容],"",0,1)</f>
        <v/>
      </c>
      <c r="J197" s="62" t="str">
        <f>_xlfn.XLOOKUP($F$1&amp;B197,Filtro!B:B,Filtro!H:H,"",0,1)</f>
        <v/>
      </c>
      <c r="K197" s="62" t="str">
        <f>_xlfn.XLOOKUP($F$1&amp;B197,Filtro!B:B,Filtro!J:J,"",0,1)</f>
        <v/>
      </c>
      <c r="L197" s="62" t="str">
        <f ca="1">IF(TablaTransfor[[#This Row],[氏名]]="","",IF(TablaTransfor[[#This Row],[氏名]]&lt;"0","記号",IF(NOT(EXACT(UPPER(TablaTransfor[[#This Row],[氏名]]),LOWER(TablaTransfor[[#This Row],[氏名]]))),_xlfn.XLOOKUP($C197,DBGenzai[社員№],DBGenzai[カナ],"",0,1),_xlfn.XLOOKUP($C197,DBGenzai[社員№],DBGenzai[氏名],"",0,1))))</f>
        <v/>
      </c>
      <c r="M197" s="62" t="str">
        <f>_xlfn.XLOOKUP($C197,DBGenzai[社員№],DBGenzai[性別],"",0,1)</f>
        <v/>
      </c>
      <c r="N197" s="62" t="str">
        <f>_xlfn.XLOOKUP($C197,DBGenzai[社員№],DBGenzai[国籍],"",0,1)</f>
        <v/>
      </c>
      <c r="O197" s="64" t="str">
        <f>_xlfn.XLOOKUP($C197,DBGenzai[社員№],DBGenzai[生年月日],"",0,1)</f>
        <v/>
      </c>
      <c r="P197" s="62" t="str">
        <f>_xlfn.XLOOKUP($F$1&amp;B197,Filtro!B:B,Filtro!O:O,"",0,1)</f>
        <v/>
      </c>
      <c r="Q197" s="62" t="str">
        <f>_xlfn.XLOOKUP($F$1&amp;B197,Filtro!B:B,Filtro!P:P,"",0,1)</f>
        <v/>
      </c>
      <c r="R197" s="62" t="str">
        <f>_xlfn.XLOOKUP($F$1&amp;B197,Filtro!B:B,Filtro!R:R,"",0,1)</f>
        <v/>
      </c>
      <c r="S197" s="62" t="str">
        <f>_xlfn.XLOOKUP($C197,DBGenzai[社員№],DBGenzai[〒],"",0,1)</f>
        <v/>
      </c>
      <c r="T197" s="62" t="str">
        <f>_xlfn.XLOOKUP($C197,DBGenzai[社員№],DBGenzai[住所],"",0,1)</f>
        <v/>
      </c>
      <c r="U197" s="62" t="str">
        <f>_xlfn.XLOOKUP($C197,DBGenzai[社員№],DBGenzai[ｱﾊﾟｰﾄ],"",0,1)</f>
        <v/>
      </c>
      <c r="V197" s="64" t="str">
        <f>_xlfn.XLOOKUP($C197,DBGenzai[社員№],DBGenzai[入居],"",0,1)</f>
        <v/>
      </c>
      <c r="W197" s="64" t="str">
        <f>_xlfn.XLOOKUP($F$1&amp;B197,Filtro!B:B,Filtro!AF:AF,"",0,1)</f>
        <v/>
      </c>
      <c r="X197" s="64" t="str">
        <f>_xlfn.XLOOKUP($C197,DBGenzai[社員№],DBGenzai[退社日],"",0,1)</f>
        <v/>
      </c>
      <c r="Y197" s="62" t="str">
        <f>_xlfn.XLOOKUP($C197,DBGenzai[社員№],DBGenzai[退去],"",0,1)</f>
        <v/>
      </c>
      <c r="Z197" s="62" t="str">
        <f>_xlfn.XLOOKUP($C197,DBGenzai[社員№],DBGenzai[備考],"",0,1)</f>
        <v/>
      </c>
      <c r="AA197" s="156" t="str">
        <f>_xlfn.XLOOKUP($F$1&amp;B197,Filtro!B:B,Filtro!AL:AL,"",0,1)</f>
        <v/>
      </c>
      <c r="AB197" s="157" t="str" cm="1">
        <f t="array" aca="1" ref="AB197" ca="1">IF(TablaTransfor[[#This Row],[現入社]]="","",IF(TODAY() - TablaTransfor[[#This Row],[現入社]] &lt; 365, TablaTransfor[[#This Row],[現入社]],_xlfn.XLOOKUP(TablaTransfor[[#This Row],[配属先2]]&amp;TablaTransfor[[#This Row],[ライン]],TBKaishaInfo[派遣先責任者部署]&amp;TBKaishaInfo[ライン],TBKaishaInfo[就業日],"noHayCholo",0,1)))</f>
        <v/>
      </c>
      <c r="AC197" s="436" t="str">
        <f ca="1">_xlfn.XLOOKUP(TablaTransfor[[#This Row],[ライン]],TBKaishaInfo[ライン],TBKaishaInfo[まで],"NohayMarrano",0,1)</f>
        <v>NohayMarrano</v>
      </c>
    </row>
    <row r="198" spans="1:29" hidden="1">
      <c r="A198" s="80"/>
      <c r="C198" s="62" t="str">
        <f>_xlfn.XLOOKUP($F$1&amp;B198,Filtro!B:B,Filtro!D:D,"",0,1)</f>
        <v/>
      </c>
      <c r="D198" s="62" t="str">
        <f>_xlfn.XLOOKUP($F$1&amp;B198,Filtro!B:B,Filtro!C:C,"",0,1)</f>
        <v/>
      </c>
      <c r="E198" s="62" t="str">
        <f>_xlfn.XLOOKUP($F$1&amp;B198,Filtro!B:B,Filtro!E:E,"",0,1)</f>
        <v/>
      </c>
      <c r="F198" s="62" t="str">
        <f>_xlfn.XLOOKUP($F$1&amp;B198,Filtro!B:B,Filtro!G:G,"",0,1)</f>
        <v/>
      </c>
      <c r="G198" s="62" t="str">
        <f ca="1">MID(TablaTransfor[[#This Row],[配属先]],1,8)</f>
        <v/>
      </c>
      <c r="H198" s="62" t="str">
        <f ca="1">MID(TablaTransfor[[#This Row],[配属先]],9,6)</f>
        <v/>
      </c>
      <c r="I198" s="62" t="str">
        <f>_xlfn.XLOOKUP($C198,DBGenzai[社員№],DBGenzai[仕事内容],"",0,1)</f>
        <v/>
      </c>
      <c r="J198" s="62" t="str">
        <f>_xlfn.XLOOKUP($F$1&amp;B198,Filtro!B:B,Filtro!H:H,"",0,1)</f>
        <v/>
      </c>
      <c r="K198" s="62" t="str">
        <f>_xlfn.XLOOKUP($F$1&amp;B198,Filtro!B:B,Filtro!J:J,"",0,1)</f>
        <v/>
      </c>
      <c r="L198" s="62" t="str">
        <f ca="1">IF(TablaTransfor[[#This Row],[氏名]]="","",IF(TablaTransfor[[#This Row],[氏名]]&lt;"0","記号",IF(NOT(EXACT(UPPER(TablaTransfor[[#This Row],[氏名]]),LOWER(TablaTransfor[[#This Row],[氏名]]))),_xlfn.XLOOKUP($C198,DBGenzai[社員№],DBGenzai[カナ],"",0,1),_xlfn.XLOOKUP($C198,DBGenzai[社員№],DBGenzai[氏名],"",0,1))))</f>
        <v/>
      </c>
      <c r="M198" s="62" t="str">
        <f>_xlfn.XLOOKUP($C198,DBGenzai[社員№],DBGenzai[性別],"",0,1)</f>
        <v/>
      </c>
      <c r="N198" s="62" t="str">
        <f>_xlfn.XLOOKUP($C198,DBGenzai[社員№],DBGenzai[国籍],"",0,1)</f>
        <v/>
      </c>
      <c r="O198" s="64" t="str">
        <f>_xlfn.XLOOKUP($C198,DBGenzai[社員№],DBGenzai[生年月日],"",0,1)</f>
        <v/>
      </c>
      <c r="P198" s="62" t="str">
        <f>_xlfn.XLOOKUP($F$1&amp;B198,Filtro!B:B,Filtro!O:O,"",0,1)</f>
        <v/>
      </c>
      <c r="Q198" s="62" t="str">
        <f>_xlfn.XLOOKUP($F$1&amp;B198,Filtro!B:B,Filtro!P:P,"",0,1)</f>
        <v/>
      </c>
      <c r="R198" s="62" t="str">
        <f>_xlfn.XLOOKUP($F$1&amp;B198,Filtro!B:B,Filtro!R:R,"",0,1)</f>
        <v/>
      </c>
      <c r="S198" s="62" t="str">
        <f>_xlfn.XLOOKUP($C198,DBGenzai[社員№],DBGenzai[〒],"",0,1)</f>
        <v/>
      </c>
      <c r="T198" s="62" t="str">
        <f>_xlfn.XLOOKUP($C198,DBGenzai[社員№],DBGenzai[住所],"",0,1)</f>
        <v/>
      </c>
      <c r="U198" s="62" t="str">
        <f>_xlfn.XLOOKUP($C198,DBGenzai[社員№],DBGenzai[ｱﾊﾟｰﾄ],"",0,1)</f>
        <v/>
      </c>
      <c r="V198" s="64" t="str">
        <f>_xlfn.XLOOKUP($C198,DBGenzai[社員№],DBGenzai[入居],"",0,1)</f>
        <v/>
      </c>
      <c r="W198" s="64" t="str">
        <f>_xlfn.XLOOKUP($F$1&amp;B198,Filtro!B:B,Filtro!AF:AF,"",0,1)</f>
        <v/>
      </c>
      <c r="X198" s="64" t="str">
        <f>_xlfn.XLOOKUP($C198,DBGenzai[社員№],DBGenzai[退社日],"",0,1)</f>
        <v/>
      </c>
      <c r="Y198" s="62" t="str">
        <f>_xlfn.XLOOKUP($C198,DBGenzai[社員№],DBGenzai[退去],"",0,1)</f>
        <v/>
      </c>
      <c r="Z198" s="62" t="str">
        <f>_xlfn.XLOOKUP($C198,DBGenzai[社員№],DBGenzai[備考],"",0,1)</f>
        <v/>
      </c>
      <c r="AA198" s="156" t="str">
        <f>_xlfn.XLOOKUP($F$1&amp;B198,Filtro!B:B,Filtro!AL:AL,"",0,1)</f>
        <v/>
      </c>
      <c r="AB198" s="157"/>
      <c r="AC198" s="158"/>
    </row>
    <row r="199" spans="1:29">
      <c r="A199" s="80"/>
      <c r="B199" s="80"/>
    </row>
    <row r="200" spans="1:29">
      <c r="A200" s="62" t="str" cm="1">
        <f t="array" ref="A200">INDEX(DBGenzai[派遣先],MATCH(0,INDEX(COUNTIF($A$199:A199,DBGenzai[派遣先]),),0))</f>
        <v>ピーエムアイ</v>
      </c>
      <c r="B200" s="80"/>
      <c r="E200" s="62" t="s">
        <v>3871</v>
      </c>
    </row>
    <row r="201" spans="1:29">
      <c r="A201" s="62" t="str" cm="1">
        <f t="array" ref="A201">INDEX(DBGenzai[派遣先],MATCH(0,INDEX(COUNTIF($A$199:A200,DBGenzai[派遣先]),),0))</f>
        <v>コーリツ 州の崎</v>
      </c>
      <c r="B201" s="80"/>
    </row>
    <row r="202" spans="1:29">
      <c r="A202" s="62" t="str" cm="1">
        <f t="array" ref="A202">INDEX(DBGenzai[派遣先],MATCH(0,INDEX(COUNTIF($A$199:A201,DBGenzai[派遣先]),),0))</f>
        <v>三幸技研</v>
      </c>
      <c r="B202" s="80"/>
    </row>
    <row r="203" spans="1:29">
      <c r="A203" s="62" t="str" cm="1">
        <f t="array" ref="A203">INDEX(DBGenzai[派遣先],MATCH(0,INDEX(COUNTIF($A$199:A202,DBGenzai[派遣先]),),0))</f>
        <v>オーツカ</v>
      </c>
      <c r="B203" s="80"/>
    </row>
    <row r="204" spans="1:29">
      <c r="A204" s="62" t="str" cm="1">
        <f t="array" ref="A204">INDEX(DBGenzai[派遣先],MATCH(0,INDEX(COUNTIF($A$199:A203,DBGenzai[派遣先]),),0))</f>
        <v>高雄工業 本社</v>
      </c>
      <c r="B204" s="80"/>
    </row>
    <row r="205" spans="1:29">
      <c r="A205" s="62" t="str" cm="1">
        <f t="array" ref="A205">INDEX(DBGenzai[派遣先],MATCH(0,INDEX(COUNTIF($A$199:A204,DBGenzai[派遣先]),),0))</f>
        <v>高雄工業 海南第一</v>
      </c>
      <c r="B205" s="80"/>
    </row>
    <row r="206" spans="1:29">
      <c r="A206" s="62" t="str" cm="1">
        <f t="array" ref="A206">INDEX(DBGenzai[派遣先],MATCH(0,INDEX(COUNTIF($A$199:A205,DBGenzai[派遣先]),),0))</f>
        <v>川原鉄工所</v>
      </c>
      <c r="B206" s="80"/>
    </row>
    <row r="207" spans="1:29">
      <c r="A207" s="62" t="str" cm="1">
        <f t="array" ref="A207">INDEX(DBGenzai[派遣先],MATCH(0,INDEX(COUNTIF($A$199:A206,DBGenzai[派遣先]),),0))</f>
        <v>コーリツ 乙川</v>
      </c>
      <c r="B207" s="80"/>
    </row>
    <row r="208" spans="1:29">
      <c r="A208" s="62" t="str" cm="1">
        <f t="array" ref="A208">INDEX(DBGenzai[派遣先],MATCH(0,INDEX(COUNTIF($A$199:A207,DBGenzai[派遣先]),),0))</f>
        <v>高雄工業 静岡</v>
      </c>
      <c r="B208" s="80"/>
    </row>
    <row r="209" spans="1:2">
      <c r="A209" s="62" t="str" cm="1">
        <f t="array" ref="A209">INDEX(DBGenzai[派遣先],MATCH(0,INDEX(COUNTIF($A$199:A208,DBGenzai[派遣先]),),0))</f>
        <v>高雄工業 岡山</v>
      </c>
      <c r="B209" s="80"/>
    </row>
    <row r="210" spans="1:2">
      <c r="A210" s="62" t="str" cm="1">
        <f t="array" ref="A210">INDEX(DBGenzai[派遣先],MATCH(0,INDEX(COUNTIF($A$199:A209,DBGenzai[派遣先]),),0))</f>
        <v>PATEC</v>
      </c>
      <c r="B210" s="80"/>
    </row>
    <row r="211" spans="1:2">
      <c r="A211" s="62" t="str" cm="1">
        <f t="array" ref="A211">INDEX(DBGenzai[派遣先],MATCH(0,INDEX(COUNTIF($A$199:A210,DBGenzai[派遣先]),),0))</f>
        <v>高雄工業 海南第二</v>
      </c>
      <c r="B211" s="80"/>
    </row>
    <row r="212" spans="1:2">
      <c r="A212" s="62" t="str" cm="1">
        <f t="array" ref="A212">INDEX(DBGenzai[派遣先],MATCH(0,INDEX(COUNTIF($A$199:A211,DBGenzai[派遣先]),),0))</f>
        <v>コーリツ 本社</v>
      </c>
      <c r="B212" s="80"/>
    </row>
    <row r="213" spans="1:2">
      <c r="A213" s="62" t="str" cm="1">
        <f t="array" ref="A213">INDEX(DBGenzai[派遣先],MATCH(0,INDEX(COUNTIF($A$199:A212,DBGenzai[派遣先]),),0))</f>
        <v>ﾌｪﾆﾃｯｸｾﾐｺﾝﾀﾞｸﾀｰ 岡山</v>
      </c>
      <c r="B213" s="80"/>
    </row>
    <row r="214" spans="1:2">
      <c r="A214" s="62" t="str" cm="1">
        <f t="array" ref="A214">INDEX(DBGenzai[派遣先],MATCH(0,INDEX(COUNTIF($A$199:A213,DBGenzai[派遣先]),),0))</f>
        <v>プレテック</v>
      </c>
      <c r="B214" s="80"/>
    </row>
    <row r="215" spans="1:2">
      <c r="A215" s="62" t="str" cm="1">
        <f t="array" ref="A215">INDEX(DBGenzai[派遣先],MATCH(0,INDEX(COUNTIF($A$199:A214,DBGenzai[派遣先]),),0))</f>
        <v>瑞陵精機</v>
      </c>
      <c r="B215" s="80"/>
    </row>
    <row r="216" spans="1:2">
      <c r="A216" s="62" t="str" cm="1">
        <f t="array" ref="A216">INDEX(DBGenzai[派遣先],MATCH(0,INDEX(COUNTIF($A$199:A215,DBGenzai[派遣先]),),0))</f>
        <v>コーリツ 亀崎</v>
      </c>
      <c r="B216" s="80"/>
    </row>
    <row r="217" spans="1:2">
      <c r="A217" s="62" t="str" cm="1">
        <f t="array" ref="A217">INDEX(DBGenzai[派遣先],MATCH(0,INDEX(COUNTIF($A$199:A216,DBGenzai[派遣先]),),0))</f>
        <v>ﾌｪﾆﾃｯｸｾﾐｺﾝﾀﾞｸﾀｰ 鹿児島</v>
      </c>
      <c r="B217" s="80"/>
    </row>
    <row r="218" spans="1:2">
      <c r="A218" s="62" t="str" cm="1">
        <f t="array" ref="A218">INDEX(DBGenzai[派遣先],MATCH(0,INDEX(COUNTIF($A$199:A217,DBGenzai[派遣先]),),0))</f>
        <v>セイビテック</v>
      </c>
      <c r="B218" s="80"/>
    </row>
    <row r="219" spans="1:2">
      <c r="A219" s="62" t="str" cm="1">
        <f t="array" ref="A219">INDEX(DBGenzai[派遣先],MATCH(0,INDEX(COUNTIF($A$199:A218,DBGenzai[派遣先]),),0))</f>
        <v>三芳</v>
      </c>
      <c r="B219" s="80"/>
    </row>
    <row r="220" spans="1:2">
      <c r="A220" s="62" t="str" cm="1">
        <f t="array" ref="A220">INDEX(DBGenzai[派遣先],MATCH(0,INDEX(COUNTIF($A$199:A219,DBGenzai[派遣先]),),0))</f>
        <v>ﾃｨｰｹｰｴﾝｼﾞﾆｱﾘﾝｸﾞ</v>
      </c>
      <c r="B220" s="80"/>
    </row>
    <row r="221" spans="1:2">
      <c r="A221" s="62" t="str" cm="1">
        <f t="array" ref="A221">INDEX(DBGenzai[派遣先],MATCH(0,INDEX(COUNTIF($A$199:A220,DBGenzai[派遣先]),),0))</f>
        <v>六甲電子</v>
      </c>
      <c r="B221" s="80"/>
    </row>
    <row r="222" spans="1:2">
      <c r="A222" s="62" t="str" cm="1">
        <f t="array" ref="A222">INDEX(DBGenzai[派遣先],MATCH(0,INDEX(COUNTIF($A$199:A221,DBGenzai[派遣先]),),0))</f>
        <v>西岡工作所</v>
      </c>
      <c r="B222" s="80"/>
    </row>
    <row r="223" spans="1:2">
      <c r="A223" s="62" t="str" cm="1">
        <f t="array" ref="A223">INDEX(DBGenzai[派遣先],MATCH(0,INDEX(COUNTIF($A$199:A222,DBGenzai[派遣先]),),0))</f>
        <v>ワーク 岡山</v>
      </c>
      <c r="B223" s="80"/>
    </row>
    <row r="224" spans="1:2">
      <c r="A224" s="62" t="str" cm="1">
        <f t="array" ref="A224">INDEX(DBGenzai[派遣先],MATCH(0,INDEX(COUNTIF($A$199:A223,DBGenzai[派遣先]),),0))</f>
        <v>ワーク 志紀</v>
      </c>
      <c r="B224" s="80"/>
    </row>
    <row r="225" spans="1:2">
      <c r="A225" s="62" t="str" cm="1">
        <f t="array" ref="A225">INDEX(DBGenzai[派遣先],MATCH(0,INDEX(COUNTIF($A$199:A224,DBGenzai[派遣先]),),0))</f>
        <v>ワーク 堺</v>
      </c>
      <c r="B225" s="80"/>
    </row>
    <row r="226" spans="1:2">
      <c r="A226" s="62" t="str" cm="1">
        <f t="array" ref="A226">INDEX(DBGenzai[派遣先],MATCH(0,INDEX(COUNTIF($A$199:A225,DBGenzai[派遣先]),),0))</f>
        <v>新日本ﾎｲｰﾙ工業</v>
      </c>
      <c r="B226" s="80"/>
    </row>
    <row r="227" spans="1:2">
      <c r="A227" s="62" t="str" cm="1">
        <f t="array" ref="A227">INDEX(DBGenzai[派遣先],MATCH(0,INDEX(COUNTIF($A$199:A226,DBGenzai[派遣先]),),0))</f>
        <v>加藤木材工業 本社</v>
      </c>
      <c r="B227" s="80"/>
    </row>
    <row r="228" spans="1:2">
      <c r="A228" s="62" t="str" cm="1">
        <f t="array" ref="A228">INDEX(DBGenzai[派遣先],MATCH(0,INDEX(COUNTIF($A$199:A227,DBGenzai[派遣先]),),0))</f>
        <v>ユアサ工機 御津</v>
      </c>
      <c r="B228" s="80"/>
    </row>
    <row r="229" spans="1:2">
      <c r="A229" s="62" t="str" cm="1">
        <f t="array" ref="A229">INDEX(DBGenzai[派遣先],MATCH(0,INDEX(COUNTIF($A$199:A228,DBGenzai[派遣先]),),0))</f>
        <v>ユアサ工機 新城</v>
      </c>
    </row>
    <row r="230" spans="1:2">
      <c r="A230" s="62" t="str" cm="1">
        <f t="array" ref="A230">INDEX(DBGenzai[派遣先],MATCH(0,INDEX(COUNTIF($A$199:A229,DBGenzai[派遣先]),),0))</f>
        <v>ユアサ工機 本社</v>
      </c>
    </row>
    <row r="231" spans="1:2">
      <c r="A231" s="62" t="str" cm="1">
        <f t="array" ref="A231">INDEX(DBGenzai[派遣先],MATCH(0,INDEX(COUNTIF($A$199:A230,DBGenzai[派遣先]),),0))</f>
        <v>加藤木材工業 春日井</v>
      </c>
    </row>
    <row r="232" spans="1:2">
      <c r="A232" s="62" t="str" cm="1">
        <f t="array" ref="A232">INDEX(DBGenzai[派遣先],MATCH(0,INDEX(COUNTIF($A$199:A231,DBGenzai[派遣先]),),0))</f>
        <v>アサヒフォージ</v>
      </c>
    </row>
    <row r="233" spans="1:2">
      <c r="A233" s="62" t="str" cm="1">
        <f t="array" ref="A233">INDEX(DBGenzai[派遣先],MATCH(0,INDEX(COUNTIF($A$199:A232,DBGenzai[派遣先]),),0))</f>
        <v>美鈴工業 本社</v>
      </c>
    </row>
    <row r="234" spans="1:2">
      <c r="A234" s="62" t="str" cm="1">
        <f t="array" ref="A234">INDEX(DBGenzai[派遣先],MATCH(0,INDEX(COUNTIF($A$199:A233,DBGenzai[派遣先]),),0))</f>
        <v>美鈴工業 本庄</v>
      </c>
    </row>
    <row r="235" spans="1:2">
      <c r="A235" s="62" cm="1">
        <f t="array" ref="A235">INDEX(DBGenzai[派遣先],MATCH(0,INDEX(COUNTIF($A$199:A234,DBGenzai[派遣先]),),0))</f>
        <v>0</v>
      </c>
    </row>
    <row r="236" spans="1:2">
      <c r="A236" s="62" t="e" cm="1">
        <f t="array" ref="A236">INDEX(DBGenzai[派遣先],MATCH(0,INDEX(COUNTIF($A$199:A235,DBGenzai[派遣先]),),0))</f>
        <v>#N/A</v>
      </c>
    </row>
    <row r="237" spans="1:2">
      <c r="A237" s="62" t="e" cm="1">
        <f t="array" ref="A237">INDEX(DBGenzai[派遣先],MATCH(0,INDEX(COUNTIF($A$199:A236,DBGenzai[派遣先]),),0))</f>
        <v>#N/A</v>
      </c>
    </row>
    <row r="238" spans="1:2">
      <c r="A238" s="62" t="e" cm="1">
        <f t="array" ref="A238">INDEX(DBGenzai[派遣先],MATCH(0,INDEX(COUNTIF($A$199:A237,DBGenzai[派遣先]),),0))</f>
        <v>#N/A</v>
      </c>
    </row>
    <row r="239" spans="1:2">
      <c r="A239" s="62" t="e" cm="1">
        <f t="array" ref="A239">INDEX(DBGenzai[派遣先],MATCH(0,INDEX(COUNTIF($A$199:A238,DBGenzai[派遣先]),),0))</f>
        <v>#N/A</v>
      </c>
    </row>
    <row r="240" spans="1:2">
      <c r="A240" s="62" t="e" cm="1">
        <f t="array" ref="A240">INDEX(DBGenzai[派遣先],MATCH(0,INDEX(COUNTIF($A$199:A239,DBGenzai[派遣先]),),0))</f>
        <v>#N/A</v>
      </c>
    </row>
    <row r="241" spans="1:1">
      <c r="A241" s="62" t="e" cm="1">
        <f t="array" ref="A241">INDEX(DBGenzai[派遣先],MATCH(0,INDEX(COUNTIF($A$199:A240,DBGenzai[派遣先]),),0))</f>
        <v>#N/A</v>
      </c>
    </row>
    <row r="242" spans="1:1">
      <c r="A242" s="62" t="e" cm="1">
        <f t="array" ref="A242">INDEX(DBGenzai[派遣先],MATCH(0,INDEX(COUNTIF($A$199:A241,DBGenzai[派遣先]),),0))</f>
        <v>#N/A</v>
      </c>
    </row>
    <row r="243" spans="1:1">
      <c r="A243" s="62" t="e" cm="1">
        <f t="array" ref="A243">INDEX(DBGenzai[派遣先],MATCH(0,INDEX(COUNTIF($A$199:A242,DBGenzai[派遣先]),),0))</f>
        <v>#N/A</v>
      </c>
    </row>
    <row r="244" spans="1:1">
      <c r="A244" s="62" t="e" cm="1">
        <f t="array" ref="A244">INDEX(DBGenzai[派遣先],MATCH(0,INDEX(COUNTIF($A$199:A243,DBGenzai[派遣先]),),0))</f>
        <v>#N/A</v>
      </c>
    </row>
    <row r="245" spans="1:1">
      <c r="A245" s="62" t="e" cm="1">
        <f t="array" ref="A245">INDEX(DBGenzai[派遣先],MATCH(0,INDEX(COUNTIF($A$199:A244,DBGenzai[派遣先]),),0))</f>
        <v>#N/A</v>
      </c>
    </row>
    <row r="246" spans="1:1">
      <c r="A246" s="62" t="e" cm="1">
        <f t="array" ref="A246">INDEX(DBGenzai[派遣先],MATCH(0,INDEX(COUNTIF($A$199:A245,DBGenzai[派遣先]),),0))</f>
        <v>#N/A</v>
      </c>
    </row>
    <row r="247" spans="1:1">
      <c r="A247" s="62" t="e" cm="1">
        <f t="array" ref="A247">INDEX(DBGenzai[派遣先],MATCH(0,INDEX(COUNTIF($A$199:A246,DBGenzai[派遣先]),),0))</f>
        <v>#N/A</v>
      </c>
    </row>
    <row r="248" spans="1:1">
      <c r="A248" s="62" t="e" cm="1">
        <f t="array" ref="A248">INDEX(DBGenzai[派遣先],MATCH(0,INDEX(COUNTIF($A$199:A247,DBGenzai[派遣先]),),0))</f>
        <v>#N/A</v>
      </c>
    </row>
    <row r="249" spans="1:1">
      <c r="A249" s="62" t="e" cm="1">
        <f t="array" ref="A249">INDEX(DBGenzai[派遣先],MATCH(0,INDEX(COUNTIF($A$199:A248,DBGenzai[派遣先]),),0))</f>
        <v>#N/A</v>
      </c>
    </row>
    <row r="250" spans="1:1">
      <c r="A250" s="62" t="e" cm="1">
        <f t="array" ref="A250">INDEX(DBGenzai[派遣先],MATCH(0,INDEX(COUNTIF($A$199:A249,DBGenzai[派遣先]),),0))</f>
        <v>#N/A</v>
      </c>
    </row>
    <row r="251" spans="1:1">
      <c r="A251" s="62" t="e" cm="1">
        <f t="array" ref="A251">INDEX(DBGenzai[派遣先],MATCH(0,INDEX(COUNTIF($A$199:A250,DBGenzai[派遣先]),),0))</f>
        <v>#N/A</v>
      </c>
    </row>
    <row r="252" spans="1:1">
      <c r="A252" s="62" t="e" cm="1">
        <f t="array" ref="A252">INDEX(DBGenzai[派遣先],MATCH(0,INDEX(COUNTIF($A$199:A251,DBGenzai[派遣先]),),0))</f>
        <v>#N/A</v>
      </c>
    </row>
    <row r="253" spans="1:1">
      <c r="A253" s="62" t="e" cm="1">
        <f t="array" ref="A253">INDEX(DBGenzai[派遣先],MATCH(0,INDEX(COUNTIF($A$199:A252,DBGenzai[派遣先]),),0))</f>
        <v>#N/A</v>
      </c>
    </row>
    <row r="254" spans="1:1">
      <c r="A254" s="62" t="e" cm="1">
        <f t="array" ref="A254">INDEX(DBGenzai[派遣先],MATCH(0,INDEX(COUNTIF($A$199:A253,DBGenzai[派遣先]),),0))</f>
        <v>#N/A</v>
      </c>
    </row>
  </sheetData>
  <mergeCells count="1">
    <mergeCell ref="B1:E1"/>
  </mergeCells>
  <phoneticPr fontId="8" type="noConversion"/>
  <conditionalFormatting sqref="AC3:AC198">
    <cfRule type="expression" dxfId="100" priority="25">
      <formula>#REF!&gt;$AC3</formula>
    </cfRule>
  </conditionalFormatting>
  <dataValidations count="2">
    <dataValidation type="custom" allowBlank="1" showInputMessage="1" showErrorMessage="1" sqref="K1" xr:uid="{6B9387CE-E508-4944-9885-0C6078B97974}">
      <formula1>_xlfn.UNIQUE(F14:F38,FALSE,TRUE)</formula1>
    </dataValidation>
    <dataValidation type="list" allowBlank="1" showInputMessage="1" showErrorMessage="1" sqref="F1" xr:uid="{C34678CE-73E3-4409-91A6-665081394B8B}">
      <formula1>$A$200:$A$232</formula1>
    </dataValidation>
  </dataValidations>
  <pageMargins left="0.25" right="0.25" top="0.75" bottom="0.75" header="0.3" footer="0.3"/>
  <pageSetup paperSize="12" scale="70" fitToHeight="0" orientation="landscape"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EEB4AB8-D6FE-4751-A9DC-367AFFC99572}">
          <x14:formula1>
            <xm:f>DBGenzai!$D:$D</xm:f>
          </x14:formula1>
          <xm:sqref>L1:M1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478C2-0610-40C7-8AAB-F2747C854643}">
  <sheetPr codeName="Hoja5">
    <pageSetUpPr fitToPage="1"/>
  </sheetPr>
  <dimension ref="A1:AV112"/>
  <sheetViews>
    <sheetView zoomScale="96" zoomScaleNormal="96" workbookViewId="0">
      <selection activeCell="D16" sqref="D16"/>
    </sheetView>
  </sheetViews>
  <sheetFormatPr defaultColWidth="9.01171875" defaultRowHeight="14.25" outlineLevelRow="1"/>
  <cols>
    <col min="1" max="1" width="17.21875" style="8" bestFit="1" customWidth="1"/>
    <col min="2" max="2" width="17.21875" style="8" customWidth="1"/>
    <col min="3" max="3" width="13.71875" style="8" bestFit="1" customWidth="1"/>
    <col min="4" max="4" width="18.4296875" style="8" customWidth="1"/>
    <col min="5" max="5" width="20.3125" style="8" customWidth="1"/>
    <col min="6" max="6" width="14.125" style="8" customWidth="1"/>
    <col min="7" max="7" width="9.68359375" style="8" customWidth="1"/>
    <col min="8" max="8" width="24.2109375" style="8" customWidth="1"/>
    <col min="9" max="9" width="12.77734375" style="8" customWidth="1"/>
    <col min="10" max="10" width="13.046875" style="8" bestFit="1" customWidth="1"/>
    <col min="11" max="11" width="13.046875" style="8" customWidth="1"/>
    <col min="12" max="12" width="14.390625" style="8" customWidth="1"/>
    <col min="13" max="13" width="14.796875" style="8" customWidth="1"/>
    <col min="14" max="14" width="16.8125" style="8" customWidth="1"/>
    <col min="15" max="15" width="22.59765625" style="8" customWidth="1"/>
    <col min="16" max="16" width="10.76171875" style="8" customWidth="1"/>
    <col min="17" max="17" width="11.97265625" style="8" customWidth="1"/>
    <col min="18" max="18" width="22.734375" style="8" customWidth="1"/>
    <col min="19" max="19" width="24.75" style="8" customWidth="1"/>
    <col min="20" max="20" width="7.3984375" style="8" customWidth="1"/>
    <col min="21" max="21" width="21.7890625" style="8" customWidth="1"/>
    <col min="22" max="22" width="18.6953125" style="8" customWidth="1"/>
    <col min="23" max="23" width="6.3203125" style="8" customWidth="1"/>
    <col min="24" max="24" width="26.09765625" style="8" customWidth="1"/>
    <col min="25" max="25" width="24.75" style="8" customWidth="1"/>
    <col min="26" max="26" width="51.38671875" style="8" bestFit="1" customWidth="1"/>
    <col min="27" max="27" width="78.15625" style="8" bestFit="1" customWidth="1"/>
    <col min="28" max="29" width="9.01171875" style="8"/>
    <col min="30" max="30" width="5.37890625" style="8" customWidth="1"/>
    <col min="31" max="31" width="14.390625" style="406" customWidth="1"/>
    <col min="32" max="32" width="14.390625" style="438" customWidth="1"/>
    <col min="33" max="33" width="15.6015625" style="445" bestFit="1" customWidth="1"/>
    <col min="34" max="34" width="33.8984375" style="8" customWidth="1"/>
    <col min="35" max="35" width="9.81640625" style="8" customWidth="1"/>
    <col min="36" max="38" width="9.01171875" style="8"/>
    <col min="39" max="39" width="9.01171875" style="8" customWidth="1"/>
    <col min="40" max="40" width="1.20703125" style="8" customWidth="1"/>
    <col min="41" max="41" width="9.01171875" style="8"/>
    <col min="42" max="42" width="17.3515625" style="8" bestFit="1" customWidth="1"/>
    <col min="43" max="16384" width="9.01171875" style="8"/>
  </cols>
  <sheetData>
    <row r="1" spans="1:43">
      <c r="A1" s="402" t="s">
        <v>1008</v>
      </c>
      <c r="B1" s="402" t="s">
        <v>1044</v>
      </c>
      <c r="C1" s="402" t="s">
        <v>1020</v>
      </c>
      <c r="D1" s="402" t="s">
        <v>1016</v>
      </c>
      <c r="E1" s="402" t="s">
        <v>1013</v>
      </c>
      <c r="F1" s="402" t="s">
        <v>1021</v>
      </c>
      <c r="G1" s="403" t="s">
        <v>1009</v>
      </c>
      <c r="H1" s="403" t="s">
        <v>1012</v>
      </c>
      <c r="I1" s="403" t="s">
        <v>1079</v>
      </c>
      <c r="J1" s="403" t="s">
        <v>1010</v>
      </c>
      <c r="K1" s="403" t="s">
        <v>1031</v>
      </c>
      <c r="L1" s="403" t="s">
        <v>1015</v>
      </c>
      <c r="M1" s="403" t="s">
        <v>1014</v>
      </c>
      <c r="N1" s="403" t="s">
        <v>1022</v>
      </c>
      <c r="O1" s="403" t="s">
        <v>1011</v>
      </c>
      <c r="P1" s="403" t="s">
        <v>1033</v>
      </c>
      <c r="Q1" s="404" t="s">
        <v>1017</v>
      </c>
      <c r="R1" s="404" t="s">
        <v>1018</v>
      </c>
      <c r="S1" s="404" t="s">
        <v>1019</v>
      </c>
      <c r="T1" s="402" t="s">
        <v>1023</v>
      </c>
      <c r="U1" s="402" t="s">
        <v>1024</v>
      </c>
      <c r="V1" s="402" t="s">
        <v>1025</v>
      </c>
      <c r="W1" s="402" t="s">
        <v>1026</v>
      </c>
      <c r="X1" s="402" t="s">
        <v>1027</v>
      </c>
      <c r="Y1" s="402" t="s">
        <v>1028</v>
      </c>
      <c r="Z1" s="405" t="s">
        <v>1036</v>
      </c>
      <c r="AA1" s="405" t="s">
        <v>1038</v>
      </c>
      <c r="AB1" s="405" t="s">
        <v>1039</v>
      </c>
      <c r="AC1" s="405" t="s">
        <v>1040</v>
      </c>
      <c r="AD1" s="405" t="s">
        <v>1041</v>
      </c>
      <c r="AE1" s="406" t="s">
        <v>1043</v>
      </c>
      <c r="AF1" s="438" t="s">
        <v>1302</v>
      </c>
      <c r="AG1" s="407" t="s">
        <v>1034</v>
      </c>
      <c r="AH1" s="405" t="s">
        <v>1205</v>
      </c>
      <c r="AI1" s="405" t="s">
        <v>1209</v>
      </c>
      <c r="AJ1" s="405" t="s">
        <v>1213</v>
      </c>
      <c r="AK1" s="405" t="s">
        <v>1517</v>
      </c>
      <c r="AL1" s="405" t="s">
        <v>1905</v>
      </c>
      <c r="AM1" s="405" t="s">
        <v>1906</v>
      </c>
      <c r="AN1" s="405" t="s">
        <v>1909</v>
      </c>
      <c r="AO1" s="405" t="s">
        <v>2033</v>
      </c>
      <c r="AP1" s="405" t="s">
        <v>2048</v>
      </c>
      <c r="AQ1" s="405" t="s">
        <v>2075</v>
      </c>
    </row>
    <row r="2" spans="1:43" s="401" customFormat="1" ht="15.75" customHeight="1">
      <c r="A2" s="401" t="s">
        <v>1045</v>
      </c>
      <c r="B2" s="401" t="s">
        <v>1046</v>
      </c>
      <c r="C2" s="401" t="s">
        <v>1047</v>
      </c>
      <c r="D2" s="401" t="s">
        <v>1293</v>
      </c>
      <c r="E2" s="401" t="s">
        <v>1294</v>
      </c>
      <c r="F2" s="401" t="s">
        <v>1047</v>
      </c>
      <c r="G2" s="400" t="s">
        <v>1265</v>
      </c>
      <c r="H2" s="401" t="s">
        <v>1046</v>
      </c>
      <c r="I2" s="401" t="s">
        <v>1080</v>
      </c>
      <c r="J2" s="401" t="s">
        <v>1296</v>
      </c>
      <c r="K2" s="401" t="s">
        <v>1048</v>
      </c>
      <c r="L2" s="401" t="s">
        <v>1295</v>
      </c>
      <c r="M2" s="401" t="s">
        <v>1297</v>
      </c>
      <c r="N2" s="401" t="s">
        <v>1047</v>
      </c>
      <c r="O2" s="401" t="s">
        <v>1057</v>
      </c>
      <c r="P2" s="401">
        <v>1600</v>
      </c>
      <c r="Q2" s="401" t="s">
        <v>1293</v>
      </c>
      <c r="R2" s="401" t="s">
        <v>1294</v>
      </c>
      <c r="S2" s="401" t="s">
        <v>1080</v>
      </c>
      <c r="T2" s="401" t="s">
        <v>1049</v>
      </c>
      <c r="U2" s="401" t="s">
        <v>1056</v>
      </c>
      <c r="V2" s="401" t="s">
        <v>1051</v>
      </c>
      <c r="W2" s="401" t="s">
        <v>1049</v>
      </c>
      <c r="X2" s="401" t="s">
        <v>1050</v>
      </c>
      <c r="Y2" s="401" t="s">
        <v>1051</v>
      </c>
      <c r="Z2" s="401" t="s">
        <v>1052</v>
      </c>
      <c r="AA2" s="401" t="s">
        <v>1053</v>
      </c>
      <c r="AB2" s="401" t="s">
        <v>1054</v>
      </c>
      <c r="AC2" s="401" t="s">
        <v>1055</v>
      </c>
      <c r="AD2" s="401" t="s">
        <v>2414</v>
      </c>
      <c r="AE2" s="441">
        <v>44470</v>
      </c>
      <c r="AF2" s="439">
        <f>IF(TBKaishaInfo[[#This Row],[就業日]]="","",DATE(YEAR(TBKaishaInfo[[#This Row],[就業日]])+1,MONTH(TBKaishaInfo[[#This Row],[就業日]]),DAY(TBKaishaInfo[[#This Row],[就業日]])-1))</f>
        <v>44834</v>
      </c>
      <c r="AG2" s="443">
        <v>45199</v>
      </c>
      <c r="AH2" s="401" t="s">
        <v>1206</v>
      </c>
      <c r="AI2" s="401" t="s">
        <v>1210</v>
      </c>
      <c r="AJ2" s="401" t="s">
        <v>1211</v>
      </c>
      <c r="AK2" s="401">
        <v>15</v>
      </c>
      <c r="AL2" s="401" t="s">
        <v>1907</v>
      </c>
      <c r="AM2" s="401" t="s">
        <v>1908</v>
      </c>
      <c r="AN2" s="401" t="s">
        <v>2415</v>
      </c>
      <c r="AP2" s="408">
        <v>45747</v>
      </c>
    </row>
    <row r="3" spans="1:43" s="401" customFormat="1" ht="15.75" customHeight="1">
      <c r="A3" s="401" t="s">
        <v>1298</v>
      </c>
      <c r="B3" s="401" t="s">
        <v>1299</v>
      </c>
      <c r="C3" s="401" t="s">
        <v>1080</v>
      </c>
      <c r="D3" s="401" t="s">
        <v>1293</v>
      </c>
      <c r="E3" s="401" t="s">
        <v>1294</v>
      </c>
      <c r="F3" s="401" t="s">
        <v>1080</v>
      </c>
      <c r="G3" s="401" t="s">
        <v>1264</v>
      </c>
      <c r="H3" s="401" t="s">
        <v>1299</v>
      </c>
      <c r="I3" s="401" t="s">
        <v>1080</v>
      </c>
      <c r="J3" s="401" t="s">
        <v>1296</v>
      </c>
      <c r="K3" s="401" t="s">
        <v>1271</v>
      </c>
      <c r="L3" s="401" t="s">
        <v>1295</v>
      </c>
      <c r="M3" s="401" t="s">
        <v>1348</v>
      </c>
      <c r="N3" s="401" t="s">
        <v>1080</v>
      </c>
      <c r="O3" s="401" t="s">
        <v>1267</v>
      </c>
      <c r="P3" s="401">
        <v>1600</v>
      </c>
      <c r="Q3" s="401" t="s">
        <v>1293</v>
      </c>
      <c r="R3" s="401" t="s">
        <v>1294</v>
      </c>
      <c r="S3" s="401" t="s">
        <v>1080</v>
      </c>
      <c r="T3" s="401" t="s">
        <v>1070</v>
      </c>
      <c r="U3" s="401" t="s">
        <v>1071</v>
      </c>
      <c r="V3" s="401" t="s">
        <v>382</v>
      </c>
      <c r="W3" s="401" t="s">
        <v>1070</v>
      </c>
      <c r="X3" s="401" t="s">
        <v>1072</v>
      </c>
      <c r="Y3" s="401" t="s">
        <v>382</v>
      </c>
      <c r="Z3" s="401" t="s">
        <v>1300</v>
      </c>
      <c r="AA3" s="401" t="s">
        <v>1301</v>
      </c>
      <c r="AB3" s="401" t="s">
        <v>1054</v>
      </c>
      <c r="AC3" s="401" t="s">
        <v>1055</v>
      </c>
      <c r="AD3" s="401" t="s">
        <v>2414</v>
      </c>
      <c r="AE3" s="441">
        <v>44835</v>
      </c>
      <c r="AF3" s="439">
        <f>IF(TBKaishaInfo[[#This Row],[就業日]]="","",DATE(YEAR(TBKaishaInfo[[#This Row],[就業日]])+1,MONTH(TBKaishaInfo[[#This Row],[就業日]]),DAY(TBKaishaInfo[[#This Row],[就業日]])-1))</f>
        <v>45199</v>
      </c>
      <c r="AG3" s="443">
        <v>45199</v>
      </c>
      <c r="AH3" s="401" t="s">
        <v>1229</v>
      </c>
      <c r="AI3" s="401" t="s">
        <v>345</v>
      </c>
      <c r="AJ3" s="401" t="s">
        <v>1230</v>
      </c>
      <c r="AK3" s="401">
        <v>15</v>
      </c>
      <c r="AL3" s="401" t="s">
        <v>1907</v>
      </c>
      <c r="AM3" s="401" t="s">
        <v>1908</v>
      </c>
      <c r="AN3" s="401" t="s">
        <v>2415</v>
      </c>
      <c r="AP3" s="408">
        <v>45747</v>
      </c>
    </row>
    <row r="4" spans="1:43" s="401" customFormat="1" ht="15.75" customHeight="1">
      <c r="AE4" s="441"/>
      <c r="AF4" s="439" t="str">
        <f>IF(TBKaishaInfo[[#This Row],[就業日]]="","",DATE(YEAR(TBKaishaInfo[[#This Row],[就業日]])+1,MONTH(TBKaishaInfo[[#This Row],[就業日]]),DAY(TBKaishaInfo[[#This Row],[就業日]])-1))</f>
        <v/>
      </c>
      <c r="AG4" s="443"/>
      <c r="AK4" s="401">
        <v>15</v>
      </c>
      <c r="AL4" s="401" t="s">
        <v>1907</v>
      </c>
      <c r="AM4" s="401" t="s">
        <v>1908</v>
      </c>
      <c r="AN4" s="401" t="s">
        <v>2415</v>
      </c>
      <c r="AP4" s="408">
        <v>45747</v>
      </c>
    </row>
    <row r="5" spans="1:43" s="401" customFormat="1" ht="15.75" customHeight="1">
      <c r="A5" s="401" t="s">
        <v>1059</v>
      </c>
      <c r="B5" s="401" t="s">
        <v>1061</v>
      </c>
      <c r="C5" s="401" t="s">
        <v>1063</v>
      </c>
      <c r="E5" s="401" t="s">
        <v>1077</v>
      </c>
      <c r="F5" s="401" t="s">
        <v>1062</v>
      </c>
      <c r="G5" s="401" t="s">
        <v>1064</v>
      </c>
      <c r="H5" s="401" t="s">
        <v>1060</v>
      </c>
      <c r="I5" s="401" t="s">
        <v>1062</v>
      </c>
      <c r="J5" s="401" t="s">
        <v>1066</v>
      </c>
      <c r="K5" s="401" t="s">
        <v>1067</v>
      </c>
      <c r="L5" s="401" t="s">
        <v>1058</v>
      </c>
      <c r="M5" s="401" t="s">
        <v>1078</v>
      </c>
      <c r="N5" s="401" t="s">
        <v>1062</v>
      </c>
      <c r="O5" s="401" t="s">
        <v>1069</v>
      </c>
      <c r="P5" s="401">
        <v>1650</v>
      </c>
      <c r="R5" s="401" t="s">
        <v>1076</v>
      </c>
      <c r="S5" s="401" t="s">
        <v>1062</v>
      </c>
      <c r="T5" s="401" t="s">
        <v>1070</v>
      </c>
      <c r="U5" s="401" t="s">
        <v>1071</v>
      </c>
      <c r="V5" s="401" t="s">
        <v>382</v>
      </c>
      <c r="W5" s="401" t="s">
        <v>1070</v>
      </c>
      <c r="X5" s="401" t="s">
        <v>1072</v>
      </c>
      <c r="Y5" s="401" t="s">
        <v>382</v>
      </c>
      <c r="Z5" s="401" t="s">
        <v>1074</v>
      </c>
      <c r="AA5" s="401" t="s">
        <v>1075</v>
      </c>
      <c r="AB5" s="401" t="s">
        <v>1054</v>
      </c>
      <c r="AC5" s="401" t="s">
        <v>1081</v>
      </c>
      <c r="AD5" s="401" t="s">
        <v>1082</v>
      </c>
      <c r="AE5" s="441">
        <v>44886</v>
      </c>
      <c r="AF5" s="439">
        <f>IF(TBKaishaInfo[[#This Row],[就業日]]="","",DATE(YEAR(TBKaishaInfo[[#This Row],[就業日]])+1,MONTH(TBKaishaInfo[[#This Row],[就業日]]),DAY(TBKaishaInfo[[#This Row],[就業日]])-1))</f>
        <v>45250</v>
      </c>
      <c r="AG5" s="443">
        <v>45250</v>
      </c>
      <c r="AH5" s="401" t="s">
        <v>1229</v>
      </c>
      <c r="AI5" s="401" t="s">
        <v>345</v>
      </c>
      <c r="AJ5" s="401" t="s">
        <v>1230</v>
      </c>
      <c r="AK5" s="401">
        <v>15</v>
      </c>
      <c r="AL5" s="401" t="s">
        <v>1907</v>
      </c>
      <c r="AM5" s="401" t="s">
        <v>1908</v>
      </c>
      <c r="AN5" s="401" t="s">
        <v>2415</v>
      </c>
      <c r="AP5" s="408">
        <v>45747</v>
      </c>
    </row>
    <row r="6" spans="1:43" s="401" customFormat="1" ht="15.75" customHeight="1">
      <c r="AE6" s="441"/>
      <c r="AF6" s="439" t="str">
        <f>IF(TBKaishaInfo[[#This Row],[就業日]]="","",DATE(YEAR(TBKaishaInfo[[#This Row],[就業日]])+1,MONTH(TBKaishaInfo[[#This Row],[就業日]]),DAY(TBKaishaInfo[[#This Row],[就業日]])-1))</f>
        <v/>
      </c>
      <c r="AG6" s="443"/>
      <c r="AK6" s="401">
        <v>15</v>
      </c>
      <c r="AL6" s="401" t="s">
        <v>1907</v>
      </c>
      <c r="AM6" s="401" t="s">
        <v>1908</v>
      </c>
      <c r="AN6" s="401" t="s">
        <v>2415</v>
      </c>
      <c r="AP6" s="408">
        <v>45747</v>
      </c>
    </row>
    <row r="7" spans="1:43" s="401" customFormat="1" ht="15.75" customHeight="1" outlineLevel="1">
      <c r="A7" s="401" t="s">
        <v>1154</v>
      </c>
      <c r="B7" s="401" t="s">
        <v>1155</v>
      </c>
      <c r="C7" s="401" t="s">
        <v>1156</v>
      </c>
      <c r="D7" s="401" t="s">
        <v>1164</v>
      </c>
      <c r="E7" s="401" t="s">
        <v>1165</v>
      </c>
      <c r="F7" s="401" t="s">
        <v>1158</v>
      </c>
      <c r="G7" s="401" t="s">
        <v>1159</v>
      </c>
      <c r="H7" s="401" t="s">
        <v>1160</v>
      </c>
      <c r="I7" s="401" t="s">
        <v>1158</v>
      </c>
      <c r="J7" s="401" t="s">
        <v>1065</v>
      </c>
      <c r="K7" s="401" t="s">
        <v>1161</v>
      </c>
      <c r="L7" s="401" t="s">
        <v>1058</v>
      </c>
      <c r="M7" s="401" t="s">
        <v>1162</v>
      </c>
      <c r="N7" s="401" t="s">
        <v>1158</v>
      </c>
      <c r="O7" s="401" t="s">
        <v>1163</v>
      </c>
      <c r="P7" s="401">
        <v>2000</v>
      </c>
      <c r="Q7" s="401" t="s">
        <v>1058</v>
      </c>
      <c r="R7" s="401" t="s">
        <v>1162</v>
      </c>
      <c r="S7" s="401" t="s">
        <v>1157</v>
      </c>
      <c r="T7" s="401" t="s">
        <v>1070</v>
      </c>
      <c r="U7" s="401" t="s">
        <v>1166</v>
      </c>
      <c r="V7" s="401" t="s">
        <v>382</v>
      </c>
      <c r="W7" s="401" t="s">
        <v>1070</v>
      </c>
      <c r="X7" s="401" t="s">
        <v>2061</v>
      </c>
      <c r="Y7" s="401" t="s">
        <v>1168</v>
      </c>
      <c r="Z7" s="401" t="s">
        <v>1073</v>
      </c>
      <c r="AA7" s="401" t="s">
        <v>1169</v>
      </c>
      <c r="AB7" s="401" t="s">
        <v>1192</v>
      </c>
      <c r="AC7" s="401" t="s">
        <v>1170</v>
      </c>
      <c r="AD7" s="401" t="s">
        <v>1082</v>
      </c>
      <c r="AE7" s="441">
        <v>44340</v>
      </c>
      <c r="AF7" s="439">
        <f>IF(TBKaishaInfo[[#This Row],[就業日]]="","",DATE(YEAR(TBKaishaInfo[[#This Row],[就業日]])+1,MONTH(TBKaishaInfo[[#This Row],[就業日]]),DAY(TBKaishaInfo[[#This Row],[就業日]])-1))</f>
        <v>44704</v>
      </c>
      <c r="AG7" s="443">
        <v>45658</v>
      </c>
      <c r="AK7" s="401">
        <v>15</v>
      </c>
      <c r="AL7" s="401" t="s">
        <v>1907</v>
      </c>
      <c r="AM7" s="401" t="s">
        <v>1908</v>
      </c>
      <c r="AN7" s="401" t="s">
        <v>2415</v>
      </c>
      <c r="AP7" s="408">
        <v>45747</v>
      </c>
    </row>
    <row r="8" spans="1:43" s="401" customFormat="1" ht="13.5">
      <c r="AE8" s="441"/>
      <c r="AF8" s="439" t="str">
        <f>IF(TBKaishaInfo[[#This Row],[就業日]]="","",DATE(YEAR(TBKaishaInfo[[#This Row],[就業日]])+1,MONTH(TBKaishaInfo[[#This Row],[就業日]]),DAY(TBKaishaInfo[[#This Row],[就業日]])-1))</f>
        <v/>
      </c>
      <c r="AG8" s="443"/>
      <c r="AK8" s="401">
        <v>15</v>
      </c>
      <c r="AL8" s="401" t="s">
        <v>1907</v>
      </c>
      <c r="AM8" s="401" t="s">
        <v>1908</v>
      </c>
      <c r="AN8" s="401" t="s">
        <v>2415</v>
      </c>
      <c r="AP8" s="408">
        <v>45747</v>
      </c>
    </row>
    <row r="9" spans="1:43" s="401" customFormat="1" ht="13.5">
      <c r="A9" s="401" t="s">
        <v>1171</v>
      </c>
      <c r="B9" s="401" t="s">
        <v>1172</v>
      </c>
      <c r="C9" s="401" t="s">
        <v>1173</v>
      </c>
      <c r="D9" s="401" t="s">
        <v>1058</v>
      </c>
      <c r="E9" s="401" t="s">
        <v>1174</v>
      </c>
      <c r="AE9" s="441"/>
      <c r="AF9" s="439" t="str">
        <f>IF(TBKaishaInfo[[#This Row],[就業日]]="","",DATE(YEAR(TBKaishaInfo[[#This Row],[就業日]])+1,MONTH(TBKaishaInfo[[#This Row],[就業日]]),DAY(TBKaishaInfo[[#This Row],[就業日]])-1))</f>
        <v/>
      </c>
      <c r="AG9" s="443"/>
      <c r="AK9" s="401">
        <v>15</v>
      </c>
      <c r="AL9" s="401" t="s">
        <v>1907</v>
      </c>
      <c r="AM9" s="401" t="s">
        <v>1908</v>
      </c>
      <c r="AN9" s="401" t="s">
        <v>2415</v>
      </c>
      <c r="AP9" s="408">
        <v>45747</v>
      </c>
    </row>
    <row r="10" spans="1:43" s="401" customFormat="1" ht="13.5">
      <c r="AE10" s="441"/>
      <c r="AF10" s="439" t="str">
        <f>IF(TBKaishaInfo[[#This Row],[就業日]]="","",DATE(YEAR(TBKaishaInfo[[#This Row],[就業日]])+1,MONTH(TBKaishaInfo[[#This Row],[就業日]]),DAY(TBKaishaInfo[[#This Row],[就業日]])-1))</f>
        <v/>
      </c>
      <c r="AG10" s="443"/>
      <c r="AK10" s="401">
        <v>15</v>
      </c>
      <c r="AL10" s="401" t="s">
        <v>1907</v>
      </c>
      <c r="AM10" s="401" t="s">
        <v>1908</v>
      </c>
      <c r="AN10" s="401" t="s">
        <v>2415</v>
      </c>
      <c r="AP10" s="408">
        <v>45747</v>
      </c>
    </row>
    <row r="11" spans="1:43" s="401" customFormat="1" ht="13.5">
      <c r="A11" s="401" t="s">
        <v>1175</v>
      </c>
      <c r="B11" s="401" t="s">
        <v>1176</v>
      </c>
      <c r="C11" s="401" t="s">
        <v>1178</v>
      </c>
      <c r="E11" s="401" t="s">
        <v>1179</v>
      </c>
      <c r="F11" s="401" t="s">
        <v>1178</v>
      </c>
      <c r="G11" s="401" t="s">
        <v>1180</v>
      </c>
      <c r="H11" s="401" t="s">
        <v>1176</v>
      </c>
      <c r="I11" s="401" t="s">
        <v>1177</v>
      </c>
      <c r="J11" s="401" t="s">
        <v>1058</v>
      </c>
      <c r="K11" s="401" t="s">
        <v>1181</v>
      </c>
      <c r="L11" s="401" t="s">
        <v>1058</v>
      </c>
      <c r="M11" s="401" t="s">
        <v>1182</v>
      </c>
      <c r="N11" s="401" t="s">
        <v>1178</v>
      </c>
      <c r="O11" s="401" t="s">
        <v>1184</v>
      </c>
      <c r="P11" s="401">
        <v>1900</v>
      </c>
      <c r="Q11" s="401" t="s">
        <v>1185</v>
      </c>
      <c r="R11" s="401" t="s">
        <v>1186</v>
      </c>
      <c r="S11" s="401" t="s">
        <v>1178</v>
      </c>
      <c r="T11" s="401" t="s">
        <v>1070</v>
      </c>
      <c r="U11" s="401" t="s">
        <v>1166</v>
      </c>
      <c r="V11" s="401" t="s">
        <v>382</v>
      </c>
      <c r="W11" s="401" t="s">
        <v>1217</v>
      </c>
      <c r="X11" s="401" t="s">
        <v>2061</v>
      </c>
      <c r="Y11" s="401" t="s">
        <v>1167</v>
      </c>
      <c r="Z11" s="401" t="s">
        <v>1188</v>
      </c>
      <c r="AA11" s="401" t="s">
        <v>1190</v>
      </c>
      <c r="AB11" s="401" t="s">
        <v>1191</v>
      </c>
      <c r="AC11" s="401" t="s">
        <v>1193</v>
      </c>
      <c r="AD11" s="401" t="s">
        <v>1082</v>
      </c>
      <c r="AE11" s="441">
        <v>45108</v>
      </c>
      <c r="AF11" s="439">
        <f>IF(TBKaishaInfo[[#This Row],[就業日]]="","",DATE(YEAR(TBKaishaInfo[[#This Row],[就業日]])+1,MONTH(TBKaishaInfo[[#This Row],[就業日]]),DAY(TBKaishaInfo[[#This Row],[就業日]])-1))</f>
        <v>45473</v>
      </c>
      <c r="AG11" s="443">
        <v>46133</v>
      </c>
      <c r="AH11" s="401" t="s">
        <v>1207</v>
      </c>
      <c r="AI11" s="401" t="s">
        <v>1210</v>
      </c>
      <c r="AJ11" s="401" t="s">
        <v>1214</v>
      </c>
      <c r="AK11" s="401">
        <v>15</v>
      </c>
      <c r="AL11" s="401" t="s">
        <v>1907</v>
      </c>
      <c r="AM11" s="401" t="s">
        <v>1908</v>
      </c>
      <c r="AN11" s="401" t="s">
        <v>2415</v>
      </c>
      <c r="AP11" s="408">
        <v>45747</v>
      </c>
    </row>
    <row r="12" spans="1:43" s="401" customFormat="1" ht="13.5">
      <c r="A12" s="401" t="s">
        <v>1194</v>
      </c>
      <c r="B12" s="401" t="s">
        <v>1176</v>
      </c>
      <c r="C12" s="401" t="s">
        <v>1177</v>
      </c>
      <c r="E12" s="401" t="s">
        <v>1179</v>
      </c>
      <c r="F12" s="401" t="s">
        <v>1177</v>
      </c>
      <c r="G12" s="401" t="s">
        <v>1180</v>
      </c>
      <c r="H12" s="401" t="s">
        <v>1176</v>
      </c>
      <c r="I12" s="401" t="s">
        <v>1177</v>
      </c>
      <c r="J12" s="401" t="s">
        <v>1058</v>
      </c>
      <c r="K12" s="401" t="s">
        <v>1181</v>
      </c>
      <c r="L12" s="401" t="s">
        <v>1058</v>
      </c>
      <c r="M12" s="401" t="s">
        <v>1182</v>
      </c>
      <c r="N12" s="401" t="s">
        <v>1177</v>
      </c>
      <c r="O12" s="401" t="s">
        <v>1184</v>
      </c>
      <c r="P12" s="401">
        <v>1900</v>
      </c>
      <c r="Q12" s="401" t="s">
        <v>1185</v>
      </c>
      <c r="R12" s="401" t="s">
        <v>1186</v>
      </c>
      <c r="S12" s="401" t="s">
        <v>1177</v>
      </c>
      <c r="T12" s="401" t="s">
        <v>1070</v>
      </c>
      <c r="U12" s="401" t="s">
        <v>1166</v>
      </c>
      <c r="V12" s="401" t="s">
        <v>382</v>
      </c>
      <c r="W12" s="401" t="s">
        <v>1217</v>
      </c>
      <c r="X12" s="401" t="s">
        <v>2061</v>
      </c>
      <c r="Y12" s="401" t="s">
        <v>1167</v>
      </c>
      <c r="Z12" s="401" t="s">
        <v>1187</v>
      </c>
      <c r="AA12" s="401" t="s">
        <v>1189</v>
      </c>
      <c r="AB12" s="401" t="s">
        <v>1191</v>
      </c>
      <c r="AC12" s="401" t="s">
        <v>1193</v>
      </c>
      <c r="AD12" s="401" t="s">
        <v>1082</v>
      </c>
      <c r="AE12" s="441">
        <v>45108</v>
      </c>
      <c r="AF12" s="439">
        <f>IF(TBKaishaInfo[[#This Row],[就業日]]="","",DATE(YEAR(TBKaishaInfo[[#This Row],[就業日]])+1,MONTH(TBKaishaInfo[[#This Row],[就業日]]),DAY(TBKaishaInfo[[#This Row],[就業日]])-1))</f>
        <v>45473</v>
      </c>
      <c r="AG12" s="443">
        <v>46133</v>
      </c>
      <c r="AH12" s="401" t="s">
        <v>1207</v>
      </c>
      <c r="AI12" s="401" t="s">
        <v>1210</v>
      </c>
      <c r="AJ12" s="401" t="s">
        <v>1214</v>
      </c>
      <c r="AK12" s="401">
        <v>15</v>
      </c>
      <c r="AL12" s="401" t="s">
        <v>1907</v>
      </c>
      <c r="AM12" s="401" t="s">
        <v>1908</v>
      </c>
      <c r="AN12" s="401" t="s">
        <v>2415</v>
      </c>
      <c r="AP12" s="408">
        <v>45747</v>
      </c>
    </row>
    <row r="13" spans="1:43" s="401" customFormat="1" ht="13.5">
      <c r="A13" s="401" t="s">
        <v>1175</v>
      </c>
      <c r="B13" s="401" t="s">
        <v>1176</v>
      </c>
      <c r="C13" s="401" t="s">
        <v>1177</v>
      </c>
      <c r="E13" s="401" t="s">
        <v>1179</v>
      </c>
      <c r="F13" s="401" t="s">
        <v>1177</v>
      </c>
      <c r="G13" s="401" t="s">
        <v>1218</v>
      </c>
      <c r="H13" s="401" t="s">
        <v>1219</v>
      </c>
      <c r="I13" s="401" t="s">
        <v>1220</v>
      </c>
      <c r="J13" s="401" t="s">
        <v>1058</v>
      </c>
      <c r="K13" s="401" t="s">
        <v>1221</v>
      </c>
      <c r="L13" s="401" t="s">
        <v>1058</v>
      </c>
      <c r="M13" s="401" t="s">
        <v>1222</v>
      </c>
      <c r="N13" s="401" t="s">
        <v>1220</v>
      </c>
      <c r="O13" s="401" t="s">
        <v>1184</v>
      </c>
      <c r="P13" s="401">
        <v>1900</v>
      </c>
      <c r="Q13" s="401" t="s">
        <v>1185</v>
      </c>
      <c r="R13" s="401" t="s">
        <v>1186</v>
      </c>
      <c r="S13" s="401" t="s">
        <v>1177</v>
      </c>
      <c r="T13" s="401" t="s">
        <v>1070</v>
      </c>
      <c r="U13" s="401" t="s">
        <v>1166</v>
      </c>
      <c r="V13" s="401" t="s">
        <v>382</v>
      </c>
      <c r="W13" s="401" t="s">
        <v>1070</v>
      </c>
      <c r="X13" s="401" t="s">
        <v>1166</v>
      </c>
      <c r="Y13" s="401" t="s">
        <v>382</v>
      </c>
      <c r="Z13" s="401" t="s">
        <v>1187</v>
      </c>
      <c r="AA13" s="401" t="s">
        <v>1189</v>
      </c>
      <c r="AB13" s="401" t="s">
        <v>1191</v>
      </c>
      <c r="AC13" s="401" t="s">
        <v>1193</v>
      </c>
      <c r="AD13" s="401" t="s">
        <v>1082</v>
      </c>
      <c r="AE13" s="441">
        <v>45200</v>
      </c>
      <c r="AF13" s="439">
        <f>IF(TBKaishaInfo[[#This Row],[就業日]]="","",DATE(YEAR(TBKaishaInfo[[#This Row],[就業日]])+1,MONTH(TBKaishaInfo[[#This Row],[就業日]]),DAY(TBKaishaInfo[[#This Row],[就業日]])-1))</f>
        <v>45565</v>
      </c>
      <c r="AG13" s="443">
        <v>45258</v>
      </c>
      <c r="AH13" s="401" t="s">
        <v>1207</v>
      </c>
      <c r="AI13" s="401" t="s">
        <v>345</v>
      </c>
      <c r="AJ13" s="401" t="s">
        <v>1214</v>
      </c>
      <c r="AK13" s="401">
        <v>15</v>
      </c>
      <c r="AL13" s="401" t="s">
        <v>1907</v>
      </c>
      <c r="AM13" s="401" t="s">
        <v>1908</v>
      </c>
      <c r="AN13" s="401" t="s">
        <v>2415</v>
      </c>
      <c r="AP13" s="408">
        <v>45747</v>
      </c>
    </row>
    <row r="14" spans="1:43" s="401" customFormat="1" ht="13.5">
      <c r="D14" s="409"/>
      <c r="E14" s="409"/>
      <c r="F14" s="409"/>
      <c r="G14" s="409"/>
      <c r="H14" s="409"/>
      <c r="I14" s="409"/>
      <c r="J14" s="409"/>
      <c r="K14" s="409"/>
      <c r="L14" s="409"/>
      <c r="M14" s="409"/>
      <c r="N14" s="409"/>
      <c r="O14" s="409"/>
      <c r="P14" s="409"/>
      <c r="AE14" s="441"/>
      <c r="AF14" s="439"/>
      <c r="AG14" s="443"/>
      <c r="AP14" s="408"/>
    </row>
    <row r="15" spans="1:43" s="401" customFormat="1" ht="13.5" outlineLevel="1">
      <c r="A15" s="410" t="s">
        <v>1223</v>
      </c>
      <c r="B15" s="410" t="s">
        <v>1224</v>
      </c>
      <c r="C15" s="410" t="s">
        <v>1225</v>
      </c>
      <c r="D15" s="409" t="s">
        <v>1226</v>
      </c>
      <c r="E15" s="409" t="s">
        <v>1227</v>
      </c>
      <c r="F15" s="409" t="s">
        <v>1225</v>
      </c>
      <c r="G15" s="409" t="s">
        <v>1180</v>
      </c>
      <c r="H15" s="409" t="s">
        <v>1224</v>
      </c>
      <c r="I15" s="409" t="s">
        <v>1225</v>
      </c>
      <c r="J15" s="409" t="s">
        <v>1586</v>
      </c>
      <c r="K15" s="409" t="s">
        <v>1522</v>
      </c>
      <c r="L15" s="409"/>
      <c r="M15" s="409" t="s">
        <v>1527</v>
      </c>
      <c r="N15" s="409" t="s">
        <v>1225</v>
      </c>
      <c r="O15" s="409" t="s">
        <v>1515</v>
      </c>
      <c r="P15" s="409">
        <v>1700</v>
      </c>
      <c r="Q15" s="410" t="s">
        <v>1226</v>
      </c>
      <c r="R15" s="410" t="s">
        <v>1227</v>
      </c>
      <c r="S15" s="410" t="s">
        <v>1225</v>
      </c>
      <c r="T15" s="410" t="s">
        <v>1070</v>
      </c>
      <c r="U15" s="410" t="s">
        <v>1166</v>
      </c>
      <c r="V15" s="410" t="s">
        <v>382</v>
      </c>
      <c r="W15" s="410" t="s">
        <v>1070</v>
      </c>
      <c r="X15" s="410" t="s">
        <v>1166</v>
      </c>
      <c r="Y15" s="410" t="s">
        <v>382</v>
      </c>
      <c r="Z15" s="410" t="s">
        <v>1523</v>
      </c>
      <c r="AA15" s="410" t="s">
        <v>1516</v>
      </c>
      <c r="AB15" s="410" t="s">
        <v>1054</v>
      </c>
      <c r="AC15" s="410" t="s">
        <v>1081</v>
      </c>
      <c r="AD15" s="410" t="s">
        <v>2412</v>
      </c>
      <c r="AE15" s="441">
        <v>45566</v>
      </c>
      <c r="AF15" s="439">
        <f>IF(TBKaishaInfo[[#This Row],[就業日]]="","",DATE(YEAR(TBKaishaInfo[[#This Row],[就業日]])+1,MONTH(TBKaishaInfo[[#This Row],[就業日]]),DAY(TBKaishaInfo[[#This Row],[就業日]])-1))</f>
        <v>45930</v>
      </c>
      <c r="AG15" s="443">
        <v>45566</v>
      </c>
      <c r="AH15" s="410" t="s">
        <v>1229</v>
      </c>
      <c r="AI15" s="410" t="s">
        <v>345</v>
      </c>
      <c r="AJ15" s="401" t="s">
        <v>1214</v>
      </c>
      <c r="AK15" s="401">
        <v>5</v>
      </c>
      <c r="AL15" s="401" t="s">
        <v>1907</v>
      </c>
      <c r="AM15" s="401" t="s">
        <v>1908</v>
      </c>
      <c r="AN15" s="401" t="s">
        <v>2415</v>
      </c>
      <c r="AP15" s="408">
        <v>45747</v>
      </c>
    </row>
    <row r="16" spans="1:43" s="401" customFormat="1" ht="13.5" outlineLevel="1">
      <c r="A16" s="410" t="s">
        <v>1223</v>
      </c>
      <c r="B16" s="410" t="s">
        <v>1224</v>
      </c>
      <c r="C16" s="410" t="s">
        <v>1225</v>
      </c>
      <c r="D16" s="409" t="s">
        <v>1226</v>
      </c>
      <c r="E16" s="409" t="s">
        <v>1227</v>
      </c>
      <c r="F16" s="409" t="s">
        <v>1225</v>
      </c>
      <c r="G16" s="409" t="s">
        <v>1180</v>
      </c>
      <c r="H16" s="409" t="s">
        <v>1224</v>
      </c>
      <c r="I16" s="409" t="s">
        <v>1225</v>
      </c>
      <c r="J16" s="411" t="s">
        <v>1524</v>
      </c>
      <c r="K16" s="411" t="s">
        <v>1525</v>
      </c>
      <c r="L16" s="411"/>
      <c r="M16" s="411" t="s">
        <v>1526</v>
      </c>
      <c r="N16" s="409" t="s">
        <v>1225</v>
      </c>
      <c r="O16" s="409" t="s">
        <v>1515</v>
      </c>
      <c r="P16" s="409">
        <v>1700</v>
      </c>
      <c r="Q16" s="410" t="s">
        <v>1226</v>
      </c>
      <c r="R16" s="410" t="s">
        <v>1227</v>
      </c>
      <c r="S16" s="410" t="s">
        <v>1225</v>
      </c>
      <c r="T16" s="410" t="s">
        <v>1070</v>
      </c>
      <c r="U16" s="410" t="s">
        <v>1166</v>
      </c>
      <c r="V16" s="410" t="s">
        <v>382</v>
      </c>
      <c r="W16" s="410" t="s">
        <v>1070</v>
      </c>
      <c r="X16" s="410" t="s">
        <v>1166</v>
      </c>
      <c r="Y16" s="410" t="s">
        <v>382</v>
      </c>
      <c r="Z16" s="410" t="s">
        <v>1523</v>
      </c>
      <c r="AA16" s="410" t="s">
        <v>1516</v>
      </c>
      <c r="AB16" s="410" t="s">
        <v>1054</v>
      </c>
      <c r="AC16" s="410" t="s">
        <v>1081</v>
      </c>
      <c r="AD16" s="410" t="s">
        <v>2412</v>
      </c>
      <c r="AE16" s="441">
        <v>45566</v>
      </c>
      <c r="AF16" s="439">
        <f>IF(TBKaishaInfo[[#This Row],[就業日]]="","",DATE(YEAR(TBKaishaInfo[[#This Row],[就業日]])+1,MONTH(TBKaishaInfo[[#This Row],[就業日]]),DAY(TBKaishaInfo[[#This Row],[就業日]])-1))</f>
        <v>45930</v>
      </c>
      <c r="AG16" s="443">
        <v>45566</v>
      </c>
      <c r="AH16" s="410" t="s">
        <v>1229</v>
      </c>
      <c r="AI16" s="410" t="s">
        <v>345</v>
      </c>
      <c r="AJ16" s="401" t="s">
        <v>1214</v>
      </c>
      <c r="AK16" s="401">
        <v>5</v>
      </c>
      <c r="AL16" s="401" t="s">
        <v>1907</v>
      </c>
      <c r="AM16" s="401" t="s">
        <v>1908</v>
      </c>
      <c r="AN16" s="401" t="s">
        <v>2415</v>
      </c>
      <c r="AP16" s="408">
        <v>45747</v>
      </c>
    </row>
    <row r="17" spans="1:48" s="401" customFormat="1" ht="13.5" outlineLevel="1">
      <c r="A17" s="410" t="s">
        <v>1223</v>
      </c>
      <c r="B17" s="410" t="s">
        <v>1224</v>
      </c>
      <c r="C17" s="410" t="s">
        <v>1225</v>
      </c>
      <c r="D17" s="409" t="s">
        <v>1226</v>
      </c>
      <c r="E17" s="409" t="s">
        <v>1227</v>
      </c>
      <c r="F17" s="409" t="s">
        <v>1225</v>
      </c>
      <c r="G17" s="409" t="s">
        <v>1180</v>
      </c>
      <c r="H17" s="409" t="s">
        <v>1224</v>
      </c>
      <c r="I17" s="409" t="s">
        <v>1225</v>
      </c>
      <c r="J17" s="411" t="s">
        <v>1524</v>
      </c>
      <c r="K17" s="411" t="s">
        <v>1242</v>
      </c>
      <c r="L17" s="411"/>
      <c r="M17" s="411" t="s">
        <v>1579</v>
      </c>
      <c r="N17" s="409" t="s">
        <v>1225</v>
      </c>
      <c r="O17" s="409" t="s">
        <v>1515</v>
      </c>
      <c r="P17" s="409">
        <v>1700</v>
      </c>
      <c r="Q17" s="410" t="s">
        <v>1226</v>
      </c>
      <c r="R17" s="410" t="s">
        <v>1227</v>
      </c>
      <c r="S17" s="410" t="s">
        <v>1225</v>
      </c>
      <c r="T17" s="410" t="s">
        <v>1070</v>
      </c>
      <c r="U17" s="410" t="s">
        <v>1166</v>
      </c>
      <c r="V17" s="410" t="s">
        <v>382</v>
      </c>
      <c r="W17" s="410" t="s">
        <v>1070</v>
      </c>
      <c r="X17" s="410" t="s">
        <v>1166</v>
      </c>
      <c r="Y17" s="410" t="s">
        <v>382</v>
      </c>
      <c r="Z17" s="410" t="s">
        <v>1523</v>
      </c>
      <c r="AA17" s="410" t="s">
        <v>1516</v>
      </c>
      <c r="AB17" s="410" t="s">
        <v>1054</v>
      </c>
      <c r="AC17" s="410" t="s">
        <v>1081</v>
      </c>
      <c r="AD17" s="410" t="s">
        <v>2412</v>
      </c>
      <c r="AE17" s="441">
        <v>45566</v>
      </c>
      <c r="AF17" s="439">
        <f>IF(TBKaishaInfo[[#This Row],[就業日]]="","",DATE(YEAR(TBKaishaInfo[[#This Row],[就業日]])+1,MONTH(TBKaishaInfo[[#This Row],[就業日]]),DAY(TBKaishaInfo[[#This Row],[就業日]])-1))</f>
        <v>45930</v>
      </c>
      <c r="AG17" s="443">
        <v>45566</v>
      </c>
      <c r="AH17" s="410" t="s">
        <v>1229</v>
      </c>
      <c r="AI17" s="410" t="s">
        <v>345</v>
      </c>
      <c r="AJ17" s="401" t="s">
        <v>1214</v>
      </c>
      <c r="AK17" s="401">
        <v>5</v>
      </c>
      <c r="AL17" s="401" t="s">
        <v>1907</v>
      </c>
      <c r="AM17" s="401" t="s">
        <v>1908</v>
      </c>
      <c r="AN17" s="401" t="s">
        <v>2415</v>
      </c>
      <c r="AP17" s="408">
        <v>45747</v>
      </c>
    </row>
    <row r="18" spans="1:48" s="401" customFormat="1" ht="13.5" outlineLevel="1">
      <c r="A18" s="411" t="s">
        <v>1223</v>
      </c>
      <c r="B18" s="411" t="s">
        <v>1224</v>
      </c>
      <c r="C18" s="411" t="s">
        <v>1225</v>
      </c>
      <c r="D18" s="409" t="s">
        <v>1226</v>
      </c>
      <c r="E18" s="409" t="s">
        <v>1227</v>
      </c>
      <c r="F18" s="409" t="s">
        <v>1225</v>
      </c>
      <c r="G18" s="409" t="s">
        <v>1180</v>
      </c>
      <c r="H18" s="409" t="s">
        <v>1224</v>
      </c>
      <c r="I18" s="409" t="s">
        <v>1225</v>
      </c>
      <c r="J18" s="409" t="s">
        <v>1235</v>
      </c>
      <c r="K18" s="409" t="s">
        <v>1580</v>
      </c>
      <c r="L18" s="409"/>
      <c r="M18" s="409" t="s">
        <v>1231</v>
      </c>
      <c r="N18" s="409" t="s">
        <v>1225</v>
      </c>
      <c r="O18" s="409" t="s">
        <v>1515</v>
      </c>
      <c r="P18" s="409">
        <v>1700</v>
      </c>
      <c r="Q18" s="411" t="s">
        <v>1226</v>
      </c>
      <c r="R18" s="411" t="s">
        <v>1227</v>
      </c>
      <c r="S18" s="411" t="s">
        <v>1225</v>
      </c>
      <c r="T18" s="411" t="s">
        <v>1070</v>
      </c>
      <c r="U18" s="411" t="s">
        <v>1166</v>
      </c>
      <c r="V18" s="411" t="s">
        <v>382</v>
      </c>
      <c r="W18" s="411" t="s">
        <v>1070</v>
      </c>
      <c r="X18" s="411" t="s">
        <v>1166</v>
      </c>
      <c r="Y18" s="411" t="s">
        <v>382</v>
      </c>
      <c r="Z18" s="410" t="s">
        <v>1523</v>
      </c>
      <c r="AA18" s="410" t="s">
        <v>1516</v>
      </c>
      <c r="AB18" s="411" t="s">
        <v>1054</v>
      </c>
      <c r="AC18" s="411" t="s">
        <v>1081</v>
      </c>
      <c r="AD18" s="411" t="s">
        <v>2412</v>
      </c>
      <c r="AE18" s="441">
        <v>45566</v>
      </c>
      <c r="AF18" s="439">
        <f>IF(TBKaishaInfo[[#This Row],[就業日]]="","",DATE(YEAR(TBKaishaInfo[[#This Row],[就業日]])+1,MONTH(TBKaishaInfo[[#This Row],[就業日]]),DAY(TBKaishaInfo[[#This Row],[就業日]])-1))</f>
        <v>45930</v>
      </c>
      <c r="AG18" s="443">
        <v>45566</v>
      </c>
      <c r="AH18" s="411" t="s">
        <v>1229</v>
      </c>
      <c r="AI18" s="411" t="s">
        <v>345</v>
      </c>
      <c r="AJ18" s="401" t="s">
        <v>1214</v>
      </c>
      <c r="AK18" s="401">
        <v>5</v>
      </c>
      <c r="AL18" s="401" t="s">
        <v>1907</v>
      </c>
      <c r="AM18" s="401" t="s">
        <v>1908</v>
      </c>
      <c r="AN18" s="401" t="s">
        <v>2415</v>
      </c>
      <c r="AP18" s="408">
        <v>45747</v>
      </c>
    </row>
    <row r="19" spans="1:48" s="401" customFormat="1" ht="13.5" outlineLevel="1">
      <c r="A19" s="411" t="s">
        <v>1223</v>
      </c>
      <c r="B19" s="411" t="s">
        <v>1224</v>
      </c>
      <c r="C19" s="411" t="s">
        <v>1225</v>
      </c>
      <c r="D19" s="409" t="s">
        <v>1226</v>
      </c>
      <c r="E19" s="409" t="s">
        <v>1227</v>
      </c>
      <c r="F19" s="409" t="s">
        <v>1225</v>
      </c>
      <c r="G19" s="409" t="s">
        <v>1180</v>
      </c>
      <c r="H19" s="409" t="s">
        <v>1224</v>
      </c>
      <c r="I19" s="409" t="s">
        <v>1225</v>
      </c>
      <c r="J19" s="409" t="s">
        <v>1235</v>
      </c>
      <c r="K19" s="409" t="s">
        <v>1581</v>
      </c>
      <c r="L19" s="409"/>
      <c r="M19" s="409" t="s">
        <v>1528</v>
      </c>
      <c r="N19" s="409" t="s">
        <v>1225</v>
      </c>
      <c r="O19" s="409" t="s">
        <v>1515</v>
      </c>
      <c r="P19" s="409">
        <v>1700</v>
      </c>
      <c r="Q19" s="411" t="s">
        <v>1226</v>
      </c>
      <c r="R19" s="411" t="s">
        <v>1227</v>
      </c>
      <c r="S19" s="411" t="s">
        <v>1225</v>
      </c>
      <c r="T19" s="411" t="s">
        <v>1070</v>
      </c>
      <c r="U19" s="411" t="s">
        <v>1166</v>
      </c>
      <c r="V19" s="411" t="s">
        <v>382</v>
      </c>
      <c r="W19" s="411" t="s">
        <v>1070</v>
      </c>
      <c r="X19" s="411" t="s">
        <v>1166</v>
      </c>
      <c r="Y19" s="411" t="s">
        <v>382</v>
      </c>
      <c r="Z19" s="410" t="s">
        <v>1523</v>
      </c>
      <c r="AA19" s="410" t="s">
        <v>1516</v>
      </c>
      <c r="AB19" s="411" t="s">
        <v>1054</v>
      </c>
      <c r="AC19" s="411" t="s">
        <v>1081</v>
      </c>
      <c r="AD19" s="411" t="s">
        <v>2412</v>
      </c>
      <c r="AE19" s="441">
        <v>45566</v>
      </c>
      <c r="AF19" s="439">
        <f>IF(TBKaishaInfo[[#This Row],[就業日]]="","",DATE(YEAR(TBKaishaInfo[[#This Row],[就業日]])+1,MONTH(TBKaishaInfo[[#This Row],[就業日]]),DAY(TBKaishaInfo[[#This Row],[就業日]])-1))</f>
        <v>45930</v>
      </c>
      <c r="AG19" s="443">
        <v>45566</v>
      </c>
      <c r="AH19" s="411" t="s">
        <v>1229</v>
      </c>
      <c r="AI19" s="411" t="s">
        <v>345</v>
      </c>
      <c r="AJ19" s="401" t="s">
        <v>1214</v>
      </c>
      <c r="AK19" s="401">
        <v>5</v>
      </c>
      <c r="AL19" s="401" t="s">
        <v>1907</v>
      </c>
      <c r="AM19" s="401" t="s">
        <v>1908</v>
      </c>
      <c r="AN19" s="401" t="s">
        <v>2415</v>
      </c>
      <c r="AP19" s="408">
        <v>45747</v>
      </c>
    </row>
    <row r="20" spans="1:48" s="401" customFormat="1" ht="13.5" outlineLevel="1">
      <c r="A20" s="411" t="s">
        <v>1223</v>
      </c>
      <c r="B20" s="411" t="s">
        <v>1224</v>
      </c>
      <c r="C20" s="411" t="s">
        <v>1225</v>
      </c>
      <c r="D20" s="409" t="s">
        <v>1226</v>
      </c>
      <c r="E20" s="409" t="s">
        <v>1227</v>
      </c>
      <c r="F20" s="409" t="s">
        <v>1225</v>
      </c>
      <c r="G20" s="409" t="s">
        <v>1180</v>
      </c>
      <c r="H20" s="409" t="s">
        <v>1224</v>
      </c>
      <c r="I20" s="409" t="s">
        <v>1225</v>
      </c>
      <c r="J20" s="409" t="s">
        <v>1235</v>
      </c>
      <c r="K20" s="409" t="s">
        <v>1582</v>
      </c>
      <c r="L20" s="409"/>
      <c r="M20" s="409" t="s">
        <v>1528</v>
      </c>
      <c r="N20" s="409" t="s">
        <v>1225</v>
      </c>
      <c r="O20" s="409" t="s">
        <v>1515</v>
      </c>
      <c r="P20" s="409">
        <v>1700</v>
      </c>
      <c r="Q20" s="411" t="s">
        <v>1226</v>
      </c>
      <c r="R20" s="411" t="s">
        <v>1227</v>
      </c>
      <c r="S20" s="411" t="s">
        <v>1225</v>
      </c>
      <c r="T20" s="411" t="s">
        <v>1070</v>
      </c>
      <c r="U20" s="411" t="s">
        <v>1166</v>
      </c>
      <c r="V20" s="411" t="s">
        <v>382</v>
      </c>
      <c r="W20" s="411" t="s">
        <v>1070</v>
      </c>
      <c r="X20" s="411" t="s">
        <v>1166</v>
      </c>
      <c r="Y20" s="411" t="s">
        <v>382</v>
      </c>
      <c r="Z20" s="410" t="s">
        <v>1523</v>
      </c>
      <c r="AA20" s="410" t="s">
        <v>1516</v>
      </c>
      <c r="AB20" s="411" t="s">
        <v>1054</v>
      </c>
      <c r="AC20" s="411" t="s">
        <v>1081</v>
      </c>
      <c r="AD20" s="411" t="s">
        <v>2412</v>
      </c>
      <c r="AE20" s="441">
        <v>45566</v>
      </c>
      <c r="AF20" s="439">
        <f>IF(TBKaishaInfo[[#This Row],[就業日]]="","",DATE(YEAR(TBKaishaInfo[[#This Row],[就業日]])+1,MONTH(TBKaishaInfo[[#This Row],[就業日]]),DAY(TBKaishaInfo[[#This Row],[就業日]])-1))</f>
        <v>45930</v>
      </c>
      <c r="AG20" s="443">
        <v>45566</v>
      </c>
      <c r="AH20" s="411" t="s">
        <v>1229</v>
      </c>
      <c r="AI20" s="411" t="s">
        <v>345</v>
      </c>
      <c r="AJ20" s="401" t="s">
        <v>1214</v>
      </c>
      <c r="AK20" s="401">
        <v>5</v>
      </c>
      <c r="AL20" s="401" t="s">
        <v>1907</v>
      </c>
      <c r="AM20" s="401" t="s">
        <v>1908</v>
      </c>
      <c r="AN20" s="401" t="s">
        <v>2415</v>
      </c>
      <c r="AP20" s="408">
        <v>45747</v>
      </c>
    </row>
    <row r="21" spans="1:48" s="401" customFormat="1" ht="13.5" outlineLevel="1">
      <c r="A21" s="412" t="s">
        <v>1223</v>
      </c>
      <c r="B21" s="412" t="s">
        <v>1224</v>
      </c>
      <c r="C21" s="412" t="s">
        <v>1225</v>
      </c>
      <c r="D21" s="409" t="s">
        <v>1226</v>
      </c>
      <c r="E21" s="409" t="s">
        <v>1227</v>
      </c>
      <c r="F21" s="409" t="s">
        <v>1225</v>
      </c>
      <c r="G21" s="409" t="s">
        <v>1180</v>
      </c>
      <c r="H21" s="409" t="s">
        <v>1224</v>
      </c>
      <c r="I21" s="409" t="s">
        <v>1225</v>
      </c>
      <c r="J21" s="409" t="s">
        <v>1233</v>
      </c>
      <c r="K21" s="409" t="s">
        <v>1238</v>
      </c>
      <c r="L21" s="409"/>
      <c r="M21" s="409" t="s">
        <v>1236</v>
      </c>
      <c r="N21" s="409" t="s">
        <v>1225</v>
      </c>
      <c r="O21" s="409" t="s">
        <v>1515</v>
      </c>
      <c r="P21" s="409">
        <v>1700</v>
      </c>
      <c r="Q21" s="412" t="s">
        <v>1226</v>
      </c>
      <c r="R21" s="412" t="s">
        <v>1227</v>
      </c>
      <c r="S21" s="412" t="s">
        <v>1225</v>
      </c>
      <c r="T21" s="412" t="s">
        <v>1070</v>
      </c>
      <c r="U21" s="412" t="s">
        <v>1166</v>
      </c>
      <c r="V21" s="412" t="s">
        <v>382</v>
      </c>
      <c r="W21" s="412" t="s">
        <v>1070</v>
      </c>
      <c r="X21" s="412" t="s">
        <v>1166</v>
      </c>
      <c r="Y21" s="412" t="s">
        <v>382</v>
      </c>
      <c r="Z21" s="410" t="s">
        <v>1523</v>
      </c>
      <c r="AA21" s="410" t="s">
        <v>1516</v>
      </c>
      <c r="AB21" s="412" t="s">
        <v>1054</v>
      </c>
      <c r="AC21" s="412" t="s">
        <v>1081</v>
      </c>
      <c r="AD21" s="413" t="s">
        <v>2412</v>
      </c>
      <c r="AE21" s="441">
        <v>45566</v>
      </c>
      <c r="AF21" s="439">
        <f>IF(TBKaishaInfo[[#This Row],[就業日]]="","",DATE(YEAR(TBKaishaInfo[[#This Row],[就業日]])+1,MONTH(TBKaishaInfo[[#This Row],[就業日]]),DAY(TBKaishaInfo[[#This Row],[就業日]])-1))</f>
        <v>45930</v>
      </c>
      <c r="AG21" s="443">
        <v>45566</v>
      </c>
      <c r="AH21" s="412" t="s">
        <v>1229</v>
      </c>
      <c r="AI21" s="412" t="s">
        <v>345</v>
      </c>
      <c r="AJ21" s="401" t="s">
        <v>1214</v>
      </c>
      <c r="AK21" s="401">
        <v>5</v>
      </c>
      <c r="AL21" s="401" t="s">
        <v>1907</v>
      </c>
      <c r="AM21" s="401" t="s">
        <v>1908</v>
      </c>
      <c r="AN21" s="401" t="s">
        <v>2415</v>
      </c>
      <c r="AP21" s="408">
        <v>45747</v>
      </c>
    </row>
    <row r="22" spans="1:48" s="401" customFormat="1" ht="13.5" outlineLevel="1">
      <c r="A22" s="412" t="s">
        <v>1223</v>
      </c>
      <c r="B22" s="412" t="s">
        <v>1224</v>
      </c>
      <c r="C22" s="412" t="s">
        <v>1225</v>
      </c>
      <c r="D22" s="409" t="s">
        <v>1226</v>
      </c>
      <c r="E22" s="409" t="s">
        <v>1227</v>
      </c>
      <c r="F22" s="409" t="s">
        <v>1225</v>
      </c>
      <c r="G22" s="409" t="s">
        <v>1180</v>
      </c>
      <c r="H22" s="409" t="s">
        <v>1224</v>
      </c>
      <c r="I22" s="409" t="s">
        <v>1225</v>
      </c>
      <c r="J22" s="409" t="s">
        <v>1233</v>
      </c>
      <c r="K22" s="409" t="s">
        <v>1241</v>
      </c>
      <c r="L22" s="409"/>
      <c r="M22" s="409" t="s">
        <v>1529</v>
      </c>
      <c r="N22" s="409" t="s">
        <v>1225</v>
      </c>
      <c r="O22" s="409" t="s">
        <v>1515</v>
      </c>
      <c r="P22" s="409">
        <v>1700</v>
      </c>
      <c r="Q22" s="412" t="s">
        <v>1226</v>
      </c>
      <c r="R22" s="412" t="s">
        <v>1227</v>
      </c>
      <c r="S22" s="412" t="s">
        <v>1225</v>
      </c>
      <c r="T22" s="412" t="s">
        <v>1070</v>
      </c>
      <c r="U22" s="412" t="s">
        <v>1166</v>
      </c>
      <c r="V22" s="412" t="s">
        <v>382</v>
      </c>
      <c r="W22" s="412" t="s">
        <v>1070</v>
      </c>
      <c r="X22" s="412" t="s">
        <v>1166</v>
      </c>
      <c r="Y22" s="412" t="s">
        <v>382</v>
      </c>
      <c r="Z22" s="410" t="s">
        <v>1523</v>
      </c>
      <c r="AA22" s="410" t="s">
        <v>1516</v>
      </c>
      <c r="AB22" s="412" t="s">
        <v>1054</v>
      </c>
      <c r="AC22" s="412" t="s">
        <v>1081</v>
      </c>
      <c r="AD22" s="413" t="s">
        <v>2412</v>
      </c>
      <c r="AE22" s="441">
        <v>45566</v>
      </c>
      <c r="AF22" s="439">
        <f>IF(TBKaishaInfo[[#This Row],[就業日]]="","",DATE(YEAR(TBKaishaInfo[[#This Row],[就業日]])+1,MONTH(TBKaishaInfo[[#This Row],[就業日]]),DAY(TBKaishaInfo[[#This Row],[就業日]])-1))</f>
        <v>45930</v>
      </c>
      <c r="AG22" s="443">
        <v>45566</v>
      </c>
      <c r="AH22" s="412" t="s">
        <v>1229</v>
      </c>
      <c r="AI22" s="412" t="s">
        <v>345</v>
      </c>
      <c r="AJ22" s="401" t="s">
        <v>1214</v>
      </c>
      <c r="AK22" s="401">
        <v>5</v>
      </c>
      <c r="AL22" s="401" t="s">
        <v>1907</v>
      </c>
      <c r="AM22" s="401" t="s">
        <v>1908</v>
      </c>
      <c r="AN22" s="401" t="s">
        <v>2415</v>
      </c>
      <c r="AP22" s="408">
        <v>45747</v>
      </c>
    </row>
    <row r="23" spans="1:48" s="401" customFormat="1" ht="13.5" outlineLevel="1">
      <c r="A23" s="412" t="s">
        <v>1223</v>
      </c>
      <c r="B23" s="412" t="s">
        <v>1224</v>
      </c>
      <c r="C23" s="412" t="s">
        <v>1225</v>
      </c>
      <c r="D23" s="409" t="s">
        <v>1226</v>
      </c>
      <c r="E23" s="409" t="s">
        <v>1227</v>
      </c>
      <c r="F23" s="409" t="s">
        <v>1225</v>
      </c>
      <c r="G23" s="409" t="s">
        <v>1180</v>
      </c>
      <c r="H23" s="409" t="s">
        <v>1224</v>
      </c>
      <c r="I23" s="409" t="s">
        <v>1225</v>
      </c>
      <c r="J23" s="409" t="s">
        <v>1233</v>
      </c>
      <c r="K23" s="409" t="s">
        <v>1239</v>
      </c>
      <c r="L23" s="409"/>
      <c r="M23" s="409" t="s">
        <v>1236</v>
      </c>
      <c r="N23" s="409" t="s">
        <v>1225</v>
      </c>
      <c r="O23" s="409" t="s">
        <v>1515</v>
      </c>
      <c r="P23" s="409">
        <v>1700</v>
      </c>
      <c r="Q23" s="412" t="s">
        <v>1226</v>
      </c>
      <c r="R23" s="412" t="s">
        <v>1227</v>
      </c>
      <c r="S23" s="412" t="s">
        <v>1225</v>
      </c>
      <c r="T23" s="412" t="s">
        <v>1070</v>
      </c>
      <c r="U23" s="412" t="s">
        <v>1166</v>
      </c>
      <c r="V23" s="412" t="s">
        <v>382</v>
      </c>
      <c r="W23" s="412" t="s">
        <v>1070</v>
      </c>
      <c r="X23" s="412" t="s">
        <v>1166</v>
      </c>
      <c r="Y23" s="412" t="s">
        <v>382</v>
      </c>
      <c r="Z23" s="410" t="s">
        <v>1523</v>
      </c>
      <c r="AA23" s="410" t="s">
        <v>1516</v>
      </c>
      <c r="AB23" s="412" t="s">
        <v>1054</v>
      </c>
      <c r="AC23" s="412" t="s">
        <v>1081</v>
      </c>
      <c r="AD23" s="413" t="s">
        <v>2412</v>
      </c>
      <c r="AE23" s="441">
        <v>45566</v>
      </c>
      <c r="AF23" s="439">
        <f>IF(TBKaishaInfo[[#This Row],[就業日]]="","",DATE(YEAR(TBKaishaInfo[[#This Row],[就業日]])+1,MONTH(TBKaishaInfo[[#This Row],[就業日]]),DAY(TBKaishaInfo[[#This Row],[就業日]])-1))</f>
        <v>45930</v>
      </c>
      <c r="AG23" s="443">
        <v>45566</v>
      </c>
      <c r="AH23" s="412" t="s">
        <v>1229</v>
      </c>
      <c r="AI23" s="412" t="s">
        <v>345</v>
      </c>
      <c r="AJ23" s="401" t="s">
        <v>1214</v>
      </c>
      <c r="AK23" s="401">
        <v>5</v>
      </c>
      <c r="AL23" s="401" t="s">
        <v>1907</v>
      </c>
      <c r="AM23" s="401" t="s">
        <v>1908</v>
      </c>
      <c r="AN23" s="401" t="s">
        <v>2415</v>
      </c>
      <c r="AP23" s="408">
        <v>45747</v>
      </c>
    </row>
    <row r="24" spans="1:48" s="401" customFormat="1" ht="13.5" outlineLevel="1">
      <c r="A24" s="412" t="s">
        <v>4340</v>
      </c>
      <c r="B24" s="412" t="s">
        <v>1224</v>
      </c>
      <c r="C24" s="412" t="s">
        <v>1225</v>
      </c>
      <c r="D24" s="409" t="s">
        <v>4341</v>
      </c>
      <c r="E24" s="409" t="s">
        <v>4342</v>
      </c>
      <c r="F24" s="409" t="s">
        <v>1225</v>
      </c>
      <c r="G24" s="409" t="s">
        <v>2080</v>
      </c>
      <c r="H24" s="409" t="s">
        <v>1224</v>
      </c>
      <c r="I24" s="409" t="s">
        <v>1225</v>
      </c>
      <c r="J24" s="409" t="s">
        <v>3895</v>
      </c>
      <c r="K24" s="409" t="s">
        <v>4349</v>
      </c>
      <c r="L24" s="409"/>
      <c r="M24" s="409" t="s">
        <v>4350</v>
      </c>
      <c r="N24" s="409" t="s">
        <v>1225</v>
      </c>
      <c r="O24" s="409" t="s">
        <v>1514</v>
      </c>
      <c r="P24" s="409">
        <v>1700</v>
      </c>
      <c r="Q24" s="412" t="s">
        <v>4341</v>
      </c>
      <c r="R24" s="412" t="s">
        <v>4342</v>
      </c>
      <c r="S24" s="412" t="s">
        <v>1225</v>
      </c>
      <c r="T24" s="412" t="s">
        <v>1070</v>
      </c>
      <c r="U24" s="412" t="s">
        <v>4343</v>
      </c>
      <c r="V24" s="412" t="s">
        <v>382</v>
      </c>
      <c r="W24" s="412" t="s">
        <v>1070</v>
      </c>
      <c r="X24" s="412" t="s">
        <v>4343</v>
      </c>
      <c r="Y24" s="412" t="s">
        <v>382</v>
      </c>
      <c r="Z24" s="410" t="s">
        <v>4344</v>
      </c>
      <c r="AA24" s="410" t="s">
        <v>4345</v>
      </c>
      <c r="AB24" s="412" t="s">
        <v>4346</v>
      </c>
      <c r="AC24" s="412" t="s">
        <v>4347</v>
      </c>
      <c r="AD24" s="413" t="s">
        <v>2412</v>
      </c>
      <c r="AE24" s="441">
        <v>45566</v>
      </c>
      <c r="AF24" s="440">
        <v>45930</v>
      </c>
      <c r="AG24" s="443">
        <v>45566</v>
      </c>
      <c r="AH24" s="412" t="s">
        <v>1229</v>
      </c>
      <c r="AI24" s="412" t="s">
        <v>345</v>
      </c>
      <c r="AJ24" s="401" t="s">
        <v>4333</v>
      </c>
      <c r="AK24" s="401">
        <v>5</v>
      </c>
      <c r="AL24" s="401" t="s">
        <v>4346</v>
      </c>
      <c r="AM24" s="401" t="s">
        <v>4348</v>
      </c>
      <c r="AN24" s="401" t="s">
        <v>2415</v>
      </c>
      <c r="AP24" s="408">
        <v>45747</v>
      </c>
    </row>
    <row r="25" spans="1:48" s="401" customFormat="1" ht="13.5" outlineLevel="1">
      <c r="A25" s="414" t="s">
        <v>1223</v>
      </c>
      <c r="B25" s="414" t="s">
        <v>1224</v>
      </c>
      <c r="C25" s="414" t="s">
        <v>1225</v>
      </c>
      <c r="D25" s="409" t="s">
        <v>1226</v>
      </c>
      <c r="E25" s="409" t="s">
        <v>1227</v>
      </c>
      <c r="F25" s="409" t="s">
        <v>1225</v>
      </c>
      <c r="G25" s="409" t="s">
        <v>1243</v>
      </c>
      <c r="H25" s="409" t="s">
        <v>1244</v>
      </c>
      <c r="I25" s="409" t="s">
        <v>1245</v>
      </c>
      <c r="J25" s="409" t="s">
        <v>1246</v>
      </c>
      <c r="K25" s="409" t="s">
        <v>1248</v>
      </c>
      <c r="L25" s="409"/>
      <c r="M25" s="409" t="s">
        <v>1521</v>
      </c>
      <c r="N25" s="409" t="s">
        <v>1245</v>
      </c>
      <c r="O25" s="409" t="s">
        <v>1515</v>
      </c>
      <c r="P25" s="409">
        <v>1700</v>
      </c>
      <c r="Q25" s="414" t="s">
        <v>1226</v>
      </c>
      <c r="R25" s="414" t="s">
        <v>1227</v>
      </c>
      <c r="S25" s="414" t="s">
        <v>1225</v>
      </c>
      <c r="T25" s="414" t="s">
        <v>1070</v>
      </c>
      <c r="U25" s="414" t="s">
        <v>1166</v>
      </c>
      <c r="V25" s="414" t="s">
        <v>382</v>
      </c>
      <c r="W25" s="414" t="s">
        <v>1070</v>
      </c>
      <c r="X25" s="414" t="s">
        <v>1166</v>
      </c>
      <c r="Y25" s="414" t="s">
        <v>382</v>
      </c>
      <c r="Z25" s="410" t="s">
        <v>1523</v>
      </c>
      <c r="AA25" s="410" t="s">
        <v>1516</v>
      </c>
      <c r="AB25" s="414" t="s">
        <v>1054</v>
      </c>
      <c r="AC25" s="414" t="s">
        <v>1081</v>
      </c>
      <c r="AD25" s="414" t="s">
        <v>2412</v>
      </c>
      <c r="AE25" s="441">
        <v>45566</v>
      </c>
      <c r="AF25" s="439">
        <f>IF(TBKaishaInfo[[#This Row],[就業日]]="","",DATE(YEAR(TBKaishaInfo[[#This Row],[就業日]])+1,MONTH(TBKaishaInfo[[#This Row],[就業日]]),DAY(TBKaishaInfo[[#This Row],[就業日]])-1))</f>
        <v>45930</v>
      </c>
      <c r="AG25" s="443">
        <v>45566</v>
      </c>
      <c r="AH25" s="414" t="s">
        <v>1229</v>
      </c>
      <c r="AI25" s="414" t="s">
        <v>345</v>
      </c>
      <c r="AJ25" s="401" t="s">
        <v>1214</v>
      </c>
      <c r="AK25" s="401">
        <v>5</v>
      </c>
      <c r="AL25" s="401" t="s">
        <v>1907</v>
      </c>
      <c r="AM25" s="401" t="s">
        <v>1908</v>
      </c>
      <c r="AN25" s="401" t="s">
        <v>2415</v>
      </c>
      <c r="AP25" s="408">
        <v>45747</v>
      </c>
    </row>
    <row r="26" spans="1:48" s="401" customFormat="1" ht="13.5" outlineLevel="1">
      <c r="A26" s="414" t="s">
        <v>1223</v>
      </c>
      <c r="B26" s="414" t="s">
        <v>1224</v>
      </c>
      <c r="C26" s="414" t="s">
        <v>1225</v>
      </c>
      <c r="D26" s="409" t="s">
        <v>1226</v>
      </c>
      <c r="E26" s="409" t="s">
        <v>1227</v>
      </c>
      <c r="F26" s="409" t="s">
        <v>1225</v>
      </c>
      <c r="G26" s="409" t="s">
        <v>1243</v>
      </c>
      <c r="H26" s="409" t="s">
        <v>1518</v>
      </c>
      <c r="I26" s="409" t="s">
        <v>1519</v>
      </c>
      <c r="J26" s="409" t="s">
        <v>1520</v>
      </c>
      <c r="K26" s="409" t="s">
        <v>1513</v>
      </c>
      <c r="L26" s="409"/>
      <c r="M26" s="409" t="s">
        <v>1530</v>
      </c>
      <c r="N26" s="409" t="s">
        <v>1519</v>
      </c>
      <c r="O26" s="409" t="s">
        <v>1514</v>
      </c>
      <c r="P26" s="409">
        <v>1700</v>
      </c>
      <c r="Q26" s="414" t="s">
        <v>1226</v>
      </c>
      <c r="R26" s="414" t="s">
        <v>1227</v>
      </c>
      <c r="S26" s="414" t="s">
        <v>1225</v>
      </c>
      <c r="T26" s="414" t="s">
        <v>1070</v>
      </c>
      <c r="U26" s="414" t="s">
        <v>1166</v>
      </c>
      <c r="V26" s="414" t="s">
        <v>382</v>
      </c>
      <c r="W26" s="414" t="s">
        <v>1070</v>
      </c>
      <c r="X26" s="414" t="s">
        <v>1166</v>
      </c>
      <c r="Y26" s="414" t="s">
        <v>382</v>
      </c>
      <c r="Z26" s="410" t="s">
        <v>1523</v>
      </c>
      <c r="AA26" s="414" t="s">
        <v>1516</v>
      </c>
      <c r="AB26" s="414" t="s">
        <v>1054</v>
      </c>
      <c r="AC26" s="414" t="s">
        <v>1081</v>
      </c>
      <c r="AD26" s="414" t="s">
        <v>2412</v>
      </c>
      <c r="AE26" s="441">
        <v>45566</v>
      </c>
      <c r="AF26" s="439">
        <f>IF(TBKaishaInfo[[#This Row],[就業日]]="","",DATE(YEAR(TBKaishaInfo[[#This Row],[就業日]])+1,MONTH(TBKaishaInfo[[#This Row],[就業日]]),DAY(TBKaishaInfo[[#This Row],[就業日]])-1))</f>
        <v>45930</v>
      </c>
      <c r="AG26" s="443">
        <v>45566</v>
      </c>
      <c r="AH26" s="414" t="s">
        <v>1229</v>
      </c>
      <c r="AI26" s="414" t="s">
        <v>1210</v>
      </c>
      <c r="AJ26" s="401" t="s">
        <v>1214</v>
      </c>
      <c r="AK26" s="401">
        <v>5</v>
      </c>
      <c r="AL26" s="401" t="s">
        <v>1907</v>
      </c>
      <c r="AM26" s="401" t="s">
        <v>1908</v>
      </c>
      <c r="AN26" s="401" t="s">
        <v>2415</v>
      </c>
      <c r="AP26" s="408">
        <v>45747</v>
      </c>
    </row>
    <row r="27" spans="1:48" s="401" customFormat="1" ht="13.5" outlineLevel="1">
      <c r="A27" s="414"/>
      <c r="B27" s="414"/>
      <c r="C27" s="414"/>
      <c r="D27" s="409"/>
      <c r="E27" s="409"/>
      <c r="F27" s="409"/>
      <c r="G27" s="409"/>
      <c r="H27" s="409"/>
      <c r="I27" s="409"/>
      <c r="J27" s="409"/>
      <c r="K27" s="409"/>
      <c r="L27" s="409"/>
      <c r="M27" s="409"/>
      <c r="N27" s="409"/>
      <c r="O27" s="409"/>
      <c r="P27" s="409"/>
      <c r="Q27" s="414"/>
      <c r="R27" s="414"/>
      <c r="S27" s="414"/>
      <c r="T27" s="414"/>
      <c r="U27" s="414"/>
      <c r="V27" s="414"/>
      <c r="W27" s="414"/>
      <c r="X27" s="414"/>
      <c r="Y27" s="414"/>
      <c r="Z27" s="410"/>
      <c r="AA27" s="414"/>
      <c r="AB27" s="414"/>
      <c r="AC27" s="414"/>
      <c r="AD27" s="414"/>
      <c r="AE27" s="441"/>
      <c r="AF27" s="440"/>
      <c r="AG27" s="443"/>
      <c r="AH27" s="414"/>
      <c r="AI27" s="414"/>
      <c r="AP27" s="408"/>
    </row>
    <row r="28" spans="1:48" s="401" customFormat="1" ht="13.5">
      <c r="AE28" s="441"/>
      <c r="AF28" s="439" t="str">
        <f>IF(TBKaishaInfo[[#This Row],[就業日]]="","",DATE(YEAR(TBKaishaInfo[[#This Row],[就業日]])+1,MONTH(TBKaishaInfo[[#This Row],[就業日]]),DAY(TBKaishaInfo[[#This Row],[就業日]])-1))</f>
        <v/>
      </c>
      <c r="AG28" s="443"/>
      <c r="AK28" s="401">
        <v>15</v>
      </c>
      <c r="AL28" s="401" t="s">
        <v>1907</v>
      </c>
      <c r="AM28" s="401" t="s">
        <v>1908</v>
      </c>
      <c r="AN28" s="401" t="s">
        <v>2415</v>
      </c>
      <c r="AP28" s="408">
        <v>45747</v>
      </c>
    </row>
    <row r="29" spans="1:48" s="401" customFormat="1" ht="13.5">
      <c r="A29" s="401" t="s">
        <v>1251</v>
      </c>
      <c r="B29" s="401" t="s">
        <v>1253</v>
      </c>
      <c r="C29" s="401" t="s">
        <v>1255</v>
      </c>
      <c r="D29" s="401" t="s">
        <v>1257</v>
      </c>
      <c r="E29" s="401" t="s">
        <v>1256</v>
      </c>
      <c r="F29" s="401" t="s">
        <v>1254</v>
      </c>
      <c r="G29" s="401" t="s">
        <v>1180</v>
      </c>
      <c r="H29" s="401" t="s">
        <v>1252</v>
      </c>
      <c r="I29" s="401" t="s">
        <v>1254</v>
      </c>
      <c r="J29" s="401" t="s">
        <v>1258</v>
      </c>
      <c r="K29" s="401" t="s">
        <v>1260</v>
      </c>
      <c r="L29" s="401" t="s">
        <v>1257</v>
      </c>
      <c r="M29" s="401" t="s">
        <v>1256</v>
      </c>
      <c r="N29" s="401" t="s">
        <v>1254</v>
      </c>
      <c r="O29" s="401" t="s">
        <v>1259</v>
      </c>
      <c r="P29" s="401">
        <v>1750</v>
      </c>
      <c r="Q29" s="401" t="s">
        <v>1257</v>
      </c>
      <c r="R29" s="401" t="s">
        <v>1256</v>
      </c>
      <c r="S29" s="401" t="s">
        <v>1254</v>
      </c>
      <c r="T29" s="401" t="s">
        <v>1070</v>
      </c>
      <c r="U29" s="401" t="s">
        <v>1071</v>
      </c>
      <c r="V29" s="401" t="s">
        <v>382</v>
      </c>
      <c r="W29" s="401" t="s">
        <v>1070</v>
      </c>
      <c r="X29" s="401" t="s">
        <v>1072</v>
      </c>
      <c r="Y29" s="401" t="s">
        <v>382</v>
      </c>
      <c r="Z29" s="401" t="s">
        <v>1261</v>
      </c>
      <c r="AA29" s="401" t="s">
        <v>1262</v>
      </c>
      <c r="AB29" s="401" t="s">
        <v>1054</v>
      </c>
      <c r="AC29" s="401" t="s">
        <v>1263</v>
      </c>
      <c r="AD29" s="401" t="s">
        <v>1082</v>
      </c>
      <c r="AE29" s="441">
        <v>45159</v>
      </c>
      <c r="AF29" s="439">
        <f>IF(TBKaishaInfo[[#This Row],[就業日]]="","",DATE(YEAR(TBKaishaInfo[[#This Row],[就業日]])+1,MONTH(TBKaishaInfo[[#This Row],[就業日]]),DAY(TBKaishaInfo[[#This Row],[就業日]])-1))</f>
        <v>45524</v>
      </c>
      <c r="AG29" s="443">
        <v>46254</v>
      </c>
      <c r="AH29" s="401" t="s">
        <v>1229</v>
      </c>
      <c r="AI29" s="401" t="s">
        <v>345</v>
      </c>
      <c r="AJ29" s="401" t="s">
        <v>1214</v>
      </c>
      <c r="AK29" s="401">
        <v>15</v>
      </c>
      <c r="AL29" s="401" t="s">
        <v>1907</v>
      </c>
      <c r="AM29" s="401" t="s">
        <v>1908</v>
      </c>
      <c r="AN29" s="401" t="s">
        <v>2415</v>
      </c>
      <c r="AP29" s="408">
        <v>45747</v>
      </c>
    </row>
    <row r="30" spans="1:48" s="401" customFormat="1" ht="13.5">
      <c r="AE30" s="441"/>
      <c r="AF30" s="439" t="str">
        <f>IF(TBKaishaInfo[[#This Row],[就業日]]="","",DATE(YEAR(TBKaishaInfo[[#This Row],[就業日]])+1,MONTH(TBKaishaInfo[[#This Row],[就業日]]),DAY(TBKaishaInfo[[#This Row],[就業日]])-1))</f>
        <v/>
      </c>
      <c r="AG30" s="443"/>
      <c r="AK30" s="401">
        <v>15</v>
      </c>
      <c r="AL30" s="401" t="s">
        <v>1907</v>
      </c>
      <c r="AM30" s="401" t="s">
        <v>1908</v>
      </c>
      <c r="AN30" s="401" t="s">
        <v>2415</v>
      </c>
      <c r="AP30" s="408">
        <v>45747</v>
      </c>
    </row>
    <row r="31" spans="1:48" s="401" customFormat="1" ht="12.75" customHeight="1">
      <c r="A31" s="401" t="s">
        <v>1304</v>
      </c>
      <c r="B31" s="401" t="s">
        <v>1305</v>
      </c>
      <c r="C31" s="401" t="s">
        <v>1308</v>
      </c>
      <c r="D31" s="401" t="s">
        <v>1306</v>
      </c>
      <c r="E31" s="401" t="s">
        <v>4598</v>
      </c>
      <c r="F31" s="401" t="s">
        <v>1344</v>
      </c>
      <c r="G31" s="401" t="s">
        <v>1306</v>
      </c>
      <c r="H31" s="415" t="s">
        <v>1346</v>
      </c>
      <c r="I31" s="401" t="s">
        <v>1344</v>
      </c>
      <c r="J31" s="401" t="s">
        <v>1307</v>
      </c>
      <c r="K31" s="401" t="s">
        <v>2526</v>
      </c>
      <c r="L31" s="401" t="s">
        <v>1065</v>
      </c>
      <c r="M31" s="401" t="s">
        <v>4596</v>
      </c>
      <c r="N31" s="401" t="s">
        <v>1344</v>
      </c>
      <c r="O31" s="401" t="s">
        <v>1345</v>
      </c>
      <c r="P31" s="401">
        <v>1872</v>
      </c>
      <c r="Q31" s="401" t="s">
        <v>2532</v>
      </c>
      <c r="R31" s="401" t="s">
        <v>3994</v>
      </c>
      <c r="S31" s="401" t="s">
        <v>1308</v>
      </c>
      <c r="T31" s="414" t="s">
        <v>1070</v>
      </c>
      <c r="U31" s="414" t="s">
        <v>1309</v>
      </c>
      <c r="V31" s="414" t="s">
        <v>382</v>
      </c>
      <c r="W31" s="414" t="s">
        <v>1070</v>
      </c>
      <c r="X31" s="414" t="s">
        <v>1166</v>
      </c>
      <c r="Y31" s="414" t="s">
        <v>382</v>
      </c>
      <c r="Z31" s="414" t="s">
        <v>1228</v>
      </c>
      <c r="AA31" s="414" t="s">
        <v>1310</v>
      </c>
      <c r="AB31" s="414" t="s">
        <v>1054</v>
      </c>
      <c r="AC31" s="414" t="s">
        <v>1311</v>
      </c>
      <c r="AD31" s="401" t="s">
        <v>1082</v>
      </c>
      <c r="AE31" s="441">
        <v>45956</v>
      </c>
      <c r="AF31" s="439">
        <f>IF(TBKaishaInfo[[#This Row],[就業日]]="","",DATE(YEAR(TBKaishaInfo[[#This Row],[就業日]])+1,MONTH(TBKaishaInfo[[#This Row],[就業日]]),DAY(TBKaishaInfo[[#This Row],[就業日]])-1))</f>
        <v>46320</v>
      </c>
      <c r="AG31" s="443">
        <v>46661</v>
      </c>
      <c r="AH31" s="414" t="s">
        <v>1206</v>
      </c>
      <c r="AI31" s="414" t="s">
        <v>345</v>
      </c>
      <c r="AJ31" s="416" t="s">
        <v>2039</v>
      </c>
      <c r="AK31" s="401">
        <v>15</v>
      </c>
      <c r="AL31" s="401" t="s">
        <v>1907</v>
      </c>
      <c r="AM31" s="401" t="s">
        <v>1908</v>
      </c>
      <c r="AN31" s="401" t="s">
        <v>2415</v>
      </c>
      <c r="AP31" s="408">
        <v>45747</v>
      </c>
    </row>
    <row r="32" spans="1:48">
      <c r="A32" s="401" t="s">
        <v>1304</v>
      </c>
      <c r="B32" s="401" t="s">
        <v>1305</v>
      </c>
      <c r="C32" s="401" t="s">
        <v>1349</v>
      </c>
      <c r="D32" s="401" t="s">
        <v>1306</v>
      </c>
      <c r="E32" s="401" t="s">
        <v>4598</v>
      </c>
      <c r="F32" s="401" t="s">
        <v>1350</v>
      </c>
      <c r="G32" s="401" t="s">
        <v>1306</v>
      </c>
      <c r="H32" s="401" t="s">
        <v>1346</v>
      </c>
      <c r="I32" s="401" t="s">
        <v>1350</v>
      </c>
      <c r="J32" s="401" t="s">
        <v>1307</v>
      </c>
      <c r="K32" s="401" t="s">
        <v>1353</v>
      </c>
      <c r="L32" s="401" t="s">
        <v>1066</v>
      </c>
      <c r="M32" s="401" t="s">
        <v>4596</v>
      </c>
      <c r="N32" s="401" t="s">
        <v>1350</v>
      </c>
      <c r="O32" s="401" t="s">
        <v>1351</v>
      </c>
      <c r="P32" s="401">
        <v>1872</v>
      </c>
      <c r="Q32" s="401" t="s">
        <v>2532</v>
      </c>
      <c r="R32" s="401" t="s">
        <v>3994</v>
      </c>
      <c r="S32" s="401" t="s">
        <v>1349</v>
      </c>
      <c r="T32" s="401" t="s">
        <v>1070</v>
      </c>
      <c r="U32" s="401" t="s">
        <v>1309</v>
      </c>
      <c r="V32" s="401" t="s">
        <v>382</v>
      </c>
      <c r="W32" s="401" t="s">
        <v>1070</v>
      </c>
      <c r="X32" s="401" t="s">
        <v>1166</v>
      </c>
      <c r="Y32" s="401" t="s">
        <v>382</v>
      </c>
      <c r="Z32" s="401" t="s">
        <v>1228</v>
      </c>
      <c r="AA32" s="401" t="s">
        <v>1352</v>
      </c>
      <c r="AB32" s="401" t="s">
        <v>1054</v>
      </c>
      <c r="AC32" s="401" t="s">
        <v>1311</v>
      </c>
      <c r="AD32" s="401" t="s">
        <v>1082</v>
      </c>
      <c r="AE32" s="441">
        <v>45956</v>
      </c>
      <c r="AF32" s="439">
        <f>IF(TBKaishaInfo[[#This Row],[就業日]]="","",DATE(YEAR(TBKaishaInfo[[#This Row],[就業日]])+1,MONTH(TBKaishaInfo[[#This Row],[就業日]]),DAY(TBKaishaInfo[[#This Row],[就業日]])-1))</f>
        <v>46320</v>
      </c>
      <c r="AG32" s="443">
        <v>46661</v>
      </c>
      <c r="AH32" s="401" t="s">
        <v>1229</v>
      </c>
      <c r="AI32" s="401" t="s">
        <v>345</v>
      </c>
      <c r="AJ32" s="416" t="s">
        <v>2039</v>
      </c>
      <c r="AK32" s="401">
        <v>15</v>
      </c>
      <c r="AL32" s="401" t="s">
        <v>1907</v>
      </c>
      <c r="AM32" s="401" t="s">
        <v>1908</v>
      </c>
      <c r="AN32" s="401" t="s">
        <v>2415</v>
      </c>
      <c r="AO32" s="401"/>
      <c r="AP32" s="408">
        <v>45747</v>
      </c>
      <c r="AQ32" s="401"/>
      <c r="AR32" s="401"/>
      <c r="AS32" s="401"/>
      <c r="AT32" s="401"/>
      <c r="AU32" s="401"/>
      <c r="AV32" s="401"/>
    </row>
    <row r="33" spans="1:48">
      <c r="A33" s="401" t="s">
        <v>1304</v>
      </c>
      <c r="B33" s="401" t="s">
        <v>1305</v>
      </c>
      <c r="C33" s="401" t="s">
        <v>1349</v>
      </c>
      <c r="D33" s="401" t="s">
        <v>1306</v>
      </c>
      <c r="E33" s="401" t="s">
        <v>4598</v>
      </c>
      <c r="F33" s="401" t="s">
        <v>1350</v>
      </c>
      <c r="G33" s="401" t="s">
        <v>1306</v>
      </c>
      <c r="H33" s="401" t="s">
        <v>1346</v>
      </c>
      <c r="I33" s="401" t="s">
        <v>1350</v>
      </c>
      <c r="J33" s="401" t="s">
        <v>2407</v>
      </c>
      <c r="K33" s="401" t="s">
        <v>2406</v>
      </c>
      <c r="L33" s="401" t="s">
        <v>1066</v>
      </c>
      <c r="M33" s="401" t="s">
        <v>4597</v>
      </c>
      <c r="N33" s="401" t="s">
        <v>1350</v>
      </c>
      <c r="O33" s="401" t="s">
        <v>1351</v>
      </c>
      <c r="P33" s="401">
        <v>1872</v>
      </c>
      <c r="Q33" s="401" t="s">
        <v>2532</v>
      </c>
      <c r="R33" s="401" t="s">
        <v>3994</v>
      </c>
      <c r="S33" s="401" t="s">
        <v>1349</v>
      </c>
      <c r="T33" s="401" t="s">
        <v>1070</v>
      </c>
      <c r="U33" s="401" t="s">
        <v>1309</v>
      </c>
      <c r="V33" s="401" t="s">
        <v>382</v>
      </c>
      <c r="W33" s="401" t="s">
        <v>1070</v>
      </c>
      <c r="X33" s="401" t="s">
        <v>1166</v>
      </c>
      <c r="Y33" s="401" t="s">
        <v>382</v>
      </c>
      <c r="Z33" s="401" t="s">
        <v>1228</v>
      </c>
      <c r="AA33" s="401" t="s">
        <v>1352</v>
      </c>
      <c r="AB33" s="401" t="s">
        <v>1054</v>
      </c>
      <c r="AC33" s="401" t="s">
        <v>1311</v>
      </c>
      <c r="AD33" s="401" t="s">
        <v>1082</v>
      </c>
      <c r="AE33" s="441">
        <v>45956</v>
      </c>
      <c r="AF33" s="439">
        <f>IF(TBKaishaInfo[[#This Row],[就業日]]="","",DATE(YEAR(TBKaishaInfo[[#This Row],[就業日]])+1,MONTH(TBKaishaInfo[[#This Row],[就業日]]),DAY(TBKaishaInfo[[#This Row],[就業日]])-1))</f>
        <v>46320</v>
      </c>
      <c r="AG33" s="443">
        <v>46661</v>
      </c>
      <c r="AH33" s="401" t="s">
        <v>1229</v>
      </c>
      <c r="AI33" s="401" t="s">
        <v>345</v>
      </c>
      <c r="AJ33" s="419" t="s">
        <v>2228</v>
      </c>
      <c r="AK33" s="401">
        <v>15</v>
      </c>
      <c r="AL33" s="401" t="s">
        <v>1907</v>
      </c>
      <c r="AM33" s="401" t="s">
        <v>1908</v>
      </c>
      <c r="AN33" s="401" t="s">
        <v>2415</v>
      </c>
      <c r="AO33" s="401"/>
      <c r="AP33" s="408">
        <v>45747</v>
      </c>
      <c r="AQ33" s="401"/>
      <c r="AR33" s="401"/>
      <c r="AS33" s="401"/>
      <c r="AT33" s="401"/>
      <c r="AU33" s="401"/>
      <c r="AV33" s="401"/>
    </row>
    <row r="34" spans="1:48">
      <c r="A34" s="401"/>
      <c r="B34" s="401"/>
      <c r="C34" s="401"/>
      <c r="D34" s="401"/>
      <c r="E34" s="401"/>
      <c r="F34" s="401"/>
      <c r="G34" s="401"/>
      <c r="H34" s="401"/>
      <c r="I34" s="401"/>
      <c r="J34" s="401"/>
      <c r="K34" s="401"/>
      <c r="L34" s="401"/>
      <c r="M34" s="401"/>
      <c r="N34" s="401"/>
      <c r="O34" s="401"/>
      <c r="P34" s="401"/>
      <c r="Q34" s="401"/>
      <c r="R34" s="401"/>
      <c r="S34" s="401"/>
      <c r="T34" s="401"/>
      <c r="U34" s="401"/>
      <c r="V34" s="401"/>
      <c r="W34" s="401"/>
      <c r="X34" s="401"/>
      <c r="Y34" s="401"/>
      <c r="Z34" s="401"/>
      <c r="AA34" s="401"/>
      <c r="AB34" s="401"/>
      <c r="AC34" s="401"/>
      <c r="AD34" s="401"/>
      <c r="AE34" s="441"/>
      <c r="AF34" s="439" t="str">
        <f>IF(TBKaishaInfo[[#This Row],[就業日]]="","",DATE(YEAR(TBKaishaInfo[[#This Row],[就業日]])+1,MONTH(TBKaishaInfo[[#This Row],[就業日]]),DAY(TBKaishaInfo[[#This Row],[就業日]])-1))</f>
        <v/>
      </c>
      <c r="AG34" s="443"/>
      <c r="AH34" s="401"/>
      <c r="AI34" s="401"/>
      <c r="AJ34" s="401"/>
      <c r="AK34" s="401"/>
      <c r="AL34" s="401"/>
      <c r="AM34" s="401"/>
      <c r="AN34" s="401"/>
      <c r="AO34" s="401"/>
      <c r="AP34" s="408">
        <v>45747</v>
      </c>
      <c r="AQ34" s="401"/>
      <c r="AR34" s="401"/>
      <c r="AS34" s="401"/>
      <c r="AT34" s="401"/>
      <c r="AU34" s="401"/>
      <c r="AV34" s="401"/>
    </row>
    <row r="35" spans="1:48" s="34" customFormat="1" ht="13.5">
      <c r="A35" s="34" t="s">
        <v>1745</v>
      </c>
      <c r="B35" s="34" t="s">
        <v>1849</v>
      </c>
      <c r="C35" s="34" t="s">
        <v>1748</v>
      </c>
      <c r="E35" s="34" t="s">
        <v>1749</v>
      </c>
      <c r="F35" s="34" t="s">
        <v>1748</v>
      </c>
      <c r="G35" s="34" t="s">
        <v>1180</v>
      </c>
      <c r="H35" s="34" t="s">
        <v>1746</v>
      </c>
      <c r="I35" s="34" t="s">
        <v>1748</v>
      </c>
      <c r="J35" s="401" t="s">
        <v>1058</v>
      </c>
      <c r="K35" s="401" t="s">
        <v>1882</v>
      </c>
      <c r="L35" s="401" t="s">
        <v>1881</v>
      </c>
      <c r="M35" s="34" t="s">
        <v>1883</v>
      </c>
      <c r="N35" s="34" t="s">
        <v>1748</v>
      </c>
      <c r="O35" s="34" t="s">
        <v>1887</v>
      </c>
      <c r="P35" s="34">
        <v>1750</v>
      </c>
      <c r="R35" s="34" t="s">
        <v>1749</v>
      </c>
      <c r="S35" s="34" t="s">
        <v>1747</v>
      </c>
      <c r="T35" s="34" t="s">
        <v>1070</v>
      </c>
      <c r="U35" s="34" t="s">
        <v>1166</v>
      </c>
      <c r="V35" s="34" t="s">
        <v>382</v>
      </c>
      <c r="W35" s="34" t="s">
        <v>1070</v>
      </c>
      <c r="X35" s="34" t="s">
        <v>1166</v>
      </c>
      <c r="Y35" s="34" t="s">
        <v>382</v>
      </c>
      <c r="Z35" s="34" t="s">
        <v>1750</v>
      </c>
      <c r="AA35" s="34" t="s">
        <v>2050</v>
      </c>
      <c r="AB35" s="34" t="s">
        <v>1191</v>
      </c>
      <c r="AC35" s="34" t="s">
        <v>1193</v>
      </c>
      <c r="AD35" s="401" t="s">
        <v>1082</v>
      </c>
      <c r="AE35" s="442">
        <v>45200</v>
      </c>
      <c r="AF35" s="439">
        <f>IF(TBKaishaInfo[[#This Row],[就業日]]="","",DATE(YEAR(TBKaishaInfo[[#This Row],[就業日]])+1,MONTH(TBKaishaInfo[[#This Row],[就業日]]),DAY(TBKaishaInfo[[#This Row],[就業日]])-1))</f>
        <v>45565</v>
      </c>
      <c r="AG35" s="444">
        <v>45931</v>
      </c>
      <c r="AH35" s="34" t="s">
        <v>2072</v>
      </c>
      <c r="AI35" s="34" t="s">
        <v>345</v>
      </c>
      <c r="AJ35" s="416" t="s">
        <v>2039</v>
      </c>
      <c r="AK35" s="34">
        <v>15</v>
      </c>
      <c r="AL35" s="401" t="s">
        <v>1907</v>
      </c>
      <c r="AM35" s="401" t="s">
        <v>1908</v>
      </c>
      <c r="AN35" s="401" t="s">
        <v>2073</v>
      </c>
      <c r="AO35" s="401"/>
      <c r="AP35" s="408">
        <v>45747</v>
      </c>
      <c r="AQ35" s="401"/>
    </row>
    <row r="36" spans="1:48">
      <c r="A36" s="34" t="s">
        <v>1745</v>
      </c>
      <c r="B36" s="34" t="s">
        <v>1849</v>
      </c>
      <c r="C36" s="34" t="s">
        <v>1748</v>
      </c>
      <c r="D36" s="34"/>
      <c r="E36" s="34" t="s">
        <v>1749</v>
      </c>
      <c r="F36" s="34" t="s">
        <v>1748</v>
      </c>
      <c r="G36" s="34" t="s">
        <v>1180</v>
      </c>
      <c r="H36" s="34" t="s">
        <v>1746</v>
      </c>
      <c r="I36" s="34" t="s">
        <v>1748</v>
      </c>
      <c r="J36" s="401" t="s">
        <v>1058</v>
      </c>
      <c r="K36" s="401" t="s">
        <v>1885</v>
      </c>
      <c r="L36" s="401" t="s">
        <v>1881</v>
      </c>
      <c r="M36" s="34" t="s">
        <v>1886</v>
      </c>
      <c r="N36" s="34" t="s">
        <v>1748</v>
      </c>
      <c r="O36" s="34" t="s">
        <v>1887</v>
      </c>
      <c r="P36" s="34">
        <v>1750</v>
      </c>
      <c r="Q36" s="34"/>
      <c r="R36" s="34" t="s">
        <v>1749</v>
      </c>
      <c r="S36" s="34" t="s">
        <v>1747</v>
      </c>
      <c r="T36" s="34" t="s">
        <v>1070</v>
      </c>
      <c r="U36" s="34" t="s">
        <v>1166</v>
      </c>
      <c r="V36" s="34" t="s">
        <v>382</v>
      </c>
      <c r="W36" s="34" t="s">
        <v>1070</v>
      </c>
      <c r="X36" s="34" t="s">
        <v>1166</v>
      </c>
      <c r="Y36" s="34" t="s">
        <v>382</v>
      </c>
      <c r="Z36" s="34" t="s">
        <v>1750</v>
      </c>
      <c r="AA36" s="34" t="s">
        <v>2051</v>
      </c>
      <c r="AB36" s="34" t="s">
        <v>1191</v>
      </c>
      <c r="AC36" s="34" t="s">
        <v>1193</v>
      </c>
      <c r="AD36" s="401" t="s">
        <v>1082</v>
      </c>
      <c r="AE36" s="442">
        <v>45200</v>
      </c>
      <c r="AF36" s="439">
        <f>IF(TBKaishaInfo[[#This Row],[就業日]]="","",DATE(YEAR(TBKaishaInfo[[#This Row],[就業日]])+1,MONTH(TBKaishaInfo[[#This Row],[就業日]]),DAY(TBKaishaInfo[[#This Row],[就業日]])-1))</f>
        <v>45565</v>
      </c>
      <c r="AG36" s="444">
        <v>45931</v>
      </c>
      <c r="AH36" s="34" t="s">
        <v>2072</v>
      </c>
      <c r="AI36" s="34" t="s">
        <v>345</v>
      </c>
      <c r="AJ36" s="416" t="s">
        <v>2039</v>
      </c>
      <c r="AK36" s="34">
        <v>15</v>
      </c>
      <c r="AL36" s="401" t="s">
        <v>1907</v>
      </c>
      <c r="AM36" s="401" t="s">
        <v>1908</v>
      </c>
      <c r="AN36" s="401" t="s">
        <v>2073</v>
      </c>
      <c r="AO36" s="401"/>
      <c r="AP36" s="408">
        <v>45747</v>
      </c>
      <c r="AQ36" s="401"/>
      <c r="AR36" s="401"/>
      <c r="AS36" s="401"/>
      <c r="AT36" s="401"/>
      <c r="AU36" s="401"/>
      <c r="AV36" s="401"/>
    </row>
    <row r="37" spans="1:48">
      <c r="A37" s="401"/>
      <c r="B37" s="401"/>
      <c r="C37" s="401"/>
      <c r="D37" s="401"/>
      <c r="E37" s="401"/>
      <c r="F37" s="401"/>
      <c r="G37" s="401"/>
      <c r="H37" s="401"/>
      <c r="I37" s="401"/>
      <c r="J37" s="401"/>
      <c r="K37" s="401"/>
      <c r="L37" s="401"/>
      <c r="M37" s="401"/>
      <c r="N37" s="401"/>
      <c r="O37" s="401"/>
      <c r="P37" s="401"/>
      <c r="Q37" s="401"/>
      <c r="R37" s="401"/>
      <c r="S37" s="401"/>
      <c r="T37" s="401"/>
      <c r="U37" s="401"/>
      <c r="V37" s="401"/>
      <c r="W37" s="401"/>
      <c r="X37" s="401"/>
      <c r="Y37" s="401"/>
      <c r="Z37" s="401"/>
      <c r="AA37" s="401"/>
      <c r="AB37" s="401"/>
      <c r="AC37" s="401"/>
      <c r="AD37" s="401"/>
      <c r="AE37" s="441"/>
      <c r="AF37" s="440"/>
      <c r="AG37" s="443"/>
      <c r="AH37" s="401"/>
      <c r="AI37" s="401"/>
      <c r="AJ37" s="401"/>
      <c r="AK37" s="401"/>
      <c r="AL37" s="401"/>
      <c r="AM37" s="401"/>
      <c r="AN37" s="401"/>
      <c r="AO37" s="401"/>
      <c r="AP37" s="408">
        <v>45747</v>
      </c>
      <c r="AQ37" s="401"/>
      <c r="AR37" s="401"/>
      <c r="AS37" s="401"/>
      <c r="AT37" s="401"/>
      <c r="AU37" s="401"/>
      <c r="AV37" s="401"/>
    </row>
    <row r="38" spans="1:48">
      <c r="A38" s="401" t="s">
        <v>1979</v>
      </c>
      <c r="B38" s="401" t="s">
        <v>1983</v>
      </c>
      <c r="C38" s="401" t="s">
        <v>1982</v>
      </c>
      <c r="D38" s="401" t="s">
        <v>1980</v>
      </c>
      <c r="E38" s="401" t="s">
        <v>1984</v>
      </c>
      <c r="F38" s="401" t="s">
        <v>1982</v>
      </c>
      <c r="G38" s="401" t="s">
        <v>1980</v>
      </c>
      <c r="H38" s="401" t="s">
        <v>1983</v>
      </c>
      <c r="I38" s="401" t="s">
        <v>1982</v>
      </c>
      <c r="J38" s="401" t="s">
        <v>2038</v>
      </c>
      <c r="K38" s="401" t="s">
        <v>1985</v>
      </c>
      <c r="L38" s="401" t="s">
        <v>2037</v>
      </c>
      <c r="M38" s="401" t="s">
        <v>1986</v>
      </c>
      <c r="N38" s="401" t="s">
        <v>1982</v>
      </c>
      <c r="O38" s="401" t="s">
        <v>2035</v>
      </c>
      <c r="P38" s="401">
        <v>2200</v>
      </c>
      <c r="Q38" s="401" t="s">
        <v>1980</v>
      </c>
      <c r="R38" s="401" t="s">
        <v>1987</v>
      </c>
      <c r="S38" s="401" t="s">
        <v>1981</v>
      </c>
      <c r="T38" s="401" t="s">
        <v>1070</v>
      </c>
      <c r="U38" s="401" t="s">
        <v>1166</v>
      </c>
      <c r="V38" s="401" t="s">
        <v>382</v>
      </c>
      <c r="W38" s="401" t="s">
        <v>1217</v>
      </c>
      <c r="X38" s="401" t="s">
        <v>2061</v>
      </c>
      <c r="Y38" s="401" t="s">
        <v>1167</v>
      </c>
      <c r="Z38" s="401" t="s">
        <v>2036</v>
      </c>
      <c r="AA38" s="401" t="s">
        <v>1988</v>
      </c>
      <c r="AB38" s="401" t="s">
        <v>1191</v>
      </c>
      <c r="AC38" s="401" t="s">
        <v>1193</v>
      </c>
      <c r="AD38" s="401" t="s">
        <v>1082</v>
      </c>
      <c r="AE38" s="441">
        <v>45341</v>
      </c>
      <c r="AF38" s="440">
        <v>45443</v>
      </c>
      <c r="AG38" s="443">
        <v>45474</v>
      </c>
      <c r="AH38" s="34" t="s">
        <v>2072</v>
      </c>
      <c r="AI38" s="34" t="s">
        <v>345</v>
      </c>
      <c r="AJ38" s="416" t="s">
        <v>2039</v>
      </c>
      <c r="AK38" s="401">
        <v>30</v>
      </c>
      <c r="AL38" s="401" t="s">
        <v>1907</v>
      </c>
      <c r="AM38" s="401" t="s">
        <v>1908</v>
      </c>
      <c r="AN38" s="401" t="s">
        <v>2415</v>
      </c>
      <c r="AO38" s="401" t="s">
        <v>2034</v>
      </c>
      <c r="AP38" s="408">
        <v>45747</v>
      </c>
      <c r="AQ38" s="401"/>
      <c r="AR38" s="401"/>
      <c r="AS38" s="401"/>
      <c r="AT38" s="401"/>
      <c r="AU38" s="401"/>
      <c r="AV38" s="401"/>
    </row>
    <row r="39" spans="1:48">
      <c r="A39" s="401"/>
      <c r="B39" s="401"/>
      <c r="C39" s="401"/>
      <c r="D39" s="401"/>
      <c r="E39" s="401"/>
      <c r="F39" s="401"/>
      <c r="G39" s="401"/>
      <c r="H39" s="401"/>
      <c r="I39" s="401"/>
      <c r="J39" s="401"/>
      <c r="K39" s="401"/>
      <c r="L39" s="401"/>
      <c r="M39" s="401"/>
      <c r="N39" s="401"/>
      <c r="O39" s="401"/>
      <c r="P39" s="401"/>
      <c r="Q39" s="401"/>
      <c r="R39" s="401"/>
      <c r="S39" s="401"/>
      <c r="T39" s="401"/>
      <c r="U39" s="401"/>
      <c r="V39" s="401"/>
      <c r="W39" s="401"/>
      <c r="X39" s="401"/>
      <c r="Y39" s="401"/>
      <c r="Z39" s="401"/>
      <c r="AA39" s="401"/>
      <c r="AB39" s="401"/>
      <c r="AC39" s="401"/>
      <c r="AD39" s="401"/>
      <c r="AE39" s="441"/>
      <c r="AF39" s="440"/>
      <c r="AG39" s="443"/>
      <c r="AH39" s="401"/>
      <c r="AI39" s="401"/>
      <c r="AJ39" s="401"/>
      <c r="AK39" s="401"/>
      <c r="AL39" s="401"/>
      <c r="AM39" s="401"/>
      <c r="AN39" s="401"/>
      <c r="AO39" s="401"/>
      <c r="AP39" s="408">
        <v>45747</v>
      </c>
      <c r="AQ39" s="401"/>
      <c r="AR39" s="401"/>
      <c r="AS39" s="401"/>
      <c r="AT39" s="401"/>
      <c r="AU39" s="401"/>
      <c r="AV39" s="401"/>
    </row>
    <row r="40" spans="1:48">
      <c r="A40" s="401" t="s">
        <v>4310</v>
      </c>
      <c r="B40" s="401" t="s">
        <v>2076</v>
      </c>
      <c r="C40" s="401" t="s">
        <v>2077</v>
      </c>
      <c r="D40" s="401" t="s">
        <v>2078</v>
      </c>
      <c r="E40" s="401" t="s">
        <v>2079</v>
      </c>
      <c r="F40" s="401" t="s">
        <v>2077</v>
      </c>
      <c r="G40" s="401" t="s">
        <v>4308</v>
      </c>
      <c r="H40" s="401" t="s">
        <v>2076</v>
      </c>
      <c r="I40" s="401" t="s">
        <v>2077</v>
      </c>
      <c r="J40" s="401" t="s">
        <v>4309</v>
      </c>
      <c r="K40" s="401" t="s">
        <v>753</v>
      </c>
      <c r="L40" s="401"/>
      <c r="M40" s="401" t="s">
        <v>3873</v>
      </c>
      <c r="N40" s="401" t="s">
        <v>2077</v>
      </c>
      <c r="O40" s="401" t="s">
        <v>388</v>
      </c>
      <c r="P40" s="401">
        <v>1750</v>
      </c>
      <c r="Q40" s="401" t="s">
        <v>2081</v>
      </c>
      <c r="R40" s="401" t="s">
        <v>2082</v>
      </c>
      <c r="S40" s="401" t="s">
        <v>2077</v>
      </c>
      <c r="T40" s="401" t="s">
        <v>1070</v>
      </c>
      <c r="U40" s="401" t="s">
        <v>1071</v>
      </c>
      <c r="V40" s="401" t="s">
        <v>382</v>
      </c>
      <c r="W40" s="401" t="s">
        <v>1070</v>
      </c>
      <c r="X40" s="401" t="s">
        <v>1072</v>
      </c>
      <c r="Y40" s="401" t="s">
        <v>382</v>
      </c>
      <c r="Z40" s="401" t="s">
        <v>1300</v>
      </c>
      <c r="AA40" s="401" t="s">
        <v>1301</v>
      </c>
      <c r="AB40" s="401" t="s">
        <v>1908</v>
      </c>
      <c r="AC40" s="401" t="s">
        <v>1055</v>
      </c>
      <c r="AD40" s="401" t="s">
        <v>2413</v>
      </c>
      <c r="AE40" s="441">
        <v>45931</v>
      </c>
      <c r="AF40" s="440">
        <v>46295</v>
      </c>
      <c r="AG40" s="443">
        <v>46295</v>
      </c>
      <c r="AH40" s="34" t="s">
        <v>4595</v>
      </c>
      <c r="AI40" s="34" t="s">
        <v>345</v>
      </c>
      <c r="AJ40" s="420" t="s">
        <v>1230</v>
      </c>
      <c r="AK40" s="401">
        <v>15</v>
      </c>
      <c r="AL40" s="401" t="s">
        <v>2083</v>
      </c>
      <c r="AM40" s="401" t="s">
        <v>2083</v>
      </c>
      <c r="AN40" s="401" t="s">
        <v>2416</v>
      </c>
      <c r="AO40" s="401"/>
      <c r="AP40" s="408">
        <v>45747</v>
      </c>
      <c r="AQ40" s="401"/>
      <c r="AR40" s="401"/>
      <c r="AS40" s="401"/>
      <c r="AT40" s="401"/>
      <c r="AU40" s="401"/>
      <c r="AV40" s="401"/>
    </row>
    <row r="41" spans="1:48">
      <c r="A41" s="401" t="s">
        <v>4310</v>
      </c>
      <c r="B41" s="401" t="s">
        <v>2076</v>
      </c>
      <c r="C41" s="401" t="s">
        <v>2077</v>
      </c>
      <c r="D41" s="401" t="s">
        <v>2078</v>
      </c>
      <c r="E41" s="401" t="s">
        <v>4157</v>
      </c>
      <c r="F41" s="401" t="s">
        <v>2077</v>
      </c>
      <c r="G41" s="401" t="s">
        <v>2080</v>
      </c>
      <c r="H41" s="401" t="s">
        <v>2076</v>
      </c>
      <c r="I41" s="401" t="s">
        <v>2077</v>
      </c>
      <c r="J41" s="401" t="s">
        <v>2084</v>
      </c>
      <c r="K41" s="401" t="s">
        <v>738</v>
      </c>
      <c r="L41" s="401"/>
      <c r="M41" s="401" t="s">
        <v>2410</v>
      </c>
      <c r="N41" s="401" t="s">
        <v>2077</v>
      </c>
      <c r="O41" s="401" t="s">
        <v>389</v>
      </c>
      <c r="P41" s="401">
        <v>1650</v>
      </c>
      <c r="Q41" s="401" t="s">
        <v>2081</v>
      </c>
      <c r="R41" s="401" t="s">
        <v>2082</v>
      </c>
      <c r="S41" s="401" t="s">
        <v>2077</v>
      </c>
      <c r="T41" s="401" t="s">
        <v>1070</v>
      </c>
      <c r="U41" s="401" t="s">
        <v>1071</v>
      </c>
      <c r="V41" s="401" t="s">
        <v>382</v>
      </c>
      <c r="W41" s="401" t="s">
        <v>1070</v>
      </c>
      <c r="X41" s="401" t="s">
        <v>1072</v>
      </c>
      <c r="Y41" s="401" t="s">
        <v>382</v>
      </c>
      <c r="Z41" s="401" t="s">
        <v>1300</v>
      </c>
      <c r="AA41" s="401" t="s">
        <v>1301</v>
      </c>
      <c r="AB41" s="401" t="s">
        <v>1908</v>
      </c>
      <c r="AC41" s="401" t="s">
        <v>1055</v>
      </c>
      <c r="AD41" s="401" t="s">
        <v>2412</v>
      </c>
      <c r="AE41" s="441">
        <v>45931</v>
      </c>
      <c r="AF41" s="440">
        <v>46295</v>
      </c>
      <c r="AG41" s="443">
        <v>46295</v>
      </c>
      <c r="AH41" s="34" t="s">
        <v>4595</v>
      </c>
      <c r="AI41" s="34" t="s">
        <v>345</v>
      </c>
      <c r="AJ41" s="420" t="s">
        <v>1230</v>
      </c>
      <c r="AK41" s="401">
        <v>15</v>
      </c>
      <c r="AL41" s="401" t="s">
        <v>2083</v>
      </c>
      <c r="AM41" s="401" t="s">
        <v>2083</v>
      </c>
      <c r="AN41" s="401" t="s">
        <v>2415</v>
      </c>
      <c r="AO41" s="401"/>
      <c r="AP41" s="408">
        <v>45747</v>
      </c>
      <c r="AQ41" s="401"/>
      <c r="AR41" s="401"/>
      <c r="AS41" s="401"/>
      <c r="AT41" s="401"/>
      <c r="AU41" s="401"/>
      <c r="AV41" s="401"/>
    </row>
    <row r="42" spans="1:48">
      <c r="A42" s="401" t="s">
        <v>4310</v>
      </c>
      <c r="B42" s="401" t="s">
        <v>2076</v>
      </c>
      <c r="C42" s="401" t="s">
        <v>2077</v>
      </c>
      <c r="D42" s="401" t="s">
        <v>2078</v>
      </c>
      <c r="E42" s="401" t="s">
        <v>4157</v>
      </c>
      <c r="F42" s="401" t="s">
        <v>2077</v>
      </c>
      <c r="G42" s="401" t="s">
        <v>2080</v>
      </c>
      <c r="H42" s="401" t="s">
        <v>2076</v>
      </c>
      <c r="I42" s="401" t="s">
        <v>2077</v>
      </c>
      <c r="J42" s="401" t="s">
        <v>2084</v>
      </c>
      <c r="K42" s="401" t="s">
        <v>1460</v>
      </c>
      <c r="L42" s="401"/>
      <c r="M42" s="401" t="s">
        <v>2410</v>
      </c>
      <c r="N42" s="401" t="s">
        <v>2077</v>
      </c>
      <c r="O42" s="401" t="s">
        <v>2085</v>
      </c>
      <c r="P42" s="401">
        <v>1650</v>
      </c>
      <c r="Q42" s="401" t="s">
        <v>2081</v>
      </c>
      <c r="R42" s="401" t="s">
        <v>2082</v>
      </c>
      <c r="S42" s="401" t="s">
        <v>2077</v>
      </c>
      <c r="T42" s="401" t="s">
        <v>1070</v>
      </c>
      <c r="U42" s="401" t="s">
        <v>1071</v>
      </c>
      <c r="V42" s="401" t="s">
        <v>382</v>
      </c>
      <c r="W42" s="401" t="s">
        <v>1070</v>
      </c>
      <c r="X42" s="401" t="s">
        <v>1072</v>
      </c>
      <c r="Y42" s="401" t="s">
        <v>382</v>
      </c>
      <c r="Z42" s="401" t="s">
        <v>1300</v>
      </c>
      <c r="AA42" s="401" t="s">
        <v>1301</v>
      </c>
      <c r="AB42" s="401" t="s">
        <v>1908</v>
      </c>
      <c r="AC42" s="401" t="s">
        <v>1055</v>
      </c>
      <c r="AD42" s="401" t="s">
        <v>2412</v>
      </c>
      <c r="AE42" s="441">
        <v>45931</v>
      </c>
      <c r="AF42" s="440">
        <v>46295</v>
      </c>
      <c r="AG42" s="443">
        <v>46295</v>
      </c>
      <c r="AH42" s="34" t="s">
        <v>4595</v>
      </c>
      <c r="AI42" s="34" t="s">
        <v>345</v>
      </c>
      <c r="AJ42" s="420" t="s">
        <v>1230</v>
      </c>
      <c r="AK42" s="401">
        <v>15</v>
      </c>
      <c r="AL42" s="401" t="s">
        <v>2083</v>
      </c>
      <c r="AM42" s="401" t="s">
        <v>2083</v>
      </c>
      <c r="AN42" s="401" t="s">
        <v>2415</v>
      </c>
      <c r="AO42" s="401"/>
      <c r="AP42" s="408">
        <v>45747</v>
      </c>
      <c r="AQ42" s="401"/>
      <c r="AR42" s="401"/>
      <c r="AS42" s="401"/>
      <c r="AT42" s="401"/>
      <c r="AU42" s="401"/>
      <c r="AV42" s="401"/>
    </row>
    <row r="43" spans="1:48">
      <c r="A43" s="401" t="s">
        <v>4310</v>
      </c>
      <c r="B43" s="401" t="s">
        <v>2076</v>
      </c>
      <c r="C43" s="401" t="s">
        <v>2077</v>
      </c>
      <c r="D43" s="401" t="s">
        <v>2078</v>
      </c>
      <c r="E43" s="401" t="s">
        <v>4157</v>
      </c>
      <c r="F43" s="401" t="s">
        <v>2077</v>
      </c>
      <c r="G43" s="401" t="s">
        <v>2080</v>
      </c>
      <c r="H43" s="401" t="s">
        <v>2076</v>
      </c>
      <c r="I43" s="401" t="s">
        <v>2077</v>
      </c>
      <c r="J43" s="401" t="s">
        <v>2084</v>
      </c>
      <c r="K43" s="401" t="s">
        <v>2086</v>
      </c>
      <c r="L43" s="401"/>
      <c r="M43" s="401" t="s">
        <v>2410</v>
      </c>
      <c r="N43" s="401" t="s">
        <v>2077</v>
      </c>
      <c r="O43" s="401" t="s">
        <v>2087</v>
      </c>
      <c r="P43" s="401">
        <v>1650</v>
      </c>
      <c r="Q43" s="401" t="s">
        <v>2081</v>
      </c>
      <c r="R43" s="401" t="s">
        <v>2082</v>
      </c>
      <c r="S43" s="401" t="s">
        <v>2077</v>
      </c>
      <c r="T43" s="401" t="s">
        <v>1070</v>
      </c>
      <c r="U43" s="401" t="s">
        <v>1071</v>
      </c>
      <c r="V43" s="401" t="s">
        <v>382</v>
      </c>
      <c r="W43" s="401" t="s">
        <v>1070</v>
      </c>
      <c r="X43" s="401" t="s">
        <v>1072</v>
      </c>
      <c r="Y43" s="401" t="s">
        <v>382</v>
      </c>
      <c r="Z43" s="401" t="s">
        <v>1300</v>
      </c>
      <c r="AA43" s="401" t="s">
        <v>1301</v>
      </c>
      <c r="AB43" s="401" t="s">
        <v>1908</v>
      </c>
      <c r="AC43" s="401" t="s">
        <v>1055</v>
      </c>
      <c r="AD43" s="401" t="s">
        <v>2412</v>
      </c>
      <c r="AE43" s="441">
        <v>45931</v>
      </c>
      <c r="AF43" s="440">
        <v>46295</v>
      </c>
      <c r="AG43" s="443">
        <v>46295</v>
      </c>
      <c r="AH43" s="34" t="s">
        <v>4595</v>
      </c>
      <c r="AI43" s="34" t="s">
        <v>345</v>
      </c>
      <c r="AJ43" s="420" t="s">
        <v>1230</v>
      </c>
      <c r="AK43" s="401">
        <v>15</v>
      </c>
      <c r="AL43" s="401" t="s">
        <v>2083</v>
      </c>
      <c r="AM43" s="401" t="s">
        <v>2083</v>
      </c>
      <c r="AN43" s="401" t="s">
        <v>2415</v>
      </c>
      <c r="AO43" s="401"/>
      <c r="AP43" s="408">
        <v>45747</v>
      </c>
      <c r="AQ43" s="401"/>
      <c r="AR43" s="401"/>
      <c r="AS43" s="401"/>
      <c r="AT43" s="401"/>
      <c r="AU43" s="401"/>
      <c r="AV43" s="401"/>
    </row>
    <row r="44" spans="1:48">
      <c r="A44" s="401" t="s">
        <v>4310</v>
      </c>
      <c r="B44" s="401" t="s">
        <v>2076</v>
      </c>
      <c r="C44" s="401" t="s">
        <v>2077</v>
      </c>
      <c r="D44" s="401" t="s">
        <v>2078</v>
      </c>
      <c r="E44" s="401" t="s">
        <v>4157</v>
      </c>
      <c r="F44" s="401" t="s">
        <v>2077</v>
      </c>
      <c r="G44" s="401" t="s">
        <v>2080</v>
      </c>
      <c r="H44" s="401" t="s">
        <v>2076</v>
      </c>
      <c r="I44" s="401" t="s">
        <v>2077</v>
      </c>
      <c r="J44" s="401" t="s">
        <v>2084</v>
      </c>
      <c r="K44" s="401" t="s">
        <v>2088</v>
      </c>
      <c r="L44" s="401"/>
      <c r="M44" s="401" t="s">
        <v>2410</v>
      </c>
      <c r="N44" s="401" t="s">
        <v>2077</v>
      </c>
      <c r="O44" s="401" t="s">
        <v>2089</v>
      </c>
      <c r="P44" s="401">
        <v>1650</v>
      </c>
      <c r="Q44" s="401" t="s">
        <v>2081</v>
      </c>
      <c r="R44" s="401" t="s">
        <v>2082</v>
      </c>
      <c r="S44" s="401" t="s">
        <v>2077</v>
      </c>
      <c r="T44" s="401" t="s">
        <v>1070</v>
      </c>
      <c r="U44" s="401" t="s">
        <v>1071</v>
      </c>
      <c r="V44" s="401" t="s">
        <v>382</v>
      </c>
      <c r="W44" s="401" t="s">
        <v>1070</v>
      </c>
      <c r="X44" s="401" t="s">
        <v>1072</v>
      </c>
      <c r="Y44" s="401" t="s">
        <v>382</v>
      </c>
      <c r="Z44" s="401" t="s">
        <v>1300</v>
      </c>
      <c r="AA44" s="401" t="s">
        <v>1301</v>
      </c>
      <c r="AB44" s="401" t="s">
        <v>1908</v>
      </c>
      <c r="AC44" s="401" t="s">
        <v>1055</v>
      </c>
      <c r="AD44" s="401" t="s">
        <v>2412</v>
      </c>
      <c r="AE44" s="441">
        <v>45931</v>
      </c>
      <c r="AF44" s="440">
        <v>46295</v>
      </c>
      <c r="AG44" s="443">
        <v>46295</v>
      </c>
      <c r="AH44" s="34" t="s">
        <v>4595</v>
      </c>
      <c r="AI44" s="34" t="s">
        <v>345</v>
      </c>
      <c r="AJ44" s="420" t="s">
        <v>1230</v>
      </c>
      <c r="AK44" s="401">
        <v>15</v>
      </c>
      <c r="AL44" s="401" t="s">
        <v>2083</v>
      </c>
      <c r="AM44" s="401" t="s">
        <v>2083</v>
      </c>
      <c r="AN44" s="401" t="s">
        <v>2415</v>
      </c>
      <c r="AO44" s="401"/>
      <c r="AP44" s="408">
        <v>45747</v>
      </c>
      <c r="AQ44" s="401"/>
      <c r="AR44" s="401"/>
      <c r="AS44" s="401"/>
      <c r="AT44" s="401"/>
      <c r="AU44" s="401"/>
      <c r="AV44" s="401"/>
    </row>
    <row r="45" spans="1:48">
      <c r="A45" s="401" t="s">
        <v>4310</v>
      </c>
      <c r="B45" s="401" t="s">
        <v>2076</v>
      </c>
      <c r="C45" s="401" t="s">
        <v>2077</v>
      </c>
      <c r="D45" s="401" t="s">
        <v>2078</v>
      </c>
      <c r="E45" s="401" t="s">
        <v>4157</v>
      </c>
      <c r="F45" s="401" t="s">
        <v>2077</v>
      </c>
      <c r="G45" s="401" t="s">
        <v>2080</v>
      </c>
      <c r="H45" s="401" t="s">
        <v>2076</v>
      </c>
      <c r="I45" s="401" t="s">
        <v>2077</v>
      </c>
      <c r="J45" s="401" t="s">
        <v>2084</v>
      </c>
      <c r="K45" s="401" t="s">
        <v>736</v>
      </c>
      <c r="L45" s="401"/>
      <c r="M45" s="401" t="s">
        <v>2410</v>
      </c>
      <c r="N45" s="401" t="s">
        <v>2077</v>
      </c>
      <c r="O45" s="401" t="s">
        <v>317</v>
      </c>
      <c r="P45" s="401">
        <v>1650</v>
      </c>
      <c r="Q45" s="401" t="s">
        <v>2081</v>
      </c>
      <c r="R45" s="401" t="s">
        <v>2082</v>
      </c>
      <c r="S45" s="401" t="s">
        <v>2077</v>
      </c>
      <c r="T45" s="401" t="s">
        <v>1070</v>
      </c>
      <c r="U45" s="401" t="s">
        <v>1071</v>
      </c>
      <c r="V45" s="401" t="s">
        <v>382</v>
      </c>
      <c r="W45" s="401" t="s">
        <v>1070</v>
      </c>
      <c r="X45" s="401" t="s">
        <v>1072</v>
      </c>
      <c r="Y45" s="401" t="s">
        <v>382</v>
      </c>
      <c r="Z45" s="401" t="s">
        <v>1300</v>
      </c>
      <c r="AA45" s="401" t="s">
        <v>1301</v>
      </c>
      <c r="AB45" s="401" t="s">
        <v>1908</v>
      </c>
      <c r="AC45" s="401" t="s">
        <v>1055</v>
      </c>
      <c r="AD45" s="401" t="s">
        <v>2412</v>
      </c>
      <c r="AE45" s="441">
        <v>45931</v>
      </c>
      <c r="AF45" s="440">
        <v>46295</v>
      </c>
      <c r="AG45" s="443">
        <v>46295</v>
      </c>
      <c r="AH45" s="34" t="s">
        <v>4595</v>
      </c>
      <c r="AI45" s="34" t="s">
        <v>345</v>
      </c>
      <c r="AJ45" s="420" t="s">
        <v>1230</v>
      </c>
      <c r="AK45" s="401">
        <v>15</v>
      </c>
      <c r="AL45" s="401" t="s">
        <v>2083</v>
      </c>
      <c r="AM45" s="401" t="s">
        <v>2083</v>
      </c>
      <c r="AN45" s="401" t="s">
        <v>2415</v>
      </c>
      <c r="AO45" s="401"/>
      <c r="AP45" s="408">
        <v>45747</v>
      </c>
      <c r="AQ45" s="401"/>
      <c r="AR45" s="401"/>
      <c r="AS45" s="401"/>
      <c r="AT45" s="401"/>
      <c r="AU45" s="401"/>
      <c r="AV45" s="401"/>
    </row>
    <row r="46" spans="1:48">
      <c r="A46" s="401" t="s">
        <v>4310</v>
      </c>
      <c r="B46" s="401" t="s">
        <v>2076</v>
      </c>
      <c r="C46" s="401" t="s">
        <v>2077</v>
      </c>
      <c r="D46" s="401" t="s">
        <v>2078</v>
      </c>
      <c r="E46" s="401" t="s">
        <v>4157</v>
      </c>
      <c r="F46" s="401" t="s">
        <v>2077</v>
      </c>
      <c r="G46" s="401" t="s">
        <v>2080</v>
      </c>
      <c r="H46" s="401" t="s">
        <v>2076</v>
      </c>
      <c r="I46" s="401" t="s">
        <v>2077</v>
      </c>
      <c r="J46" s="401" t="s">
        <v>2084</v>
      </c>
      <c r="K46" s="401" t="s">
        <v>2090</v>
      </c>
      <c r="L46" s="401"/>
      <c r="M46" s="401" t="s">
        <v>2410</v>
      </c>
      <c r="N46" s="401" t="s">
        <v>2077</v>
      </c>
      <c r="O46" s="401" t="s">
        <v>2091</v>
      </c>
      <c r="P46" s="401">
        <v>1650</v>
      </c>
      <c r="Q46" s="401" t="s">
        <v>2081</v>
      </c>
      <c r="R46" s="401" t="s">
        <v>2082</v>
      </c>
      <c r="S46" s="401" t="s">
        <v>2077</v>
      </c>
      <c r="T46" s="401" t="s">
        <v>1070</v>
      </c>
      <c r="U46" s="401" t="s">
        <v>1071</v>
      </c>
      <c r="V46" s="401" t="s">
        <v>382</v>
      </c>
      <c r="W46" s="401" t="s">
        <v>1070</v>
      </c>
      <c r="X46" s="401" t="s">
        <v>1072</v>
      </c>
      <c r="Y46" s="401" t="s">
        <v>382</v>
      </c>
      <c r="Z46" s="401" t="s">
        <v>1300</v>
      </c>
      <c r="AA46" s="401" t="s">
        <v>1301</v>
      </c>
      <c r="AB46" s="401" t="s">
        <v>1908</v>
      </c>
      <c r="AC46" s="401" t="s">
        <v>1055</v>
      </c>
      <c r="AD46" s="401" t="s">
        <v>2412</v>
      </c>
      <c r="AE46" s="441">
        <v>45931</v>
      </c>
      <c r="AF46" s="440">
        <v>46295</v>
      </c>
      <c r="AG46" s="443">
        <v>46295</v>
      </c>
      <c r="AH46" s="34" t="s">
        <v>4595</v>
      </c>
      <c r="AI46" s="34" t="s">
        <v>345</v>
      </c>
      <c r="AJ46" s="420" t="s">
        <v>1230</v>
      </c>
      <c r="AK46" s="401">
        <v>15</v>
      </c>
      <c r="AL46" s="401" t="s">
        <v>2083</v>
      </c>
      <c r="AM46" s="401" t="s">
        <v>2083</v>
      </c>
      <c r="AN46" s="401" t="s">
        <v>2415</v>
      </c>
      <c r="AO46" s="401"/>
      <c r="AP46" s="408">
        <v>45747</v>
      </c>
      <c r="AQ46" s="401"/>
      <c r="AR46" s="401"/>
      <c r="AS46" s="401"/>
      <c r="AT46" s="401"/>
      <c r="AU46" s="401"/>
      <c r="AV46" s="401"/>
    </row>
    <row r="47" spans="1:48">
      <c r="A47" s="401" t="s">
        <v>4310</v>
      </c>
      <c r="B47" s="401" t="s">
        <v>2076</v>
      </c>
      <c r="C47" s="401" t="s">
        <v>2077</v>
      </c>
      <c r="D47" s="401" t="s">
        <v>2078</v>
      </c>
      <c r="E47" s="401" t="s">
        <v>4157</v>
      </c>
      <c r="F47" s="401" t="s">
        <v>2077</v>
      </c>
      <c r="G47" s="401" t="s">
        <v>2080</v>
      </c>
      <c r="H47" s="401" t="s">
        <v>2076</v>
      </c>
      <c r="I47" s="401" t="s">
        <v>2077</v>
      </c>
      <c r="J47" s="401" t="s">
        <v>2084</v>
      </c>
      <c r="K47" s="401" t="s">
        <v>739</v>
      </c>
      <c r="L47" s="401"/>
      <c r="M47" s="401" t="s">
        <v>2410</v>
      </c>
      <c r="N47" s="401" t="s">
        <v>2077</v>
      </c>
      <c r="O47" s="401" t="s">
        <v>1092</v>
      </c>
      <c r="P47" s="401">
        <v>1650</v>
      </c>
      <c r="Q47" s="401" t="s">
        <v>2081</v>
      </c>
      <c r="R47" s="401" t="s">
        <v>2082</v>
      </c>
      <c r="S47" s="401" t="s">
        <v>2077</v>
      </c>
      <c r="T47" s="401" t="s">
        <v>1070</v>
      </c>
      <c r="U47" s="401" t="s">
        <v>1071</v>
      </c>
      <c r="V47" s="401" t="s">
        <v>382</v>
      </c>
      <c r="W47" s="401" t="s">
        <v>1070</v>
      </c>
      <c r="X47" s="401" t="s">
        <v>1072</v>
      </c>
      <c r="Y47" s="401" t="s">
        <v>382</v>
      </c>
      <c r="Z47" s="401" t="s">
        <v>1300</v>
      </c>
      <c r="AA47" s="401" t="s">
        <v>1301</v>
      </c>
      <c r="AB47" s="401" t="s">
        <v>1908</v>
      </c>
      <c r="AC47" s="401" t="s">
        <v>1055</v>
      </c>
      <c r="AD47" s="401" t="s">
        <v>2412</v>
      </c>
      <c r="AE47" s="441">
        <v>45931</v>
      </c>
      <c r="AF47" s="440">
        <v>46295</v>
      </c>
      <c r="AG47" s="443">
        <v>46295</v>
      </c>
      <c r="AH47" s="34" t="s">
        <v>4595</v>
      </c>
      <c r="AI47" s="34" t="s">
        <v>345</v>
      </c>
      <c r="AJ47" s="420" t="s">
        <v>1230</v>
      </c>
      <c r="AK47" s="401">
        <v>15</v>
      </c>
      <c r="AL47" s="401" t="s">
        <v>2083</v>
      </c>
      <c r="AM47" s="401" t="s">
        <v>2083</v>
      </c>
      <c r="AN47" s="401" t="s">
        <v>2415</v>
      </c>
      <c r="AO47" s="401"/>
      <c r="AP47" s="408">
        <v>45747</v>
      </c>
      <c r="AQ47" s="401"/>
      <c r="AR47" s="401"/>
      <c r="AS47" s="401"/>
      <c r="AT47" s="401"/>
      <c r="AU47" s="401"/>
      <c r="AV47" s="401"/>
    </row>
    <row r="48" spans="1:48">
      <c r="A48" s="401"/>
      <c r="B48" s="401"/>
      <c r="C48" s="401"/>
      <c r="D48" s="401"/>
      <c r="E48" s="401"/>
      <c r="F48" s="401"/>
      <c r="G48" s="401"/>
      <c r="H48" s="401"/>
      <c r="I48" s="401"/>
      <c r="J48" s="401"/>
      <c r="K48" s="401"/>
      <c r="L48" s="401"/>
      <c r="M48" s="401"/>
      <c r="N48" s="401"/>
      <c r="O48" s="401"/>
      <c r="P48" s="401"/>
      <c r="Q48" s="401"/>
      <c r="R48" s="401"/>
      <c r="S48" s="401"/>
      <c r="T48" s="401"/>
      <c r="U48" s="401"/>
      <c r="V48" s="401"/>
      <c r="W48" s="401"/>
      <c r="X48" s="401"/>
      <c r="Y48" s="401"/>
      <c r="Z48" s="401"/>
      <c r="AA48" s="401"/>
      <c r="AB48" s="401"/>
      <c r="AC48" s="401"/>
      <c r="AD48" s="401"/>
      <c r="AE48" s="441"/>
      <c r="AF48" s="440"/>
      <c r="AG48" s="443"/>
      <c r="AH48" s="34"/>
      <c r="AI48" s="34"/>
      <c r="AJ48" s="416"/>
      <c r="AK48" s="401"/>
      <c r="AL48" s="401"/>
      <c r="AM48" s="401"/>
      <c r="AN48" s="401"/>
      <c r="AO48" s="401"/>
      <c r="AP48" s="408">
        <v>45747</v>
      </c>
      <c r="AQ48" s="401"/>
      <c r="AR48" s="401"/>
      <c r="AS48" s="401"/>
      <c r="AT48" s="401"/>
      <c r="AU48" s="401"/>
      <c r="AV48" s="401"/>
    </row>
    <row r="49" spans="1:48">
      <c r="A49" s="401" t="s">
        <v>4310</v>
      </c>
      <c r="B49" s="401" t="s">
        <v>2076</v>
      </c>
      <c r="C49" s="401" t="s">
        <v>2077</v>
      </c>
      <c r="D49" s="401" t="s">
        <v>2078</v>
      </c>
      <c r="E49" s="401" t="s">
        <v>2079</v>
      </c>
      <c r="F49" s="401" t="s">
        <v>2092</v>
      </c>
      <c r="G49" s="401" t="s">
        <v>2093</v>
      </c>
      <c r="H49" s="401" t="s">
        <v>2094</v>
      </c>
      <c r="I49" s="401" t="s">
        <v>2092</v>
      </c>
      <c r="J49" s="401" t="s">
        <v>3876</v>
      </c>
      <c r="K49" s="401" t="s">
        <v>753</v>
      </c>
      <c r="L49" s="401"/>
      <c r="M49" s="401" t="s">
        <v>2455</v>
      </c>
      <c r="N49" s="401" t="s">
        <v>2092</v>
      </c>
      <c r="O49" s="401" t="s">
        <v>388</v>
      </c>
      <c r="P49" s="401">
        <v>1650</v>
      </c>
      <c r="Q49" s="401" t="s">
        <v>2081</v>
      </c>
      <c r="R49" s="401" t="s">
        <v>2082</v>
      </c>
      <c r="S49" s="401" t="s">
        <v>2077</v>
      </c>
      <c r="T49" s="401" t="s">
        <v>1070</v>
      </c>
      <c r="U49" s="401" t="s">
        <v>1071</v>
      </c>
      <c r="V49" s="401" t="s">
        <v>382</v>
      </c>
      <c r="W49" s="401" t="s">
        <v>1070</v>
      </c>
      <c r="X49" s="401" t="s">
        <v>1072</v>
      </c>
      <c r="Y49" s="401" t="s">
        <v>382</v>
      </c>
      <c r="Z49" s="401" t="s">
        <v>1300</v>
      </c>
      <c r="AA49" s="401" t="s">
        <v>1301</v>
      </c>
      <c r="AB49" s="401" t="s">
        <v>1908</v>
      </c>
      <c r="AC49" s="401" t="s">
        <v>1055</v>
      </c>
      <c r="AD49" s="401" t="s">
        <v>2412</v>
      </c>
      <c r="AE49" s="441">
        <v>45931</v>
      </c>
      <c r="AF49" s="440">
        <v>46295</v>
      </c>
      <c r="AG49" s="443">
        <v>46295</v>
      </c>
      <c r="AH49" s="34" t="s">
        <v>4595</v>
      </c>
      <c r="AI49" s="34" t="s">
        <v>345</v>
      </c>
      <c r="AJ49" s="420" t="s">
        <v>1230</v>
      </c>
      <c r="AK49" s="401">
        <v>15</v>
      </c>
      <c r="AL49" s="401" t="s">
        <v>2083</v>
      </c>
      <c r="AM49" s="401" t="s">
        <v>2083</v>
      </c>
      <c r="AN49" s="401" t="s">
        <v>2415</v>
      </c>
      <c r="AO49" s="401"/>
      <c r="AP49" s="408">
        <v>45747</v>
      </c>
      <c r="AQ49" s="401"/>
      <c r="AR49" s="401"/>
      <c r="AS49" s="401"/>
      <c r="AT49" s="401"/>
      <c r="AU49" s="401"/>
      <c r="AV49" s="401"/>
    </row>
    <row r="50" spans="1:48">
      <c r="A50" s="401" t="s">
        <v>4310</v>
      </c>
      <c r="B50" s="401" t="s">
        <v>2076</v>
      </c>
      <c r="C50" s="401" t="s">
        <v>2077</v>
      </c>
      <c r="D50" s="401" t="s">
        <v>2078</v>
      </c>
      <c r="E50" s="401" t="s">
        <v>2096</v>
      </c>
      <c r="F50" s="401" t="s">
        <v>2092</v>
      </c>
      <c r="G50" s="401" t="s">
        <v>2093</v>
      </c>
      <c r="H50" s="401" t="s">
        <v>2094</v>
      </c>
      <c r="I50" s="401" t="s">
        <v>2092</v>
      </c>
      <c r="J50" s="401" t="s">
        <v>3931</v>
      </c>
      <c r="K50" s="401" t="s">
        <v>2097</v>
      </c>
      <c r="L50" s="401"/>
      <c r="M50" s="401" t="s">
        <v>2098</v>
      </c>
      <c r="N50" s="401" t="s">
        <v>2092</v>
      </c>
      <c r="O50" s="401" t="s">
        <v>2099</v>
      </c>
      <c r="P50" s="401">
        <v>1650</v>
      </c>
      <c r="Q50" s="401" t="s">
        <v>2081</v>
      </c>
      <c r="R50" s="401" t="s">
        <v>2082</v>
      </c>
      <c r="S50" s="401" t="s">
        <v>2077</v>
      </c>
      <c r="T50" s="401" t="s">
        <v>1070</v>
      </c>
      <c r="U50" s="401" t="s">
        <v>1071</v>
      </c>
      <c r="V50" s="401" t="s">
        <v>382</v>
      </c>
      <c r="W50" s="401" t="s">
        <v>1070</v>
      </c>
      <c r="X50" s="401" t="s">
        <v>1072</v>
      </c>
      <c r="Y50" s="401" t="s">
        <v>382</v>
      </c>
      <c r="Z50" s="401" t="s">
        <v>1300</v>
      </c>
      <c r="AA50" s="401" t="s">
        <v>1301</v>
      </c>
      <c r="AB50" s="401" t="s">
        <v>1908</v>
      </c>
      <c r="AC50" s="401" t="s">
        <v>1055</v>
      </c>
      <c r="AD50" s="401" t="s">
        <v>2412</v>
      </c>
      <c r="AE50" s="441">
        <v>45931</v>
      </c>
      <c r="AF50" s="440">
        <v>46295</v>
      </c>
      <c r="AG50" s="443">
        <v>46295</v>
      </c>
      <c r="AH50" s="34" t="s">
        <v>4595</v>
      </c>
      <c r="AI50" s="34" t="s">
        <v>345</v>
      </c>
      <c r="AJ50" s="420" t="s">
        <v>1230</v>
      </c>
      <c r="AK50" s="401">
        <v>15</v>
      </c>
      <c r="AL50" s="401" t="s">
        <v>2083</v>
      </c>
      <c r="AM50" s="401" t="s">
        <v>2083</v>
      </c>
      <c r="AN50" s="401" t="s">
        <v>2415</v>
      </c>
      <c r="AO50" s="401"/>
      <c r="AP50" s="408">
        <v>45747</v>
      </c>
      <c r="AQ50" s="401"/>
      <c r="AR50" s="401"/>
      <c r="AS50" s="401"/>
      <c r="AT50" s="401"/>
      <c r="AU50" s="401"/>
      <c r="AV50" s="401"/>
    </row>
    <row r="51" spans="1:48">
      <c r="A51" s="401" t="s">
        <v>4310</v>
      </c>
      <c r="B51" s="401" t="s">
        <v>2076</v>
      </c>
      <c r="C51" s="401" t="s">
        <v>2077</v>
      </c>
      <c r="D51" s="401" t="s">
        <v>2078</v>
      </c>
      <c r="E51" s="401" t="s">
        <v>2096</v>
      </c>
      <c r="F51" s="401" t="s">
        <v>2092</v>
      </c>
      <c r="G51" s="401" t="s">
        <v>2093</v>
      </c>
      <c r="H51" s="401" t="s">
        <v>2094</v>
      </c>
      <c r="I51" s="401" t="s">
        <v>2092</v>
      </c>
      <c r="J51" s="401" t="s">
        <v>3931</v>
      </c>
      <c r="K51" s="401" t="s">
        <v>2453</v>
      </c>
      <c r="L51" s="401"/>
      <c r="M51" s="401" t="s">
        <v>2409</v>
      </c>
      <c r="N51" s="401" t="s">
        <v>2092</v>
      </c>
      <c r="O51" s="401" t="s">
        <v>2454</v>
      </c>
      <c r="P51" s="401">
        <v>1650</v>
      </c>
      <c r="Q51" s="401" t="s">
        <v>2081</v>
      </c>
      <c r="R51" s="401" t="s">
        <v>2082</v>
      </c>
      <c r="S51" s="401" t="s">
        <v>2077</v>
      </c>
      <c r="T51" s="401" t="s">
        <v>1070</v>
      </c>
      <c r="U51" s="401" t="s">
        <v>1071</v>
      </c>
      <c r="V51" s="401" t="s">
        <v>382</v>
      </c>
      <c r="W51" s="401" t="s">
        <v>1070</v>
      </c>
      <c r="X51" s="401" t="s">
        <v>1072</v>
      </c>
      <c r="Y51" s="401" t="s">
        <v>382</v>
      </c>
      <c r="Z51" s="401" t="s">
        <v>1300</v>
      </c>
      <c r="AA51" s="401" t="s">
        <v>1301</v>
      </c>
      <c r="AB51" s="401" t="s">
        <v>1908</v>
      </c>
      <c r="AC51" s="401" t="s">
        <v>1055</v>
      </c>
      <c r="AD51" s="401" t="s">
        <v>2412</v>
      </c>
      <c r="AE51" s="441">
        <v>45931</v>
      </c>
      <c r="AF51" s="440">
        <v>46295</v>
      </c>
      <c r="AG51" s="443">
        <v>46295</v>
      </c>
      <c r="AH51" s="34" t="s">
        <v>4595</v>
      </c>
      <c r="AI51" s="34" t="s">
        <v>345</v>
      </c>
      <c r="AJ51" s="420" t="s">
        <v>1230</v>
      </c>
      <c r="AK51" s="401">
        <v>15</v>
      </c>
      <c r="AL51" s="401" t="s">
        <v>2083</v>
      </c>
      <c r="AM51" s="401" t="s">
        <v>2083</v>
      </c>
      <c r="AN51" s="401" t="s">
        <v>2415</v>
      </c>
      <c r="AO51" s="401"/>
      <c r="AP51" s="408">
        <v>45747</v>
      </c>
      <c r="AQ51" s="401"/>
      <c r="AR51" s="401"/>
      <c r="AS51" s="401"/>
      <c r="AT51" s="401"/>
      <c r="AU51" s="401"/>
      <c r="AV51" s="401"/>
    </row>
    <row r="52" spans="1:48">
      <c r="A52" s="401" t="s">
        <v>4310</v>
      </c>
      <c r="B52" s="401" t="s">
        <v>2076</v>
      </c>
      <c r="C52" s="401" t="s">
        <v>2077</v>
      </c>
      <c r="D52" s="401" t="s">
        <v>2078</v>
      </c>
      <c r="E52" s="401" t="s">
        <v>2096</v>
      </c>
      <c r="F52" s="401" t="s">
        <v>2092</v>
      </c>
      <c r="G52" s="401" t="s">
        <v>2093</v>
      </c>
      <c r="H52" s="401" t="s">
        <v>2094</v>
      </c>
      <c r="I52" s="401" t="s">
        <v>2092</v>
      </c>
      <c r="J52" s="401" t="s">
        <v>3931</v>
      </c>
      <c r="K52" s="401" t="s">
        <v>2100</v>
      </c>
      <c r="L52" s="401"/>
      <c r="M52" s="401" t="s">
        <v>2098</v>
      </c>
      <c r="N52" s="401" t="s">
        <v>2092</v>
      </c>
      <c r="O52" s="401" t="s">
        <v>2101</v>
      </c>
      <c r="P52" s="401">
        <v>1650</v>
      </c>
      <c r="Q52" s="401" t="s">
        <v>2081</v>
      </c>
      <c r="R52" s="401" t="s">
        <v>2082</v>
      </c>
      <c r="S52" s="401" t="s">
        <v>2077</v>
      </c>
      <c r="T52" s="401" t="s">
        <v>1070</v>
      </c>
      <c r="U52" s="401" t="s">
        <v>1071</v>
      </c>
      <c r="V52" s="401" t="s">
        <v>382</v>
      </c>
      <c r="W52" s="401" t="s">
        <v>1070</v>
      </c>
      <c r="X52" s="401" t="s">
        <v>1072</v>
      </c>
      <c r="Y52" s="401" t="s">
        <v>382</v>
      </c>
      <c r="Z52" s="401" t="s">
        <v>1300</v>
      </c>
      <c r="AA52" s="401" t="s">
        <v>1301</v>
      </c>
      <c r="AB52" s="401" t="s">
        <v>1908</v>
      </c>
      <c r="AC52" s="401" t="s">
        <v>1055</v>
      </c>
      <c r="AD52" s="401" t="s">
        <v>2412</v>
      </c>
      <c r="AE52" s="441">
        <v>45931</v>
      </c>
      <c r="AF52" s="440">
        <v>46295</v>
      </c>
      <c r="AG52" s="443">
        <v>46295</v>
      </c>
      <c r="AH52" s="34" t="s">
        <v>4595</v>
      </c>
      <c r="AI52" s="34" t="s">
        <v>345</v>
      </c>
      <c r="AJ52" s="420" t="s">
        <v>1230</v>
      </c>
      <c r="AK52" s="401">
        <v>15</v>
      </c>
      <c r="AL52" s="401" t="s">
        <v>2083</v>
      </c>
      <c r="AM52" s="401" t="s">
        <v>2083</v>
      </c>
      <c r="AN52" s="401" t="s">
        <v>2415</v>
      </c>
      <c r="AO52" s="401"/>
      <c r="AP52" s="408">
        <v>45747</v>
      </c>
      <c r="AQ52" s="401"/>
      <c r="AR52" s="401"/>
      <c r="AS52" s="401"/>
      <c r="AT52" s="401"/>
      <c r="AU52" s="401"/>
      <c r="AV52" s="401"/>
    </row>
    <row r="53" spans="1:48">
      <c r="A53" s="401" t="s">
        <v>4310</v>
      </c>
      <c r="B53" s="401" t="s">
        <v>2076</v>
      </c>
      <c r="C53" s="401" t="s">
        <v>2077</v>
      </c>
      <c r="D53" s="401" t="s">
        <v>2078</v>
      </c>
      <c r="E53" s="401" t="s">
        <v>2096</v>
      </c>
      <c r="F53" s="401" t="s">
        <v>2092</v>
      </c>
      <c r="G53" s="401" t="s">
        <v>2093</v>
      </c>
      <c r="H53" s="401" t="s">
        <v>2094</v>
      </c>
      <c r="I53" s="401" t="s">
        <v>2092</v>
      </c>
      <c r="J53" s="401" t="s">
        <v>3931</v>
      </c>
      <c r="K53" s="401" t="s">
        <v>2102</v>
      </c>
      <c r="L53" s="401"/>
      <c r="M53" s="401" t="s">
        <v>2098</v>
      </c>
      <c r="N53" s="401" t="s">
        <v>2092</v>
      </c>
      <c r="O53" s="401" t="s">
        <v>2103</v>
      </c>
      <c r="P53" s="401">
        <v>1650</v>
      </c>
      <c r="Q53" s="401" t="s">
        <v>2081</v>
      </c>
      <c r="R53" s="401" t="s">
        <v>2082</v>
      </c>
      <c r="S53" s="401" t="s">
        <v>2077</v>
      </c>
      <c r="T53" s="401" t="s">
        <v>1070</v>
      </c>
      <c r="U53" s="401" t="s">
        <v>1071</v>
      </c>
      <c r="V53" s="401" t="s">
        <v>382</v>
      </c>
      <c r="W53" s="401" t="s">
        <v>1070</v>
      </c>
      <c r="X53" s="401" t="s">
        <v>1072</v>
      </c>
      <c r="Y53" s="401" t="s">
        <v>382</v>
      </c>
      <c r="Z53" s="401" t="s">
        <v>1300</v>
      </c>
      <c r="AA53" s="401" t="s">
        <v>1301</v>
      </c>
      <c r="AB53" s="401" t="s">
        <v>1908</v>
      </c>
      <c r="AC53" s="401" t="s">
        <v>1055</v>
      </c>
      <c r="AD53" s="401" t="s">
        <v>2412</v>
      </c>
      <c r="AE53" s="441">
        <v>45931</v>
      </c>
      <c r="AF53" s="440">
        <v>46295</v>
      </c>
      <c r="AG53" s="443">
        <v>46295</v>
      </c>
      <c r="AH53" s="34" t="s">
        <v>4595</v>
      </c>
      <c r="AI53" s="34" t="s">
        <v>345</v>
      </c>
      <c r="AJ53" s="420" t="s">
        <v>1230</v>
      </c>
      <c r="AK53" s="401">
        <v>15</v>
      </c>
      <c r="AL53" s="401" t="s">
        <v>2083</v>
      </c>
      <c r="AM53" s="401" t="s">
        <v>2083</v>
      </c>
      <c r="AN53" s="401" t="s">
        <v>2415</v>
      </c>
      <c r="AO53" s="401"/>
      <c r="AP53" s="408">
        <v>45747</v>
      </c>
      <c r="AQ53" s="401"/>
      <c r="AR53" s="401"/>
      <c r="AS53" s="401"/>
      <c r="AT53" s="401"/>
      <c r="AU53" s="401"/>
      <c r="AV53" s="401"/>
    </row>
    <row r="54" spans="1:48">
      <c r="A54" s="401" t="s">
        <v>4310</v>
      </c>
      <c r="B54" s="401" t="s">
        <v>2076</v>
      </c>
      <c r="C54" s="401" t="s">
        <v>2077</v>
      </c>
      <c r="D54" s="401" t="s">
        <v>2078</v>
      </c>
      <c r="E54" s="401" t="s">
        <v>2096</v>
      </c>
      <c r="F54" s="401" t="s">
        <v>2092</v>
      </c>
      <c r="G54" s="401" t="s">
        <v>2093</v>
      </c>
      <c r="H54" s="401" t="s">
        <v>2094</v>
      </c>
      <c r="I54" s="401" t="s">
        <v>2092</v>
      </c>
      <c r="J54" s="401" t="s">
        <v>3931</v>
      </c>
      <c r="K54" s="401" t="s">
        <v>2534</v>
      </c>
      <c r="L54" s="401"/>
      <c r="M54" s="401" t="s">
        <v>2409</v>
      </c>
      <c r="N54" s="401" t="s">
        <v>2092</v>
      </c>
      <c r="O54" s="401" t="s">
        <v>391</v>
      </c>
      <c r="P54" s="401">
        <v>1650</v>
      </c>
      <c r="Q54" s="401" t="s">
        <v>2081</v>
      </c>
      <c r="R54" s="401" t="s">
        <v>2082</v>
      </c>
      <c r="S54" s="401" t="s">
        <v>2077</v>
      </c>
      <c r="T54" s="401" t="s">
        <v>1070</v>
      </c>
      <c r="U54" s="401" t="s">
        <v>1071</v>
      </c>
      <c r="V54" s="401" t="s">
        <v>382</v>
      </c>
      <c r="W54" s="401" t="s">
        <v>1070</v>
      </c>
      <c r="X54" s="401" t="s">
        <v>1072</v>
      </c>
      <c r="Y54" s="401" t="s">
        <v>382</v>
      </c>
      <c r="Z54" s="401" t="s">
        <v>1300</v>
      </c>
      <c r="AA54" s="401" t="s">
        <v>1301</v>
      </c>
      <c r="AB54" s="401" t="s">
        <v>1908</v>
      </c>
      <c r="AC54" s="401" t="s">
        <v>1055</v>
      </c>
      <c r="AD54" s="401" t="s">
        <v>2412</v>
      </c>
      <c r="AE54" s="441">
        <v>45931</v>
      </c>
      <c r="AF54" s="440">
        <v>46295</v>
      </c>
      <c r="AG54" s="443">
        <v>46295</v>
      </c>
      <c r="AH54" s="34" t="s">
        <v>4595</v>
      </c>
      <c r="AI54" s="34" t="s">
        <v>345</v>
      </c>
      <c r="AJ54" s="420" t="s">
        <v>1230</v>
      </c>
      <c r="AK54" s="401">
        <v>15</v>
      </c>
      <c r="AL54" s="401" t="s">
        <v>2083</v>
      </c>
      <c r="AM54" s="401" t="s">
        <v>2083</v>
      </c>
      <c r="AN54" s="401" t="s">
        <v>2415</v>
      </c>
      <c r="AO54" s="401"/>
      <c r="AP54" s="408">
        <v>45747</v>
      </c>
      <c r="AQ54" s="401"/>
    </row>
    <row r="55" spans="1:48">
      <c r="A55" s="401" t="s">
        <v>4310</v>
      </c>
      <c r="B55" s="401" t="s">
        <v>2076</v>
      </c>
      <c r="C55" s="401" t="s">
        <v>2077</v>
      </c>
      <c r="D55" s="401" t="s">
        <v>2078</v>
      </c>
      <c r="E55" s="401" t="s">
        <v>2096</v>
      </c>
      <c r="F55" s="401" t="s">
        <v>2092</v>
      </c>
      <c r="G55" s="401" t="s">
        <v>2093</v>
      </c>
      <c r="H55" s="401" t="s">
        <v>2094</v>
      </c>
      <c r="I55" s="401" t="s">
        <v>2092</v>
      </c>
      <c r="J55" s="401" t="s">
        <v>3931</v>
      </c>
      <c r="K55" s="401" t="s">
        <v>794</v>
      </c>
      <c r="L55" s="401"/>
      <c r="M55" s="401" t="s">
        <v>2409</v>
      </c>
      <c r="N55" s="401" t="s">
        <v>2092</v>
      </c>
      <c r="O55" s="401" t="s">
        <v>316</v>
      </c>
      <c r="P55" s="401">
        <v>1650</v>
      </c>
      <c r="Q55" s="401" t="s">
        <v>2081</v>
      </c>
      <c r="R55" s="401" t="s">
        <v>2082</v>
      </c>
      <c r="S55" s="401" t="s">
        <v>2077</v>
      </c>
      <c r="T55" s="401" t="s">
        <v>1070</v>
      </c>
      <c r="U55" s="401" t="s">
        <v>1071</v>
      </c>
      <c r="V55" s="401" t="s">
        <v>382</v>
      </c>
      <c r="W55" s="401" t="s">
        <v>1070</v>
      </c>
      <c r="X55" s="401" t="s">
        <v>1072</v>
      </c>
      <c r="Y55" s="401" t="s">
        <v>382</v>
      </c>
      <c r="Z55" s="401" t="s">
        <v>1300</v>
      </c>
      <c r="AA55" s="401" t="s">
        <v>1301</v>
      </c>
      <c r="AB55" s="401" t="s">
        <v>1908</v>
      </c>
      <c r="AC55" s="401" t="s">
        <v>1055</v>
      </c>
      <c r="AD55" s="401" t="s">
        <v>2412</v>
      </c>
      <c r="AE55" s="441">
        <v>45931</v>
      </c>
      <c r="AF55" s="440">
        <v>46295</v>
      </c>
      <c r="AG55" s="443">
        <v>46295</v>
      </c>
      <c r="AH55" s="34" t="s">
        <v>4595</v>
      </c>
      <c r="AI55" s="34" t="s">
        <v>345</v>
      </c>
      <c r="AJ55" s="420" t="s">
        <v>1230</v>
      </c>
      <c r="AK55" s="401">
        <v>15</v>
      </c>
      <c r="AL55" s="401" t="s">
        <v>2083</v>
      </c>
      <c r="AM55" s="401" t="s">
        <v>2083</v>
      </c>
      <c r="AN55" s="401" t="s">
        <v>2415</v>
      </c>
      <c r="AO55" s="401"/>
      <c r="AP55" s="408">
        <v>45747</v>
      </c>
      <c r="AQ55" s="401"/>
    </row>
    <row r="56" spans="1:48">
      <c r="A56" s="401" t="s">
        <v>4310</v>
      </c>
      <c r="B56" s="401" t="s">
        <v>2076</v>
      </c>
      <c r="C56" s="401" t="s">
        <v>2077</v>
      </c>
      <c r="D56" s="401" t="s">
        <v>2078</v>
      </c>
      <c r="E56" s="401" t="s">
        <v>2096</v>
      </c>
      <c r="F56" s="401" t="s">
        <v>2092</v>
      </c>
      <c r="G56" s="401" t="s">
        <v>2093</v>
      </c>
      <c r="H56" s="401" t="s">
        <v>2094</v>
      </c>
      <c r="I56" s="401" t="s">
        <v>2092</v>
      </c>
      <c r="J56" s="401" t="s">
        <v>3931</v>
      </c>
      <c r="K56" s="401" t="s">
        <v>2104</v>
      </c>
      <c r="L56" s="401"/>
      <c r="M56" s="401" t="s">
        <v>2409</v>
      </c>
      <c r="N56" s="401" t="s">
        <v>2092</v>
      </c>
      <c r="O56" s="401" t="s">
        <v>2105</v>
      </c>
      <c r="P56" s="401">
        <v>1650</v>
      </c>
      <c r="Q56" s="401" t="s">
        <v>2081</v>
      </c>
      <c r="R56" s="401" t="s">
        <v>2082</v>
      </c>
      <c r="S56" s="401" t="s">
        <v>2077</v>
      </c>
      <c r="T56" s="401" t="s">
        <v>1070</v>
      </c>
      <c r="U56" s="401" t="s">
        <v>1071</v>
      </c>
      <c r="V56" s="401" t="s">
        <v>382</v>
      </c>
      <c r="W56" s="401" t="s">
        <v>1070</v>
      </c>
      <c r="X56" s="401" t="s">
        <v>1072</v>
      </c>
      <c r="Y56" s="401" t="s">
        <v>382</v>
      </c>
      <c r="Z56" s="401" t="s">
        <v>1300</v>
      </c>
      <c r="AA56" s="401" t="s">
        <v>1301</v>
      </c>
      <c r="AB56" s="401" t="s">
        <v>1908</v>
      </c>
      <c r="AC56" s="401" t="s">
        <v>1055</v>
      </c>
      <c r="AD56" s="401" t="s">
        <v>2412</v>
      </c>
      <c r="AE56" s="441">
        <v>45931</v>
      </c>
      <c r="AF56" s="440">
        <v>46295</v>
      </c>
      <c r="AG56" s="443">
        <v>46295</v>
      </c>
      <c r="AH56" s="34" t="s">
        <v>4595</v>
      </c>
      <c r="AI56" s="34" t="s">
        <v>345</v>
      </c>
      <c r="AJ56" s="420" t="s">
        <v>1230</v>
      </c>
      <c r="AK56" s="401">
        <v>15</v>
      </c>
      <c r="AL56" s="401" t="s">
        <v>2083</v>
      </c>
      <c r="AM56" s="401" t="s">
        <v>2083</v>
      </c>
      <c r="AN56" s="401" t="s">
        <v>2415</v>
      </c>
      <c r="AO56" s="401"/>
      <c r="AP56" s="408">
        <v>45747</v>
      </c>
      <c r="AQ56" s="401"/>
    </row>
    <row r="57" spans="1:48">
      <c r="A57" s="401" t="s">
        <v>4310</v>
      </c>
      <c r="B57" s="401" t="s">
        <v>2076</v>
      </c>
      <c r="C57" s="401" t="s">
        <v>2077</v>
      </c>
      <c r="D57" s="401" t="s">
        <v>2078</v>
      </c>
      <c r="E57" s="401" t="s">
        <v>2096</v>
      </c>
      <c r="F57" s="401" t="s">
        <v>2092</v>
      </c>
      <c r="G57" s="401" t="s">
        <v>2093</v>
      </c>
      <c r="H57" s="401" t="s">
        <v>2094</v>
      </c>
      <c r="I57" s="401" t="s">
        <v>2092</v>
      </c>
      <c r="J57" s="401" t="s">
        <v>3931</v>
      </c>
      <c r="K57" s="401" t="s">
        <v>2106</v>
      </c>
      <c r="L57" s="401"/>
      <c r="M57" s="401" t="s">
        <v>2409</v>
      </c>
      <c r="N57" s="401" t="s">
        <v>2092</v>
      </c>
      <c r="O57" s="401" t="s">
        <v>2107</v>
      </c>
      <c r="P57" s="401">
        <v>1650</v>
      </c>
      <c r="Q57" s="401" t="s">
        <v>2081</v>
      </c>
      <c r="R57" s="401" t="s">
        <v>2082</v>
      </c>
      <c r="S57" s="401" t="s">
        <v>2077</v>
      </c>
      <c r="T57" s="401" t="s">
        <v>1070</v>
      </c>
      <c r="U57" s="401" t="s">
        <v>1071</v>
      </c>
      <c r="V57" s="401" t="s">
        <v>382</v>
      </c>
      <c r="W57" s="401" t="s">
        <v>1070</v>
      </c>
      <c r="X57" s="401" t="s">
        <v>1072</v>
      </c>
      <c r="Y57" s="401" t="s">
        <v>382</v>
      </c>
      <c r="Z57" s="401" t="s">
        <v>1300</v>
      </c>
      <c r="AA57" s="401" t="s">
        <v>1301</v>
      </c>
      <c r="AB57" s="401" t="s">
        <v>1908</v>
      </c>
      <c r="AC57" s="401" t="s">
        <v>1055</v>
      </c>
      <c r="AD57" s="401" t="s">
        <v>2412</v>
      </c>
      <c r="AE57" s="441">
        <v>45931</v>
      </c>
      <c r="AF57" s="440">
        <v>46295</v>
      </c>
      <c r="AG57" s="443">
        <v>46295</v>
      </c>
      <c r="AH57" s="34" t="s">
        <v>4595</v>
      </c>
      <c r="AI57" s="34" t="s">
        <v>345</v>
      </c>
      <c r="AJ57" s="420" t="s">
        <v>1230</v>
      </c>
      <c r="AK57" s="401">
        <v>15</v>
      </c>
      <c r="AL57" s="401" t="s">
        <v>2083</v>
      </c>
      <c r="AM57" s="401" t="s">
        <v>2083</v>
      </c>
      <c r="AN57" s="401" t="s">
        <v>2415</v>
      </c>
      <c r="AO57" s="401"/>
      <c r="AP57" s="408">
        <v>45747</v>
      </c>
      <c r="AQ57" s="401"/>
    </row>
    <row r="58" spans="1:48">
      <c r="A58" s="401" t="s">
        <v>4310</v>
      </c>
      <c r="B58" s="401" t="s">
        <v>2076</v>
      </c>
      <c r="C58" s="401" t="s">
        <v>2077</v>
      </c>
      <c r="D58" s="401" t="s">
        <v>2078</v>
      </c>
      <c r="E58" s="401" t="s">
        <v>2096</v>
      </c>
      <c r="F58" s="401" t="s">
        <v>2092</v>
      </c>
      <c r="G58" s="401" t="s">
        <v>2093</v>
      </c>
      <c r="H58" s="401" t="s">
        <v>2094</v>
      </c>
      <c r="I58" s="401" t="s">
        <v>2092</v>
      </c>
      <c r="J58" s="401" t="s">
        <v>2108</v>
      </c>
      <c r="K58" s="401" t="s">
        <v>2109</v>
      </c>
      <c r="L58" s="401"/>
      <c r="M58" s="401" t="s">
        <v>2450</v>
      </c>
      <c r="N58" s="401" t="s">
        <v>2092</v>
      </c>
      <c r="O58" s="401" t="s">
        <v>2419</v>
      </c>
      <c r="P58" s="401">
        <v>1650</v>
      </c>
      <c r="Q58" s="401" t="s">
        <v>2081</v>
      </c>
      <c r="R58" s="401" t="s">
        <v>2082</v>
      </c>
      <c r="S58" s="401" t="s">
        <v>2077</v>
      </c>
      <c r="T58" s="401" t="s">
        <v>1070</v>
      </c>
      <c r="U58" s="401" t="s">
        <v>1071</v>
      </c>
      <c r="V58" s="401" t="s">
        <v>382</v>
      </c>
      <c r="W58" s="401" t="s">
        <v>1070</v>
      </c>
      <c r="X58" s="401" t="s">
        <v>1072</v>
      </c>
      <c r="Y58" s="401" t="s">
        <v>382</v>
      </c>
      <c r="Z58" s="401" t="s">
        <v>1300</v>
      </c>
      <c r="AA58" s="401" t="s">
        <v>1301</v>
      </c>
      <c r="AB58" s="401" t="s">
        <v>1908</v>
      </c>
      <c r="AC58" s="401" t="s">
        <v>1055</v>
      </c>
      <c r="AD58" s="401" t="s">
        <v>2412</v>
      </c>
      <c r="AE58" s="441">
        <v>45931</v>
      </c>
      <c r="AF58" s="440">
        <v>46295</v>
      </c>
      <c r="AG58" s="443">
        <v>46295</v>
      </c>
      <c r="AH58" s="34" t="s">
        <v>4595</v>
      </c>
      <c r="AI58" s="34" t="s">
        <v>345</v>
      </c>
      <c r="AJ58" s="420" t="s">
        <v>1230</v>
      </c>
      <c r="AK58" s="401">
        <v>15</v>
      </c>
      <c r="AL58" s="401" t="s">
        <v>2083</v>
      </c>
      <c r="AM58" s="401" t="s">
        <v>2083</v>
      </c>
      <c r="AN58" s="401" t="s">
        <v>2415</v>
      </c>
      <c r="AO58" s="401"/>
      <c r="AP58" s="408">
        <v>45747</v>
      </c>
      <c r="AQ58" s="401"/>
    </row>
    <row r="59" spans="1:48">
      <c r="A59" s="401" t="s">
        <v>4310</v>
      </c>
      <c r="B59" s="401" t="s">
        <v>2076</v>
      </c>
      <c r="C59" s="401" t="s">
        <v>2077</v>
      </c>
      <c r="D59" s="401" t="s">
        <v>2078</v>
      </c>
      <c r="E59" s="401" t="s">
        <v>2096</v>
      </c>
      <c r="F59" s="401" t="s">
        <v>2092</v>
      </c>
      <c r="G59" s="401" t="s">
        <v>2093</v>
      </c>
      <c r="H59" s="401" t="s">
        <v>2094</v>
      </c>
      <c r="I59" s="401" t="s">
        <v>2092</v>
      </c>
      <c r="J59" s="401" t="s">
        <v>2110</v>
      </c>
      <c r="K59" s="401" t="s">
        <v>2111</v>
      </c>
      <c r="L59" s="401"/>
      <c r="M59" s="401" t="s">
        <v>2112</v>
      </c>
      <c r="N59" s="401" t="s">
        <v>2092</v>
      </c>
      <c r="O59" s="401" t="s">
        <v>2420</v>
      </c>
      <c r="P59" s="401">
        <v>1650</v>
      </c>
      <c r="Q59" s="401" t="s">
        <v>2081</v>
      </c>
      <c r="R59" s="401" t="s">
        <v>2082</v>
      </c>
      <c r="S59" s="401" t="s">
        <v>2077</v>
      </c>
      <c r="T59" s="401" t="s">
        <v>1070</v>
      </c>
      <c r="U59" s="401" t="s">
        <v>1071</v>
      </c>
      <c r="V59" s="401" t="s">
        <v>382</v>
      </c>
      <c r="W59" s="401" t="s">
        <v>1070</v>
      </c>
      <c r="X59" s="401" t="s">
        <v>1072</v>
      </c>
      <c r="Y59" s="401" t="s">
        <v>382</v>
      </c>
      <c r="Z59" s="401" t="s">
        <v>1300</v>
      </c>
      <c r="AA59" s="401" t="s">
        <v>1301</v>
      </c>
      <c r="AB59" s="401" t="s">
        <v>1908</v>
      </c>
      <c r="AC59" s="401" t="s">
        <v>1055</v>
      </c>
      <c r="AD59" s="401" t="s">
        <v>2412</v>
      </c>
      <c r="AE59" s="441">
        <v>45931</v>
      </c>
      <c r="AF59" s="440">
        <v>46295</v>
      </c>
      <c r="AG59" s="443">
        <v>46295</v>
      </c>
      <c r="AH59" s="34" t="s">
        <v>4595</v>
      </c>
      <c r="AI59" s="34" t="s">
        <v>345</v>
      </c>
      <c r="AJ59" s="420" t="s">
        <v>1230</v>
      </c>
      <c r="AK59" s="401">
        <v>15</v>
      </c>
      <c r="AL59" s="401" t="s">
        <v>2083</v>
      </c>
      <c r="AM59" s="401" t="s">
        <v>2083</v>
      </c>
      <c r="AN59" s="401" t="s">
        <v>2415</v>
      </c>
      <c r="AO59" s="401"/>
      <c r="AP59" s="408">
        <v>45747</v>
      </c>
      <c r="AQ59" s="401"/>
    </row>
    <row r="60" spans="1:48">
      <c r="A60" s="401" t="s">
        <v>4310</v>
      </c>
      <c r="B60" s="401" t="s">
        <v>2076</v>
      </c>
      <c r="C60" s="401" t="s">
        <v>2077</v>
      </c>
      <c r="D60" s="401" t="s">
        <v>2078</v>
      </c>
      <c r="E60" s="401" t="s">
        <v>2096</v>
      </c>
      <c r="F60" s="401" t="s">
        <v>2092</v>
      </c>
      <c r="G60" s="401" t="s">
        <v>2093</v>
      </c>
      <c r="H60" s="401" t="s">
        <v>2094</v>
      </c>
      <c r="I60" s="401" t="s">
        <v>2092</v>
      </c>
      <c r="J60" s="401" t="s">
        <v>2114</v>
      </c>
      <c r="K60" s="401" t="s">
        <v>2115</v>
      </c>
      <c r="L60" s="401"/>
      <c r="M60" s="401" t="s">
        <v>2116</v>
      </c>
      <c r="N60" s="401" t="s">
        <v>2092</v>
      </c>
      <c r="O60" s="401" t="s">
        <v>2117</v>
      </c>
      <c r="P60" s="401">
        <v>1650</v>
      </c>
      <c r="Q60" s="401" t="s">
        <v>2081</v>
      </c>
      <c r="R60" s="401" t="s">
        <v>2082</v>
      </c>
      <c r="S60" s="401" t="s">
        <v>2077</v>
      </c>
      <c r="T60" s="401" t="s">
        <v>1070</v>
      </c>
      <c r="U60" s="401" t="s">
        <v>1071</v>
      </c>
      <c r="V60" s="401" t="s">
        <v>382</v>
      </c>
      <c r="W60" s="401" t="s">
        <v>1070</v>
      </c>
      <c r="X60" s="401" t="s">
        <v>1072</v>
      </c>
      <c r="Y60" s="401" t="s">
        <v>382</v>
      </c>
      <c r="Z60" s="401" t="s">
        <v>1300</v>
      </c>
      <c r="AA60" s="401" t="s">
        <v>1301</v>
      </c>
      <c r="AB60" s="401" t="s">
        <v>1908</v>
      </c>
      <c r="AC60" s="401" t="s">
        <v>1055</v>
      </c>
      <c r="AD60" s="401" t="s">
        <v>2412</v>
      </c>
      <c r="AE60" s="441">
        <v>45931</v>
      </c>
      <c r="AF60" s="440">
        <v>46295</v>
      </c>
      <c r="AG60" s="443">
        <v>46295</v>
      </c>
      <c r="AH60" s="34" t="s">
        <v>4595</v>
      </c>
      <c r="AI60" s="34" t="s">
        <v>345</v>
      </c>
      <c r="AJ60" s="420" t="s">
        <v>1230</v>
      </c>
      <c r="AK60" s="401">
        <v>15</v>
      </c>
      <c r="AL60" s="401" t="s">
        <v>2083</v>
      </c>
      <c r="AM60" s="401" t="s">
        <v>2083</v>
      </c>
      <c r="AN60" s="401" t="s">
        <v>2415</v>
      </c>
      <c r="AO60" s="401"/>
      <c r="AP60" s="408">
        <v>45747</v>
      </c>
      <c r="AQ60" s="401"/>
    </row>
    <row r="61" spans="1:48">
      <c r="A61" s="401" t="s">
        <v>4310</v>
      </c>
      <c r="B61" s="401" t="s">
        <v>2076</v>
      </c>
      <c r="C61" s="401" t="s">
        <v>2077</v>
      </c>
      <c r="D61" s="401" t="s">
        <v>2078</v>
      </c>
      <c r="E61" s="401" t="s">
        <v>2096</v>
      </c>
      <c r="F61" s="401" t="s">
        <v>2092</v>
      </c>
      <c r="G61" s="401" t="s">
        <v>2093</v>
      </c>
      <c r="H61" s="401" t="s">
        <v>2094</v>
      </c>
      <c r="I61" s="401" t="s">
        <v>2092</v>
      </c>
      <c r="J61" s="401" t="s">
        <v>3931</v>
      </c>
      <c r="K61" s="401" t="s">
        <v>2481</v>
      </c>
      <c r="L61" s="401"/>
      <c r="M61" s="401" t="s">
        <v>2450</v>
      </c>
      <c r="N61" s="401" t="s">
        <v>2092</v>
      </c>
      <c r="O61" s="401" t="s">
        <v>2452</v>
      </c>
      <c r="P61" s="401">
        <v>1650</v>
      </c>
      <c r="Q61" s="401" t="s">
        <v>2081</v>
      </c>
      <c r="R61" s="401" t="s">
        <v>2082</v>
      </c>
      <c r="S61" s="401" t="s">
        <v>2077</v>
      </c>
      <c r="T61" s="401" t="s">
        <v>1070</v>
      </c>
      <c r="U61" s="401" t="s">
        <v>1071</v>
      </c>
      <c r="V61" s="401" t="s">
        <v>382</v>
      </c>
      <c r="W61" s="401" t="s">
        <v>1070</v>
      </c>
      <c r="X61" s="401" t="s">
        <v>1072</v>
      </c>
      <c r="Y61" s="401" t="s">
        <v>382</v>
      </c>
      <c r="Z61" s="401" t="s">
        <v>1300</v>
      </c>
      <c r="AA61" s="401" t="s">
        <v>1301</v>
      </c>
      <c r="AB61" s="401" t="s">
        <v>1908</v>
      </c>
      <c r="AC61" s="401" t="s">
        <v>1055</v>
      </c>
      <c r="AD61" s="401" t="s">
        <v>2412</v>
      </c>
      <c r="AE61" s="441">
        <v>45931</v>
      </c>
      <c r="AF61" s="440">
        <v>46295</v>
      </c>
      <c r="AG61" s="443">
        <v>46295</v>
      </c>
      <c r="AH61" s="34" t="s">
        <v>4595</v>
      </c>
      <c r="AI61" s="401" t="s">
        <v>345</v>
      </c>
      <c r="AJ61" s="420" t="s">
        <v>1230</v>
      </c>
      <c r="AK61" s="401">
        <v>15</v>
      </c>
      <c r="AL61" s="401" t="s">
        <v>2083</v>
      </c>
      <c r="AM61" s="401" t="s">
        <v>2083</v>
      </c>
      <c r="AN61" s="401" t="s">
        <v>2415</v>
      </c>
      <c r="AO61" s="401"/>
      <c r="AP61" s="408">
        <v>45747</v>
      </c>
      <c r="AQ61" s="401"/>
    </row>
    <row r="62" spans="1:48">
      <c r="A62" s="401"/>
      <c r="B62" s="401"/>
      <c r="C62" s="401"/>
      <c r="D62" s="401"/>
      <c r="E62" s="401"/>
      <c r="F62" s="401"/>
      <c r="G62" s="401"/>
      <c r="H62" s="401"/>
      <c r="I62" s="401"/>
      <c r="J62" s="401"/>
      <c r="K62" s="401"/>
      <c r="L62" s="401"/>
      <c r="M62" s="401"/>
      <c r="N62" s="401"/>
      <c r="O62" s="401"/>
      <c r="P62" s="401"/>
      <c r="Q62" s="401"/>
      <c r="R62" s="401"/>
      <c r="S62" s="401"/>
      <c r="T62" s="401"/>
      <c r="U62" s="401"/>
      <c r="V62" s="401"/>
      <c r="W62" s="401"/>
      <c r="X62" s="401"/>
      <c r="Y62" s="401"/>
      <c r="Z62" s="401"/>
      <c r="AA62" s="401"/>
      <c r="AB62" s="401"/>
      <c r="AC62" s="401"/>
      <c r="AD62" s="401"/>
      <c r="AE62" s="441"/>
      <c r="AF62" s="440"/>
      <c r="AG62" s="443"/>
      <c r="AH62" s="34"/>
      <c r="AI62" s="34"/>
      <c r="AJ62" s="416"/>
      <c r="AK62" s="401"/>
      <c r="AL62" s="401"/>
      <c r="AM62" s="401"/>
      <c r="AN62" s="401"/>
      <c r="AO62" s="401"/>
      <c r="AP62" s="408">
        <v>45747</v>
      </c>
      <c r="AQ62" s="401"/>
    </row>
    <row r="63" spans="1:48" ht="24">
      <c r="A63" s="401" t="s">
        <v>4310</v>
      </c>
      <c r="B63" s="401" t="s">
        <v>2076</v>
      </c>
      <c r="C63" s="401" t="s">
        <v>2077</v>
      </c>
      <c r="D63" s="401" t="s">
        <v>2078</v>
      </c>
      <c r="E63" s="401" t="s">
        <v>2130</v>
      </c>
      <c r="F63" s="417" t="s">
        <v>2133</v>
      </c>
      <c r="G63" s="7" t="s">
        <v>2135</v>
      </c>
      <c r="H63" s="417" t="s">
        <v>2137</v>
      </c>
      <c r="I63" s="417" t="s">
        <v>2133</v>
      </c>
      <c r="J63" s="7" t="s">
        <v>2095</v>
      </c>
      <c r="K63" s="401" t="s">
        <v>753</v>
      </c>
      <c r="L63" s="401"/>
      <c r="M63" s="401" t="s">
        <v>2154</v>
      </c>
      <c r="N63" s="417" t="s">
        <v>2133</v>
      </c>
      <c r="O63" s="401" t="s">
        <v>388</v>
      </c>
      <c r="P63" s="401">
        <v>1750</v>
      </c>
      <c r="Q63" s="401" t="s">
        <v>2081</v>
      </c>
      <c r="R63" s="401" t="s">
        <v>2082</v>
      </c>
      <c r="S63" s="401" t="s">
        <v>2077</v>
      </c>
      <c r="T63" s="401" t="s">
        <v>1070</v>
      </c>
      <c r="U63" s="401" t="s">
        <v>1071</v>
      </c>
      <c r="V63" s="401" t="s">
        <v>382</v>
      </c>
      <c r="W63" s="401" t="s">
        <v>1070</v>
      </c>
      <c r="X63" s="401" t="s">
        <v>1072</v>
      </c>
      <c r="Y63" s="401" t="s">
        <v>382</v>
      </c>
      <c r="Z63" s="401" t="s">
        <v>1300</v>
      </c>
      <c r="AA63" s="401" t="s">
        <v>1301</v>
      </c>
      <c r="AB63" s="401" t="s">
        <v>1908</v>
      </c>
      <c r="AC63" s="401" t="s">
        <v>1055</v>
      </c>
      <c r="AD63" s="401" t="s">
        <v>2412</v>
      </c>
      <c r="AE63" s="441">
        <v>45931</v>
      </c>
      <c r="AF63" s="440">
        <v>46295</v>
      </c>
      <c r="AG63" s="443">
        <v>46295</v>
      </c>
      <c r="AH63" s="34" t="s">
        <v>4595</v>
      </c>
      <c r="AI63" s="34" t="s">
        <v>345</v>
      </c>
      <c r="AJ63" s="420" t="s">
        <v>1230</v>
      </c>
      <c r="AK63" s="401">
        <v>15</v>
      </c>
      <c r="AL63" s="401" t="s">
        <v>2083</v>
      </c>
      <c r="AM63" s="401" t="s">
        <v>2083</v>
      </c>
      <c r="AN63" s="401" t="s">
        <v>2415</v>
      </c>
      <c r="AO63" s="401"/>
      <c r="AP63" s="408">
        <v>45747</v>
      </c>
      <c r="AQ63" s="401"/>
    </row>
    <row r="64" spans="1:48" ht="24">
      <c r="A64" s="401" t="s">
        <v>4310</v>
      </c>
      <c r="B64" s="401" t="s">
        <v>2076</v>
      </c>
      <c r="C64" s="401" t="s">
        <v>2077</v>
      </c>
      <c r="D64" s="401" t="s">
        <v>2078</v>
      </c>
      <c r="E64" s="401" t="s">
        <v>4158</v>
      </c>
      <c r="F64" s="417" t="s">
        <v>2133</v>
      </c>
      <c r="G64" s="7" t="s">
        <v>2118</v>
      </c>
      <c r="H64" s="417" t="s">
        <v>2137</v>
      </c>
      <c r="I64" s="417" t="s">
        <v>2133</v>
      </c>
      <c r="J64" s="7" t="s">
        <v>2084</v>
      </c>
      <c r="K64" s="423" t="s">
        <v>3872</v>
      </c>
      <c r="L64" s="401"/>
      <c r="M64" s="401" t="s">
        <v>2456</v>
      </c>
      <c r="N64" s="417" t="s">
        <v>2133</v>
      </c>
      <c r="O64" s="401" t="s">
        <v>393</v>
      </c>
      <c r="P64" s="401">
        <v>1650</v>
      </c>
      <c r="Q64" s="401" t="s">
        <v>2081</v>
      </c>
      <c r="R64" s="401" t="s">
        <v>2082</v>
      </c>
      <c r="S64" s="401" t="s">
        <v>2077</v>
      </c>
      <c r="T64" s="401" t="s">
        <v>1070</v>
      </c>
      <c r="U64" s="401" t="s">
        <v>1071</v>
      </c>
      <c r="V64" s="401" t="s">
        <v>382</v>
      </c>
      <c r="W64" s="401" t="s">
        <v>1070</v>
      </c>
      <c r="X64" s="401" t="s">
        <v>1072</v>
      </c>
      <c r="Y64" s="401" t="s">
        <v>382</v>
      </c>
      <c r="Z64" s="401" t="s">
        <v>1300</v>
      </c>
      <c r="AA64" s="401" t="s">
        <v>1301</v>
      </c>
      <c r="AB64" s="401" t="s">
        <v>1908</v>
      </c>
      <c r="AC64" s="401" t="s">
        <v>1055</v>
      </c>
      <c r="AD64" s="401" t="s">
        <v>2412</v>
      </c>
      <c r="AE64" s="441">
        <v>45931</v>
      </c>
      <c r="AF64" s="440">
        <v>46295</v>
      </c>
      <c r="AG64" s="443">
        <v>46295</v>
      </c>
      <c r="AH64" s="34" t="s">
        <v>4595</v>
      </c>
      <c r="AI64" s="34" t="s">
        <v>345</v>
      </c>
      <c r="AJ64" s="420" t="s">
        <v>1230</v>
      </c>
      <c r="AK64" s="401">
        <v>15</v>
      </c>
      <c r="AL64" s="401" t="s">
        <v>2083</v>
      </c>
      <c r="AM64" s="401" t="s">
        <v>2083</v>
      </c>
      <c r="AN64" s="401" t="s">
        <v>2415</v>
      </c>
      <c r="AO64" s="401"/>
      <c r="AP64" s="408">
        <v>45747</v>
      </c>
      <c r="AQ64" s="401"/>
    </row>
    <row r="65" spans="1:43" ht="24">
      <c r="A65" s="401" t="s">
        <v>4310</v>
      </c>
      <c r="B65" s="401" t="s">
        <v>2076</v>
      </c>
      <c r="C65" s="401" t="s">
        <v>2077</v>
      </c>
      <c r="D65" s="401" t="s">
        <v>2078</v>
      </c>
      <c r="E65" s="401" t="s">
        <v>4158</v>
      </c>
      <c r="F65" s="417" t="s">
        <v>2133</v>
      </c>
      <c r="G65" s="7" t="s">
        <v>2118</v>
      </c>
      <c r="H65" s="417" t="s">
        <v>2137</v>
      </c>
      <c r="I65" s="417" t="s">
        <v>2133</v>
      </c>
      <c r="J65" s="7" t="s">
        <v>2084</v>
      </c>
      <c r="K65" s="7" t="s">
        <v>2140</v>
      </c>
      <c r="L65" s="401"/>
      <c r="M65" s="401" t="s">
        <v>2155</v>
      </c>
      <c r="N65" s="417" t="s">
        <v>2133</v>
      </c>
      <c r="O65" s="401" t="s">
        <v>2119</v>
      </c>
      <c r="P65" s="401">
        <v>1650</v>
      </c>
      <c r="Q65" s="401" t="s">
        <v>2081</v>
      </c>
      <c r="R65" s="401" t="s">
        <v>2082</v>
      </c>
      <c r="S65" s="401" t="s">
        <v>2077</v>
      </c>
      <c r="T65" s="401" t="s">
        <v>1070</v>
      </c>
      <c r="U65" s="401" t="s">
        <v>1071</v>
      </c>
      <c r="V65" s="401" t="s">
        <v>382</v>
      </c>
      <c r="W65" s="401" t="s">
        <v>1070</v>
      </c>
      <c r="X65" s="401" t="s">
        <v>1072</v>
      </c>
      <c r="Y65" s="401" t="s">
        <v>382</v>
      </c>
      <c r="Z65" s="401" t="s">
        <v>1300</v>
      </c>
      <c r="AA65" s="401" t="s">
        <v>1301</v>
      </c>
      <c r="AB65" s="401" t="s">
        <v>1908</v>
      </c>
      <c r="AC65" s="401" t="s">
        <v>1055</v>
      </c>
      <c r="AD65" s="401" t="s">
        <v>2412</v>
      </c>
      <c r="AE65" s="441">
        <v>45931</v>
      </c>
      <c r="AF65" s="440">
        <v>46295</v>
      </c>
      <c r="AG65" s="443">
        <v>46295</v>
      </c>
      <c r="AH65" s="34" t="s">
        <v>4595</v>
      </c>
      <c r="AI65" s="34" t="s">
        <v>345</v>
      </c>
      <c r="AJ65" s="420" t="s">
        <v>1230</v>
      </c>
      <c r="AK65" s="401">
        <v>15</v>
      </c>
      <c r="AL65" s="401" t="s">
        <v>2083</v>
      </c>
      <c r="AM65" s="401" t="s">
        <v>2083</v>
      </c>
      <c r="AN65" s="401" t="s">
        <v>2415</v>
      </c>
      <c r="AO65" s="401"/>
      <c r="AP65" s="408">
        <v>45747</v>
      </c>
      <c r="AQ65" s="401"/>
    </row>
    <row r="66" spans="1:43" ht="24">
      <c r="A66" s="401" t="s">
        <v>4310</v>
      </c>
      <c r="B66" s="401" t="s">
        <v>2076</v>
      </c>
      <c r="C66" s="401" t="s">
        <v>2077</v>
      </c>
      <c r="D66" s="401" t="s">
        <v>2078</v>
      </c>
      <c r="E66" s="401" t="s">
        <v>4158</v>
      </c>
      <c r="F66" s="417" t="s">
        <v>2133</v>
      </c>
      <c r="G66" s="7" t="s">
        <v>2118</v>
      </c>
      <c r="H66" s="417" t="s">
        <v>2137</v>
      </c>
      <c r="I66" s="417" t="s">
        <v>2133</v>
      </c>
      <c r="J66" s="7" t="s">
        <v>2084</v>
      </c>
      <c r="K66" s="423" t="s">
        <v>2141</v>
      </c>
      <c r="L66" s="401"/>
      <c r="M66" s="401" t="s">
        <v>2408</v>
      </c>
      <c r="N66" s="417" t="s">
        <v>2133</v>
      </c>
      <c r="O66" s="401" t="s">
        <v>1091</v>
      </c>
      <c r="P66" s="401">
        <v>1650</v>
      </c>
      <c r="Q66" s="401" t="s">
        <v>2081</v>
      </c>
      <c r="R66" s="401" t="s">
        <v>2082</v>
      </c>
      <c r="S66" s="401" t="s">
        <v>2077</v>
      </c>
      <c r="T66" s="401" t="s">
        <v>1070</v>
      </c>
      <c r="U66" s="401" t="s">
        <v>1071</v>
      </c>
      <c r="V66" s="401" t="s">
        <v>382</v>
      </c>
      <c r="W66" s="401" t="s">
        <v>1070</v>
      </c>
      <c r="X66" s="401" t="s">
        <v>1072</v>
      </c>
      <c r="Y66" s="401" t="s">
        <v>382</v>
      </c>
      <c r="Z66" s="401" t="s">
        <v>1300</v>
      </c>
      <c r="AA66" s="401" t="s">
        <v>1301</v>
      </c>
      <c r="AB66" s="401" t="s">
        <v>1908</v>
      </c>
      <c r="AC66" s="401" t="s">
        <v>1055</v>
      </c>
      <c r="AD66" s="401" t="s">
        <v>2412</v>
      </c>
      <c r="AE66" s="441">
        <v>45931</v>
      </c>
      <c r="AF66" s="440">
        <v>46295</v>
      </c>
      <c r="AG66" s="443">
        <v>46295</v>
      </c>
      <c r="AH66" s="34" t="s">
        <v>4595</v>
      </c>
      <c r="AI66" s="34" t="s">
        <v>345</v>
      </c>
      <c r="AJ66" s="420" t="s">
        <v>1230</v>
      </c>
      <c r="AK66" s="401">
        <v>15</v>
      </c>
      <c r="AL66" s="401" t="s">
        <v>2083</v>
      </c>
      <c r="AM66" s="401" t="s">
        <v>2083</v>
      </c>
      <c r="AN66" s="401" t="s">
        <v>2415</v>
      </c>
      <c r="AO66" s="401"/>
      <c r="AP66" s="408">
        <v>45747</v>
      </c>
      <c r="AQ66" s="401"/>
    </row>
    <row r="67" spans="1:43" ht="24">
      <c r="A67" s="401" t="s">
        <v>4310</v>
      </c>
      <c r="B67" s="401" t="s">
        <v>2076</v>
      </c>
      <c r="C67" s="401" t="s">
        <v>2077</v>
      </c>
      <c r="D67" s="401" t="s">
        <v>2078</v>
      </c>
      <c r="E67" s="401" t="s">
        <v>4158</v>
      </c>
      <c r="F67" s="417" t="s">
        <v>2133</v>
      </c>
      <c r="G67" s="7" t="s">
        <v>2118</v>
      </c>
      <c r="H67" s="417" t="s">
        <v>2137</v>
      </c>
      <c r="I67" s="417" t="s">
        <v>2133</v>
      </c>
      <c r="J67" s="7" t="s">
        <v>2084</v>
      </c>
      <c r="K67" s="7" t="s">
        <v>2120</v>
      </c>
      <c r="L67" s="401"/>
      <c r="M67" s="401" t="s">
        <v>2156</v>
      </c>
      <c r="N67" s="417" t="s">
        <v>2133</v>
      </c>
      <c r="O67" s="401" t="s">
        <v>2121</v>
      </c>
      <c r="P67" s="401">
        <v>1650</v>
      </c>
      <c r="Q67" s="401" t="s">
        <v>2081</v>
      </c>
      <c r="R67" s="401" t="s">
        <v>2082</v>
      </c>
      <c r="S67" s="401" t="s">
        <v>2077</v>
      </c>
      <c r="T67" s="401" t="s">
        <v>1070</v>
      </c>
      <c r="U67" s="401" t="s">
        <v>1071</v>
      </c>
      <c r="V67" s="401" t="s">
        <v>382</v>
      </c>
      <c r="W67" s="401" t="s">
        <v>1070</v>
      </c>
      <c r="X67" s="401" t="s">
        <v>1072</v>
      </c>
      <c r="Y67" s="401" t="s">
        <v>382</v>
      </c>
      <c r="Z67" s="401" t="s">
        <v>1300</v>
      </c>
      <c r="AA67" s="401" t="s">
        <v>1301</v>
      </c>
      <c r="AB67" s="401" t="s">
        <v>1908</v>
      </c>
      <c r="AC67" s="401" t="s">
        <v>1055</v>
      </c>
      <c r="AD67" s="401" t="s">
        <v>2412</v>
      </c>
      <c r="AE67" s="441">
        <v>45931</v>
      </c>
      <c r="AF67" s="440">
        <v>46295</v>
      </c>
      <c r="AG67" s="443">
        <v>46295</v>
      </c>
      <c r="AH67" s="34" t="s">
        <v>4595</v>
      </c>
      <c r="AI67" s="34" t="s">
        <v>345</v>
      </c>
      <c r="AJ67" s="420" t="s">
        <v>1230</v>
      </c>
      <c r="AK67" s="401">
        <v>15</v>
      </c>
      <c r="AL67" s="401" t="s">
        <v>2083</v>
      </c>
      <c r="AM67" s="401" t="s">
        <v>2083</v>
      </c>
      <c r="AN67" s="401" t="s">
        <v>2415</v>
      </c>
      <c r="AO67" s="401"/>
      <c r="AP67" s="408">
        <v>45747</v>
      </c>
      <c r="AQ67" s="401"/>
    </row>
    <row r="68" spans="1:43" ht="24">
      <c r="A68" s="401" t="s">
        <v>4310</v>
      </c>
      <c r="B68" s="401" t="s">
        <v>2076</v>
      </c>
      <c r="C68" s="401" t="s">
        <v>2077</v>
      </c>
      <c r="D68" s="401" t="s">
        <v>2078</v>
      </c>
      <c r="E68" s="401" t="s">
        <v>2131</v>
      </c>
      <c r="F68" s="417" t="s">
        <v>2133</v>
      </c>
      <c r="G68" s="7" t="s">
        <v>2118</v>
      </c>
      <c r="H68" s="417" t="s">
        <v>2137</v>
      </c>
      <c r="I68" s="417" t="s">
        <v>2133</v>
      </c>
      <c r="J68" s="7" t="s">
        <v>2122</v>
      </c>
      <c r="K68" s="7" t="s">
        <v>2142</v>
      </c>
      <c r="L68" s="401"/>
      <c r="M68" s="401" t="s">
        <v>2157</v>
      </c>
      <c r="N68" s="417" t="s">
        <v>2133</v>
      </c>
      <c r="O68" s="401" t="s">
        <v>2113</v>
      </c>
      <c r="P68" s="401">
        <v>1650</v>
      </c>
      <c r="Q68" s="401" t="s">
        <v>2081</v>
      </c>
      <c r="R68" s="401" t="s">
        <v>2082</v>
      </c>
      <c r="S68" s="401" t="s">
        <v>2077</v>
      </c>
      <c r="T68" s="401" t="s">
        <v>1070</v>
      </c>
      <c r="U68" s="401" t="s">
        <v>1071</v>
      </c>
      <c r="V68" s="401" t="s">
        <v>382</v>
      </c>
      <c r="W68" s="401" t="s">
        <v>1070</v>
      </c>
      <c r="X68" s="401" t="s">
        <v>1072</v>
      </c>
      <c r="Y68" s="401" t="s">
        <v>382</v>
      </c>
      <c r="Z68" s="401" t="s">
        <v>1300</v>
      </c>
      <c r="AA68" s="401" t="s">
        <v>1301</v>
      </c>
      <c r="AB68" s="401" t="s">
        <v>1908</v>
      </c>
      <c r="AC68" s="401" t="s">
        <v>1055</v>
      </c>
      <c r="AD68" s="401" t="s">
        <v>2412</v>
      </c>
      <c r="AE68" s="441">
        <v>45931</v>
      </c>
      <c r="AF68" s="440">
        <v>46295</v>
      </c>
      <c r="AG68" s="443">
        <v>46295</v>
      </c>
      <c r="AH68" s="34" t="s">
        <v>4595</v>
      </c>
      <c r="AI68" s="34" t="s">
        <v>345</v>
      </c>
      <c r="AJ68" s="420" t="s">
        <v>1230</v>
      </c>
      <c r="AK68" s="401">
        <v>15</v>
      </c>
      <c r="AL68" s="401" t="s">
        <v>2083</v>
      </c>
      <c r="AM68" s="401" t="s">
        <v>2083</v>
      </c>
      <c r="AN68" s="401" t="s">
        <v>2415</v>
      </c>
      <c r="AO68" s="401"/>
      <c r="AP68" s="408">
        <v>45747</v>
      </c>
      <c r="AQ68" s="401"/>
    </row>
    <row r="69" spans="1:43">
      <c r="A69" s="401"/>
      <c r="B69" s="401"/>
      <c r="C69" s="401"/>
      <c r="D69" s="401"/>
      <c r="E69" s="401"/>
      <c r="F69" s="417"/>
      <c r="G69" s="7"/>
      <c r="H69" s="417"/>
      <c r="I69" s="417"/>
      <c r="J69" s="7"/>
      <c r="K69" s="7"/>
      <c r="L69" s="401"/>
      <c r="M69" s="401"/>
      <c r="N69" s="417"/>
      <c r="O69" s="401"/>
      <c r="P69" s="401"/>
      <c r="Q69" s="401"/>
      <c r="R69" s="401"/>
      <c r="S69" s="401"/>
      <c r="T69" s="401"/>
      <c r="U69" s="401"/>
      <c r="V69" s="401"/>
      <c r="W69" s="401"/>
      <c r="X69" s="401"/>
      <c r="Y69" s="401"/>
      <c r="Z69" s="401"/>
      <c r="AA69" s="401"/>
      <c r="AB69" s="401"/>
      <c r="AC69" s="401"/>
      <c r="AD69" s="401"/>
      <c r="AE69" s="441"/>
      <c r="AF69" s="440"/>
      <c r="AG69" s="443"/>
      <c r="AH69" s="34"/>
      <c r="AI69" s="34"/>
      <c r="AJ69" s="420"/>
      <c r="AK69" s="401"/>
      <c r="AL69" s="401"/>
      <c r="AM69" s="401"/>
      <c r="AN69" s="401"/>
      <c r="AO69" s="401"/>
      <c r="AP69" s="408"/>
      <c r="AQ69" s="401"/>
    </row>
    <row r="70" spans="1:43">
      <c r="A70" s="401"/>
      <c r="B70" s="401"/>
      <c r="C70" s="401"/>
      <c r="D70" s="401"/>
      <c r="E70" s="401"/>
      <c r="F70" s="417"/>
      <c r="G70" s="7"/>
      <c r="H70" s="417"/>
      <c r="I70" s="417"/>
      <c r="J70" s="7"/>
      <c r="K70" s="7"/>
      <c r="L70" s="401"/>
      <c r="M70" s="401"/>
      <c r="N70" s="417"/>
      <c r="O70" s="401"/>
      <c r="P70" s="401"/>
      <c r="Q70" s="401"/>
      <c r="R70" s="401"/>
      <c r="S70" s="401"/>
      <c r="T70" s="401"/>
      <c r="U70" s="401"/>
      <c r="V70" s="401"/>
      <c r="W70" s="401"/>
      <c r="X70" s="401"/>
      <c r="Y70" s="401"/>
      <c r="Z70" s="401"/>
      <c r="AA70" s="401"/>
      <c r="AB70" s="401"/>
      <c r="AC70" s="401"/>
      <c r="AD70" s="401"/>
      <c r="AE70" s="441"/>
      <c r="AF70" s="440"/>
      <c r="AG70" s="443"/>
      <c r="AH70" s="34"/>
      <c r="AI70" s="34"/>
      <c r="AJ70" s="416"/>
      <c r="AK70" s="401"/>
      <c r="AL70" s="401"/>
      <c r="AM70" s="401"/>
      <c r="AN70" s="401"/>
      <c r="AO70" s="401"/>
      <c r="AP70" s="408"/>
      <c r="AQ70" s="401"/>
    </row>
    <row r="71" spans="1:43">
      <c r="A71" s="401" t="s">
        <v>4310</v>
      </c>
      <c r="B71" s="401" t="s">
        <v>2076</v>
      </c>
      <c r="C71" s="401" t="s">
        <v>2077</v>
      </c>
      <c r="D71" s="401" t="s">
        <v>2124</v>
      </c>
      <c r="E71" s="418" t="s">
        <v>2462</v>
      </c>
      <c r="F71" s="417" t="s">
        <v>2134</v>
      </c>
      <c r="G71" s="7" t="s">
        <v>2136</v>
      </c>
      <c r="H71" s="417" t="s">
        <v>2138</v>
      </c>
      <c r="I71" s="417" t="s">
        <v>2134</v>
      </c>
      <c r="J71" s="7" t="s">
        <v>2139</v>
      </c>
      <c r="K71" s="7" t="s">
        <v>2144</v>
      </c>
      <c r="L71" s="401"/>
      <c r="M71" s="401" t="s">
        <v>2457</v>
      </c>
      <c r="N71" s="417" t="s">
        <v>2134</v>
      </c>
      <c r="O71" s="401" t="s">
        <v>2126</v>
      </c>
      <c r="P71" s="401">
        <v>1650</v>
      </c>
      <c r="Q71" s="401" t="s">
        <v>2081</v>
      </c>
      <c r="R71" s="401" t="s">
        <v>2082</v>
      </c>
      <c r="S71" s="401" t="s">
        <v>2077</v>
      </c>
      <c r="T71" s="401" t="s">
        <v>1070</v>
      </c>
      <c r="U71" s="401" t="s">
        <v>1071</v>
      </c>
      <c r="V71" s="401" t="s">
        <v>382</v>
      </c>
      <c r="W71" s="401" t="s">
        <v>1070</v>
      </c>
      <c r="X71" s="401" t="s">
        <v>1072</v>
      </c>
      <c r="Y71" s="401" t="s">
        <v>382</v>
      </c>
      <c r="Z71" s="401" t="s">
        <v>1300</v>
      </c>
      <c r="AA71" s="401" t="s">
        <v>1301</v>
      </c>
      <c r="AB71" s="401" t="s">
        <v>1908</v>
      </c>
      <c r="AC71" s="401" t="s">
        <v>1055</v>
      </c>
      <c r="AD71" s="401" t="s">
        <v>2412</v>
      </c>
      <c r="AE71" s="441">
        <v>45931</v>
      </c>
      <c r="AF71" s="440">
        <v>46295</v>
      </c>
      <c r="AG71" s="443">
        <v>46295</v>
      </c>
      <c r="AH71" s="34" t="s">
        <v>4595</v>
      </c>
      <c r="AI71" s="34" t="s">
        <v>345</v>
      </c>
      <c r="AJ71" s="420" t="s">
        <v>1230</v>
      </c>
      <c r="AK71" s="401">
        <v>15</v>
      </c>
      <c r="AL71" s="401" t="s">
        <v>2083</v>
      </c>
      <c r="AM71" s="401" t="s">
        <v>2083</v>
      </c>
      <c r="AN71" s="401" t="s">
        <v>2415</v>
      </c>
      <c r="AO71" s="401"/>
      <c r="AP71" s="408">
        <v>45747</v>
      </c>
      <c r="AQ71" s="401"/>
    </row>
    <row r="72" spans="1:43">
      <c r="A72" s="401" t="s">
        <v>4310</v>
      </c>
      <c r="B72" s="401" t="s">
        <v>2076</v>
      </c>
      <c r="C72" s="401" t="s">
        <v>2077</v>
      </c>
      <c r="D72" s="401" t="s">
        <v>2124</v>
      </c>
      <c r="E72" s="418" t="s">
        <v>4159</v>
      </c>
      <c r="F72" s="417" t="s">
        <v>2134</v>
      </c>
      <c r="G72" s="7" t="s">
        <v>2125</v>
      </c>
      <c r="H72" s="417" t="s">
        <v>2138</v>
      </c>
      <c r="I72" s="417" t="s">
        <v>2134</v>
      </c>
      <c r="J72" s="7" t="s">
        <v>2139</v>
      </c>
      <c r="K72" s="7" t="s">
        <v>2127</v>
      </c>
      <c r="L72" s="401"/>
      <c r="M72" s="401"/>
      <c r="N72" s="417" t="s">
        <v>2134</v>
      </c>
      <c r="O72" s="401" t="s">
        <v>2128</v>
      </c>
      <c r="P72" s="401">
        <v>1650</v>
      </c>
      <c r="Q72" s="401" t="s">
        <v>2081</v>
      </c>
      <c r="R72" s="401" t="s">
        <v>2082</v>
      </c>
      <c r="S72" s="401" t="s">
        <v>2077</v>
      </c>
      <c r="T72" s="401" t="s">
        <v>1070</v>
      </c>
      <c r="U72" s="401" t="s">
        <v>1071</v>
      </c>
      <c r="V72" s="401" t="s">
        <v>382</v>
      </c>
      <c r="W72" s="401" t="s">
        <v>1070</v>
      </c>
      <c r="X72" s="401" t="s">
        <v>1072</v>
      </c>
      <c r="Y72" s="401" t="s">
        <v>382</v>
      </c>
      <c r="Z72" s="401" t="s">
        <v>1300</v>
      </c>
      <c r="AA72" s="401" t="s">
        <v>1301</v>
      </c>
      <c r="AB72" s="401" t="s">
        <v>1908</v>
      </c>
      <c r="AC72" s="401" t="s">
        <v>1055</v>
      </c>
      <c r="AD72" s="401" t="s">
        <v>2412</v>
      </c>
      <c r="AE72" s="441">
        <v>45931</v>
      </c>
      <c r="AF72" s="440">
        <v>46295</v>
      </c>
      <c r="AG72" s="443">
        <v>46295</v>
      </c>
      <c r="AH72" s="34" t="s">
        <v>4595</v>
      </c>
      <c r="AI72" s="34" t="s">
        <v>345</v>
      </c>
      <c r="AJ72" s="420" t="s">
        <v>1230</v>
      </c>
      <c r="AK72" s="401">
        <v>15</v>
      </c>
      <c r="AL72" s="401" t="s">
        <v>2083</v>
      </c>
      <c r="AM72" s="401" t="s">
        <v>2083</v>
      </c>
      <c r="AN72" s="401" t="s">
        <v>2415</v>
      </c>
      <c r="AO72" s="401"/>
      <c r="AP72" s="408">
        <v>45747</v>
      </c>
      <c r="AQ72" s="401"/>
    </row>
    <row r="73" spans="1:43">
      <c r="A73" s="401" t="s">
        <v>4310</v>
      </c>
      <c r="B73" s="401" t="s">
        <v>2076</v>
      </c>
      <c r="C73" s="401" t="s">
        <v>2077</v>
      </c>
      <c r="D73" s="401" t="s">
        <v>2124</v>
      </c>
      <c r="E73" s="418" t="s">
        <v>2462</v>
      </c>
      <c r="F73" s="417" t="s">
        <v>2134</v>
      </c>
      <c r="G73" s="7" t="s">
        <v>2125</v>
      </c>
      <c r="H73" s="417" t="s">
        <v>2138</v>
      </c>
      <c r="I73" s="417" t="s">
        <v>2134</v>
      </c>
      <c r="J73" s="7" t="s">
        <v>2139</v>
      </c>
      <c r="K73" s="7" t="s">
        <v>2145</v>
      </c>
      <c r="L73" s="401"/>
      <c r="M73" s="401" t="s">
        <v>2457</v>
      </c>
      <c r="N73" s="417" t="s">
        <v>2134</v>
      </c>
      <c r="O73" s="401" t="s">
        <v>317</v>
      </c>
      <c r="P73" s="401">
        <v>1650</v>
      </c>
      <c r="Q73" s="401" t="s">
        <v>2081</v>
      </c>
      <c r="R73" s="401" t="s">
        <v>2082</v>
      </c>
      <c r="S73" s="401" t="s">
        <v>2077</v>
      </c>
      <c r="T73" s="401" t="s">
        <v>1070</v>
      </c>
      <c r="U73" s="401" t="s">
        <v>1071</v>
      </c>
      <c r="V73" s="401" t="s">
        <v>382</v>
      </c>
      <c r="W73" s="401" t="s">
        <v>1070</v>
      </c>
      <c r="X73" s="401" t="s">
        <v>1072</v>
      </c>
      <c r="Y73" s="401" t="s">
        <v>382</v>
      </c>
      <c r="Z73" s="401" t="s">
        <v>1300</v>
      </c>
      <c r="AA73" s="401" t="s">
        <v>1301</v>
      </c>
      <c r="AB73" s="401" t="s">
        <v>1908</v>
      </c>
      <c r="AC73" s="401" t="s">
        <v>1055</v>
      </c>
      <c r="AD73" s="401" t="s">
        <v>2412</v>
      </c>
      <c r="AE73" s="441">
        <v>45931</v>
      </c>
      <c r="AF73" s="440">
        <v>46295</v>
      </c>
      <c r="AG73" s="443">
        <v>46295</v>
      </c>
      <c r="AH73" s="34" t="s">
        <v>4595</v>
      </c>
      <c r="AI73" s="34" t="s">
        <v>345</v>
      </c>
      <c r="AJ73" s="420" t="s">
        <v>1230</v>
      </c>
      <c r="AK73" s="401">
        <v>15</v>
      </c>
      <c r="AL73" s="401" t="s">
        <v>2083</v>
      </c>
      <c r="AM73" s="401" t="s">
        <v>2083</v>
      </c>
      <c r="AN73" s="401" t="s">
        <v>2415</v>
      </c>
      <c r="AO73" s="401"/>
      <c r="AP73" s="408">
        <v>45747</v>
      </c>
      <c r="AQ73" s="401"/>
    </row>
    <row r="74" spans="1:43">
      <c r="A74" s="401" t="s">
        <v>4310</v>
      </c>
      <c r="B74" s="401" t="s">
        <v>2076</v>
      </c>
      <c r="C74" s="401" t="s">
        <v>2077</v>
      </c>
      <c r="D74" s="401" t="s">
        <v>2124</v>
      </c>
      <c r="E74" s="418" t="s">
        <v>2462</v>
      </c>
      <c r="F74" s="417" t="s">
        <v>2134</v>
      </c>
      <c r="G74" s="7" t="s">
        <v>2125</v>
      </c>
      <c r="H74" s="417" t="s">
        <v>2138</v>
      </c>
      <c r="I74" s="417" t="s">
        <v>2134</v>
      </c>
      <c r="J74" s="7" t="s">
        <v>2139</v>
      </c>
      <c r="K74" s="7" t="s">
        <v>2146</v>
      </c>
      <c r="L74" s="401"/>
      <c r="M74" s="401" t="s">
        <v>2458</v>
      </c>
      <c r="N74" s="417" t="s">
        <v>2134</v>
      </c>
      <c r="O74" s="401" t="s">
        <v>317</v>
      </c>
      <c r="P74" s="401">
        <v>1650</v>
      </c>
      <c r="Q74" s="401" t="s">
        <v>2081</v>
      </c>
      <c r="R74" s="401" t="s">
        <v>2082</v>
      </c>
      <c r="S74" s="401" t="s">
        <v>2077</v>
      </c>
      <c r="T74" s="401" t="s">
        <v>1070</v>
      </c>
      <c r="U74" s="401" t="s">
        <v>1071</v>
      </c>
      <c r="V74" s="401" t="s">
        <v>382</v>
      </c>
      <c r="W74" s="401" t="s">
        <v>1070</v>
      </c>
      <c r="X74" s="401" t="s">
        <v>1072</v>
      </c>
      <c r="Y74" s="401" t="s">
        <v>382</v>
      </c>
      <c r="Z74" s="401" t="s">
        <v>1300</v>
      </c>
      <c r="AA74" s="401" t="s">
        <v>1301</v>
      </c>
      <c r="AB74" s="401" t="s">
        <v>1908</v>
      </c>
      <c r="AC74" s="401" t="s">
        <v>1055</v>
      </c>
      <c r="AD74" s="401" t="s">
        <v>2412</v>
      </c>
      <c r="AE74" s="441">
        <v>45931</v>
      </c>
      <c r="AF74" s="440">
        <v>46295</v>
      </c>
      <c r="AG74" s="443">
        <v>46295</v>
      </c>
      <c r="AH74" s="34" t="s">
        <v>4595</v>
      </c>
      <c r="AI74" s="34" t="s">
        <v>345</v>
      </c>
      <c r="AJ74" s="420" t="s">
        <v>1230</v>
      </c>
      <c r="AK74" s="401">
        <v>15</v>
      </c>
      <c r="AL74" s="401" t="s">
        <v>2083</v>
      </c>
      <c r="AM74" s="401" t="s">
        <v>2083</v>
      </c>
      <c r="AN74" s="401" t="s">
        <v>2415</v>
      </c>
      <c r="AO74" s="401"/>
      <c r="AP74" s="408">
        <v>45747</v>
      </c>
      <c r="AQ74" s="401"/>
    </row>
    <row r="75" spans="1:43">
      <c r="A75" s="401" t="s">
        <v>4310</v>
      </c>
      <c r="B75" s="401" t="s">
        <v>2076</v>
      </c>
      <c r="C75" s="401" t="s">
        <v>2077</v>
      </c>
      <c r="D75" s="401" t="s">
        <v>2124</v>
      </c>
      <c r="E75" s="418" t="s">
        <v>2462</v>
      </c>
      <c r="F75" s="417" t="s">
        <v>2134</v>
      </c>
      <c r="G75" s="7" t="s">
        <v>2125</v>
      </c>
      <c r="H75" s="417" t="s">
        <v>2138</v>
      </c>
      <c r="I75" s="417" t="s">
        <v>2134</v>
      </c>
      <c r="J75" s="7" t="s">
        <v>2139</v>
      </c>
      <c r="K75" s="7" t="s">
        <v>2147</v>
      </c>
      <c r="L75" s="401"/>
      <c r="M75" s="401" t="s">
        <v>3986</v>
      </c>
      <c r="N75" s="417" t="s">
        <v>2134</v>
      </c>
      <c r="O75" s="401" t="s">
        <v>317</v>
      </c>
      <c r="P75" s="401">
        <v>1650</v>
      </c>
      <c r="Q75" s="401" t="s">
        <v>2081</v>
      </c>
      <c r="R75" s="401" t="s">
        <v>2082</v>
      </c>
      <c r="S75" s="401" t="s">
        <v>2077</v>
      </c>
      <c r="T75" s="401" t="s">
        <v>1070</v>
      </c>
      <c r="U75" s="401" t="s">
        <v>1071</v>
      </c>
      <c r="V75" s="401" t="s">
        <v>382</v>
      </c>
      <c r="W75" s="401" t="s">
        <v>1070</v>
      </c>
      <c r="X75" s="401" t="s">
        <v>1072</v>
      </c>
      <c r="Y75" s="401" t="s">
        <v>382</v>
      </c>
      <c r="Z75" s="401" t="s">
        <v>1300</v>
      </c>
      <c r="AA75" s="401" t="s">
        <v>1301</v>
      </c>
      <c r="AB75" s="401" t="s">
        <v>1908</v>
      </c>
      <c r="AC75" s="401" t="s">
        <v>1055</v>
      </c>
      <c r="AD75" s="401" t="s">
        <v>2412</v>
      </c>
      <c r="AE75" s="441">
        <v>45931</v>
      </c>
      <c r="AF75" s="440">
        <v>46295</v>
      </c>
      <c r="AG75" s="443">
        <v>46295</v>
      </c>
      <c r="AH75" s="34" t="s">
        <v>4595</v>
      </c>
      <c r="AI75" s="34" t="s">
        <v>345</v>
      </c>
      <c r="AJ75" s="420" t="s">
        <v>1230</v>
      </c>
      <c r="AK75" s="401">
        <v>15</v>
      </c>
      <c r="AL75" s="401" t="s">
        <v>2083</v>
      </c>
      <c r="AM75" s="401" t="s">
        <v>2083</v>
      </c>
      <c r="AN75" s="401" t="s">
        <v>2415</v>
      </c>
      <c r="AO75" s="401"/>
      <c r="AP75" s="408">
        <v>45747</v>
      </c>
      <c r="AQ75" s="401"/>
    </row>
    <row r="76" spans="1:43">
      <c r="A76" s="401" t="s">
        <v>4310</v>
      </c>
      <c r="B76" s="401" t="s">
        <v>2076</v>
      </c>
      <c r="C76" s="401" t="s">
        <v>2077</v>
      </c>
      <c r="D76" s="401" t="s">
        <v>2124</v>
      </c>
      <c r="E76" s="418" t="s">
        <v>2462</v>
      </c>
      <c r="F76" s="417" t="s">
        <v>2134</v>
      </c>
      <c r="G76" s="7" t="s">
        <v>2125</v>
      </c>
      <c r="H76" s="417" t="s">
        <v>2138</v>
      </c>
      <c r="I76" s="417" t="s">
        <v>2134</v>
      </c>
      <c r="J76" s="7" t="s">
        <v>2139</v>
      </c>
      <c r="K76" s="7" t="s">
        <v>2148</v>
      </c>
      <c r="L76" s="401"/>
      <c r="M76" s="401" t="s">
        <v>3986</v>
      </c>
      <c r="N76" s="417" t="s">
        <v>2134</v>
      </c>
      <c r="O76" s="401" t="s">
        <v>317</v>
      </c>
      <c r="P76" s="401">
        <v>1650</v>
      </c>
      <c r="Q76" s="401" t="s">
        <v>2081</v>
      </c>
      <c r="R76" s="401" t="s">
        <v>2082</v>
      </c>
      <c r="S76" s="401" t="s">
        <v>2077</v>
      </c>
      <c r="T76" s="401" t="s">
        <v>1070</v>
      </c>
      <c r="U76" s="401" t="s">
        <v>1071</v>
      </c>
      <c r="V76" s="401" t="s">
        <v>382</v>
      </c>
      <c r="W76" s="401" t="s">
        <v>1070</v>
      </c>
      <c r="X76" s="401" t="s">
        <v>1072</v>
      </c>
      <c r="Y76" s="401" t="s">
        <v>382</v>
      </c>
      <c r="Z76" s="401" t="s">
        <v>1300</v>
      </c>
      <c r="AA76" s="401" t="s">
        <v>1301</v>
      </c>
      <c r="AB76" s="401" t="s">
        <v>1908</v>
      </c>
      <c r="AC76" s="401" t="s">
        <v>1055</v>
      </c>
      <c r="AD76" s="401" t="s">
        <v>2412</v>
      </c>
      <c r="AE76" s="441">
        <v>45931</v>
      </c>
      <c r="AF76" s="440">
        <v>46295</v>
      </c>
      <c r="AG76" s="443">
        <v>46295</v>
      </c>
      <c r="AH76" s="34" t="s">
        <v>4595</v>
      </c>
      <c r="AI76" s="34" t="s">
        <v>345</v>
      </c>
      <c r="AJ76" s="420" t="s">
        <v>1230</v>
      </c>
      <c r="AK76" s="401">
        <v>15</v>
      </c>
      <c r="AL76" s="401" t="s">
        <v>2083</v>
      </c>
      <c r="AM76" s="401" t="s">
        <v>2083</v>
      </c>
      <c r="AN76" s="401" t="s">
        <v>2415</v>
      </c>
      <c r="AO76" s="401"/>
      <c r="AP76" s="408">
        <v>45747</v>
      </c>
      <c r="AQ76" s="401"/>
    </row>
    <row r="77" spans="1:43">
      <c r="A77" s="401"/>
      <c r="B77" s="401"/>
      <c r="C77" s="401"/>
      <c r="D77" s="401"/>
      <c r="E77" s="401"/>
      <c r="F77" s="417"/>
      <c r="G77" s="7"/>
      <c r="H77" s="417"/>
      <c r="I77" s="417"/>
      <c r="J77" s="7"/>
      <c r="K77" s="7"/>
      <c r="L77" s="401"/>
      <c r="M77" s="401"/>
      <c r="N77" s="417"/>
      <c r="O77" s="401"/>
      <c r="P77" s="401"/>
      <c r="Q77" s="401" t="s">
        <v>2081</v>
      </c>
      <c r="R77" s="401" t="s">
        <v>2082</v>
      </c>
      <c r="S77" s="401" t="s">
        <v>2077</v>
      </c>
      <c r="T77" s="401" t="s">
        <v>1070</v>
      </c>
      <c r="U77" s="401" t="s">
        <v>1071</v>
      </c>
      <c r="V77" s="401" t="s">
        <v>382</v>
      </c>
      <c r="W77" s="401" t="s">
        <v>1070</v>
      </c>
      <c r="X77" s="401" t="s">
        <v>1072</v>
      </c>
      <c r="Y77" s="401" t="s">
        <v>382</v>
      </c>
      <c r="Z77" s="401" t="s">
        <v>1300</v>
      </c>
      <c r="AA77" s="401" t="s">
        <v>1301</v>
      </c>
      <c r="AB77" s="401" t="s">
        <v>1908</v>
      </c>
      <c r="AC77" s="401" t="s">
        <v>1055</v>
      </c>
      <c r="AD77" s="401" t="s">
        <v>2412</v>
      </c>
      <c r="AE77" s="441">
        <v>45931</v>
      </c>
      <c r="AF77" s="440">
        <v>46295</v>
      </c>
      <c r="AG77" s="443">
        <v>46295</v>
      </c>
      <c r="AH77" s="34" t="s">
        <v>4595</v>
      </c>
      <c r="AI77" s="34" t="s">
        <v>345</v>
      </c>
      <c r="AJ77" s="420" t="s">
        <v>1230</v>
      </c>
      <c r="AK77" s="401">
        <v>15</v>
      </c>
      <c r="AL77" s="401" t="s">
        <v>2083</v>
      </c>
      <c r="AM77" s="401" t="s">
        <v>2083</v>
      </c>
      <c r="AN77" s="401" t="s">
        <v>2415</v>
      </c>
      <c r="AO77" s="401"/>
      <c r="AP77" s="408">
        <v>45747</v>
      </c>
      <c r="AQ77" s="401"/>
    </row>
    <row r="78" spans="1:43">
      <c r="A78" s="401" t="s">
        <v>4310</v>
      </c>
      <c r="B78" s="401" t="s">
        <v>2076</v>
      </c>
      <c r="C78" s="401" t="s">
        <v>2077</v>
      </c>
      <c r="D78" s="401" t="s">
        <v>2124</v>
      </c>
      <c r="E78" s="418" t="s">
        <v>4160</v>
      </c>
      <c r="F78" s="417" t="s">
        <v>2134</v>
      </c>
      <c r="G78" s="7" t="s">
        <v>2129</v>
      </c>
      <c r="H78" s="417" t="s">
        <v>2138</v>
      </c>
      <c r="I78" s="417" t="s">
        <v>2134</v>
      </c>
      <c r="J78" s="7" t="s">
        <v>2139</v>
      </c>
      <c r="K78" s="7" t="s">
        <v>2149</v>
      </c>
      <c r="L78" s="401"/>
      <c r="M78" s="401" t="s">
        <v>2460</v>
      </c>
      <c r="N78" s="417" t="s">
        <v>2134</v>
      </c>
      <c r="O78" s="401" t="s">
        <v>1093</v>
      </c>
      <c r="P78" s="401">
        <v>1650</v>
      </c>
      <c r="Q78" s="401" t="s">
        <v>2081</v>
      </c>
      <c r="R78" s="401" t="s">
        <v>2082</v>
      </c>
      <c r="S78" s="401" t="s">
        <v>2077</v>
      </c>
      <c r="T78" s="401" t="s">
        <v>1070</v>
      </c>
      <c r="U78" s="401" t="s">
        <v>1071</v>
      </c>
      <c r="V78" s="401" t="s">
        <v>382</v>
      </c>
      <c r="W78" s="401" t="s">
        <v>1070</v>
      </c>
      <c r="X78" s="401" t="s">
        <v>1072</v>
      </c>
      <c r="Y78" s="401" t="s">
        <v>382</v>
      </c>
      <c r="Z78" s="401" t="s">
        <v>1300</v>
      </c>
      <c r="AA78" s="401" t="s">
        <v>1301</v>
      </c>
      <c r="AB78" s="401" t="s">
        <v>1908</v>
      </c>
      <c r="AC78" s="401" t="s">
        <v>1055</v>
      </c>
      <c r="AD78" s="401" t="s">
        <v>2412</v>
      </c>
      <c r="AE78" s="441">
        <v>45931</v>
      </c>
      <c r="AF78" s="440">
        <v>46295</v>
      </c>
      <c r="AG78" s="443">
        <v>46295</v>
      </c>
      <c r="AH78" s="34" t="s">
        <v>4595</v>
      </c>
      <c r="AI78" s="34" t="s">
        <v>345</v>
      </c>
      <c r="AJ78" s="420" t="s">
        <v>1230</v>
      </c>
      <c r="AK78" s="401">
        <v>15</v>
      </c>
      <c r="AL78" s="401" t="s">
        <v>2083</v>
      </c>
      <c r="AM78" s="401" t="s">
        <v>2083</v>
      </c>
      <c r="AN78" s="401" t="s">
        <v>2415</v>
      </c>
      <c r="AO78" s="401"/>
      <c r="AP78" s="408">
        <v>45747</v>
      </c>
      <c r="AQ78" s="401"/>
    </row>
    <row r="79" spans="1:43">
      <c r="A79" s="401" t="s">
        <v>4310</v>
      </c>
      <c r="B79" s="401" t="s">
        <v>2076</v>
      </c>
      <c r="C79" s="401" t="s">
        <v>2077</v>
      </c>
      <c r="D79" s="401" t="s">
        <v>2124</v>
      </c>
      <c r="E79" s="418" t="s">
        <v>4160</v>
      </c>
      <c r="F79" s="417" t="s">
        <v>2134</v>
      </c>
      <c r="G79" s="7" t="s">
        <v>2129</v>
      </c>
      <c r="H79" s="417" t="s">
        <v>2138</v>
      </c>
      <c r="I79" s="417" t="s">
        <v>2134</v>
      </c>
      <c r="J79" s="7" t="s">
        <v>2139</v>
      </c>
      <c r="K79" s="7" t="s">
        <v>2150</v>
      </c>
      <c r="L79" s="401"/>
      <c r="M79" s="401" t="s">
        <v>3987</v>
      </c>
      <c r="N79" s="417" t="s">
        <v>2134</v>
      </c>
      <c r="O79" s="401" t="s">
        <v>393</v>
      </c>
      <c r="P79" s="401">
        <v>1650</v>
      </c>
      <c r="Q79" s="401" t="s">
        <v>2081</v>
      </c>
      <c r="R79" s="401" t="s">
        <v>2082</v>
      </c>
      <c r="S79" s="401" t="s">
        <v>2077</v>
      </c>
      <c r="T79" s="401" t="s">
        <v>1070</v>
      </c>
      <c r="U79" s="401" t="s">
        <v>1071</v>
      </c>
      <c r="V79" s="401" t="s">
        <v>382</v>
      </c>
      <c r="W79" s="401" t="s">
        <v>1070</v>
      </c>
      <c r="X79" s="401" t="s">
        <v>1072</v>
      </c>
      <c r="Y79" s="401" t="s">
        <v>382</v>
      </c>
      <c r="Z79" s="401" t="s">
        <v>1300</v>
      </c>
      <c r="AA79" s="401" t="s">
        <v>1301</v>
      </c>
      <c r="AB79" s="401" t="s">
        <v>1908</v>
      </c>
      <c r="AC79" s="401" t="s">
        <v>1055</v>
      </c>
      <c r="AD79" s="401" t="s">
        <v>2412</v>
      </c>
      <c r="AE79" s="441">
        <v>45931</v>
      </c>
      <c r="AF79" s="440">
        <v>46295</v>
      </c>
      <c r="AG79" s="443">
        <v>46295</v>
      </c>
      <c r="AH79" s="34" t="s">
        <v>4595</v>
      </c>
      <c r="AI79" s="34" t="s">
        <v>345</v>
      </c>
      <c r="AJ79" s="420" t="s">
        <v>1230</v>
      </c>
      <c r="AK79" s="401">
        <v>15</v>
      </c>
      <c r="AL79" s="401" t="s">
        <v>2083</v>
      </c>
      <c r="AM79" s="401" t="s">
        <v>2083</v>
      </c>
      <c r="AN79" s="401" t="s">
        <v>2415</v>
      </c>
      <c r="AO79" s="401"/>
      <c r="AP79" s="408">
        <v>45747</v>
      </c>
      <c r="AQ79" s="401"/>
    </row>
    <row r="80" spans="1:43">
      <c r="A80" s="401" t="s">
        <v>4310</v>
      </c>
      <c r="B80" s="401" t="s">
        <v>2076</v>
      </c>
      <c r="C80" s="401" t="s">
        <v>2077</v>
      </c>
      <c r="D80" s="401" t="s">
        <v>2124</v>
      </c>
      <c r="E80" s="418" t="s">
        <v>4160</v>
      </c>
      <c r="F80" s="417" t="s">
        <v>2134</v>
      </c>
      <c r="G80" s="7" t="s">
        <v>2129</v>
      </c>
      <c r="H80" s="417" t="s">
        <v>2138</v>
      </c>
      <c r="I80" s="417" t="s">
        <v>2134</v>
      </c>
      <c r="J80" s="7" t="s">
        <v>2139</v>
      </c>
      <c r="K80" s="7" t="s">
        <v>2151</v>
      </c>
      <c r="L80" s="401"/>
      <c r="M80" s="401" t="s">
        <v>2459</v>
      </c>
      <c r="N80" s="417" t="s">
        <v>2134</v>
      </c>
      <c r="O80" s="401" t="s">
        <v>1093</v>
      </c>
      <c r="P80" s="401">
        <v>1650</v>
      </c>
      <c r="Q80" s="401" t="s">
        <v>2081</v>
      </c>
      <c r="R80" s="401" t="s">
        <v>2082</v>
      </c>
      <c r="S80" s="401" t="s">
        <v>2077</v>
      </c>
      <c r="T80" s="401" t="s">
        <v>1070</v>
      </c>
      <c r="U80" s="401" t="s">
        <v>1071</v>
      </c>
      <c r="V80" s="401" t="s">
        <v>382</v>
      </c>
      <c r="W80" s="401" t="s">
        <v>1070</v>
      </c>
      <c r="X80" s="401" t="s">
        <v>1072</v>
      </c>
      <c r="Y80" s="401" t="s">
        <v>382</v>
      </c>
      <c r="Z80" s="401" t="s">
        <v>1300</v>
      </c>
      <c r="AA80" s="401" t="s">
        <v>1301</v>
      </c>
      <c r="AB80" s="401" t="s">
        <v>1908</v>
      </c>
      <c r="AC80" s="401" t="s">
        <v>1055</v>
      </c>
      <c r="AD80" s="401" t="s">
        <v>2412</v>
      </c>
      <c r="AE80" s="441">
        <v>45931</v>
      </c>
      <c r="AF80" s="440">
        <v>46295</v>
      </c>
      <c r="AG80" s="443">
        <v>46295</v>
      </c>
      <c r="AH80" s="34" t="s">
        <v>4595</v>
      </c>
      <c r="AI80" s="34" t="s">
        <v>345</v>
      </c>
      <c r="AJ80" s="420" t="s">
        <v>1230</v>
      </c>
      <c r="AK80" s="401">
        <v>15</v>
      </c>
      <c r="AL80" s="401" t="s">
        <v>2083</v>
      </c>
      <c r="AM80" s="401" t="s">
        <v>2083</v>
      </c>
      <c r="AN80" s="401" t="s">
        <v>2415</v>
      </c>
      <c r="AO80" s="401"/>
      <c r="AP80" s="408">
        <v>45747</v>
      </c>
      <c r="AQ80" s="401"/>
    </row>
    <row r="81" spans="1:46">
      <c r="A81" s="401" t="s">
        <v>4310</v>
      </c>
      <c r="B81" s="401" t="s">
        <v>2076</v>
      </c>
      <c r="C81" s="401" t="s">
        <v>2077</v>
      </c>
      <c r="D81" s="401" t="s">
        <v>2124</v>
      </c>
      <c r="E81" s="418" t="s">
        <v>4160</v>
      </c>
      <c r="F81" s="417" t="s">
        <v>2134</v>
      </c>
      <c r="G81" s="7" t="s">
        <v>2129</v>
      </c>
      <c r="H81" s="417" t="s">
        <v>2138</v>
      </c>
      <c r="I81" s="417" t="s">
        <v>2134</v>
      </c>
      <c r="J81" s="7" t="s">
        <v>2139</v>
      </c>
      <c r="K81" s="7" t="s">
        <v>2152</v>
      </c>
      <c r="L81" s="401"/>
      <c r="M81" s="401" t="s">
        <v>3988</v>
      </c>
      <c r="N81" s="417" t="s">
        <v>2134</v>
      </c>
      <c r="O81" s="401" t="s">
        <v>1093</v>
      </c>
      <c r="P81" s="401">
        <v>1650</v>
      </c>
      <c r="Q81" s="401" t="s">
        <v>2081</v>
      </c>
      <c r="R81" s="401" t="s">
        <v>2082</v>
      </c>
      <c r="S81" s="401" t="s">
        <v>2077</v>
      </c>
      <c r="T81" s="401" t="s">
        <v>1070</v>
      </c>
      <c r="U81" s="401" t="s">
        <v>1071</v>
      </c>
      <c r="V81" s="401" t="s">
        <v>382</v>
      </c>
      <c r="W81" s="401" t="s">
        <v>1070</v>
      </c>
      <c r="X81" s="401" t="s">
        <v>1072</v>
      </c>
      <c r="Y81" s="401" t="s">
        <v>382</v>
      </c>
      <c r="Z81" s="401" t="s">
        <v>1300</v>
      </c>
      <c r="AA81" s="401" t="s">
        <v>1301</v>
      </c>
      <c r="AB81" s="401" t="s">
        <v>1908</v>
      </c>
      <c r="AC81" s="401" t="s">
        <v>1055</v>
      </c>
      <c r="AD81" s="401" t="s">
        <v>2412</v>
      </c>
      <c r="AE81" s="441">
        <v>45931</v>
      </c>
      <c r="AF81" s="440">
        <v>46295</v>
      </c>
      <c r="AG81" s="443">
        <v>46295</v>
      </c>
      <c r="AH81" s="34" t="s">
        <v>4595</v>
      </c>
      <c r="AI81" s="34" t="s">
        <v>345</v>
      </c>
      <c r="AJ81" s="420" t="s">
        <v>1230</v>
      </c>
      <c r="AK81" s="401">
        <v>15</v>
      </c>
      <c r="AL81" s="401" t="s">
        <v>2083</v>
      </c>
      <c r="AM81" s="401" t="s">
        <v>2083</v>
      </c>
      <c r="AN81" s="401" t="s">
        <v>2415</v>
      </c>
      <c r="AO81" s="401"/>
      <c r="AP81" s="408">
        <v>45747</v>
      </c>
      <c r="AQ81" s="401"/>
      <c r="AS81" s="8" t="s">
        <v>2536</v>
      </c>
      <c r="AT81" s="8" t="s">
        <v>2538</v>
      </c>
    </row>
    <row r="82" spans="1:46">
      <c r="A82" s="401" t="s">
        <v>4310</v>
      </c>
      <c r="B82" s="401" t="s">
        <v>2076</v>
      </c>
      <c r="C82" s="401" t="s">
        <v>2077</v>
      </c>
      <c r="D82" s="401" t="s">
        <v>2124</v>
      </c>
      <c r="E82" s="418" t="s">
        <v>4160</v>
      </c>
      <c r="F82" s="417" t="s">
        <v>2134</v>
      </c>
      <c r="G82" s="7" t="s">
        <v>2129</v>
      </c>
      <c r="H82" s="417" t="s">
        <v>2138</v>
      </c>
      <c r="I82" s="417" t="s">
        <v>2134</v>
      </c>
      <c r="J82" s="7" t="s">
        <v>2139</v>
      </c>
      <c r="K82" s="7" t="s">
        <v>2153</v>
      </c>
      <c r="L82" s="401"/>
      <c r="M82" s="401" t="s">
        <v>2461</v>
      </c>
      <c r="N82" s="417" t="s">
        <v>2134</v>
      </c>
      <c r="O82" s="401" t="s">
        <v>1093</v>
      </c>
      <c r="P82" s="401">
        <v>1650</v>
      </c>
      <c r="Q82" s="401" t="s">
        <v>2081</v>
      </c>
      <c r="R82" s="401" t="s">
        <v>2082</v>
      </c>
      <c r="S82" s="401" t="s">
        <v>2077</v>
      </c>
      <c r="T82" s="401" t="s">
        <v>1070</v>
      </c>
      <c r="U82" s="401" t="s">
        <v>1071</v>
      </c>
      <c r="V82" s="401" t="s">
        <v>382</v>
      </c>
      <c r="W82" s="401" t="s">
        <v>1070</v>
      </c>
      <c r="X82" s="401" t="s">
        <v>1072</v>
      </c>
      <c r="Y82" s="401" t="s">
        <v>382</v>
      </c>
      <c r="Z82" s="401" t="s">
        <v>1300</v>
      </c>
      <c r="AA82" s="401" t="s">
        <v>1301</v>
      </c>
      <c r="AB82" s="401" t="s">
        <v>1908</v>
      </c>
      <c r="AC82" s="401" t="s">
        <v>1055</v>
      </c>
      <c r="AD82" s="401" t="s">
        <v>2412</v>
      </c>
      <c r="AE82" s="441">
        <v>45931</v>
      </c>
      <c r="AF82" s="440">
        <v>46295</v>
      </c>
      <c r="AG82" s="443">
        <v>46295</v>
      </c>
      <c r="AH82" s="34" t="s">
        <v>4595</v>
      </c>
      <c r="AI82" s="34" t="s">
        <v>345</v>
      </c>
      <c r="AJ82" s="420" t="s">
        <v>1230</v>
      </c>
      <c r="AK82" s="401">
        <v>15</v>
      </c>
      <c r="AL82" s="401" t="s">
        <v>2083</v>
      </c>
      <c r="AM82" s="401" t="s">
        <v>2083</v>
      </c>
      <c r="AN82" s="401" t="s">
        <v>2415</v>
      </c>
      <c r="AO82" s="401"/>
      <c r="AP82" s="408">
        <v>45747</v>
      </c>
      <c r="AQ82" s="401"/>
      <c r="AS82" s="8" t="s">
        <v>2540</v>
      </c>
    </row>
    <row r="83" spans="1:46">
      <c r="A83" s="401"/>
      <c r="B83" s="401"/>
      <c r="C83" s="401"/>
      <c r="D83" s="401"/>
      <c r="E83" s="401"/>
      <c r="F83" s="401"/>
      <c r="G83" s="401"/>
      <c r="H83" s="401"/>
      <c r="I83" s="401"/>
      <c r="J83" s="401"/>
      <c r="K83" s="401"/>
      <c r="L83" s="401"/>
      <c r="M83" s="401"/>
      <c r="N83" s="401"/>
      <c r="O83" s="401"/>
      <c r="P83" s="401"/>
      <c r="Q83" s="401"/>
      <c r="R83" s="401"/>
      <c r="S83" s="401"/>
      <c r="T83" s="401"/>
      <c r="U83" s="401"/>
      <c r="V83" s="401"/>
      <c r="W83" s="401"/>
      <c r="X83" s="401"/>
      <c r="Y83" s="401"/>
      <c r="Z83" s="401"/>
      <c r="AA83" s="401"/>
      <c r="AB83" s="401"/>
      <c r="AC83" s="401"/>
      <c r="AD83" s="401"/>
      <c r="AE83" s="441"/>
      <c r="AF83" s="440"/>
      <c r="AG83" s="443"/>
      <c r="AH83" s="401"/>
      <c r="AI83" s="401"/>
      <c r="AJ83" s="401"/>
      <c r="AK83" s="401"/>
      <c r="AL83" s="401"/>
      <c r="AM83" s="401"/>
      <c r="AN83" s="401"/>
      <c r="AO83" s="401"/>
      <c r="AP83" s="408"/>
      <c r="AQ83" s="401"/>
      <c r="AS83" s="8" t="s">
        <v>2535</v>
      </c>
      <c r="AT83" s="8" t="s">
        <v>2539</v>
      </c>
    </row>
    <row r="84" spans="1:46">
      <c r="A84" s="401"/>
      <c r="B84" s="401"/>
      <c r="C84" s="401"/>
      <c r="D84" s="401"/>
      <c r="E84" s="401"/>
      <c r="F84" s="401"/>
      <c r="G84" s="401"/>
      <c r="H84" s="401"/>
      <c r="I84" s="401"/>
      <c r="J84" s="401"/>
      <c r="K84" s="401"/>
      <c r="L84" s="401"/>
      <c r="M84" s="401"/>
      <c r="N84" s="401"/>
      <c r="O84" s="401"/>
      <c r="P84" s="401"/>
      <c r="Q84" s="401"/>
      <c r="R84" s="401"/>
      <c r="S84" s="401"/>
      <c r="T84" s="401"/>
      <c r="U84" s="401"/>
      <c r="V84" s="401"/>
      <c r="W84" s="401"/>
      <c r="X84" s="401"/>
      <c r="Y84" s="401"/>
      <c r="Z84" s="401"/>
      <c r="AA84" s="401"/>
      <c r="AB84" s="401"/>
      <c r="AC84" s="401"/>
      <c r="AD84" s="401"/>
      <c r="AE84" s="441"/>
      <c r="AF84" s="440"/>
      <c r="AG84" s="443"/>
      <c r="AH84" s="401"/>
      <c r="AI84" s="401"/>
      <c r="AJ84" s="401"/>
      <c r="AK84" s="401"/>
      <c r="AL84" s="401"/>
      <c r="AM84" s="401"/>
      <c r="AN84" s="401"/>
      <c r="AO84" s="401"/>
      <c r="AP84" s="408"/>
      <c r="AQ84" s="401"/>
      <c r="AS84" s="8" t="s">
        <v>2486</v>
      </c>
    </row>
    <row r="85" spans="1:46">
      <c r="A85" s="401" t="s">
        <v>4310</v>
      </c>
      <c r="B85" s="401" t="s">
        <v>2076</v>
      </c>
      <c r="C85" s="401" t="s">
        <v>2077</v>
      </c>
      <c r="D85" s="401" t="s">
        <v>2229</v>
      </c>
      <c r="E85" s="401" t="s">
        <v>2235</v>
      </c>
      <c r="F85" s="401" t="s">
        <v>2230</v>
      </c>
      <c r="G85" s="401" t="s">
        <v>2231</v>
      </c>
      <c r="H85" s="401" t="s">
        <v>2232</v>
      </c>
      <c r="I85" s="401" t="s">
        <v>2230</v>
      </c>
      <c r="J85" s="401" t="s">
        <v>2084</v>
      </c>
      <c r="K85" s="401" t="s">
        <v>2233</v>
      </c>
      <c r="L85" s="401"/>
      <c r="M85" s="401" t="s">
        <v>2234</v>
      </c>
      <c r="N85" s="401" t="s">
        <v>2230</v>
      </c>
      <c r="O85" s="401" t="s">
        <v>368</v>
      </c>
      <c r="P85" s="401"/>
      <c r="Q85" s="401" t="s">
        <v>2485</v>
      </c>
      <c r="R85" s="401" t="s">
        <v>2235</v>
      </c>
      <c r="S85" s="401" t="s">
        <v>2230</v>
      </c>
      <c r="T85" s="401" t="s">
        <v>2236</v>
      </c>
      <c r="U85" s="401" t="s">
        <v>2237</v>
      </c>
      <c r="V85" s="401" t="s">
        <v>382</v>
      </c>
      <c r="W85" s="401" t="s">
        <v>1070</v>
      </c>
      <c r="X85" s="401" t="s">
        <v>1072</v>
      </c>
      <c r="Y85" s="401" t="s">
        <v>382</v>
      </c>
      <c r="Z85" s="401" t="s">
        <v>1300</v>
      </c>
      <c r="AA85" s="401" t="s">
        <v>1301</v>
      </c>
      <c r="AB85" s="401" t="s">
        <v>1908</v>
      </c>
      <c r="AC85" s="401" t="s">
        <v>1055</v>
      </c>
      <c r="AD85" s="401" t="s">
        <v>2412</v>
      </c>
      <c r="AE85" s="441">
        <v>45566</v>
      </c>
      <c r="AF85" s="440">
        <v>45930</v>
      </c>
      <c r="AG85" s="443">
        <v>46661</v>
      </c>
      <c r="AH85" s="34" t="s">
        <v>4307</v>
      </c>
      <c r="AI85" s="411" t="s">
        <v>345</v>
      </c>
      <c r="AJ85" s="401" t="s">
        <v>1230</v>
      </c>
      <c r="AK85" s="401">
        <v>15</v>
      </c>
      <c r="AL85" s="401" t="s">
        <v>2083</v>
      </c>
      <c r="AM85" s="401" t="s">
        <v>2083</v>
      </c>
      <c r="AN85" s="401" t="s">
        <v>2537</v>
      </c>
      <c r="AO85" s="401"/>
      <c r="AP85" s="408">
        <v>45747</v>
      </c>
      <c r="AQ85" s="401"/>
    </row>
    <row r="86" spans="1:46">
      <c r="A86" s="401" t="s">
        <v>4310</v>
      </c>
      <c r="B86" s="401" t="s">
        <v>2076</v>
      </c>
      <c r="C86" s="401" t="s">
        <v>2077</v>
      </c>
      <c r="D86" s="401" t="s">
        <v>2229</v>
      </c>
      <c r="E86" s="401" t="s">
        <v>2235</v>
      </c>
      <c r="F86" s="401" t="s">
        <v>2230</v>
      </c>
      <c r="G86" s="401" t="s">
        <v>2231</v>
      </c>
      <c r="H86" s="401" t="s">
        <v>2232</v>
      </c>
      <c r="I86" s="401" t="s">
        <v>2230</v>
      </c>
      <c r="J86" s="401" t="s">
        <v>2084</v>
      </c>
      <c r="K86" s="401" t="s">
        <v>369</v>
      </c>
      <c r="L86" s="401"/>
      <c r="M86" s="401" t="s">
        <v>2238</v>
      </c>
      <c r="N86" s="401" t="s">
        <v>2230</v>
      </c>
      <c r="O86" s="401" t="s">
        <v>2239</v>
      </c>
      <c r="P86" s="401"/>
      <c r="Q86" s="401" t="s">
        <v>2485</v>
      </c>
      <c r="R86" s="401" t="s">
        <v>2235</v>
      </c>
      <c r="S86" s="401" t="s">
        <v>2230</v>
      </c>
      <c r="T86" s="401" t="s">
        <v>2236</v>
      </c>
      <c r="U86" s="401" t="s">
        <v>2237</v>
      </c>
      <c r="V86" s="401" t="s">
        <v>382</v>
      </c>
      <c r="W86" s="401" t="s">
        <v>1070</v>
      </c>
      <c r="X86" s="401" t="s">
        <v>1072</v>
      </c>
      <c r="Y86" s="401" t="s">
        <v>382</v>
      </c>
      <c r="Z86" s="401" t="s">
        <v>1300</v>
      </c>
      <c r="AA86" s="401" t="s">
        <v>1301</v>
      </c>
      <c r="AB86" s="401" t="s">
        <v>1908</v>
      </c>
      <c r="AC86" s="401" t="s">
        <v>1055</v>
      </c>
      <c r="AD86" s="401" t="s">
        <v>2412</v>
      </c>
      <c r="AE86" s="441">
        <v>45566</v>
      </c>
      <c r="AF86" s="440">
        <v>45930</v>
      </c>
      <c r="AG86" s="443">
        <v>46661</v>
      </c>
      <c r="AH86" s="34" t="s">
        <v>4307</v>
      </c>
      <c r="AI86" s="411" t="s">
        <v>345</v>
      </c>
      <c r="AJ86" s="401" t="s">
        <v>1230</v>
      </c>
      <c r="AK86" s="401">
        <v>15</v>
      </c>
      <c r="AL86" s="401" t="s">
        <v>2083</v>
      </c>
      <c r="AM86" s="401" t="s">
        <v>2083</v>
      </c>
      <c r="AN86" s="401" t="s">
        <v>2537</v>
      </c>
      <c r="AO86" s="401"/>
      <c r="AP86" s="408">
        <v>45747</v>
      </c>
      <c r="AQ86" s="401"/>
    </row>
    <row r="87" spans="1:46">
      <c r="A87" s="401" t="s">
        <v>4310</v>
      </c>
      <c r="B87" s="401" t="s">
        <v>2076</v>
      </c>
      <c r="C87" s="401" t="s">
        <v>2077</v>
      </c>
      <c r="D87" s="401" t="s">
        <v>2229</v>
      </c>
      <c r="E87" s="401" t="s">
        <v>2235</v>
      </c>
      <c r="F87" s="401" t="s">
        <v>2230</v>
      </c>
      <c r="G87" s="401" t="s">
        <v>2231</v>
      </c>
      <c r="H87" s="401" t="s">
        <v>2232</v>
      </c>
      <c r="I87" s="401" t="s">
        <v>2230</v>
      </c>
      <c r="J87" s="401" t="s">
        <v>2084</v>
      </c>
      <c r="K87" s="401" t="s">
        <v>365</v>
      </c>
      <c r="L87" s="401"/>
      <c r="M87" s="401" t="s">
        <v>2240</v>
      </c>
      <c r="N87" s="401" t="s">
        <v>2230</v>
      </c>
      <c r="O87" s="401" t="s">
        <v>2241</v>
      </c>
      <c r="P87" s="401"/>
      <c r="Q87" s="401" t="s">
        <v>2485</v>
      </c>
      <c r="R87" s="401" t="s">
        <v>2235</v>
      </c>
      <c r="S87" s="401" t="s">
        <v>2230</v>
      </c>
      <c r="T87" s="401" t="s">
        <v>2236</v>
      </c>
      <c r="U87" s="401" t="s">
        <v>2237</v>
      </c>
      <c r="V87" s="401" t="s">
        <v>382</v>
      </c>
      <c r="W87" s="401" t="s">
        <v>1070</v>
      </c>
      <c r="X87" s="401" t="s">
        <v>1072</v>
      </c>
      <c r="Y87" s="401" t="s">
        <v>382</v>
      </c>
      <c r="Z87" s="401" t="s">
        <v>1300</v>
      </c>
      <c r="AA87" s="401" t="s">
        <v>1301</v>
      </c>
      <c r="AB87" s="401" t="s">
        <v>1908</v>
      </c>
      <c r="AC87" s="401" t="s">
        <v>1055</v>
      </c>
      <c r="AD87" s="401" t="s">
        <v>2412</v>
      </c>
      <c r="AE87" s="441">
        <v>45566</v>
      </c>
      <c r="AF87" s="440">
        <v>45930</v>
      </c>
      <c r="AG87" s="443">
        <v>46661</v>
      </c>
      <c r="AH87" s="34" t="s">
        <v>4307</v>
      </c>
      <c r="AI87" s="411" t="s">
        <v>345</v>
      </c>
      <c r="AJ87" s="401" t="s">
        <v>1230</v>
      </c>
      <c r="AK87" s="401">
        <v>15</v>
      </c>
      <c r="AL87" s="401" t="s">
        <v>2083</v>
      </c>
      <c r="AM87" s="401" t="s">
        <v>2083</v>
      </c>
      <c r="AN87" s="401" t="s">
        <v>2537</v>
      </c>
      <c r="AO87" s="401"/>
      <c r="AP87" s="408">
        <v>45747</v>
      </c>
      <c r="AQ87" s="401"/>
    </row>
    <row r="88" spans="1:46">
      <c r="A88" s="401" t="s">
        <v>4310</v>
      </c>
      <c r="B88" s="401" t="s">
        <v>2076</v>
      </c>
      <c r="C88" s="401" t="s">
        <v>2077</v>
      </c>
      <c r="D88" s="401" t="s">
        <v>2229</v>
      </c>
      <c r="E88" s="401" t="s">
        <v>2235</v>
      </c>
      <c r="F88" s="401" t="s">
        <v>2230</v>
      </c>
      <c r="G88" s="401" t="s">
        <v>2231</v>
      </c>
      <c r="H88" s="401" t="s">
        <v>2232</v>
      </c>
      <c r="I88" s="401" t="s">
        <v>2230</v>
      </c>
      <c r="J88" s="401" t="s">
        <v>2084</v>
      </c>
      <c r="K88" s="401" t="s">
        <v>1704</v>
      </c>
      <c r="L88" s="401"/>
      <c r="M88" s="401" t="s">
        <v>2242</v>
      </c>
      <c r="N88" s="401" t="s">
        <v>2230</v>
      </c>
      <c r="O88" s="401" t="s">
        <v>1089</v>
      </c>
      <c r="P88" s="401"/>
      <c r="Q88" s="401" t="s">
        <v>2485</v>
      </c>
      <c r="R88" s="401" t="s">
        <v>2235</v>
      </c>
      <c r="S88" s="401" t="s">
        <v>2230</v>
      </c>
      <c r="T88" s="401" t="s">
        <v>2236</v>
      </c>
      <c r="U88" s="401" t="s">
        <v>2237</v>
      </c>
      <c r="V88" s="401" t="s">
        <v>382</v>
      </c>
      <c r="W88" s="401" t="s">
        <v>1070</v>
      </c>
      <c r="X88" s="401" t="s">
        <v>1072</v>
      </c>
      <c r="Y88" s="401" t="s">
        <v>382</v>
      </c>
      <c r="Z88" s="401" t="s">
        <v>1300</v>
      </c>
      <c r="AA88" s="401" t="s">
        <v>1301</v>
      </c>
      <c r="AB88" s="401" t="s">
        <v>1908</v>
      </c>
      <c r="AC88" s="401" t="s">
        <v>1055</v>
      </c>
      <c r="AD88" s="401" t="s">
        <v>2412</v>
      </c>
      <c r="AE88" s="441">
        <v>45566</v>
      </c>
      <c r="AF88" s="440">
        <v>45930</v>
      </c>
      <c r="AG88" s="443">
        <v>46661</v>
      </c>
      <c r="AH88" s="34" t="s">
        <v>4307</v>
      </c>
      <c r="AI88" s="411" t="s">
        <v>345</v>
      </c>
      <c r="AJ88" s="401" t="s">
        <v>1230</v>
      </c>
      <c r="AK88" s="401">
        <v>15</v>
      </c>
      <c r="AL88" s="401" t="s">
        <v>2083</v>
      </c>
      <c r="AM88" s="401" t="s">
        <v>2083</v>
      </c>
      <c r="AN88" s="401" t="s">
        <v>2537</v>
      </c>
      <c r="AO88" s="401"/>
      <c r="AP88" s="408">
        <v>45747</v>
      </c>
      <c r="AQ88" s="401"/>
    </row>
    <row r="89" spans="1:46">
      <c r="A89" s="401" t="s">
        <v>4310</v>
      </c>
      <c r="B89" s="401" t="s">
        <v>2076</v>
      </c>
      <c r="C89" s="401" t="s">
        <v>2077</v>
      </c>
      <c r="D89" s="401" t="s">
        <v>2229</v>
      </c>
      <c r="E89" s="401" t="s">
        <v>2235</v>
      </c>
      <c r="F89" s="401" t="s">
        <v>2230</v>
      </c>
      <c r="G89" s="401" t="s">
        <v>2231</v>
      </c>
      <c r="H89" s="401" t="s">
        <v>2232</v>
      </c>
      <c r="I89" s="401" t="s">
        <v>2230</v>
      </c>
      <c r="J89" s="401" t="s">
        <v>2084</v>
      </c>
      <c r="K89" s="401" t="s">
        <v>2243</v>
      </c>
      <c r="L89" s="401"/>
      <c r="M89" s="401" t="s">
        <v>2242</v>
      </c>
      <c r="N89" s="401" t="s">
        <v>2230</v>
      </c>
      <c r="O89" s="401" t="s">
        <v>2244</v>
      </c>
      <c r="P89" s="401"/>
      <c r="Q89" s="401" t="s">
        <v>2485</v>
      </c>
      <c r="R89" s="401" t="s">
        <v>2235</v>
      </c>
      <c r="S89" s="401" t="s">
        <v>2230</v>
      </c>
      <c r="T89" s="401" t="s">
        <v>2236</v>
      </c>
      <c r="U89" s="401" t="s">
        <v>2237</v>
      </c>
      <c r="V89" s="401" t="s">
        <v>382</v>
      </c>
      <c r="W89" s="401" t="s">
        <v>1070</v>
      </c>
      <c r="X89" s="401" t="s">
        <v>1072</v>
      </c>
      <c r="Y89" s="401" t="s">
        <v>382</v>
      </c>
      <c r="Z89" s="401" t="s">
        <v>1300</v>
      </c>
      <c r="AA89" s="401" t="s">
        <v>1301</v>
      </c>
      <c r="AB89" s="401" t="s">
        <v>1908</v>
      </c>
      <c r="AC89" s="401" t="s">
        <v>1055</v>
      </c>
      <c r="AD89" s="401" t="s">
        <v>2412</v>
      </c>
      <c r="AE89" s="441">
        <v>45566</v>
      </c>
      <c r="AF89" s="440">
        <v>45930</v>
      </c>
      <c r="AG89" s="443">
        <v>46661</v>
      </c>
      <c r="AH89" s="34" t="s">
        <v>4307</v>
      </c>
      <c r="AI89" s="411" t="s">
        <v>345</v>
      </c>
      <c r="AJ89" s="401" t="s">
        <v>1230</v>
      </c>
      <c r="AK89" s="401">
        <v>15</v>
      </c>
      <c r="AL89" s="401" t="s">
        <v>2083</v>
      </c>
      <c r="AM89" s="401" t="s">
        <v>2083</v>
      </c>
      <c r="AN89" s="401" t="s">
        <v>2537</v>
      </c>
      <c r="AO89" s="401"/>
      <c r="AP89" s="408">
        <v>45747</v>
      </c>
      <c r="AQ89" s="401"/>
    </row>
    <row r="90" spans="1:46">
      <c r="A90" s="401" t="s">
        <v>4310</v>
      </c>
      <c r="B90" s="401" t="s">
        <v>2076</v>
      </c>
      <c r="C90" s="401" t="s">
        <v>2077</v>
      </c>
      <c r="D90" s="401" t="s">
        <v>2229</v>
      </c>
      <c r="E90" s="401" t="s">
        <v>2235</v>
      </c>
      <c r="F90" s="401" t="s">
        <v>2230</v>
      </c>
      <c r="G90" s="401" t="s">
        <v>2231</v>
      </c>
      <c r="H90" s="401" t="s">
        <v>2232</v>
      </c>
      <c r="I90" s="401" t="s">
        <v>2230</v>
      </c>
      <c r="J90" s="401" t="s">
        <v>2084</v>
      </c>
      <c r="K90" s="401" t="s">
        <v>1103</v>
      </c>
      <c r="L90" s="401"/>
      <c r="M90" s="401" t="s">
        <v>2242</v>
      </c>
      <c r="N90" s="401" t="s">
        <v>2230</v>
      </c>
      <c r="O90" s="401" t="s">
        <v>2245</v>
      </c>
      <c r="P90" s="401"/>
      <c r="Q90" s="401" t="s">
        <v>2485</v>
      </c>
      <c r="R90" s="401" t="s">
        <v>2235</v>
      </c>
      <c r="S90" s="401" t="s">
        <v>2230</v>
      </c>
      <c r="T90" s="401" t="s">
        <v>2236</v>
      </c>
      <c r="U90" s="401" t="s">
        <v>2237</v>
      </c>
      <c r="V90" s="401" t="s">
        <v>382</v>
      </c>
      <c r="W90" s="401" t="s">
        <v>1070</v>
      </c>
      <c r="X90" s="401" t="s">
        <v>1072</v>
      </c>
      <c r="Y90" s="401" t="s">
        <v>382</v>
      </c>
      <c r="Z90" s="401" t="s">
        <v>1300</v>
      </c>
      <c r="AA90" s="401" t="s">
        <v>1301</v>
      </c>
      <c r="AB90" s="401" t="s">
        <v>1908</v>
      </c>
      <c r="AC90" s="401" t="s">
        <v>1055</v>
      </c>
      <c r="AD90" s="401" t="s">
        <v>2412</v>
      </c>
      <c r="AE90" s="441">
        <v>45566</v>
      </c>
      <c r="AF90" s="440">
        <v>45930</v>
      </c>
      <c r="AG90" s="443">
        <v>46661</v>
      </c>
      <c r="AH90" s="34" t="s">
        <v>4307</v>
      </c>
      <c r="AI90" s="411" t="s">
        <v>345</v>
      </c>
      <c r="AJ90" s="401" t="s">
        <v>1230</v>
      </c>
      <c r="AK90" s="401">
        <v>15</v>
      </c>
      <c r="AL90" s="401" t="s">
        <v>2083</v>
      </c>
      <c r="AM90" s="401" t="s">
        <v>2083</v>
      </c>
      <c r="AN90" s="401" t="s">
        <v>2537</v>
      </c>
      <c r="AO90" s="401"/>
      <c r="AP90" s="408">
        <v>45747</v>
      </c>
      <c r="AQ90" s="401"/>
    </row>
    <row r="91" spans="1:46">
      <c r="A91" s="401" t="s">
        <v>4310</v>
      </c>
      <c r="B91" s="401" t="s">
        <v>2076</v>
      </c>
      <c r="C91" s="401" t="s">
        <v>2077</v>
      </c>
      <c r="D91" s="401" t="s">
        <v>2229</v>
      </c>
      <c r="E91" s="401" t="s">
        <v>2235</v>
      </c>
      <c r="F91" s="401" t="s">
        <v>2230</v>
      </c>
      <c r="G91" s="401" t="s">
        <v>2246</v>
      </c>
      <c r="H91" s="401" t="s">
        <v>2232</v>
      </c>
      <c r="I91" s="401" t="s">
        <v>2230</v>
      </c>
      <c r="J91" s="401" t="s">
        <v>2247</v>
      </c>
      <c r="K91" s="401" t="s">
        <v>2248</v>
      </c>
      <c r="L91" s="401"/>
      <c r="M91" s="401" t="s">
        <v>2249</v>
      </c>
      <c r="N91" s="401" t="s">
        <v>2230</v>
      </c>
      <c r="O91" s="401" t="s">
        <v>2250</v>
      </c>
      <c r="P91" s="401"/>
      <c r="Q91" s="401" t="s">
        <v>2485</v>
      </c>
      <c r="R91" s="401" t="s">
        <v>2235</v>
      </c>
      <c r="S91" s="401" t="s">
        <v>2230</v>
      </c>
      <c r="T91" s="401" t="s">
        <v>2236</v>
      </c>
      <c r="U91" s="401" t="s">
        <v>2237</v>
      </c>
      <c r="V91" s="401" t="s">
        <v>382</v>
      </c>
      <c r="W91" s="401" t="s">
        <v>1070</v>
      </c>
      <c r="X91" s="401" t="s">
        <v>1072</v>
      </c>
      <c r="Y91" s="401" t="s">
        <v>382</v>
      </c>
      <c r="Z91" s="401" t="s">
        <v>1300</v>
      </c>
      <c r="AA91" s="401" t="s">
        <v>1301</v>
      </c>
      <c r="AB91" s="401" t="s">
        <v>1908</v>
      </c>
      <c r="AC91" s="401" t="s">
        <v>1055</v>
      </c>
      <c r="AD91" s="401" t="s">
        <v>2412</v>
      </c>
      <c r="AE91" s="446">
        <v>45200</v>
      </c>
      <c r="AF91" s="447">
        <v>45565</v>
      </c>
      <c r="AG91" s="443">
        <v>46661</v>
      </c>
      <c r="AH91" s="34" t="s">
        <v>4307</v>
      </c>
      <c r="AI91" s="411" t="s">
        <v>345</v>
      </c>
      <c r="AJ91" s="401" t="s">
        <v>1230</v>
      </c>
      <c r="AK91" s="401">
        <v>15</v>
      </c>
      <c r="AL91" s="401" t="s">
        <v>2083</v>
      </c>
      <c r="AM91" s="401" t="s">
        <v>2083</v>
      </c>
      <c r="AN91" s="401" t="s">
        <v>2537</v>
      </c>
      <c r="AO91" s="401"/>
      <c r="AP91" s="408">
        <v>45747</v>
      </c>
      <c r="AQ91" s="401"/>
    </row>
    <row r="92" spans="1:46">
      <c r="A92" s="401" t="s">
        <v>4310</v>
      </c>
      <c r="B92" s="401" t="s">
        <v>2076</v>
      </c>
      <c r="C92" s="401" t="s">
        <v>2077</v>
      </c>
      <c r="D92" s="401" t="s">
        <v>2229</v>
      </c>
      <c r="E92" s="401" t="s">
        <v>2235</v>
      </c>
      <c r="F92" s="401" t="s">
        <v>2230</v>
      </c>
      <c r="G92" s="401" t="s">
        <v>2246</v>
      </c>
      <c r="H92" s="401" t="s">
        <v>2232</v>
      </c>
      <c r="I92" s="401" t="s">
        <v>2230</v>
      </c>
      <c r="J92" s="401" t="s">
        <v>2247</v>
      </c>
      <c r="K92" s="401" t="s">
        <v>2251</v>
      </c>
      <c r="L92" s="401"/>
      <c r="M92" s="401" t="s">
        <v>2249</v>
      </c>
      <c r="N92" s="401" t="s">
        <v>2230</v>
      </c>
      <c r="O92" s="401" t="s">
        <v>2252</v>
      </c>
      <c r="P92" s="401"/>
      <c r="Q92" s="401" t="s">
        <v>2485</v>
      </c>
      <c r="R92" s="401" t="s">
        <v>2235</v>
      </c>
      <c r="S92" s="401" t="s">
        <v>2230</v>
      </c>
      <c r="T92" s="401" t="s">
        <v>2236</v>
      </c>
      <c r="U92" s="401" t="s">
        <v>2237</v>
      </c>
      <c r="V92" s="401" t="s">
        <v>382</v>
      </c>
      <c r="W92" s="401" t="s">
        <v>1070</v>
      </c>
      <c r="X92" s="401" t="s">
        <v>1072</v>
      </c>
      <c r="Y92" s="401" t="s">
        <v>382</v>
      </c>
      <c r="Z92" s="401" t="s">
        <v>1300</v>
      </c>
      <c r="AA92" s="401" t="s">
        <v>1301</v>
      </c>
      <c r="AB92" s="401" t="s">
        <v>1908</v>
      </c>
      <c r="AC92" s="401" t="s">
        <v>1055</v>
      </c>
      <c r="AD92" s="401" t="s">
        <v>2412</v>
      </c>
      <c r="AE92" s="441">
        <v>45200</v>
      </c>
      <c r="AF92" s="440">
        <v>45565</v>
      </c>
      <c r="AG92" s="443">
        <v>46661</v>
      </c>
      <c r="AH92" s="34" t="s">
        <v>4307</v>
      </c>
      <c r="AI92" s="411" t="s">
        <v>345</v>
      </c>
      <c r="AJ92" s="401" t="s">
        <v>1230</v>
      </c>
      <c r="AK92" s="401">
        <v>15</v>
      </c>
      <c r="AL92" s="401" t="s">
        <v>2083</v>
      </c>
      <c r="AM92" s="401" t="s">
        <v>2083</v>
      </c>
      <c r="AN92" s="401" t="s">
        <v>2537</v>
      </c>
      <c r="AO92" s="401"/>
      <c r="AP92" s="408">
        <v>45747</v>
      </c>
      <c r="AQ92" s="401"/>
    </row>
    <row r="93" spans="1:46">
      <c r="A93" s="401" t="s">
        <v>4310</v>
      </c>
      <c r="B93" s="401" t="s">
        <v>2076</v>
      </c>
      <c r="C93" s="401" t="s">
        <v>2077</v>
      </c>
      <c r="D93" s="401" t="s">
        <v>2229</v>
      </c>
      <c r="E93" s="401" t="s">
        <v>2235</v>
      </c>
      <c r="F93" s="401" t="s">
        <v>2230</v>
      </c>
      <c r="G93" s="401" t="s">
        <v>2246</v>
      </c>
      <c r="H93" s="401" t="s">
        <v>2232</v>
      </c>
      <c r="I93" s="401" t="s">
        <v>2230</v>
      </c>
      <c r="J93" s="401" t="s">
        <v>2484</v>
      </c>
      <c r="K93" s="401" t="s">
        <v>2488</v>
      </c>
      <c r="L93" s="401" t="s">
        <v>2451</v>
      </c>
      <c r="M93" s="401" t="s">
        <v>2254</v>
      </c>
      <c r="N93" s="401" t="s">
        <v>2230</v>
      </c>
      <c r="O93" s="401" t="s">
        <v>364</v>
      </c>
      <c r="P93" s="401"/>
      <c r="Q93" s="401" t="s">
        <v>2485</v>
      </c>
      <c r="R93" s="401" t="s">
        <v>2235</v>
      </c>
      <c r="S93" s="401" t="s">
        <v>2230</v>
      </c>
      <c r="T93" s="401" t="s">
        <v>2236</v>
      </c>
      <c r="U93" s="401" t="s">
        <v>2237</v>
      </c>
      <c r="V93" s="401" t="s">
        <v>382</v>
      </c>
      <c r="W93" s="401" t="s">
        <v>1070</v>
      </c>
      <c r="X93" s="401" t="s">
        <v>1072</v>
      </c>
      <c r="Y93" s="401" t="s">
        <v>382</v>
      </c>
      <c r="Z93" s="401" t="s">
        <v>2257</v>
      </c>
      <c r="AA93" s="401" t="s">
        <v>2256</v>
      </c>
      <c r="AB93" s="401" t="s">
        <v>1908</v>
      </c>
      <c r="AC93" s="401" t="s">
        <v>1055</v>
      </c>
      <c r="AD93" s="401" t="s">
        <v>2412</v>
      </c>
      <c r="AE93" s="441">
        <v>45200</v>
      </c>
      <c r="AF93" s="440">
        <v>45565</v>
      </c>
      <c r="AG93" s="443">
        <v>46661</v>
      </c>
      <c r="AH93" s="433" t="s">
        <v>3848</v>
      </c>
      <c r="AI93" s="411" t="s">
        <v>345</v>
      </c>
      <c r="AJ93" s="401" t="s">
        <v>2487</v>
      </c>
      <c r="AK93" s="401">
        <v>15</v>
      </c>
      <c r="AL93" s="401" t="s">
        <v>2083</v>
      </c>
      <c r="AM93" s="401" t="s">
        <v>2083</v>
      </c>
      <c r="AN93" s="401" t="s">
        <v>2537</v>
      </c>
      <c r="AO93" s="401"/>
      <c r="AP93" s="408">
        <v>45747</v>
      </c>
      <c r="AQ93" s="401"/>
    </row>
    <row r="94" spans="1:46">
      <c r="A94" s="401" t="s">
        <v>4310</v>
      </c>
      <c r="B94" s="401" t="s">
        <v>2076</v>
      </c>
      <c r="C94" s="401" t="s">
        <v>2077</v>
      </c>
      <c r="D94" s="401" t="s">
        <v>2229</v>
      </c>
      <c r="E94" s="401" t="s">
        <v>2235</v>
      </c>
      <c r="F94" s="401" t="s">
        <v>2230</v>
      </c>
      <c r="G94" s="401" t="s">
        <v>2246</v>
      </c>
      <c r="H94" s="401" t="s">
        <v>2232</v>
      </c>
      <c r="I94" s="401" t="s">
        <v>2230</v>
      </c>
      <c r="J94" s="401" t="s">
        <v>2484</v>
      </c>
      <c r="K94" s="401" t="s">
        <v>2483</v>
      </c>
      <c r="L94" s="401" t="s">
        <v>2451</v>
      </c>
      <c r="M94" s="401" t="s">
        <v>2254</v>
      </c>
      <c r="N94" s="401" t="s">
        <v>2230</v>
      </c>
      <c r="O94" s="401" t="s">
        <v>364</v>
      </c>
      <c r="P94" s="401"/>
      <c r="Q94" s="401" t="s">
        <v>2485</v>
      </c>
      <c r="R94" s="401" t="s">
        <v>2235</v>
      </c>
      <c r="S94" s="401" t="s">
        <v>2230</v>
      </c>
      <c r="T94" s="401" t="s">
        <v>2236</v>
      </c>
      <c r="U94" s="401" t="s">
        <v>2237</v>
      </c>
      <c r="V94" s="401" t="s">
        <v>382</v>
      </c>
      <c r="W94" s="401" t="s">
        <v>1070</v>
      </c>
      <c r="X94" s="401" t="s">
        <v>1072</v>
      </c>
      <c r="Y94" s="401" t="s">
        <v>382</v>
      </c>
      <c r="Z94" s="401" t="s">
        <v>2255</v>
      </c>
      <c r="AA94" s="401" t="s">
        <v>2256</v>
      </c>
      <c r="AB94" s="401" t="s">
        <v>1908</v>
      </c>
      <c r="AC94" s="401" t="s">
        <v>1055</v>
      </c>
      <c r="AD94" s="401" t="s">
        <v>2412</v>
      </c>
      <c r="AE94" s="441">
        <v>45200</v>
      </c>
      <c r="AF94" s="440">
        <v>45565</v>
      </c>
      <c r="AG94" s="443">
        <v>46661</v>
      </c>
      <c r="AH94" s="34" t="s">
        <v>4307</v>
      </c>
      <c r="AI94" s="411" t="s">
        <v>345</v>
      </c>
      <c r="AJ94" s="401" t="s">
        <v>1230</v>
      </c>
      <c r="AK94" s="401">
        <v>15</v>
      </c>
      <c r="AL94" s="401" t="s">
        <v>2083</v>
      </c>
      <c r="AM94" s="401" t="s">
        <v>2083</v>
      </c>
      <c r="AN94" s="401" t="s">
        <v>2537</v>
      </c>
      <c r="AO94" s="401"/>
      <c r="AP94" s="408">
        <v>45747</v>
      </c>
      <c r="AQ94" s="401"/>
    </row>
    <row r="95" spans="1:46">
      <c r="A95" s="401" t="s">
        <v>4310</v>
      </c>
      <c r="B95" s="401" t="s">
        <v>2076</v>
      </c>
      <c r="C95" s="401" t="s">
        <v>2077</v>
      </c>
      <c r="D95" s="401" t="s">
        <v>2229</v>
      </c>
      <c r="E95" s="401" t="s">
        <v>2235</v>
      </c>
      <c r="F95" s="401" t="s">
        <v>2230</v>
      </c>
      <c r="G95" s="401" t="s">
        <v>2246</v>
      </c>
      <c r="H95" s="401" t="s">
        <v>2232</v>
      </c>
      <c r="I95" s="401" t="s">
        <v>2230</v>
      </c>
      <c r="J95" s="401" t="s">
        <v>2258</v>
      </c>
      <c r="K95" s="401" t="s">
        <v>2259</v>
      </c>
      <c r="L95" s="401" t="s">
        <v>2482</v>
      </c>
      <c r="M95" s="401" t="s">
        <v>2260</v>
      </c>
      <c r="N95" s="401" t="s">
        <v>2230</v>
      </c>
      <c r="O95" s="401" t="s">
        <v>2261</v>
      </c>
      <c r="P95" s="401"/>
      <c r="Q95" s="401" t="s">
        <v>2485</v>
      </c>
      <c r="R95" s="401" t="s">
        <v>2235</v>
      </c>
      <c r="S95" s="401" t="s">
        <v>2230</v>
      </c>
      <c r="T95" s="401" t="s">
        <v>2236</v>
      </c>
      <c r="U95" s="401" t="s">
        <v>2237</v>
      </c>
      <c r="V95" s="401" t="s">
        <v>382</v>
      </c>
      <c r="W95" s="401" t="s">
        <v>1070</v>
      </c>
      <c r="X95" s="401" t="s">
        <v>1072</v>
      </c>
      <c r="Y95" s="401" t="s">
        <v>382</v>
      </c>
      <c r="Z95" s="401" t="s">
        <v>2257</v>
      </c>
      <c r="AA95" s="401" t="s">
        <v>2256</v>
      </c>
      <c r="AB95" s="401" t="s">
        <v>1908</v>
      </c>
      <c r="AC95" s="401" t="s">
        <v>1055</v>
      </c>
      <c r="AD95" s="401" t="s">
        <v>2412</v>
      </c>
      <c r="AE95" s="441">
        <v>45848</v>
      </c>
      <c r="AF95" s="440">
        <v>46295</v>
      </c>
      <c r="AG95" s="443">
        <v>46661</v>
      </c>
      <c r="AH95" s="434" t="s">
        <v>3847</v>
      </c>
      <c r="AI95" s="411" t="s">
        <v>345</v>
      </c>
      <c r="AJ95" s="401" t="s">
        <v>2487</v>
      </c>
      <c r="AK95" s="401">
        <v>15</v>
      </c>
      <c r="AL95" s="401" t="s">
        <v>2083</v>
      </c>
      <c r="AM95" s="401" t="s">
        <v>2083</v>
      </c>
      <c r="AN95" s="401" t="s">
        <v>2538</v>
      </c>
      <c r="AO95" s="401"/>
      <c r="AP95" s="408">
        <v>45747</v>
      </c>
      <c r="AQ95" s="401"/>
    </row>
    <row r="96" spans="1:46">
      <c r="A96" s="401" t="s">
        <v>4310</v>
      </c>
      <c r="B96" s="401" t="s">
        <v>2076</v>
      </c>
      <c r="C96" s="401" t="s">
        <v>2077</v>
      </c>
      <c r="D96" s="401" t="s">
        <v>2229</v>
      </c>
      <c r="E96" s="401" t="s">
        <v>2235</v>
      </c>
      <c r="F96" s="401" t="s">
        <v>2230</v>
      </c>
      <c r="G96" s="401" t="s">
        <v>2231</v>
      </c>
      <c r="H96" s="401" t="s">
        <v>2232</v>
      </c>
      <c r="I96" s="401" t="s">
        <v>2230</v>
      </c>
      <c r="J96" s="401" t="s">
        <v>2084</v>
      </c>
      <c r="K96" s="401" t="s">
        <v>2262</v>
      </c>
      <c r="L96" s="401"/>
      <c r="M96" s="401" t="s">
        <v>2263</v>
      </c>
      <c r="N96" s="401" t="s">
        <v>2230</v>
      </c>
      <c r="O96" s="401" t="s">
        <v>2264</v>
      </c>
      <c r="P96" s="401"/>
      <c r="Q96" s="401" t="s">
        <v>2485</v>
      </c>
      <c r="R96" s="401" t="s">
        <v>2235</v>
      </c>
      <c r="S96" s="401" t="s">
        <v>2230</v>
      </c>
      <c r="T96" s="401" t="s">
        <v>2236</v>
      </c>
      <c r="U96" s="401" t="s">
        <v>2237</v>
      </c>
      <c r="V96" s="401" t="s">
        <v>382</v>
      </c>
      <c r="W96" s="401" t="s">
        <v>1070</v>
      </c>
      <c r="X96" s="401" t="s">
        <v>1072</v>
      </c>
      <c r="Y96" s="401" t="s">
        <v>382</v>
      </c>
      <c r="Z96" s="401" t="s">
        <v>1300</v>
      </c>
      <c r="AA96" s="401" t="s">
        <v>1301</v>
      </c>
      <c r="AB96" s="401" t="s">
        <v>1908</v>
      </c>
      <c r="AC96" s="401" t="s">
        <v>1055</v>
      </c>
      <c r="AD96" s="401" t="s">
        <v>2412</v>
      </c>
      <c r="AE96" s="441">
        <v>45566</v>
      </c>
      <c r="AF96" s="440">
        <v>45930</v>
      </c>
      <c r="AG96" s="443">
        <v>46661</v>
      </c>
      <c r="AH96" s="34" t="s">
        <v>4307</v>
      </c>
      <c r="AI96" s="401" t="s">
        <v>345</v>
      </c>
      <c r="AJ96" s="401" t="s">
        <v>2541</v>
      </c>
      <c r="AK96" s="401">
        <v>15</v>
      </c>
      <c r="AL96" s="401" t="s">
        <v>2083</v>
      </c>
      <c r="AM96" s="401" t="s">
        <v>2083</v>
      </c>
      <c r="AN96" s="401" t="s">
        <v>2537</v>
      </c>
      <c r="AO96" s="401"/>
      <c r="AP96" s="408">
        <v>45747</v>
      </c>
      <c r="AQ96" s="401"/>
    </row>
    <row r="97" spans="1:43">
      <c r="A97" s="401" t="s">
        <v>4310</v>
      </c>
      <c r="B97" s="401" t="s">
        <v>2076</v>
      </c>
      <c r="C97" s="401" t="s">
        <v>2077</v>
      </c>
      <c r="D97" s="401" t="s">
        <v>2229</v>
      </c>
      <c r="E97" s="401" t="s">
        <v>2235</v>
      </c>
      <c r="F97" s="401" t="s">
        <v>2230</v>
      </c>
      <c r="G97" s="401" t="s">
        <v>2231</v>
      </c>
      <c r="H97" s="401" t="s">
        <v>2232</v>
      </c>
      <c r="I97" s="401" t="s">
        <v>2230</v>
      </c>
      <c r="J97" s="401" t="s">
        <v>2084</v>
      </c>
      <c r="K97" s="401" t="s">
        <v>366</v>
      </c>
      <c r="L97" s="401"/>
      <c r="M97" s="401" t="s">
        <v>2263</v>
      </c>
      <c r="N97" s="401" t="s">
        <v>2230</v>
      </c>
      <c r="O97" s="401" t="s">
        <v>367</v>
      </c>
      <c r="P97" s="401"/>
      <c r="Q97" s="401" t="s">
        <v>2485</v>
      </c>
      <c r="R97" s="401" t="s">
        <v>2235</v>
      </c>
      <c r="S97" s="401" t="s">
        <v>2230</v>
      </c>
      <c r="T97" s="401" t="s">
        <v>2236</v>
      </c>
      <c r="U97" s="401" t="s">
        <v>2237</v>
      </c>
      <c r="V97" s="401" t="s">
        <v>382</v>
      </c>
      <c r="W97" s="401" t="s">
        <v>1070</v>
      </c>
      <c r="X97" s="401" t="s">
        <v>1072</v>
      </c>
      <c r="Y97" s="401" t="s">
        <v>382</v>
      </c>
      <c r="Z97" s="401" t="s">
        <v>1300</v>
      </c>
      <c r="AA97" s="401" t="s">
        <v>1301</v>
      </c>
      <c r="AB97" s="401" t="s">
        <v>1908</v>
      </c>
      <c r="AC97" s="401" t="s">
        <v>1055</v>
      </c>
      <c r="AD97" s="401" t="s">
        <v>2412</v>
      </c>
      <c r="AE97" s="441">
        <v>45566</v>
      </c>
      <c r="AF97" s="440">
        <v>45930</v>
      </c>
      <c r="AG97" s="443">
        <v>46661</v>
      </c>
      <c r="AH97" s="34" t="s">
        <v>4307</v>
      </c>
      <c r="AI97" s="411" t="s">
        <v>345</v>
      </c>
      <c r="AJ97" s="401" t="s">
        <v>1230</v>
      </c>
      <c r="AK97" s="401">
        <v>15</v>
      </c>
      <c r="AL97" s="401" t="s">
        <v>2083</v>
      </c>
      <c r="AM97" s="401" t="s">
        <v>2083</v>
      </c>
      <c r="AN97" s="401" t="s">
        <v>2537</v>
      </c>
      <c r="AO97" s="401"/>
      <c r="AP97" s="408">
        <v>45747</v>
      </c>
      <c r="AQ97" s="401"/>
    </row>
    <row r="98" spans="1:43">
      <c r="A98" s="401"/>
      <c r="B98" s="401"/>
      <c r="C98" s="401"/>
      <c r="D98" s="401"/>
      <c r="E98" s="401"/>
      <c r="F98" s="401"/>
      <c r="G98" s="401"/>
      <c r="H98" s="401"/>
      <c r="I98" s="401"/>
      <c r="J98" s="401"/>
      <c r="K98" s="401"/>
      <c r="L98" s="401"/>
      <c r="M98" s="401"/>
      <c r="N98" s="401"/>
      <c r="O98" s="401"/>
      <c r="P98" s="401"/>
      <c r="Q98" s="401"/>
      <c r="R98" s="401"/>
      <c r="S98" s="401"/>
      <c r="T98" s="401"/>
      <c r="U98" s="401"/>
      <c r="V98" s="401"/>
      <c r="W98" s="401"/>
      <c r="X98" s="401"/>
      <c r="Y98" s="401"/>
      <c r="Z98" s="401"/>
      <c r="AA98" s="401"/>
      <c r="AB98" s="401"/>
      <c r="AC98" s="401"/>
      <c r="AD98" s="401"/>
      <c r="AE98" s="441"/>
      <c r="AF98" s="440"/>
      <c r="AG98" s="443"/>
      <c r="AH98" s="401"/>
      <c r="AI98" s="401"/>
      <c r="AJ98" s="401"/>
      <c r="AK98" s="401"/>
      <c r="AL98" s="401"/>
      <c r="AM98" s="401"/>
      <c r="AN98" s="401"/>
      <c r="AO98" s="401"/>
      <c r="AP98" s="408"/>
      <c r="AQ98" s="401"/>
    </row>
    <row r="99" spans="1:43" ht="24">
      <c r="A99" s="401" t="s">
        <v>4594</v>
      </c>
      <c r="B99" s="401" t="s">
        <v>2076</v>
      </c>
      <c r="C99" s="401" t="s">
        <v>2077</v>
      </c>
      <c r="D99" s="401" t="s">
        <v>3865</v>
      </c>
      <c r="E99" s="401" t="s">
        <v>2132</v>
      </c>
      <c r="F99" s="417" t="s">
        <v>2133</v>
      </c>
      <c r="G99" s="7" t="s">
        <v>2118</v>
      </c>
      <c r="H99" s="417" t="s">
        <v>2137</v>
      </c>
      <c r="I99" s="417" t="s">
        <v>2133</v>
      </c>
      <c r="J99" s="7" t="s">
        <v>2123</v>
      </c>
      <c r="K99" s="7" t="s">
        <v>2143</v>
      </c>
      <c r="L99" s="401"/>
      <c r="M99" s="401" t="s">
        <v>3866</v>
      </c>
      <c r="N99" s="417" t="s">
        <v>2133</v>
      </c>
      <c r="O99" s="401" t="s">
        <v>3868</v>
      </c>
      <c r="P99" s="401">
        <v>1650</v>
      </c>
      <c r="Q99" s="401" t="s">
        <v>3869</v>
      </c>
      <c r="R99" s="401" t="s">
        <v>3870</v>
      </c>
      <c r="S99" s="401" t="s">
        <v>2077</v>
      </c>
      <c r="T99" s="401" t="s">
        <v>1070</v>
      </c>
      <c r="U99" s="401" t="s">
        <v>1071</v>
      </c>
      <c r="V99" s="401" t="s">
        <v>382</v>
      </c>
      <c r="W99" s="401" t="s">
        <v>1070</v>
      </c>
      <c r="X99" s="401" t="s">
        <v>1072</v>
      </c>
      <c r="Y99" s="401" t="s">
        <v>382</v>
      </c>
      <c r="Z99" s="401" t="s">
        <v>1300</v>
      </c>
      <c r="AA99" s="401" t="s">
        <v>1301</v>
      </c>
      <c r="AB99" s="401" t="s">
        <v>1908</v>
      </c>
      <c r="AC99" s="401" t="s">
        <v>1055</v>
      </c>
      <c r="AD99" s="401" t="s">
        <v>2412</v>
      </c>
      <c r="AE99" s="441">
        <v>45276</v>
      </c>
      <c r="AF99" s="440">
        <v>45641</v>
      </c>
      <c r="AG99" s="443">
        <v>46006</v>
      </c>
      <c r="AH99" s="34" t="s">
        <v>4331</v>
      </c>
      <c r="AI99" s="34" t="s">
        <v>345</v>
      </c>
      <c r="AJ99" s="420" t="s">
        <v>1230</v>
      </c>
      <c r="AK99" s="401">
        <v>15</v>
      </c>
      <c r="AL99" s="401" t="s">
        <v>2083</v>
      </c>
      <c r="AM99" s="401" t="s">
        <v>2083</v>
      </c>
      <c r="AN99" s="401" t="s">
        <v>2415</v>
      </c>
      <c r="AO99" s="401"/>
      <c r="AP99" s="408">
        <v>45747</v>
      </c>
      <c r="AQ99" s="401"/>
    </row>
    <row r="100" spans="1:43">
      <c r="A100" s="401"/>
      <c r="B100" s="401"/>
      <c r="C100" s="401"/>
      <c r="D100" s="401"/>
      <c r="E100" s="401"/>
      <c r="F100" s="401"/>
      <c r="G100" s="401"/>
      <c r="H100" s="401"/>
      <c r="I100" s="401"/>
      <c r="J100" s="401"/>
      <c r="K100" s="401"/>
      <c r="L100" s="401"/>
      <c r="M100" s="401"/>
      <c r="N100" s="401"/>
      <c r="O100" s="401"/>
      <c r="P100" s="401"/>
      <c r="Q100" s="401"/>
      <c r="R100" s="401"/>
      <c r="S100" s="401"/>
      <c r="T100" s="401"/>
      <c r="U100" s="401"/>
      <c r="V100" s="401"/>
      <c r="W100" s="401"/>
      <c r="X100" s="401"/>
      <c r="Y100" s="401"/>
      <c r="Z100" s="401"/>
      <c r="AA100" s="401"/>
      <c r="AB100" s="401"/>
      <c r="AC100" s="401"/>
      <c r="AD100" s="401"/>
      <c r="AE100" s="441"/>
      <c r="AF100" s="440"/>
      <c r="AG100" s="443"/>
      <c r="AH100" s="401"/>
      <c r="AI100" s="401"/>
      <c r="AJ100" s="401"/>
      <c r="AK100" s="401"/>
      <c r="AL100" s="401"/>
      <c r="AM100" s="401"/>
      <c r="AN100" s="401"/>
      <c r="AO100" s="401"/>
      <c r="AP100" s="408"/>
      <c r="AQ100" s="401"/>
    </row>
    <row r="101" spans="1:43">
      <c r="A101" s="401" t="s">
        <v>4311</v>
      </c>
      <c r="B101" s="401" t="s">
        <v>4312</v>
      </c>
      <c r="C101" s="401" t="s">
        <v>4313</v>
      </c>
      <c r="D101" s="401" t="s">
        <v>4314</v>
      </c>
      <c r="E101" s="401" t="s">
        <v>4315</v>
      </c>
      <c r="F101" s="401"/>
      <c r="G101" s="401" t="s">
        <v>1180</v>
      </c>
      <c r="H101" s="401"/>
      <c r="I101" s="401"/>
      <c r="J101" s="401"/>
      <c r="K101" s="401"/>
      <c r="L101" s="401"/>
      <c r="M101" s="401"/>
      <c r="N101" s="401"/>
      <c r="O101" s="401"/>
      <c r="P101" s="401"/>
      <c r="Q101" s="401"/>
      <c r="R101" s="401"/>
      <c r="S101" s="401"/>
      <c r="T101" s="401"/>
      <c r="U101" s="401"/>
      <c r="V101" s="401"/>
      <c r="W101" s="401"/>
      <c r="X101" s="401"/>
      <c r="Y101" s="401"/>
      <c r="Z101" s="401"/>
      <c r="AA101" s="401"/>
      <c r="AB101" s="401"/>
      <c r="AC101" s="401"/>
      <c r="AD101" s="401"/>
      <c r="AE101" s="441"/>
      <c r="AF101" s="440"/>
      <c r="AG101" s="443"/>
      <c r="AH101" s="401"/>
      <c r="AI101" s="401"/>
      <c r="AJ101" s="401"/>
      <c r="AK101" s="401"/>
      <c r="AL101" s="401"/>
      <c r="AM101" s="401"/>
      <c r="AN101" s="401"/>
      <c r="AO101" s="401"/>
      <c r="AP101" s="408"/>
      <c r="AQ101" s="401"/>
    </row>
    <row r="102" spans="1:43">
      <c r="A102" s="401"/>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41"/>
      <c r="AF102" s="440"/>
      <c r="AG102" s="443"/>
      <c r="AH102" s="401"/>
      <c r="AI102" s="401"/>
      <c r="AJ102" s="401"/>
      <c r="AK102" s="401"/>
      <c r="AL102" s="401"/>
      <c r="AM102" s="401"/>
      <c r="AN102" s="401"/>
      <c r="AO102" s="401"/>
      <c r="AP102" s="408"/>
      <c r="AQ102" s="401"/>
    </row>
    <row r="103" spans="1:43">
      <c r="A103" s="401" t="s">
        <v>4317</v>
      </c>
      <c r="B103" s="401" t="s">
        <v>4318</v>
      </c>
      <c r="C103" s="401" t="s">
        <v>4319</v>
      </c>
      <c r="D103" s="401" t="s">
        <v>4320</v>
      </c>
      <c r="E103" s="401" t="s">
        <v>4322</v>
      </c>
      <c r="F103" s="401" t="s">
        <v>4319</v>
      </c>
      <c r="G103" s="401" t="s">
        <v>2080</v>
      </c>
      <c r="H103" s="401" t="s">
        <v>4318</v>
      </c>
      <c r="I103" s="401" t="s">
        <v>4319</v>
      </c>
      <c r="J103" s="401" t="s">
        <v>4321</v>
      </c>
      <c r="K103" s="401" t="s">
        <v>4320</v>
      </c>
      <c r="L103" s="401" t="s">
        <v>4320</v>
      </c>
      <c r="M103" s="401" t="s">
        <v>4323</v>
      </c>
      <c r="N103" s="401" t="s">
        <v>4319</v>
      </c>
      <c r="O103" s="401" t="s">
        <v>4324</v>
      </c>
      <c r="P103" s="401">
        <v>1850</v>
      </c>
      <c r="Q103" s="401" t="s">
        <v>4325</v>
      </c>
      <c r="R103" s="401" t="s">
        <v>4326</v>
      </c>
      <c r="S103" s="401" t="s">
        <v>4319</v>
      </c>
      <c r="T103" s="401" t="s">
        <v>1070</v>
      </c>
      <c r="U103" s="401" t="s">
        <v>1166</v>
      </c>
      <c r="V103" s="401" t="s">
        <v>382</v>
      </c>
      <c r="W103" s="401" t="s">
        <v>1070</v>
      </c>
      <c r="X103" s="401" t="s">
        <v>1166</v>
      </c>
      <c r="Y103" s="401" t="s">
        <v>382</v>
      </c>
      <c r="Z103" s="401" t="s">
        <v>4327</v>
      </c>
      <c r="AA103" s="401" t="s">
        <v>4339</v>
      </c>
      <c r="AB103" s="401" t="s">
        <v>4328</v>
      </c>
      <c r="AC103" s="401" t="s">
        <v>4329</v>
      </c>
      <c r="AD103" s="401" t="s">
        <v>4330</v>
      </c>
      <c r="AE103" s="441">
        <v>45938</v>
      </c>
      <c r="AF103" s="440">
        <v>45968</v>
      </c>
      <c r="AG103" s="443">
        <v>46661</v>
      </c>
      <c r="AH103" s="401" t="s">
        <v>4332</v>
      </c>
      <c r="AI103" s="401" t="s">
        <v>345</v>
      </c>
      <c r="AJ103" s="401" t="s">
        <v>4333</v>
      </c>
      <c r="AK103" s="401">
        <v>15</v>
      </c>
      <c r="AL103" s="401" t="s">
        <v>4334</v>
      </c>
      <c r="AM103" s="401" t="s">
        <v>4334</v>
      </c>
      <c r="AN103" s="401" t="s">
        <v>2415</v>
      </c>
      <c r="AO103" s="401"/>
      <c r="AP103" s="408">
        <v>46112</v>
      </c>
      <c r="AQ103" s="401"/>
    </row>
    <row r="104" spans="1:43">
      <c r="A104" s="401"/>
      <c r="B104" s="401"/>
      <c r="C104" s="401"/>
      <c r="D104" s="401"/>
      <c r="E104" s="401"/>
      <c r="F104" s="401"/>
      <c r="G104" s="401"/>
      <c r="H104" s="401"/>
      <c r="I104" s="401"/>
      <c r="J104" s="401"/>
      <c r="K104" s="401"/>
      <c r="L104" s="401"/>
      <c r="M104" s="401"/>
      <c r="N104" s="401"/>
      <c r="O104" s="401"/>
      <c r="P104" s="401"/>
      <c r="Q104" s="401"/>
      <c r="R104" s="401"/>
      <c r="S104" s="401"/>
      <c r="T104" s="401"/>
      <c r="U104" s="401"/>
      <c r="V104" s="401"/>
      <c r="W104" s="401"/>
      <c r="X104" s="401"/>
      <c r="Y104" s="401"/>
      <c r="Z104" s="401"/>
      <c r="AA104" s="401"/>
      <c r="AB104" s="401"/>
      <c r="AC104" s="401"/>
      <c r="AD104" s="401"/>
      <c r="AE104" s="441"/>
      <c r="AF104" s="440"/>
      <c r="AG104" s="443"/>
      <c r="AH104" s="401"/>
      <c r="AI104" s="401"/>
      <c r="AJ104" s="401"/>
      <c r="AK104" s="401"/>
      <c r="AL104" s="401"/>
      <c r="AM104" s="401"/>
      <c r="AN104" s="401"/>
      <c r="AO104" s="401"/>
      <c r="AP104" s="408"/>
      <c r="AQ104" s="401"/>
    </row>
    <row r="105" spans="1:43">
      <c r="A105" s="401"/>
      <c r="B105" s="401"/>
      <c r="C105" s="401"/>
      <c r="D105" s="401"/>
      <c r="E105" s="401"/>
      <c r="F105" s="401"/>
      <c r="G105" s="401"/>
      <c r="H105" s="401"/>
      <c r="I105" s="401"/>
      <c r="J105" s="401"/>
      <c r="K105" s="401"/>
      <c r="L105" s="401"/>
      <c r="M105" s="401"/>
      <c r="N105" s="401"/>
      <c r="O105" s="401"/>
      <c r="P105" s="401"/>
      <c r="Q105" s="401"/>
      <c r="R105" s="401"/>
      <c r="S105" s="401"/>
      <c r="T105" s="401"/>
      <c r="U105" s="401"/>
      <c r="V105" s="401"/>
      <c r="W105" s="401"/>
      <c r="X105" s="401"/>
      <c r="Y105" s="401"/>
      <c r="Z105" s="401"/>
      <c r="AA105" s="401"/>
      <c r="AB105" s="401"/>
      <c r="AC105" s="401"/>
      <c r="AD105" s="401"/>
      <c r="AE105" s="441"/>
      <c r="AF105" s="440"/>
      <c r="AG105" s="443"/>
      <c r="AH105" s="401"/>
      <c r="AI105" s="401"/>
      <c r="AJ105" s="401"/>
      <c r="AK105" s="401"/>
      <c r="AL105" s="401"/>
      <c r="AM105" s="401"/>
      <c r="AN105" s="401"/>
      <c r="AO105" s="401"/>
      <c r="AP105" s="408"/>
      <c r="AQ105" s="401"/>
    </row>
    <row r="106" spans="1:43">
      <c r="A106" s="401"/>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41"/>
      <c r="AF106" s="440"/>
      <c r="AG106" s="443"/>
      <c r="AH106" s="401"/>
      <c r="AI106" s="401"/>
      <c r="AJ106" s="401"/>
      <c r="AK106" s="401"/>
      <c r="AL106" s="401"/>
      <c r="AM106" s="401"/>
      <c r="AN106" s="401"/>
      <c r="AO106" s="401"/>
      <c r="AP106" s="408"/>
      <c r="AQ106" s="401"/>
    </row>
    <row r="107" spans="1:43">
      <c r="A107" s="401"/>
      <c r="B107" s="401"/>
      <c r="C107" s="401"/>
      <c r="D107" s="401"/>
      <c r="E107" s="401"/>
      <c r="F107" s="401"/>
      <c r="G107" s="401"/>
      <c r="H107" s="401"/>
      <c r="I107" s="401"/>
      <c r="J107" s="401"/>
      <c r="K107" s="401"/>
      <c r="L107" s="401"/>
      <c r="M107" s="401"/>
      <c r="N107" s="401"/>
      <c r="O107" s="401"/>
      <c r="P107" s="401"/>
      <c r="Q107" s="401"/>
      <c r="R107" s="401"/>
      <c r="S107" s="401"/>
      <c r="T107" s="401"/>
      <c r="U107" s="401"/>
      <c r="V107" s="401"/>
      <c r="W107" s="401"/>
      <c r="X107" s="401"/>
      <c r="Y107" s="401"/>
      <c r="Z107" s="401"/>
      <c r="AA107" s="401"/>
      <c r="AB107" s="401"/>
      <c r="AC107" s="401"/>
      <c r="AD107" s="401"/>
      <c r="AE107" s="441"/>
      <c r="AF107" s="440"/>
      <c r="AG107" s="443"/>
      <c r="AH107" s="401"/>
      <c r="AI107" s="401"/>
      <c r="AJ107" s="401"/>
      <c r="AK107" s="401"/>
      <c r="AL107" s="401"/>
      <c r="AM107" s="401"/>
      <c r="AN107" s="401"/>
      <c r="AO107" s="401"/>
      <c r="AP107" s="408"/>
      <c r="AQ107" s="401"/>
    </row>
    <row r="108" spans="1:43">
      <c r="A108" s="401"/>
      <c r="B108" s="401"/>
      <c r="C108" s="401"/>
      <c r="D108" s="401"/>
      <c r="E108" s="401"/>
      <c r="F108" s="401"/>
      <c r="G108" s="401"/>
      <c r="H108" s="401"/>
      <c r="I108" s="401"/>
      <c r="J108" s="401"/>
      <c r="K108" s="401"/>
      <c r="L108" s="401"/>
      <c r="M108" s="401"/>
      <c r="N108" s="401"/>
      <c r="O108" s="401"/>
      <c r="P108" s="401"/>
      <c r="Q108" s="401"/>
      <c r="R108" s="401"/>
      <c r="S108" s="401"/>
      <c r="T108" s="401"/>
      <c r="U108" s="401"/>
      <c r="V108" s="401"/>
      <c r="W108" s="401"/>
      <c r="X108" s="401"/>
      <c r="Y108" s="401"/>
      <c r="Z108" s="401"/>
      <c r="AA108" s="401"/>
      <c r="AB108" s="401"/>
      <c r="AC108" s="401"/>
      <c r="AD108" s="401"/>
      <c r="AE108" s="441"/>
      <c r="AF108" s="440"/>
      <c r="AG108" s="443"/>
      <c r="AH108" s="401"/>
      <c r="AI108" s="401"/>
      <c r="AJ108" s="401"/>
      <c r="AK108" s="401"/>
      <c r="AL108" s="401"/>
      <c r="AM108" s="401"/>
      <c r="AN108" s="401"/>
      <c r="AO108" s="401"/>
      <c r="AP108" s="408"/>
      <c r="AQ108" s="401"/>
    </row>
    <row r="109" spans="1:43">
      <c r="A109" s="401"/>
      <c r="B109" s="401"/>
      <c r="C109" s="401"/>
      <c r="D109" s="401"/>
      <c r="E109" s="401"/>
      <c r="F109" s="401"/>
      <c r="G109" s="401"/>
      <c r="H109" s="401"/>
      <c r="I109" s="401"/>
      <c r="J109" s="401"/>
      <c r="K109" s="401"/>
      <c r="L109" s="401"/>
      <c r="M109" s="401"/>
      <c r="N109" s="401"/>
      <c r="O109" s="401"/>
      <c r="P109" s="401"/>
      <c r="Q109" s="401"/>
      <c r="R109" s="401"/>
      <c r="S109" s="401"/>
      <c r="T109" s="401"/>
      <c r="U109" s="401"/>
      <c r="V109" s="401"/>
      <c r="W109" s="401"/>
      <c r="X109" s="401"/>
      <c r="Y109" s="401"/>
      <c r="Z109" s="401"/>
      <c r="AA109" s="401"/>
      <c r="AB109" s="401"/>
      <c r="AC109" s="401"/>
      <c r="AD109" s="401"/>
      <c r="AE109" s="441"/>
      <c r="AF109" s="440"/>
      <c r="AG109" s="443"/>
      <c r="AH109" s="401"/>
      <c r="AI109" s="401"/>
      <c r="AJ109" s="401"/>
      <c r="AK109" s="401"/>
      <c r="AL109" s="401"/>
      <c r="AM109" s="401"/>
      <c r="AN109" s="401"/>
      <c r="AO109" s="401"/>
      <c r="AP109" s="408"/>
      <c r="AQ109" s="401"/>
    </row>
    <row r="110" spans="1:43">
      <c r="A110" s="401"/>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41"/>
      <c r="AF110" s="440"/>
      <c r="AG110" s="443"/>
      <c r="AH110" s="401"/>
      <c r="AI110" s="401"/>
      <c r="AJ110" s="401"/>
      <c r="AK110" s="401"/>
      <c r="AL110" s="401"/>
      <c r="AM110" s="401"/>
      <c r="AN110" s="401"/>
      <c r="AO110" s="401"/>
      <c r="AP110" s="408"/>
      <c r="AQ110" s="401"/>
    </row>
    <row r="111" spans="1:43">
      <c r="A111" s="401"/>
      <c r="B111" s="401"/>
      <c r="C111" s="401"/>
      <c r="D111" s="401"/>
      <c r="E111" s="401"/>
      <c r="F111" s="401"/>
      <c r="G111" s="401"/>
      <c r="H111" s="401"/>
      <c r="I111" s="401"/>
      <c r="J111" s="401"/>
      <c r="K111" s="401"/>
      <c r="L111" s="401"/>
      <c r="M111" s="401"/>
      <c r="N111" s="401"/>
      <c r="O111" s="401"/>
      <c r="P111" s="401"/>
      <c r="Q111" s="401"/>
      <c r="R111" s="401"/>
      <c r="S111" s="401"/>
      <c r="T111" s="401"/>
      <c r="U111" s="401"/>
      <c r="V111" s="401"/>
      <c r="W111" s="401"/>
      <c r="X111" s="401"/>
      <c r="Y111" s="401"/>
      <c r="Z111" s="401"/>
      <c r="AA111" s="401"/>
      <c r="AB111" s="401"/>
      <c r="AC111" s="401"/>
      <c r="AD111" s="401"/>
      <c r="AE111" s="441"/>
      <c r="AF111" s="440"/>
      <c r="AG111" s="443"/>
      <c r="AH111" s="401"/>
      <c r="AI111" s="401"/>
      <c r="AJ111" s="401"/>
      <c r="AK111" s="401"/>
      <c r="AL111" s="401"/>
      <c r="AM111" s="401"/>
      <c r="AN111" s="401"/>
      <c r="AO111" s="401"/>
      <c r="AP111" s="408"/>
      <c r="AQ111" s="401"/>
    </row>
    <row r="112" spans="1:43">
      <c r="A112" s="401"/>
      <c r="B112" s="401"/>
      <c r="C112" s="401"/>
      <c r="D112" s="401"/>
      <c r="E112" s="401"/>
      <c r="F112" s="401"/>
      <c r="G112" s="401"/>
      <c r="H112" s="401"/>
      <c r="I112" s="401"/>
      <c r="J112" s="401"/>
      <c r="K112" s="401"/>
      <c r="L112" s="401"/>
      <c r="M112" s="401"/>
      <c r="N112" s="401"/>
      <c r="O112" s="401"/>
      <c r="P112" s="401"/>
      <c r="Q112" s="401"/>
      <c r="R112" s="401"/>
      <c r="S112" s="401"/>
      <c r="T112" s="401"/>
      <c r="U112" s="401"/>
      <c r="V112" s="401"/>
      <c r="W112" s="401"/>
      <c r="X112" s="401"/>
      <c r="Y112" s="401"/>
      <c r="Z112" s="401"/>
      <c r="AA112" s="401"/>
      <c r="AB112" s="401"/>
      <c r="AC112" s="401"/>
      <c r="AD112" s="401"/>
      <c r="AE112" s="441"/>
      <c r="AF112" s="440"/>
      <c r="AG112" s="443"/>
      <c r="AH112" s="401"/>
      <c r="AI112" s="401"/>
      <c r="AJ112" s="401"/>
      <c r="AK112" s="401"/>
      <c r="AL112" s="401"/>
      <c r="AM112" s="401"/>
      <c r="AN112" s="401"/>
      <c r="AO112" s="401"/>
      <c r="AP112" s="408"/>
      <c r="AQ112" s="401"/>
    </row>
  </sheetData>
  <phoneticPr fontId="1"/>
  <pageMargins left="0.25" right="0.25" top="0.75" bottom="0.75" header="0.3" footer="0.3"/>
  <pageSetup paperSize="12" scale="20" fitToHeight="0" orientation="landscape"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05AA5-A3B8-4AE1-BADD-09DC2F355FE0}">
  <sheetPr codeName="Hoja9">
    <tabColor rgb="FFFFFF00"/>
    <pageSetUpPr fitToPage="1"/>
  </sheetPr>
  <dimension ref="A1:AJ65"/>
  <sheetViews>
    <sheetView tabSelected="1" view="pageBreakPreview" topLeftCell="C4" zoomScaleNormal="100" zoomScaleSheetLayoutView="100" workbookViewId="0">
      <selection activeCell="AD4" sqref="AD4:AF4"/>
    </sheetView>
  </sheetViews>
  <sheetFormatPr defaultColWidth="11.43359375" defaultRowHeight="13.5"/>
  <cols>
    <col min="1" max="26" width="3.62890625" style="4" customWidth="1"/>
    <col min="27" max="27" width="4.5703125" style="4" customWidth="1"/>
    <col min="28" max="28" width="11.43359375" style="18"/>
    <col min="29" max="29" width="11.43359375" style="4"/>
    <col min="30" max="30" width="15.6015625" style="4" bestFit="1" customWidth="1"/>
    <col min="31" max="31" width="11.56640625" style="4" bestFit="1" customWidth="1"/>
    <col min="32" max="33" width="11.43359375" style="4"/>
    <col min="34" max="34" width="12.64453125" style="4" bestFit="1" customWidth="1"/>
    <col min="35" max="35" width="19.37109375" style="4" customWidth="1"/>
    <col min="36" max="36" width="14.2578125" style="4" bestFit="1" customWidth="1"/>
    <col min="37" max="16384" width="11.43359375" style="4"/>
  </cols>
  <sheetData>
    <row r="1" spans="1:36" ht="29.25" customHeight="1" thickBot="1">
      <c r="J1" s="738" t="s">
        <v>315</v>
      </c>
      <c r="K1" s="738"/>
      <c r="L1" s="738"/>
      <c r="M1" s="738"/>
      <c r="N1" s="738"/>
      <c r="O1" s="738"/>
      <c r="P1" s="738"/>
      <c r="Q1" s="738"/>
      <c r="R1" s="738"/>
      <c r="S1" s="738"/>
      <c r="AC1" s="18" t="s">
        <v>23</v>
      </c>
      <c r="AD1" s="630" t="s">
        <v>4579</v>
      </c>
      <c r="AE1" s="631"/>
      <c r="AF1" s="632"/>
      <c r="AG1" s="717" t="s">
        <v>783</v>
      </c>
      <c r="AI1" s="78" cm="1">
        <f t="array" ref="AI1">INDEX(TBKaishaInfo[就業日], MATCH(派遣先&amp;工場名&amp;配属先&amp;ライン, TBKaishaInfo[派遣先]&amp;TBKaishaInfo[工場名]&amp;TBKaishaInfo[配属先]&amp;TBKaishaInfo[ライン], 0))</f>
        <v>45931</v>
      </c>
      <c r="AJ1" s="160"/>
    </row>
    <row r="2" spans="1:36" ht="17.25" customHeight="1">
      <c r="A2" s="739" t="str">
        <f>CONCATENATE(AD1,"（以下、「甲」という）とユニバーサル企画株式会社（以下、「乙」という）間で締結された労働者派遣基本契約書の定めに従い、次の派遣要件に基づき労働者派遣契約書を締結する。")</f>
        <v>高雄工業株式会社（以下、「甲」という）とユニバーサル企画株式会社（以下、「乙」という）間で締結された労働者派遣基本契約書の定めに従い、次の派遣要件に基づき労働者派遣契約書を締結する。</v>
      </c>
      <c r="B2" s="739"/>
      <c r="C2" s="739"/>
      <c r="D2" s="739"/>
      <c r="E2" s="739"/>
      <c r="F2" s="739"/>
      <c r="G2" s="739"/>
      <c r="H2" s="739"/>
      <c r="I2" s="739"/>
      <c r="J2" s="739"/>
      <c r="K2" s="739"/>
      <c r="L2" s="739"/>
      <c r="M2" s="739"/>
      <c r="N2" s="739"/>
      <c r="O2" s="739"/>
      <c r="P2" s="739"/>
      <c r="Q2" s="739"/>
      <c r="R2" s="739"/>
      <c r="S2" s="739"/>
      <c r="T2" s="739"/>
      <c r="U2" s="739"/>
      <c r="V2" s="739"/>
      <c r="W2" s="739"/>
      <c r="X2" s="739"/>
      <c r="Y2" s="739"/>
      <c r="Z2" s="739"/>
      <c r="AA2" s="739"/>
      <c r="AC2" s="18" t="s">
        <v>1029</v>
      </c>
      <c r="AD2" s="624" t="s">
        <v>2080</v>
      </c>
      <c r="AE2" s="625"/>
      <c r="AF2" s="626"/>
      <c r="AG2" s="717"/>
    </row>
    <row r="3" spans="1:36" ht="13.5" customHeight="1">
      <c r="A3" s="739"/>
      <c r="B3" s="739"/>
      <c r="C3" s="739"/>
      <c r="D3" s="739"/>
      <c r="E3" s="739"/>
      <c r="F3" s="739"/>
      <c r="G3" s="739"/>
      <c r="H3" s="739"/>
      <c r="I3" s="739"/>
      <c r="J3" s="739"/>
      <c r="K3" s="739"/>
      <c r="L3" s="739"/>
      <c r="M3" s="739"/>
      <c r="N3" s="739"/>
      <c r="O3" s="739"/>
      <c r="P3" s="739"/>
      <c r="Q3" s="739"/>
      <c r="R3" s="739"/>
      <c r="S3" s="739"/>
      <c r="T3" s="739"/>
      <c r="U3" s="739"/>
      <c r="V3" s="739"/>
      <c r="W3" s="739"/>
      <c r="X3" s="739"/>
      <c r="Y3" s="739"/>
      <c r="Z3" s="739"/>
      <c r="AA3" s="739"/>
      <c r="AC3" s="18" t="s">
        <v>1030</v>
      </c>
      <c r="AD3" s="627" t="s">
        <v>2084</v>
      </c>
      <c r="AE3" s="628"/>
      <c r="AF3" s="629"/>
      <c r="AG3" s="717"/>
    </row>
    <row r="4" spans="1:36" ht="15.75" customHeight="1">
      <c r="A4" s="667" t="s">
        <v>23</v>
      </c>
      <c r="B4" s="667"/>
      <c r="C4" s="658" t="s">
        <v>320</v>
      </c>
      <c r="D4" s="658"/>
      <c r="E4" s="658"/>
      <c r="F4" s="658"/>
      <c r="G4" s="658"/>
      <c r="H4" s="5" t="s">
        <v>341</v>
      </c>
      <c r="I4" s="657" t="str">
        <f>派遣先</f>
        <v>高雄工業株式会社</v>
      </c>
      <c r="J4" s="657"/>
      <c r="K4" s="657"/>
      <c r="L4" s="657"/>
      <c r="M4" s="657"/>
      <c r="N4" s="657"/>
      <c r="O4" s="648" t="s">
        <v>340</v>
      </c>
      <c r="P4" s="648"/>
      <c r="Q4" s="647" t="str">
        <f>_xlfn.XLOOKUP(AD1,TBKaishaInfo[派遣先],TBKaishaInfo[派遣先住所],"",0,1)</f>
        <v>愛知県弥富市楠三丁目13番地2</v>
      </c>
      <c r="R4" s="647"/>
      <c r="S4" s="647"/>
      <c r="T4" s="647"/>
      <c r="U4" s="647"/>
      <c r="V4" s="647"/>
      <c r="W4" s="647"/>
      <c r="X4" s="6" t="s">
        <v>342</v>
      </c>
      <c r="Y4" s="648" t="str" cm="1">
        <f t="array" ref="Y4">_xlfn.XLOOKUP(派遣先&amp;工場名&amp;ライン&amp;DateStart,TBKaishaInfo[派遣先]&amp;TBKaishaInfo[工場名]&amp;TBKaishaInfo[ライン]&amp;TBKaishaInfo[就業日],TBKaishaInfo[派遣先電話],"check",0,1)</f>
        <v>0567-68-8110</v>
      </c>
      <c r="Z4" s="648"/>
      <c r="AA4" s="649"/>
      <c r="AC4" s="18" t="s">
        <v>1032</v>
      </c>
      <c r="AD4" s="627" t="s">
        <v>736</v>
      </c>
      <c r="AE4" s="628"/>
      <c r="AF4" s="629"/>
      <c r="AG4" s="717"/>
    </row>
    <row r="5" spans="1:36" ht="15.75" customHeight="1" thickBot="1">
      <c r="A5" s="667"/>
      <c r="B5" s="667"/>
      <c r="C5" s="658" t="s">
        <v>321</v>
      </c>
      <c r="D5" s="658"/>
      <c r="E5" s="658"/>
      <c r="F5" s="658"/>
      <c r="G5" s="658"/>
      <c r="H5" s="5" t="s">
        <v>341</v>
      </c>
      <c r="I5" s="657" t="str" cm="1">
        <f t="array" ref="I5">IF($I$4="高雄工業株式会社",派遣先&amp;" "&amp;_xlfn.XLOOKUP(派遣先&amp;工場名,TBKaishaInfo[派遣先]&amp;TBKaishaInfo[工場名],TBKaishaInfo[派遣先責任者部署]),派遣先&amp;" "&amp;_xlfn.XLOOKUP(派遣先&amp;工場名,TBKaishaInfo[派遣先]&amp;TBKaishaInfo[工場名],""&amp;TBKaishaInfo[工場名]))</f>
        <v>高雄工業株式会社 愛知事業所</v>
      </c>
      <c r="J5" s="657"/>
      <c r="K5" s="657"/>
      <c r="L5" s="657"/>
      <c r="M5" s="657"/>
      <c r="N5" s="657"/>
      <c r="O5" s="648" t="s">
        <v>340</v>
      </c>
      <c r="P5" s="648"/>
      <c r="Q5" s="672" t="str" cm="1">
        <f t="array" ref="Q5">_xlfn.XLOOKUP(派遣先&amp;工場名,TBKaishaInfo[派遣先]&amp;TBKaishaInfo[工場名],TBKaishaInfo[工場住所],"check",0,1)</f>
        <v>愛知県弥富市楠三丁目13番地2</v>
      </c>
      <c r="R5" s="672"/>
      <c r="S5" s="672"/>
      <c r="T5" s="672"/>
      <c r="U5" s="672"/>
      <c r="V5" s="672"/>
      <c r="W5" s="672"/>
      <c r="X5" s="6" t="s">
        <v>342</v>
      </c>
      <c r="Y5" s="648" t="str" cm="1">
        <f t="array" ref="Y5">_xlfn.XLOOKUP(派遣先&amp;工場名&amp;ライン&amp;DateStart,TBKaishaInfo[派遣先]&amp;TBKaishaInfo[工場名]&amp;TBKaishaInfo[ライン]&amp;TBKaishaInfo[就業日],TBKaishaInfo[工場電話],"check",0,1)</f>
        <v>0567-68-8110</v>
      </c>
      <c r="Z5" s="648"/>
      <c r="AA5" s="649"/>
      <c r="AB5" s="425"/>
      <c r="AC5" s="18" t="s">
        <v>397</v>
      </c>
      <c r="AD5" s="637">
        <v>1720</v>
      </c>
      <c r="AE5" s="638"/>
      <c r="AF5" s="639"/>
      <c r="AG5" s="717"/>
    </row>
    <row r="6" spans="1:36" ht="15.75" customHeight="1" thickBot="1">
      <c r="A6" s="667"/>
      <c r="B6" s="667"/>
      <c r="C6" s="658" t="s">
        <v>322</v>
      </c>
      <c r="D6" s="658"/>
      <c r="E6" s="658"/>
      <c r="F6" s="658"/>
      <c r="G6" s="658"/>
      <c r="H6" s="664" t="str" cm="1">
        <f t="array" ref="H6">IF(
配属先="岡山HUB品証課",
_xlfn.XLOOKUP(
派遣先&amp;工場名&amp;ライン&amp;DateStart,
TBKaishaInfo[派遣先]&amp;TBKaishaInfo[工場名]&amp;TBKaishaInfo[ライン]&amp;TBKaishaInfo[就業日],
TBKaishaInfo[配属先],
"check"
),
IF(
配属先="SH製造課",
_xlfn.XLOOKUP(
派遣先&amp;工場名&amp;ライン&amp;DateStart,
TBKaishaInfo[派遣先]&amp;TBKaishaInfo[工場名]&amp;TBKaishaInfo[ライン]&amp;TBKaishaInfo[就業日],
TBKaishaInfo[工場名]&amp;" "&amp;TBKaishaInfo[ライン]&amp;" "&amp;TBKaishaInfo[配属先],
"check"
),IF(派遣先="加藤木材工業株式会社",
_xlfn.XLOOKUP(
派遣先&amp;工場名&amp;ライン&amp;DateStart,
TBKaishaInfo[派遣先]&amp;TBKaishaInfo[工場名]&amp;TBKaishaInfo[ライン]&amp;TBKaishaInfo[就業日],
TBKaishaInfo[工場名]&amp;" "&amp;TBKaishaInfo[配属先]&amp;" "&amp;TBKaishaInfo[ライン],
"check"
),
_xlfn.XLOOKUP(
派遣先&amp;工場名&amp;ライン&amp;DateStart,
TBKaishaInfo[派遣先]&amp;TBKaishaInfo[工場名]&amp;TBKaishaInfo[ライン]&amp;TBKaishaInfo[就業日],
TBKaishaInfo[工場名]&amp;" "&amp;TBKaishaInfo[配属先],
"check"
)
)
))</f>
        <v>本社工場 製作課</v>
      </c>
      <c r="I6" s="665"/>
      <c r="J6" s="665"/>
      <c r="K6" s="665"/>
      <c r="L6" s="665"/>
      <c r="M6" s="665"/>
      <c r="N6" s="666"/>
      <c r="O6" s="650" t="s">
        <v>691</v>
      </c>
      <c r="P6" s="649"/>
      <c r="Q6" s="651" cm="1">
        <f t="array" ref="Q6">_xlfn.XLOOKUP(派遣先&amp;工場名&amp;ライン&amp;DateStart,TBKaishaInfo[派遣先]&amp;TBKaishaInfo[工場名]&amp;TBKaishaInfo[ライン]&amp;TBKaishaInfo[就業日],TBKaishaInfo[抵触日],"check",0,1)</f>
        <v>46295</v>
      </c>
      <c r="R6" s="651"/>
      <c r="S6" s="651"/>
      <c r="T6" s="651"/>
      <c r="U6" s="651"/>
      <c r="V6" s="651"/>
      <c r="W6" s="651"/>
      <c r="X6" s="9"/>
      <c r="Y6" s="9"/>
      <c r="Z6" s="9"/>
      <c r="AA6" s="10"/>
      <c r="AB6" s="432"/>
      <c r="AC6" s="18"/>
      <c r="AD6" s="75" t="s">
        <v>4599</v>
      </c>
      <c r="AE6" s="59" t="s">
        <v>1153</v>
      </c>
      <c r="AF6" s="72" t="s">
        <v>807</v>
      </c>
      <c r="AG6" s="74"/>
      <c r="AH6" s="4" t="s">
        <v>1151</v>
      </c>
      <c r="AI6" s="58">
        <v>45250</v>
      </c>
    </row>
    <row r="7" spans="1:36" ht="15.75" customHeight="1" thickBot="1">
      <c r="A7" s="667"/>
      <c r="B7" s="667"/>
      <c r="C7" s="658" t="s">
        <v>323</v>
      </c>
      <c r="D7" s="658"/>
      <c r="E7" s="658"/>
      <c r="F7" s="658"/>
      <c r="G7" s="658"/>
      <c r="H7" s="650" t="s">
        <v>384</v>
      </c>
      <c r="I7" s="648"/>
      <c r="J7" s="657" t="str" cm="1">
        <f t="array" ref="J7">IF(派遣先="加藤木材工業株式会社",_xlfn.XLOOKUP(派遣先&amp;工場名&amp;ライン&amp;DateStart,TBKaishaInfo[派遣先]&amp;TBKaishaInfo[工場名]&amp;TBKaishaInfo[ライン]&amp;TBKaishaInfo[就業日],TBKaishaInfo[指示命令者部署]&amp;""&amp;TBKaishaInfo[配属先]&amp;""&amp;TBKaishaInfo[ライン],"check",0,1),_xlfn.XLOOKUP(派遣先&amp;工場名&amp;ライン&amp;DateStart,TBKaishaInfo[派遣先]&amp;TBKaishaInfo[工場名]&amp;TBKaishaInfo[ライン]&amp;TBKaishaInfo[就業日],TBKaishaInfo[指示命令者部署]&amp;""&amp;TBKaishaInfo[配属先],"check",0,1))</f>
        <v>製作課</v>
      </c>
      <c r="K7" s="657"/>
      <c r="L7" s="657"/>
      <c r="M7" s="657"/>
      <c r="N7" s="657"/>
      <c r="O7" s="648" t="s">
        <v>385</v>
      </c>
      <c r="P7" s="648"/>
      <c r="Q7" s="647" t="str" cm="1">
        <f t="array" ref="Q7">_xlfn.XLOOKUP(派遣先&amp;工場名&amp;ライン&amp;DateStart,TBKaishaInfo[派遣先]&amp;TBKaishaInfo[工場名]&amp;TBKaishaInfo[ライン]&amp;TBKaishaInfo[就業日],TBKaishaInfo[指示命令者名],"check",0,1)</f>
        <v>係長　山本　絋平</v>
      </c>
      <c r="R7" s="647"/>
      <c r="S7" s="647"/>
      <c r="T7" s="647"/>
      <c r="U7" s="647"/>
      <c r="V7" s="647"/>
      <c r="W7" s="647"/>
      <c r="X7" s="6" t="s">
        <v>342</v>
      </c>
      <c r="Y7" s="648" t="str" cm="1">
        <f t="array" ref="Y7">_xlfn.XLOOKUP(派遣先&amp;工場名&amp;ライン&amp;DateStart,TBKaishaInfo[派遣先]&amp;TBKaishaInfo[工場名]&amp;TBKaishaInfo[ライン]&amp;TBKaishaInfo[就業日],TBKaishaInfo[指示命令者電話],"check",0,1)</f>
        <v>0567-68-8110</v>
      </c>
      <c r="Z7" s="648"/>
      <c r="AA7" s="649"/>
      <c r="AB7" s="425"/>
      <c r="AC7" s="4" t="s">
        <v>782</v>
      </c>
      <c r="AD7" s="79">
        <f>DateStart</f>
        <v>45931</v>
      </c>
      <c r="AE7" s="4">
        <f>IF(AE8=0,0,IF(AE8=1,12,IF(AE8=2,24,IF(AE8=3,36))))</f>
        <v>0</v>
      </c>
      <c r="AG7" s="74" t="s">
        <v>1203</v>
      </c>
      <c r="AH7" s="4">
        <v>1</v>
      </c>
      <c r="AI7" s="4" t="s">
        <v>1204</v>
      </c>
      <c r="AJ7" s="4" t="s">
        <v>1303</v>
      </c>
    </row>
    <row r="8" spans="1:36" ht="15.75" customHeight="1" thickBot="1">
      <c r="A8" s="667"/>
      <c r="B8" s="667"/>
      <c r="C8" s="658" t="s">
        <v>324</v>
      </c>
      <c r="D8" s="658"/>
      <c r="E8" s="658"/>
      <c r="F8" s="658"/>
      <c r="G8" s="658"/>
      <c r="H8" s="650" t="s">
        <v>384</v>
      </c>
      <c r="I8" s="648"/>
      <c r="J8" s="647" t="str" cm="1">
        <f t="array" ref="J8">IF(_xlfn.XLOOKUP(派遣先&amp;工場名&amp;ライン&amp;DateStart,TBKaishaInfo[派遣先]&amp;TBKaishaInfo[工場名]&amp;TBKaishaInfo[ライン]&amp;TBKaishaInfo[就業日],TBKaishaInfo[派遣先責任者部署],"check",1,1)=0,"",_xlfn.XLOOKUP(派遣先&amp;工場名&amp;ライン&amp;DateStart,TBKaishaInfo[派遣先]&amp;TBKaishaInfo[工場名]&amp;TBKaishaInfo[ライン]&amp;TBKaishaInfo[就業日],TBKaishaInfo[派遣先責任者部署],"check",0,1))</f>
        <v>愛知事業所</v>
      </c>
      <c r="K8" s="647"/>
      <c r="L8" s="647"/>
      <c r="M8" s="647"/>
      <c r="N8" s="647"/>
      <c r="O8" s="648" t="s">
        <v>385</v>
      </c>
      <c r="P8" s="648"/>
      <c r="Q8" s="647" t="str" cm="1">
        <f t="array" ref="Q8">_xlfn.XLOOKUP(派遣先&amp;工場名&amp;ライン&amp;DateStart,TBKaishaInfo[派遣先]&amp;TBKaishaInfo[工場名]&amp;TBKaishaInfo[ライン]&amp;TBKaishaInfo[就業日],TBKaishaInfo[派遣先責任者名],"check",0,1)</f>
        <v>副工場長　服部晃昌</v>
      </c>
      <c r="R8" s="647"/>
      <c r="S8" s="647"/>
      <c r="T8" s="647"/>
      <c r="U8" s="647"/>
      <c r="V8" s="647"/>
      <c r="W8" s="647"/>
      <c r="X8" s="6" t="s">
        <v>342</v>
      </c>
      <c r="Y8" s="648" t="str" cm="1">
        <f t="array" ref="Y8">_xlfn.XLOOKUP(派遣先&amp;工場名&amp;ライン&amp;DateStart,TBKaishaInfo[派遣先]&amp;TBKaishaInfo[工場名]&amp;TBKaishaInfo[ライン]&amp;TBKaishaInfo[就業日],TBKaishaInfo[派遣先責任者電話],"check",0,1)</f>
        <v>0567-68-8110</v>
      </c>
      <c r="Z8" s="648"/>
      <c r="AA8" s="649"/>
      <c r="AB8" s="425"/>
      <c r="AC8" s="4" t="s">
        <v>781</v>
      </c>
      <c r="AD8" s="4">
        <f>IF(AE8=-1,0,IF(AE8=0,12,IF(AE8=1,24,IF(AE8=2,36,IF(AE8=3,48)))))</f>
        <v>12</v>
      </c>
      <c r="AE8" s="77">
        <v>0</v>
      </c>
      <c r="AF8" s="4" t="s">
        <v>1149</v>
      </c>
      <c r="AG8" s="76">
        <v>0</v>
      </c>
      <c r="AH8" s="4" t="s">
        <v>1150</v>
      </c>
    </row>
    <row r="9" spans="1:36" ht="15.75" customHeight="1" thickBot="1">
      <c r="A9" s="667"/>
      <c r="B9" s="667"/>
      <c r="C9" s="658" t="s">
        <v>1975</v>
      </c>
      <c r="D9" s="658"/>
      <c r="E9" s="658"/>
      <c r="F9" s="658"/>
      <c r="G9" s="658"/>
      <c r="H9" s="650" t="s">
        <v>384</v>
      </c>
      <c r="I9" s="648"/>
      <c r="J9" s="657" t="str" cm="1">
        <f t="array" ref="J9">IF(_xlfn.XLOOKUP(派遣先&amp;工場名&amp;ライン&amp;DateStart,TBKaishaInfo[派遣先]&amp;TBKaishaInfo[工場名]&amp;TBKaishaInfo[ライン]&amp;TBKaishaInfo[就業日],TBKaishaInfo[派遣先：苦情処理：部署],"check",1,1)=0,"",_xlfn.XLOOKUP(派遣先&amp;工場名&amp;ライン&amp;DateStart,TBKaishaInfo[派遣先]&amp;TBKaishaInfo[工場名]&amp;TBKaishaInfo[ライン]&amp;TBKaishaInfo[就業日],TBKaishaInfo[派遣先：苦情処理：部署],"check",0,1))</f>
        <v>人事広報管理部</v>
      </c>
      <c r="K9" s="657"/>
      <c r="L9" s="657"/>
      <c r="M9" s="657"/>
      <c r="N9" s="657"/>
      <c r="O9" s="648" t="s">
        <v>385</v>
      </c>
      <c r="P9" s="648"/>
      <c r="Q9" s="647" t="str" cm="1">
        <f t="array" ref="Q9">_xlfn.XLOOKUP(派遣先&amp;工場名&amp;ライン&amp;DateStart,TBKaishaInfo[派遣先]&amp;TBKaishaInfo[工場名]&amp;TBKaishaInfo[ライン]&amp;TBKaishaInfo[就業日],TBKaishaInfo[派遣先：苦情処理：名],"check",0,1)</f>
        <v>部長　山田　茂</v>
      </c>
      <c r="R9" s="647"/>
      <c r="S9" s="647"/>
      <c r="T9" s="647"/>
      <c r="U9" s="647"/>
      <c r="V9" s="647"/>
      <c r="W9" s="647"/>
      <c r="X9" s="6" t="s">
        <v>342</v>
      </c>
      <c r="Y9" s="648" t="str" cm="1">
        <f t="array" ref="Y9">_xlfn.XLOOKUP(派遣先&amp;工場名&amp;ライン&amp;DateStart,TBKaishaInfo[派遣先]&amp;TBKaishaInfo[工場名]&amp;TBKaishaInfo[ライン]&amp;TBKaishaInfo[就業日],TBKaishaInfo[派遣先：苦情処理：電話],"check",0,1)</f>
        <v>0567-68-8110</v>
      </c>
      <c r="Z9" s="648"/>
      <c r="AA9" s="649"/>
      <c r="AB9" s="4"/>
    </row>
    <row r="10" spans="1:36" ht="15.75" customHeight="1" thickBot="1">
      <c r="A10" s="671" t="s">
        <v>318</v>
      </c>
      <c r="B10" s="671"/>
      <c r="C10" s="658" t="s">
        <v>326</v>
      </c>
      <c r="D10" s="658"/>
      <c r="E10" s="658"/>
      <c r="F10" s="658"/>
      <c r="G10" s="658"/>
      <c r="H10" s="650" t="s">
        <v>384</v>
      </c>
      <c r="I10" s="648"/>
      <c r="J10" s="647" t="str" cm="1">
        <f t="array" ref="J10">_xlfn.XLOOKUP(派遣先&amp;工場名&amp;ライン&amp;DateStart,TBKaishaInfo[派遣先]&amp;TBKaishaInfo[工場名]&amp;TBKaishaInfo[ライン]&amp;TBKaishaInfo[就業日],TBKaishaInfo[派遣元責任者部署],"check",0,1)</f>
        <v>営業部</v>
      </c>
      <c r="K10" s="647"/>
      <c r="L10" s="647"/>
      <c r="M10" s="647"/>
      <c r="N10" s="647"/>
      <c r="O10" s="648" t="s">
        <v>385</v>
      </c>
      <c r="P10" s="648"/>
      <c r="Q10" s="647" t="str" cm="1">
        <f t="array" ref="Q10">_xlfn.XLOOKUP(派遣先&amp;工場名&amp;ライン&amp;DateStart,TBKaishaInfo[派遣先]&amp;TBKaishaInfo[工場名]&amp;TBKaishaInfo[ライン]&amp;TBKaishaInfo[就業日],TBKaishaInfo[派遣元責任者名],"check",0,1)</f>
        <v>取締役 ブウ　ティ　サウ</v>
      </c>
      <c r="R10" s="647"/>
      <c r="S10" s="647"/>
      <c r="T10" s="647"/>
      <c r="U10" s="647"/>
      <c r="V10" s="647"/>
      <c r="W10" s="647"/>
      <c r="X10" s="6" t="s">
        <v>342</v>
      </c>
      <c r="Y10" s="648" t="str" cm="1">
        <f t="array" ref="Y10">_xlfn.XLOOKUP(派遣先&amp;工場名&amp;ライン&amp;DateStart,TBKaishaInfo[派遣先]&amp;TBKaishaInfo[工場名]&amp;TBKaishaInfo[ライン]&amp;TBKaishaInfo[就業日],TBKaishaInfo[派遣元責任者電話],"check",0,1)</f>
        <v>052-938-8840</v>
      </c>
      <c r="Z10" s="648"/>
      <c r="AA10" s="649"/>
      <c r="AG10" s="4" t="s">
        <v>784</v>
      </c>
      <c r="AH10" s="61">
        <v>2</v>
      </c>
      <c r="AI10" s="4" t="s">
        <v>4316</v>
      </c>
    </row>
    <row r="11" spans="1:36" ht="15.75" customHeight="1">
      <c r="A11" s="671"/>
      <c r="B11" s="671"/>
      <c r="C11" s="658" t="s">
        <v>325</v>
      </c>
      <c r="D11" s="658"/>
      <c r="E11" s="658"/>
      <c r="F11" s="658"/>
      <c r="G11" s="658"/>
      <c r="H11" s="650" t="s">
        <v>384</v>
      </c>
      <c r="I11" s="648"/>
      <c r="J11" s="647" t="str" cm="1">
        <f t="array" ref="J11">_xlfn.XLOOKUP(派遣先&amp;工場名&amp;ライン&amp;DateStart,TBKaishaInfo[派遣先]&amp;TBKaishaInfo[工場名]&amp;TBKaishaInfo[ライン]&amp;TBKaishaInfo[就業日],TBKaishaInfo[派遣元：苦情処理：部署],"check",0,1)</f>
        <v>営業部</v>
      </c>
      <c r="K11" s="647"/>
      <c r="L11" s="647"/>
      <c r="M11" s="647"/>
      <c r="N11" s="647"/>
      <c r="O11" s="648" t="s">
        <v>385</v>
      </c>
      <c r="P11" s="648"/>
      <c r="Q11" s="647" t="str" cm="1">
        <f t="array" ref="Q11">_xlfn.XLOOKUP(派遣先&amp;工場名&amp;ライン&amp;DateStart,TBKaishaInfo[派遣先]&amp;TBKaishaInfo[工場名]&amp;TBKaishaInfo[ライン]&amp;TBKaishaInfo[就業日],TBKaishaInfo[派遣元：苦情処理：名],"check",0,1)</f>
        <v>取締役部長 中山　欣英</v>
      </c>
      <c r="R11" s="647"/>
      <c r="S11" s="647"/>
      <c r="T11" s="647"/>
      <c r="U11" s="647"/>
      <c r="V11" s="647"/>
      <c r="W11" s="647"/>
      <c r="X11" s="6" t="s">
        <v>342</v>
      </c>
      <c r="Y11" s="648" t="str" cm="1">
        <f t="array" ref="Y11">_xlfn.XLOOKUP(派遣先&amp;工場名&amp;ライン&amp;DateStart,TBKaishaInfo[派遣先]&amp;TBKaishaInfo[工場名]&amp;TBKaishaInfo[ライン]&amp;TBKaishaInfo[就業日],TBKaishaInfo[派遣元：苦情処理：電話],"check",0,1)</f>
        <v>052-938-8840</v>
      </c>
      <c r="Z11" s="648"/>
      <c r="AA11" s="649"/>
    </row>
    <row r="12" spans="1:36">
      <c r="A12" s="667" t="s">
        <v>319</v>
      </c>
      <c r="B12" s="667"/>
      <c r="C12" s="662" t="s">
        <v>1845</v>
      </c>
      <c r="D12" s="663"/>
      <c r="E12" s="663"/>
      <c r="F12" s="663"/>
      <c r="G12" s="663"/>
      <c r="H12" s="11"/>
      <c r="I12" s="12"/>
      <c r="J12" s="12"/>
      <c r="K12" s="12"/>
      <c r="L12" s="12"/>
      <c r="M12" s="12"/>
      <c r="N12" s="12"/>
      <c r="O12" s="12"/>
      <c r="P12" s="12"/>
      <c r="Q12" s="12"/>
      <c r="R12" s="12"/>
      <c r="S12" s="12"/>
      <c r="T12" s="12"/>
      <c r="U12" s="12"/>
      <c r="V12" s="12"/>
      <c r="W12" s="12"/>
      <c r="X12" s="12"/>
      <c r="Y12" s="12"/>
      <c r="Z12" s="12"/>
      <c r="AA12" s="13"/>
      <c r="AD12" s="58"/>
    </row>
    <row r="13" spans="1:36">
      <c r="A13" s="667"/>
      <c r="B13" s="667"/>
      <c r="C13" s="662"/>
      <c r="D13" s="663"/>
      <c r="E13" s="663"/>
      <c r="F13" s="663"/>
      <c r="G13" s="663"/>
      <c r="H13" s="14"/>
      <c r="I13" s="15"/>
      <c r="J13" s="15"/>
      <c r="K13" s="15"/>
      <c r="L13" s="15"/>
      <c r="M13" s="15"/>
      <c r="N13" s="15"/>
      <c r="O13" s="15"/>
      <c r="P13" s="15"/>
      <c r="Q13" s="15"/>
      <c r="R13" s="15"/>
      <c r="S13" s="15"/>
      <c r="T13" s="15"/>
      <c r="U13" s="15"/>
      <c r="V13" s="15"/>
      <c r="W13" s="15"/>
      <c r="X13" s="15"/>
      <c r="Y13" s="15"/>
      <c r="Z13" s="15"/>
      <c r="AA13" s="16"/>
      <c r="AD13" s="58"/>
      <c r="AG13" s="4" t="s">
        <v>2417</v>
      </c>
    </row>
    <row r="14" spans="1:36" ht="18.75" customHeight="1">
      <c r="A14" s="667"/>
      <c r="B14" s="667"/>
      <c r="C14" s="661" t="s">
        <v>327</v>
      </c>
      <c r="D14" s="658"/>
      <c r="E14" s="658"/>
      <c r="F14" s="658"/>
      <c r="G14" s="658"/>
      <c r="H14" s="5"/>
      <c r="I14" s="9"/>
      <c r="J14" s="9"/>
      <c r="K14" s="9"/>
      <c r="L14" s="9"/>
      <c r="M14" s="9"/>
      <c r="N14" s="9"/>
      <c r="O14" s="9"/>
      <c r="P14" s="9"/>
      <c r="Q14" s="9"/>
      <c r="R14" s="9"/>
      <c r="S14" s="9"/>
      <c r="T14" s="9"/>
      <c r="U14" s="9"/>
      <c r="V14" s="9"/>
      <c r="W14" s="9"/>
      <c r="X14" s="9"/>
      <c r="Y14" s="9"/>
      <c r="Z14" s="9"/>
      <c r="AA14" s="10"/>
      <c r="AD14" s="58"/>
    </row>
    <row r="15" spans="1:36" ht="15.75" customHeight="1">
      <c r="A15" s="667"/>
      <c r="B15" s="667"/>
      <c r="C15" s="661" t="s">
        <v>328</v>
      </c>
      <c r="D15" s="658"/>
      <c r="E15" s="658"/>
      <c r="F15" s="658"/>
      <c r="G15" s="658"/>
      <c r="H15" s="702" t="str" cm="1">
        <f t="array" ref="H15">_xlfn.XLOOKUP(派遣先&amp;工場名&amp;ライン,TBKaishaInfo[派遣先]&amp;TBKaishaInfo[工場名]&amp;TBKaishaInfo[ライン],TBKaishaInfo[仕事内容],"check",0,1)</f>
        <v>CVJ部品短軸品の施削加工、NCプログラム修正</v>
      </c>
      <c r="I15" s="657"/>
      <c r="J15" s="657"/>
      <c r="K15" s="657"/>
      <c r="L15" s="657"/>
      <c r="M15" s="657"/>
      <c r="N15" s="657"/>
      <c r="O15" s="657"/>
      <c r="P15" s="657"/>
      <c r="Q15" s="657"/>
      <c r="R15" s="657"/>
      <c r="S15" s="657"/>
      <c r="T15" s="657"/>
      <c r="U15" s="657"/>
      <c r="V15" s="657"/>
      <c r="W15" s="657"/>
      <c r="X15" s="657"/>
      <c r="Y15" s="657"/>
      <c r="Z15" s="657"/>
      <c r="AA15" s="703"/>
      <c r="AD15" s="58"/>
    </row>
    <row r="16" spans="1:36" ht="15.75" customHeight="1">
      <c r="A16" s="667"/>
      <c r="B16" s="667"/>
      <c r="C16" s="661" t="s">
        <v>329</v>
      </c>
      <c r="D16" s="658"/>
      <c r="E16" s="658"/>
      <c r="F16" s="658"/>
      <c r="G16" s="658"/>
      <c r="H16" s="734">
        <f>IF($AD$6="通知書",AD7,'通知書(別々)'!D4)</f>
        <v>45931</v>
      </c>
      <c r="I16" s="735"/>
      <c r="J16" s="735"/>
      <c r="K16" s="735"/>
      <c r="L16" s="735"/>
      <c r="M16" s="735"/>
      <c r="N16" s="737" t="s">
        <v>804</v>
      </c>
      <c r="O16" s="737"/>
      <c r="P16" s="735" cm="1">
        <f t="array" ref="P16">IF(_xlfn.XLOOKUP(派遣先&amp;工場名&amp;ライン&amp;DateStart,TBKaishaInfo[派遣先]&amp;TBKaishaInfo[工場名]&amp;TBKaishaInfo[ライン]&amp;TBKaishaInfo[就業日],TBKaishaInfo[まで],"check",0,1)-HakenkikanS&gt;365,"Verificar las fechas",_xlfn.XLOOKUP(派遣先&amp;工場名&amp;ライン&amp;DateStart,TBKaishaInfo[派遣先]&amp;TBKaishaInfo[工場名]&amp;TBKaishaInfo[ライン]&amp;TBKaishaInfo[就業日],TBKaishaInfo[まで],"check",0,1))</f>
        <v>46295</v>
      </c>
      <c r="Q16" s="735"/>
      <c r="R16" s="735"/>
      <c r="S16" s="735"/>
      <c r="T16" s="735"/>
      <c r="U16" s="736"/>
      <c r="V16" s="733" t="s">
        <v>386</v>
      </c>
      <c r="W16" s="733"/>
      <c r="X16" s="733"/>
      <c r="Y16" s="733">
        <f ca="1">IF($AD$6="通知書",COUNT(通知書!H9:H66),COUNT('通知書(別々)'!H9:H66))</f>
        <v>1</v>
      </c>
      <c r="Z16" s="733"/>
      <c r="AA16" s="733"/>
      <c r="AD16" s="58"/>
    </row>
    <row r="17" spans="1:36" ht="15.75" customHeight="1">
      <c r="A17" s="667"/>
      <c r="B17" s="667"/>
      <c r="C17" s="658" t="s">
        <v>1042</v>
      </c>
      <c r="D17" s="658"/>
      <c r="E17" s="658"/>
      <c r="F17" s="658"/>
      <c r="G17" s="658"/>
      <c r="H17" s="634" t="str" cm="1">
        <f t="array" ref="H17">_xlfn.XLOOKUP(派遣先&amp;工場名&amp;ライン&amp;DateStart,TBKaishaInfo[派遣先]&amp;TBKaishaInfo[工場名]&amp;TBKaishaInfo[ライン]&amp;TBKaishaInfo[就業日],TBKaishaInfo[カレンダー],"check",0,1)</f>
        <v>月～金　(シフトに準ずる）休日は、土曜日・日曜日・年末年始（12月27日～1月4日)・GW(4月29日～5月5日)・夏季休暇（8月8日～8月16日)</v>
      </c>
      <c r="I17" s="635"/>
      <c r="J17" s="635"/>
      <c r="K17" s="635"/>
      <c r="L17" s="635"/>
      <c r="M17" s="635"/>
      <c r="N17" s="635"/>
      <c r="O17" s="635"/>
      <c r="P17" s="635"/>
      <c r="Q17" s="635"/>
      <c r="R17" s="635"/>
      <c r="S17" s="635"/>
      <c r="T17" s="635"/>
      <c r="U17" s="635"/>
      <c r="V17" s="635"/>
      <c r="W17" s="635"/>
      <c r="X17" s="635"/>
      <c r="Y17" s="635"/>
      <c r="Z17" s="635"/>
      <c r="AA17" s="636"/>
      <c r="AB17" s="435"/>
      <c r="AD17" s="58"/>
    </row>
    <row r="18" spans="1:36" ht="9" customHeight="1">
      <c r="A18" s="667"/>
      <c r="B18" s="667"/>
      <c r="C18" s="690" t="s">
        <v>1035</v>
      </c>
      <c r="D18" s="691"/>
      <c r="E18" s="691"/>
      <c r="F18" s="691"/>
      <c r="G18" s="692"/>
      <c r="H18" s="688" t="str" cm="1">
        <f t="array" ref="H18">_xlfn.XLOOKUP(派遣先&amp;工場名&amp;ライン,TBKaishaInfo[派遣先]&amp;TBKaishaInfo[工場名]&amp;TBKaishaInfo[ライン],TBKaishaInfo[就業時間],"check",0,-1)</f>
        <v>昼勤：7時00分～15時30分　夜勤：19時00分～3時30分</v>
      </c>
      <c r="I18" s="689"/>
      <c r="J18" s="689"/>
      <c r="K18" s="689"/>
      <c r="L18" s="689"/>
      <c r="M18" s="689"/>
      <c r="N18" s="689"/>
      <c r="O18" s="689"/>
      <c r="P18" s="689"/>
      <c r="Q18" s="689"/>
      <c r="R18" s="689"/>
      <c r="S18" s="689"/>
      <c r="T18" s="689"/>
      <c r="U18" s="689"/>
      <c r="V18" s="689"/>
      <c r="W18" s="689"/>
      <c r="X18" s="689"/>
      <c r="Y18" s="689"/>
      <c r="Z18" s="689"/>
      <c r="AA18" s="642"/>
      <c r="AD18" s="58"/>
    </row>
    <row r="19" spans="1:36" ht="9" customHeight="1">
      <c r="A19" s="667"/>
      <c r="B19" s="667"/>
      <c r="C19" s="693"/>
      <c r="D19" s="694"/>
      <c r="E19" s="694"/>
      <c r="F19" s="694"/>
      <c r="G19" s="695"/>
      <c r="H19" s="682"/>
      <c r="I19" s="683"/>
      <c r="J19" s="683"/>
      <c r="K19" s="683"/>
      <c r="L19" s="683"/>
      <c r="M19" s="683"/>
      <c r="N19" s="683"/>
      <c r="O19" s="683"/>
      <c r="P19" s="683"/>
      <c r="Q19" s="683"/>
      <c r="R19" s="683"/>
      <c r="S19" s="683"/>
      <c r="T19" s="683"/>
      <c r="U19" s="683"/>
      <c r="V19" s="683"/>
      <c r="W19" s="683"/>
      <c r="X19" s="683"/>
      <c r="Y19" s="683"/>
      <c r="Z19" s="683"/>
      <c r="AA19" s="684"/>
      <c r="AD19" s="58"/>
    </row>
    <row r="20" spans="1:36" ht="9" customHeight="1">
      <c r="A20" s="667"/>
      <c r="B20" s="667"/>
      <c r="C20" s="693"/>
      <c r="D20" s="694"/>
      <c r="E20" s="694"/>
      <c r="F20" s="694"/>
      <c r="G20" s="695"/>
      <c r="H20" s="682"/>
      <c r="I20" s="683"/>
      <c r="J20" s="683"/>
      <c r="K20" s="683"/>
      <c r="L20" s="683"/>
      <c r="M20" s="683"/>
      <c r="N20" s="683"/>
      <c r="O20" s="683"/>
      <c r="P20" s="683"/>
      <c r="Q20" s="683"/>
      <c r="R20" s="683"/>
      <c r="S20" s="683"/>
      <c r="T20" s="683"/>
      <c r="U20" s="683"/>
      <c r="V20" s="683"/>
      <c r="W20" s="683"/>
      <c r="X20" s="683"/>
      <c r="Y20" s="683"/>
      <c r="Z20" s="683"/>
      <c r="AA20" s="684"/>
      <c r="AD20" s="58"/>
    </row>
    <row r="21" spans="1:36" ht="9" customHeight="1">
      <c r="A21" s="667"/>
      <c r="B21" s="667"/>
      <c r="C21" s="696"/>
      <c r="D21" s="697"/>
      <c r="E21" s="697"/>
      <c r="F21" s="697"/>
      <c r="G21" s="698"/>
      <c r="H21" s="685"/>
      <c r="I21" s="686"/>
      <c r="J21" s="686"/>
      <c r="K21" s="686"/>
      <c r="L21" s="686"/>
      <c r="M21" s="686"/>
      <c r="N21" s="686"/>
      <c r="O21" s="686"/>
      <c r="P21" s="686"/>
      <c r="Q21" s="686"/>
      <c r="R21" s="686"/>
      <c r="S21" s="686"/>
      <c r="T21" s="686"/>
      <c r="U21" s="686"/>
      <c r="V21" s="686"/>
      <c r="W21" s="686"/>
      <c r="X21" s="686"/>
      <c r="Y21" s="686"/>
      <c r="Z21" s="686"/>
      <c r="AA21" s="687"/>
    </row>
    <row r="22" spans="1:36" ht="9" customHeight="1">
      <c r="A22" s="667"/>
      <c r="B22" s="667"/>
      <c r="C22" s="690" t="s">
        <v>1037</v>
      </c>
      <c r="D22" s="691"/>
      <c r="E22" s="691"/>
      <c r="F22" s="691"/>
      <c r="G22" s="692"/>
      <c r="H22" s="688" t="str" cm="1">
        <f t="array" ref="H22">_xlfn.XLOOKUP(派遣先&amp;工場名&amp;ライン,TBKaishaInfo[派遣先]&amp;TBKaishaInfo[工場名]&amp;TBKaishaInfo[ライン],TBKaishaInfo[休憩時間],"check",0,-1)</f>
        <v>昼勤：11時00分～11時45分 まで    夜勤：23時00分～23時45分　まで　（45分）</v>
      </c>
      <c r="I22" s="689"/>
      <c r="J22" s="689"/>
      <c r="K22" s="689"/>
      <c r="L22" s="689"/>
      <c r="M22" s="689"/>
      <c r="N22" s="689"/>
      <c r="O22" s="689"/>
      <c r="P22" s="689"/>
      <c r="Q22" s="689"/>
      <c r="R22" s="689"/>
      <c r="S22" s="689"/>
      <c r="T22" s="689"/>
      <c r="U22" s="689"/>
      <c r="V22" s="689"/>
      <c r="W22" s="689"/>
      <c r="X22" s="689"/>
      <c r="Y22" s="689"/>
      <c r="Z22" s="689"/>
      <c r="AA22" s="642"/>
    </row>
    <row r="23" spans="1:36" ht="9" customHeight="1">
      <c r="A23" s="667"/>
      <c r="B23" s="667"/>
      <c r="C23" s="693"/>
      <c r="D23" s="694"/>
      <c r="E23" s="694"/>
      <c r="F23" s="694"/>
      <c r="G23" s="695"/>
      <c r="H23" s="682"/>
      <c r="I23" s="683"/>
      <c r="J23" s="683"/>
      <c r="K23" s="683"/>
      <c r="L23" s="683"/>
      <c r="M23" s="683"/>
      <c r="N23" s="683"/>
      <c r="O23" s="683"/>
      <c r="P23" s="683"/>
      <c r="Q23" s="683"/>
      <c r="R23" s="683"/>
      <c r="S23" s="683"/>
      <c r="T23" s="683"/>
      <c r="U23" s="683"/>
      <c r="V23" s="683"/>
      <c r="W23" s="683"/>
      <c r="X23" s="683"/>
      <c r="Y23" s="683"/>
      <c r="Z23" s="683"/>
      <c r="AA23" s="684"/>
      <c r="AJ23" s="4" t="s">
        <v>1578</v>
      </c>
    </row>
    <row r="24" spans="1:36" ht="9" customHeight="1">
      <c r="A24" s="667"/>
      <c r="B24" s="667"/>
      <c r="C24" s="693"/>
      <c r="D24" s="694"/>
      <c r="E24" s="694"/>
      <c r="F24" s="694"/>
      <c r="G24" s="695"/>
      <c r="H24" s="682"/>
      <c r="I24" s="683"/>
      <c r="J24" s="683"/>
      <c r="K24" s="683"/>
      <c r="L24" s="683"/>
      <c r="M24" s="683"/>
      <c r="N24" s="683"/>
      <c r="O24" s="683"/>
      <c r="P24" s="683"/>
      <c r="Q24" s="683"/>
      <c r="R24" s="683"/>
      <c r="S24" s="683"/>
      <c r="T24" s="683"/>
      <c r="U24" s="683"/>
      <c r="V24" s="683"/>
      <c r="W24" s="683"/>
      <c r="X24" s="683"/>
      <c r="Y24" s="683"/>
      <c r="Z24" s="683"/>
      <c r="AA24" s="684"/>
    </row>
    <row r="25" spans="1:36" ht="9" customHeight="1">
      <c r="A25" s="667"/>
      <c r="B25" s="667"/>
      <c r="C25" s="696"/>
      <c r="D25" s="697"/>
      <c r="E25" s="697"/>
      <c r="F25" s="697"/>
      <c r="G25" s="698"/>
      <c r="H25" s="685"/>
      <c r="I25" s="686"/>
      <c r="J25" s="686"/>
      <c r="K25" s="686"/>
      <c r="L25" s="686"/>
      <c r="M25" s="686"/>
      <c r="N25" s="686"/>
      <c r="O25" s="686"/>
      <c r="P25" s="686"/>
      <c r="Q25" s="686"/>
      <c r="R25" s="686"/>
      <c r="S25" s="686"/>
      <c r="T25" s="686"/>
      <c r="U25" s="686"/>
      <c r="V25" s="686"/>
      <c r="W25" s="686"/>
      <c r="X25" s="686"/>
      <c r="Y25" s="686"/>
      <c r="Z25" s="686"/>
      <c r="AA25" s="687"/>
    </row>
    <row r="26" spans="1:36" ht="15.75" customHeight="1">
      <c r="A26" s="667"/>
      <c r="B26" s="667"/>
      <c r="C26" s="658" t="s">
        <v>1208</v>
      </c>
      <c r="D26" s="658"/>
      <c r="E26" s="658"/>
      <c r="F26" s="658"/>
      <c r="G26" s="660"/>
      <c r="H26" s="653" t="str" cm="1">
        <f t="array" ref="H26">_xlfn.XLOOKUP(派遣先&amp;工場名&amp;ライン,TBKaishaInfo[派遣先]&amp;TBKaishaInfo[工場名]&amp;TBKaishaInfo[ライン],TBKaishaInfo[就業日外労働],"check",0,1)</f>
        <v>１ヶ月に２日の範囲内で命ずることができる。</v>
      </c>
      <c r="I26" s="653"/>
      <c r="J26" s="653"/>
      <c r="K26" s="653"/>
      <c r="L26" s="653"/>
      <c r="M26" s="653"/>
      <c r="N26" s="653"/>
      <c r="O26" s="653"/>
      <c r="P26" s="653"/>
      <c r="Q26" s="653"/>
      <c r="R26" s="653"/>
      <c r="S26" s="653"/>
      <c r="T26" s="653"/>
      <c r="U26" s="653"/>
      <c r="V26" s="653"/>
      <c r="W26" s="653"/>
      <c r="X26" s="653"/>
      <c r="Y26" s="653"/>
      <c r="Z26" s="653"/>
      <c r="AA26" s="653"/>
    </row>
    <row r="27" spans="1:36">
      <c r="A27" s="667"/>
      <c r="B27" s="667"/>
      <c r="C27" s="658" t="s">
        <v>1212</v>
      </c>
      <c r="D27" s="658"/>
      <c r="E27" s="658"/>
      <c r="F27" s="658"/>
      <c r="G27" s="658"/>
      <c r="H27" s="640" t="str" cm="1">
        <f t="array" ref="H27">_xlfn.XLOOKUP(派遣先&amp;工場名&amp;ライン,TBKaishaInfo[派遣先]&amp;TBKaishaInfo[工場名]&amp;TBKaishaInfo[ライン],TBKaishaInfo[時間外労働],"check",0,-1)</f>
        <v>3時間/日、42時間/月、320時間/年迄とする。但し、特別条項の申請により、80時間/月、720時間/年迄延長できる。申請は6回/年迄とする。</v>
      </c>
      <c r="I27" s="641"/>
      <c r="J27" s="641"/>
      <c r="K27" s="641"/>
      <c r="L27" s="641"/>
      <c r="M27" s="641"/>
      <c r="N27" s="641"/>
      <c r="O27" s="641"/>
      <c r="P27" s="641"/>
      <c r="Q27" s="641"/>
      <c r="R27" s="641"/>
      <c r="S27" s="641"/>
      <c r="T27" s="641"/>
      <c r="U27" s="641"/>
      <c r="V27" s="641"/>
      <c r="W27" s="641"/>
      <c r="X27" s="641"/>
      <c r="Y27" s="641"/>
      <c r="Z27" s="641"/>
      <c r="AA27" s="641"/>
    </row>
    <row r="28" spans="1:36" ht="8.25" customHeight="1">
      <c r="A28" s="667"/>
      <c r="B28" s="667"/>
      <c r="C28" s="658"/>
      <c r="D28" s="658"/>
      <c r="E28" s="658"/>
      <c r="F28" s="658"/>
      <c r="G28" s="658"/>
      <c r="H28" s="642"/>
      <c r="I28" s="643"/>
      <c r="J28" s="643"/>
      <c r="K28" s="643"/>
      <c r="L28" s="643"/>
      <c r="M28" s="643"/>
      <c r="N28" s="643"/>
      <c r="O28" s="643"/>
      <c r="P28" s="643"/>
      <c r="Q28" s="643"/>
      <c r="R28" s="643"/>
      <c r="S28" s="643"/>
      <c r="T28" s="643"/>
      <c r="U28" s="643"/>
      <c r="V28" s="643"/>
      <c r="W28" s="643"/>
      <c r="X28" s="643"/>
      <c r="Y28" s="643"/>
      <c r="Z28" s="643"/>
      <c r="AA28" s="643"/>
    </row>
    <row r="29" spans="1:36">
      <c r="A29" s="667"/>
      <c r="B29" s="667"/>
      <c r="C29" s="658" t="s">
        <v>330</v>
      </c>
      <c r="D29" s="658"/>
      <c r="E29" s="658"/>
      <c r="F29" s="658"/>
      <c r="G29" s="660"/>
      <c r="H29" s="644" t="s">
        <v>396</v>
      </c>
      <c r="I29" s="645"/>
      <c r="J29" s="645"/>
      <c r="K29" s="646">
        <f>AD5</f>
        <v>1720</v>
      </c>
      <c r="L29" s="646"/>
      <c r="M29" s="646"/>
      <c r="N29" s="732">
        <v>1.2500000000000001E-2</v>
      </c>
      <c r="O29" s="732"/>
      <c r="P29" s="732"/>
      <c r="Q29" s="646">
        <f>K29*N29*100</f>
        <v>2150</v>
      </c>
      <c r="R29" s="646"/>
      <c r="S29" s="646"/>
      <c r="T29" s="727">
        <v>1.2500000000000001E-2</v>
      </c>
      <c r="U29" s="727"/>
      <c r="V29" s="727"/>
      <c r="W29" s="646">
        <f>K29*T29*100</f>
        <v>2150</v>
      </c>
      <c r="X29" s="646"/>
      <c r="Y29" s="646"/>
      <c r="Z29" s="12"/>
      <c r="AA29" s="13"/>
    </row>
    <row r="30" spans="1:36">
      <c r="A30" s="667"/>
      <c r="B30" s="667"/>
      <c r="C30" s="658"/>
      <c r="D30" s="658"/>
      <c r="E30" s="658"/>
      <c r="F30" s="658"/>
      <c r="G30" s="660"/>
      <c r="H30" s="728">
        <v>1.35E-2</v>
      </c>
      <c r="I30" s="729"/>
      <c r="J30" s="729"/>
      <c r="K30" s="730">
        <f>K29*H30*100</f>
        <v>2322</v>
      </c>
      <c r="L30" s="730"/>
      <c r="M30" s="730"/>
      <c r="N30" s="633" t="str">
        <f>IF(HakenkikanS&lt;DATE(2023,4,1),"","＜60時間超＞ 割増料金（1.5％）"&amp;""&amp;DOLLAR((K29*1.5),0))</f>
        <v>＜60時間超＞ 割増料金（1.5％）¥2,580</v>
      </c>
      <c r="O30" s="633"/>
      <c r="P30" s="633"/>
      <c r="Q30" s="633"/>
      <c r="R30" s="633"/>
      <c r="S30" s="633"/>
      <c r="T30" s="633"/>
      <c r="U30" s="633"/>
      <c r="V30" s="633"/>
      <c r="W30" s="731"/>
      <c r="X30" s="731"/>
      <c r="Y30" s="731"/>
      <c r="Z30" s="28"/>
      <c r="AA30" s="29"/>
    </row>
    <row r="31" spans="1:36">
      <c r="A31" s="667"/>
      <c r="B31" s="667"/>
      <c r="C31" s="658"/>
      <c r="D31" s="658"/>
      <c r="E31" s="658"/>
      <c r="F31" s="658"/>
      <c r="G31" s="660"/>
      <c r="H31" s="668" t="s">
        <v>343</v>
      </c>
      <c r="I31" s="669"/>
      <c r="J31" s="669"/>
      <c r="K31" s="669"/>
      <c r="L31" s="15" cm="1">
        <f t="array" ref="L31">_xlfn.XLOOKUP(派遣先&amp;工場名&amp;ライン&amp;DateStart,TBKaishaInfo[派遣先]&amp;TBKaishaInfo[工場名]&amp;TBKaishaInfo[ライン]&amp;TBKaishaInfo[就業日],TBKaishaInfo[時間単位],"check",0,1)</f>
        <v>15</v>
      </c>
      <c r="M31" s="623" t="s">
        <v>344</v>
      </c>
      <c r="N31" s="623"/>
      <c r="O31" s="623"/>
      <c r="P31" s="623"/>
      <c r="Q31" s="623"/>
      <c r="R31" s="15"/>
      <c r="S31" s="15"/>
      <c r="T31" s="15"/>
      <c r="U31" s="15"/>
      <c r="V31" s="15"/>
      <c r="W31" s="15"/>
      <c r="X31" s="15"/>
      <c r="Y31" s="15"/>
      <c r="Z31" s="15"/>
      <c r="AA31" s="16"/>
    </row>
    <row r="32" spans="1:36" ht="15" customHeight="1">
      <c r="A32" s="667"/>
      <c r="B32" s="667"/>
      <c r="C32" s="658" t="s">
        <v>331</v>
      </c>
      <c r="D32" s="658"/>
      <c r="E32" s="658"/>
      <c r="F32" s="658"/>
      <c r="G32" s="660"/>
      <c r="H32" s="699" t="s">
        <v>1</v>
      </c>
      <c r="I32" s="700"/>
      <c r="J32" s="700"/>
      <c r="K32" s="701" t="str" cm="1">
        <f t="array" ref="K32">_xlfn.XLOOKUP(派遣先&amp;工場名,TBKaishaInfo[派遣先]&amp;TBKaishaInfo[工場名],TBKaishaInfo[締日],"check",0,1)</f>
        <v>15日</v>
      </c>
      <c r="L32" s="701"/>
      <c r="M32" s="701"/>
      <c r="N32" s="700" t="s">
        <v>2</v>
      </c>
      <c r="O32" s="700"/>
      <c r="P32" s="700"/>
      <c r="Q32" s="701" t="str" cm="1">
        <f t="array" ref="Q32">_xlfn.XLOOKUP(派遣先&amp;工場名,TBKaishaInfo[派遣先]&amp;TBKaishaInfo[工場名],TBKaishaInfo[支払日],"check",0,1)</f>
        <v>当月末日</v>
      </c>
      <c r="R32" s="701"/>
      <c r="S32" s="701"/>
      <c r="T32" s="700" t="s">
        <v>3</v>
      </c>
      <c r="U32" s="700"/>
      <c r="V32" s="700"/>
      <c r="W32" s="701" t="s">
        <v>4</v>
      </c>
      <c r="X32" s="701"/>
      <c r="Y32" s="701"/>
      <c r="Z32" s="12"/>
      <c r="AA32" s="13"/>
    </row>
    <row r="33" spans="1:27">
      <c r="A33" s="667"/>
      <c r="B33" s="667"/>
      <c r="C33" s="658"/>
      <c r="D33" s="658"/>
      <c r="E33" s="658"/>
      <c r="F33" s="658"/>
      <c r="G33" s="660"/>
      <c r="H33" s="668" t="s">
        <v>1195</v>
      </c>
      <c r="I33" s="669"/>
      <c r="J33" s="623" t="str" cm="1">
        <f t="array" ref="J33">_xlfn.XLOOKUP(派遣先&amp;工場名,TBKaishaInfo[派遣先]&amp;TBKaishaInfo[工場名],TBKaishaInfo[振込先],"check",0,1)</f>
        <v>愛知銀行　当知支店　普通2075479　名義人　ユニバーサル企画（株）</v>
      </c>
      <c r="K33" s="623"/>
      <c r="L33" s="623"/>
      <c r="M33" s="623"/>
      <c r="N33" s="623"/>
      <c r="O33" s="623"/>
      <c r="P33" s="623"/>
      <c r="Q33" s="623"/>
      <c r="R33" s="623"/>
      <c r="S33" s="623"/>
      <c r="T33" s="623"/>
      <c r="U33" s="623"/>
      <c r="V33" s="623"/>
      <c r="W33" s="623"/>
      <c r="X33" s="623"/>
      <c r="Y33" s="623"/>
      <c r="Z33" s="623"/>
      <c r="AA33" s="670"/>
    </row>
    <row r="34" spans="1:27" ht="20.25" customHeight="1">
      <c r="A34" s="667"/>
      <c r="B34" s="667"/>
      <c r="C34" s="658" t="s">
        <v>332</v>
      </c>
      <c r="D34" s="658"/>
      <c r="E34" s="658"/>
      <c r="F34" s="658"/>
      <c r="G34" s="658"/>
      <c r="H34" s="716" t="s">
        <v>346</v>
      </c>
      <c r="I34" s="716"/>
      <c r="J34" s="716"/>
      <c r="K34" s="716"/>
      <c r="L34" s="716"/>
      <c r="M34" s="716"/>
      <c r="N34" s="716"/>
      <c r="O34" s="716"/>
      <c r="P34" s="716"/>
      <c r="Q34" s="716"/>
      <c r="R34" s="716"/>
      <c r="S34" s="716"/>
      <c r="T34" s="716"/>
      <c r="U34" s="716"/>
      <c r="V34" s="716"/>
      <c r="W34" s="716"/>
      <c r="X34" s="716"/>
      <c r="Y34" s="716"/>
      <c r="Z34" s="716"/>
      <c r="AA34" s="716"/>
    </row>
    <row r="35" spans="1:27" ht="11.25" customHeight="1">
      <c r="A35" s="667"/>
      <c r="B35" s="667"/>
      <c r="C35" s="658"/>
      <c r="D35" s="658"/>
      <c r="E35" s="658"/>
      <c r="F35" s="658"/>
      <c r="G35" s="658"/>
      <c r="H35" s="659"/>
      <c r="I35" s="659"/>
      <c r="J35" s="659"/>
      <c r="K35" s="659"/>
      <c r="L35" s="659"/>
      <c r="M35" s="659"/>
      <c r="N35" s="659"/>
      <c r="O35" s="659"/>
      <c r="P35" s="659"/>
      <c r="Q35" s="659"/>
      <c r="R35" s="659"/>
      <c r="S35" s="659"/>
      <c r="T35" s="659"/>
      <c r="U35" s="659"/>
      <c r="V35" s="659"/>
      <c r="W35" s="659"/>
      <c r="X35" s="659"/>
      <c r="Y35" s="659"/>
      <c r="Z35" s="659"/>
      <c r="AA35" s="659"/>
    </row>
    <row r="36" spans="1:27" ht="24.75" customHeight="1">
      <c r="A36" s="667"/>
      <c r="B36" s="667"/>
      <c r="C36" s="658" t="s">
        <v>333</v>
      </c>
      <c r="D36" s="658"/>
      <c r="E36" s="658"/>
      <c r="F36" s="658"/>
      <c r="G36" s="658"/>
      <c r="H36" s="659" t="s">
        <v>347</v>
      </c>
      <c r="I36" s="659"/>
      <c r="J36" s="659"/>
      <c r="K36" s="659"/>
      <c r="L36" s="659"/>
      <c r="M36" s="659"/>
      <c r="N36" s="659"/>
      <c r="O36" s="659"/>
      <c r="P36" s="659"/>
      <c r="Q36" s="659"/>
      <c r="R36" s="659"/>
      <c r="S36" s="659"/>
      <c r="T36" s="659"/>
      <c r="U36" s="659"/>
      <c r="V36" s="659"/>
      <c r="W36" s="659"/>
      <c r="X36" s="659"/>
      <c r="Y36" s="659"/>
      <c r="Z36" s="659"/>
      <c r="AA36" s="659"/>
    </row>
    <row r="37" spans="1:27" ht="9.75" customHeight="1">
      <c r="A37" s="667"/>
      <c r="B37" s="667"/>
      <c r="C37" s="658" t="s">
        <v>334</v>
      </c>
      <c r="D37" s="658"/>
      <c r="E37" s="658"/>
      <c r="F37" s="658"/>
      <c r="G37" s="658"/>
      <c r="H37" s="718" t="s">
        <v>348</v>
      </c>
      <c r="I37" s="719"/>
      <c r="J37" s="719"/>
      <c r="K37" s="719"/>
      <c r="L37" s="719"/>
      <c r="M37" s="719"/>
      <c r="N37" s="719"/>
      <c r="O37" s="719"/>
      <c r="P37" s="719"/>
      <c r="Q37" s="719"/>
      <c r="R37" s="719"/>
      <c r="S37" s="719"/>
      <c r="T37" s="719"/>
      <c r="U37" s="719"/>
      <c r="V37" s="719"/>
      <c r="W37" s="719"/>
      <c r="X37" s="719"/>
      <c r="Y37" s="719"/>
      <c r="Z37" s="719"/>
      <c r="AA37" s="720"/>
    </row>
    <row r="38" spans="1:27" ht="15" customHeight="1">
      <c r="A38" s="667"/>
      <c r="B38" s="667"/>
      <c r="C38" s="658"/>
      <c r="D38" s="658"/>
      <c r="E38" s="658"/>
      <c r="F38" s="658"/>
      <c r="G38" s="658"/>
      <c r="H38" s="721"/>
      <c r="I38" s="722"/>
      <c r="J38" s="722"/>
      <c r="K38" s="722"/>
      <c r="L38" s="722"/>
      <c r="M38" s="722"/>
      <c r="N38" s="722"/>
      <c r="O38" s="722"/>
      <c r="P38" s="722"/>
      <c r="Q38" s="722"/>
      <c r="R38" s="722"/>
      <c r="S38" s="722"/>
      <c r="T38" s="722"/>
      <c r="U38" s="722"/>
      <c r="V38" s="722"/>
      <c r="W38" s="722"/>
      <c r="X38" s="722"/>
      <c r="Y38" s="722"/>
      <c r="Z38" s="722"/>
      <c r="AA38" s="723"/>
    </row>
    <row r="39" spans="1:27" ht="15" customHeight="1">
      <c r="A39" s="667"/>
      <c r="B39" s="667"/>
      <c r="C39" s="658"/>
      <c r="D39" s="658"/>
      <c r="E39" s="658"/>
      <c r="F39" s="658"/>
      <c r="G39" s="658"/>
      <c r="H39" s="721"/>
      <c r="I39" s="722"/>
      <c r="J39" s="722"/>
      <c r="K39" s="722"/>
      <c r="L39" s="722"/>
      <c r="M39" s="722"/>
      <c r="N39" s="722"/>
      <c r="O39" s="722"/>
      <c r="P39" s="722"/>
      <c r="Q39" s="722"/>
      <c r="R39" s="722"/>
      <c r="S39" s="722"/>
      <c r="T39" s="722"/>
      <c r="U39" s="722"/>
      <c r="V39" s="722"/>
      <c r="W39" s="722"/>
      <c r="X39" s="722"/>
      <c r="Y39" s="722"/>
      <c r="Z39" s="722"/>
      <c r="AA39" s="723"/>
    </row>
    <row r="40" spans="1:27" ht="34.5" customHeight="1">
      <c r="A40" s="667"/>
      <c r="B40" s="667"/>
      <c r="C40" s="658"/>
      <c r="D40" s="658"/>
      <c r="E40" s="658"/>
      <c r="F40" s="658"/>
      <c r="G40" s="658"/>
      <c r="H40" s="724"/>
      <c r="I40" s="725"/>
      <c r="J40" s="725"/>
      <c r="K40" s="725"/>
      <c r="L40" s="725"/>
      <c r="M40" s="725"/>
      <c r="N40" s="725"/>
      <c r="O40" s="725"/>
      <c r="P40" s="725"/>
      <c r="Q40" s="725"/>
      <c r="R40" s="725"/>
      <c r="S40" s="725"/>
      <c r="T40" s="725"/>
      <c r="U40" s="725"/>
      <c r="V40" s="725"/>
      <c r="W40" s="725"/>
      <c r="X40" s="725"/>
      <c r="Y40" s="725"/>
      <c r="Z40" s="725"/>
      <c r="AA40" s="726"/>
    </row>
    <row r="41" spans="1:27" ht="10.5" customHeight="1">
      <c r="A41" s="667"/>
      <c r="B41" s="667"/>
      <c r="C41" s="673" t="s">
        <v>335</v>
      </c>
      <c r="D41" s="674"/>
      <c r="E41" s="674"/>
      <c r="F41" s="674"/>
      <c r="G41" s="675"/>
      <c r="H41" s="704" t="s">
        <v>4336</v>
      </c>
      <c r="I41" s="705"/>
      <c r="J41" s="705"/>
      <c r="K41" s="705"/>
      <c r="L41" s="705"/>
      <c r="M41" s="705"/>
      <c r="N41" s="705"/>
      <c r="O41" s="705"/>
      <c r="P41" s="705"/>
      <c r="Q41" s="705"/>
      <c r="R41" s="705"/>
      <c r="S41" s="705"/>
      <c r="T41" s="705"/>
      <c r="U41" s="705"/>
      <c r="V41" s="705"/>
      <c r="W41" s="705"/>
      <c r="X41" s="705"/>
      <c r="Y41" s="705"/>
      <c r="Z41" s="705"/>
      <c r="AA41" s="706"/>
    </row>
    <row r="42" spans="1:27" ht="18" customHeight="1">
      <c r="A42" s="667"/>
      <c r="B42" s="667"/>
      <c r="C42" s="676"/>
      <c r="D42" s="677"/>
      <c r="E42" s="677"/>
      <c r="F42" s="677"/>
      <c r="G42" s="678"/>
      <c r="H42" s="707"/>
      <c r="I42" s="708"/>
      <c r="J42" s="708"/>
      <c r="K42" s="708"/>
      <c r="L42" s="708"/>
      <c r="M42" s="708"/>
      <c r="N42" s="708"/>
      <c r="O42" s="708"/>
      <c r="P42" s="708"/>
      <c r="Q42" s="708"/>
      <c r="R42" s="708"/>
      <c r="S42" s="708"/>
      <c r="T42" s="708"/>
      <c r="U42" s="708"/>
      <c r="V42" s="708"/>
      <c r="W42" s="708"/>
      <c r="X42" s="708"/>
      <c r="Y42" s="708"/>
      <c r="Z42" s="708"/>
      <c r="AA42" s="709"/>
    </row>
    <row r="43" spans="1:27">
      <c r="A43" s="667"/>
      <c r="B43" s="667"/>
      <c r="C43" s="676"/>
      <c r="D43" s="677"/>
      <c r="E43" s="677"/>
      <c r="F43" s="677"/>
      <c r="G43" s="678"/>
      <c r="H43" s="710" t="s">
        <v>4335</v>
      </c>
      <c r="I43" s="711"/>
      <c r="J43" s="711"/>
      <c r="K43" s="711"/>
      <c r="L43" s="711"/>
      <c r="M43" s="711"/>
      <c r="N43" s="711"/>
      <c r="O43" s="711"/>
      <c r="P43" s="711"/>
      <c r="Q43" s="711"/>
      <c r="R43" s="711"/>
      <c r="S43" s="711"/>
      <c r="T43" s="711"/>
      <c r="U43" s="711"/>
      <c r="V43" s="711"/>
      <c r="W43" s="711"/>
      <c r="X43" s="711"/>
      <c r="Y43" s="711"/>
      <c r="Z43" s="711"/>
      <c r="AA43" s="712"/>
    </row>
    <row r="44" spans="1:27">
      <c r="A44" s="667"/>
      <c r="B44" s="667"/>
      <c r="C44" s="676"/>
      <c r="D44" s="677"/>
      <c r="E44" s="677"/>
      <c r="F44" s="677"/>
      <c r="G44" s="678"/>
      <c r="H44" s="710"/>
      <c r="I44" s="711"/>
      <c r="J44" s="711"/>
      <c r="K44" s="711"/>
      <c r="L44" s="711"/>
      <c r="M44" s="711"/>
      <c r="N44" s="711"/>
      <c r="O44" s="711"/>
      <c r="P44" s="711"/>
      <c r="Q44" s="711"/>
      <c r="R44" s="711"/>
      <c r="S44" s="711"/>
      <c r="T44" s="711"/>
      <c r="U44" s="711"/>
      <c r="V44" s="711"/>
      <c r="W44" s="711"/>
      <c r="X44" s="711"/>
      <c r="Y44" s="711"/>
      <c r="Z44" s="711"/>
      <c r="AA44" s="712"/>
    </row>
    <row r="45" spans="1:27" ht="13.5" customHeight="1">
      <c r="A45" s="667"/>
      <c r="B45" s="667"/>
      <c r="C45" s="676"/>
      <c r="D45" s="677"/>
      <c r="E45" s="677"/>
      <c r="F45" s="677"/>
      <c r="G45" s="678"/>
      <c r="H45" s="710" t="s">
        <v>4337</v>
      </c>
      <c r="I45" s="711"/>
      <c r="J45" s="711"/>
      <c r="K45" s="711"/>
      <c r="L45" s="711"/>
      <c r="M45" s="711"/>
      <c r="N45" s="711"/>
      <c r="O45" s="711"/>
      <c r="P45" s="711"/>
      <c r="Q45" s="711"/>
      <c r="R45" s="711"/>
      <c r="S45" s="711"/>
      <c r="T45" s="711"/>
      <c r="U45" s="711"/>
      <c r="V45" s="711"/>
      <c r="W45" s="711"/>
      <c r="X45" s="711"/>
      <c r="Y45" s="711"/>
      <c r="Z45" s="711"/>
      <c r="AA45" s="712"/>
    </row>
    <row r="46" spans="1:27" ht="13.5" customHeight="1">
      <c r="A46" s="667"/>
      <c r="B46" s="667"/>
      <c r="C46" s="676"/>
      <c r="D46" s="677"/>
      <c r="E46" s="677"/>
      <c r="F46" s="677"/>
      <c r="G46" s="678"/>
      <c r="H46" s="710"/>
      <c r="I46" s="711"/>
      <c r="J46" s="711"/>
      <c r="K46" s="711"/>
      <c r="L46" s="711"/>
      <c r="M46" s="711"/>
      <c r="N46" s="711"/>
      <c r="O46" s="711"/>
      <c r="P46" s="711"/>
      <c r="Q46" s="711"/>
      <c r="R46" s="711"/>
      <c r="S46" s="711"/>
      <c r="T46" s="711"/>
      <c r="U46" s="711"/>
      <c r="V46" s="711"/>
      <c r="W46" s="711"/>
      <c r="X46" s="711"/>
      <c r="Y46" s="711"/>
      <c r="Z46" s="711"/>
      <c r="AA46" s="712"/>
    </row>
    <row r="47" spans="1:27" ht="13.5" customHeight="1">
      <c r="A47" s="667"/>
      <c r="B47" s="667"/>
      <c r="C47" s="676"/>
      <c r="D47" s="677"/>
      <c r="E47" s="677"/>
      <c r="F47" s="677"/>
      <c r="G47" s="678"/>
      <c r="H47" s="710"/>
      <c r="I47" s="711"/>
      <c r="J47" s="711"/>
      <c r="K47" s="711"/>
      <c r="L47" s="711"/>
      <c r="M47" s="711"/>
      <c r="N47" s="711"/>
      <c r="O47" s="711"/>
      <c r="P47" s="711"/>
      <c r="Q47" s="711"/>
      <c r="R47" s="711"/>
      <c r="S47" s="711"/>
      <c r="T47" s="711"/>
      <c r="U47" s="711"/>
      <c r="V47" s="711"/>
      <c r="W47" s="711"/>
      <c r="X47" s="711"/>
      <c r="Y47" s="711"/>
      <c r="Z47" s="711"/>
      <c r="AA47" s="712"/>
    </row>
    <row r="48" spans="1:27" ht="13.5" customHeight="1">
      <c r="A48" s="667"/>
      <c r="B48" s="667"/>
      <c r="C48" s="676"/>
      <c r="D48" s="677"/>
      <c r="E48" s="677"/>
      <c r="F48" s="677"/>
      <c r="G48" s="678"/>
      <c r="H48" s="710"/>
      <c r="I48" s="711"/>
      <c r="J48" s="711"/>
      <c r="K48" s="711"/>
      <c r="L48" s="711"/>
      <c r="M48" s="711"/>
      <c r="N48" s="711"/>
      <c r="O48" s="711"/>
      <c r="P48" s="711"/>
      <c r="Q48" s="711"/>
      <c r="R48" s="711"/>
      <c r="S48" s="711"/>
      <c r="T48" s="711"/>
      <c r="U48" s="711"/>
      <c r="V48" s="711"/>
      <c r="W48" s="711"/>
      <c r="X48" s="711"/>
      <c r="Y48" s="711"/>
      <c r="Z48" s="711"/>
      <c r="AA48" s="712"/>
    </row>
    <row r="49" spans="1:33" ht="13.5" customHeight="1">
      <c r="A49" s="667"/>
      <c r="B49" s="667"/>
      <c r="C49" s="676"/>
      <c r="D49" s="677"/>
      <c r="E49" s="677"/>
      <c r="F49" s="677"/>
      <c r="G49" s="678"/>
      <c r="H49" s="710"/>
      <c r="I49" s="711"/>
      <c r="J49" s="711"/>
      <c r="K49" s="711"/>
      <c r="L49" s="711"/>
      <c r="M49" s="711"/>
      <c r="N49" s="711"/>
      <c r="O49" s="711"/>
      <c r="P49" s="711"/>
      <c r="Q49" s="711"/>
      <c r="R49" s="711"/>
      <c r="S49" s="711"/>
      <c r="T49" s="711"/>
      <c r="U49" s="711"/>
      <c r="V49" s="711"/>
      <c r="W49" s="711"/>
      <c r="X49" s="711"/>
      <c r="Y49" s="711"/>
      <c r="Z49" s="711"/>
      <c r="AA49" s="712"/>
    </row>
    <row r="50" spans="1:33" ht="13.5" customHeight="1">
      <c r="A50" s="667"/>
      <c r="B50" s="667"/>
      <c r="C50" s="676"/>
      <c r="D50" s="677"/>
      <c r="E50" s="677"/>
      <c r="F50" s="677"/>
      <c r="G50" s="678"/>
      <c r="H50" s="710"/>
      <c r="I50" s="711"/>
      <c r="J50" s="711"/>
      <c r="K50" s="711"/>
      <c r="L50" s="711"/>
      <c r="M50" s="711"/>
      <c r="N50" s="711"/>
      <c r="O50" s="711"/>
      <c r="P50" s="711"/>
      <c r="Q50" s="711"/>
      <c r="R50" s="711"/>
      <c r="S50" s="711"/>
      <c r="T50" s="711"/>
      <c r="U50" s="711"/>
      <c r="V50" s="711"/>
      <c r="W50" s="711"/>
      <c r="X50" s="711"/>
      <c r="Y50" s="711"/>
      <c r="Z50" s="711"/>
      <c r="AA50" s="712"/>
    </row>
    <row r="51" spans="1:33" ht="9.75" customHeight="1">
      <c r="A51" s="667"/>
      <c r="B51" s="667"/>
      <c r="C51" s="676"/>
      <c r="D51" s="677"/>
      <c r="E51" s="677"/>
      <c r="F51" s="677"/>
      <c r="G51" s="678"/>
      <c r="H51" s="710"/>
      <c r="I51" s="711"/>
      <c r="J51" s="711"/>
      <c r="K51" s="711"/>
      <c r="L51" s="711"/>
      <c r="M51" s="711"/>
      <c r="N51" s="711"/>
      <c r="O51" s="711"/>
      <c r="P51" s="711"/>
      <c r="Q51" s="711"/>
      <c r="R51" s="711"/>
      <c r="S51" s="711"/>
      <c r="T51" s="711"/>
      <c r="U51" s="711"/>
      <c r="V51" s="711"/>
      <c r="W51" s="711"/>
      <c r="X51" s="711"/>
      <c r="Y51" s="711"/>
      <c r="Z51" s="711"/>
      <c r="AA51" s="712"/>
    </row>
    <row r="52" spans="1:33" ht="13.5" customHeight="1">
      <c r="A52" s="667"/>
      <c r="B52" s="667"/>
      <c r="C52" s="676"/>
      <c r="D52" s="677"/>
      <c r="E52" s="677"/>
      <c r="F52" s="677"/>
      <c r="G52" s="678"/>
      <c r="H52" s="710" t="s">
        <v>4338</v>
      </c>
      <c r="I52" s="711"/>
      <c r="J52" s="711"/>
      <c r="K52" s="711"/>
      <c r="L52" s="711"/>
      <c r="M52" s="711"/>
      <c r="N52" s="711"/>
      <c r="O52" s="711"/>
      <c r="P52" s="711"/>
      <c r="Q52" s="711"/>
      <c r="R52" s="711"/>
      <c r="S52" s="711"/>
      <c r="T52" s="711"/>
      <c r="U52" s="711"/>
      <c r="V52" s="711"/>
      <c r="W52" s="711"/>
      <c r="X52" s="711"/>
      <c r="Y52" s="711"/>
      <c r="Z52" s="711"/>
      <c r="AA52" s="712"/>
    </row>
    <row r="53" spans="1:33" ht="13.5" customHeight="1">
      <c r="A53" s="667"/>
      <c r="B53" s="667"/>
      <c r="C53" s="679"/>
      <c r="D53" s="680"/>
      <c r="E53" s="680"/>
      <c r="F53" s="680"/>
      <c r="G53" s="681"/>
      <c r="H53" s="713"/>
      <c r="I53" s="714"/>
      <c r="J53" s="714"/>
      <c r="K53" s="714"/>
      <c r="L53" s="714"/>
      <c r="M53" s="714"/>
      <c r="N53" s="714"/>
      <c r="O53" s="714"/>
      <c r="P53" s="714"/>
      <c r="Q53" s="714"/>
      <c r="R53" s="714"/>
      <c r="S53" s="714"/>
      <c r="T53" s="714"/>
      <c r="U53" s="714"/>
      <c r="V53" s="714"/>
      <c r="W53" s="714"/>
      <c r="X53" s="714"/>
      <c r="Y53" s="714"/>
      <c r="Z53" s="714"/>
      <c r="AA53" s="715"/>
    </row>
    <row r="54" spans="1:33" ht="13.5" customHeight="1">
      <c r="A54" s="667"/>
      <c r="B54" s="667"/>
      <c r="C54" s="659" t="s">
        <v>336</v>
      </c>
      <c r="D54" s="659"/>
      <c r="E54" s="659"/>
      <c r="F54" s="659"/>
      <c r="G54" s="659"/>
      <c r="H54" s="688" t="s">
        <v>349</v>
      </c>
      <c r="I54" s="689"/>
      <c r="J54" s="689"/>
      <c r="K54" s="689"/>
      <c r="L54" s="689"/>
      <c r="M54" s="689"/>
      <c r="N54" s="689"/>
      <c r="O54" s="689"/>
      <c r="P54" s="689"/>
      <c r="Q54" s="689"/>
      <c r="R54" s="689"/>
      <c r="S54" s="689"/>
      <c r="T54" s="689"/>
      <c r="U54" s="689"/>
      <c r="V54" s="689"/>
      <c r="W54" s="689"/>
      <c r="X54" s="689"/>
      <c r="Y54" s="689"/>
      <c r="Z54" s="689"/>
      <c r="AA54" s="642"/>
    </row>
    <row r="55" spans="1:33" ht="13.5" customHeight="1">
      <c r="A55" s="667"/>
      <c r="B55" s="667"/>
      <c r="C55" s="659"/>
      <c r="D55" s="659"/>
      <c r="E55" s="659"/>
      <c r="F55" s="659"/>
      <c r="G55" s="659"/>
      <c r="H55" s="685"/>
      <c r="I55" s="686"/>
      <c r="J55" s="686"/>
      <c r="K55" s="686"/>
      <c r="L55" s="686"/>
      <c r="M55" s="686"/>
      <c r="N55" s="686"/>
      <c r="O55" s="686"/>
      <c r="P55" s="686"/>
      <c r="Q55" s="686"/>
      <c r="R55" s="686"/>
      <c r="S55" s="686"/>
      <c r="T55" s="686"/>
      <c r="U55" s="686"/>
      <c r="V55" s="686"/>
      <c r="W55" s="686"/>
      <c r="X55" s="686"/>
      <c r="Y55" s="686"/>
      <c r="Z55" s="686"/>
      <c r="AA55" s="687"/>
      <c r="AC55" s="17"/>
      <c r="AD55" s="17"/>
      <c r="AE55" s="17"/>
      <c r="AF55" s="17"/>
    </row>
    <row r="56" spans="1:33" ht="13.5" customHeight="1">
      <c r="A56" s="667"/>
      <c r="B56" s="667"/>
      <c r="C56" s="659" t="s">
        <v>337</v>
      </c>
      <c r="D56" s="659"/>
      <c r="E56" s="659"/>
      <c r="F56" s="659"/>
      <c r="G56" s="659"/>
      <c r="H56" s="682" t="s">
        <v>350</v>
      </c>
      <c r="I56" s="683"/>
      <c r="J56" s="683"/>
      <c r="K56" s="683"/>
      <c r="L56" s="683"/>
      <c r="M56" s="683"/>
      <c r="N56" s="683"/>
      <c r="O56" s="683"/>
      <c r="P56" s="683"/>
      <c r="Q56" s="683"/>
      <c r="R56" s="683"/>
      <c r="S56" s="683"/>
      <c r="T56" s="683"/>
      <c r="U56" s="683"/>
      <c r="V56" s="683"/>
      <c r="W56" s="683"/>
      <c r="X56" s="683"/>
      <c r="Y56" s="683"/>
      <c r="Z56" s="683"/>
      <c r="AA56" s="684"/>
    </row>
    <row r="57" spans="1:33" ht="13.5" customHeight="1">
      <c r="A57" s="667"/>
      <c r="B57" s="667"/>
      <c r="C57" s="659"/>
      <c r="D57" s="659"/>
      <c r="E57" s="659"/>
      <c r="F57" s="659"/>
      <c r="G57" s="659"/>
      <c r="H57" s="685"/>
      <c r="I57" s="686"/>
      <c r="J57" s="686"/>
      <c r="K57" s="686"/>
      <c r="L57" s="686"/>
      <c r="M57" s="686"/>
      <c r="N57" s="686"/>
      <c r="O57" s="686"/>
      <c r="P57" s="686"/>
      <c r="Q57" s="686"/>
      <c r="R57" s="686"/>
      <c r="S57" s="686"/>
      <c r="T57" s="686"/>
      <c r="U57" s="686"/>
      <c r="V57" s="686"/>
      <c r="W57" s="686"/>
      <c r="X57" s="686"/>
      <c r="Y57" s="686"/>
      <c r="Z57" s="686"/>
      <c r="AA57" s="687"/>
      <c r="AG57" s="17"/>
    </row>
    <row r="58" spans="1:33" s="17" customFormat="1" ht="15" customHeight="1">
      <c r="A58" s="652" t="s">
        <v>338</v>
      </c>
      <c r="B58" s="652"/>
      <c r="C58" s="652"/>
      <c r="D58" s="652"/>
      <c r="E58" s="652"/>
      <c r="F58" s="652"/>
      <c r="G58" s="652"/>
      <c r="H58" s="652"/>
      <c r="I58" s="652"/>
      <c r="J58" s="652"/>
      <c r="K58" s="652"/>
      <c r="L58" s="652"/>
      <c r="M58" s="652"/>
      <c r="N58" s="652"/>
      <c r="O58" s="652"/>
      <c r="P58" s="652"/>
      <c r="Q58" s="652"/>
      <c r="R58" s="652"/>
      <c r="S58" s="652"/>
      <c r="T58" s="652"/>
      <c r="U58" s="652"/>
      <c r="V58" s="652"/>
      <c r="W58" s="652"/>
      <c r="X58" s="652"/>
      <c r="Y58" s="652"/>
      <c r="Z58" s="652"/>
      <c r="AA58" s="652"/>
      <c r="AB58" s="19"/>
      <c r="AC58" s="4"/>
      <c r="AD58" s="4"/>
      <c r="AE58" s="4"/>
      <c r="AF58" s="4"/>
      <c r="AG58" s="4"/>
    </row>
    <row r="59" spans="1:33" ht="14.25" customHeight="1">
      <c r="A59" s="654">
        <f>WORKDAY(HakenkikanS,-2,)</f>
        <v>45929</v>
      </c>
      <c r="B59" s="655"/>
      <c r="C59" s="655"/>
      <c r="D59" s="655"/>
      <c r="E59" s="655"/>
      <c r="F59" s="655"/>
      <c r="G59" s="655"/>
      <c r="H59" s="7"/>
      <c r="I59" s="7"/>
      <c r="J59" s="7"/>
      <c r="K59" s="7"/>
      <c r="L59" s="7"/>
      <c r="M59" s="7"/>
      <c r="N59" s="7"/>
      <c r="O59" s="7"/>
      <c r="P59" s="7"/>
      <c r="Q59" s="7"/>
      <c r="R59" s="7"/>
      <c r="S59" s="7"/>
      <c r="T59" s="7"/>
      <c r="U59" s="7"/>
      <c r="V59" s="7"/>
      <c r="W59" s="7"/>
      <c r="X59" s="7"/>
      <c r="Y59" s="7"/>
      <c r="Z59" s="7"/>
      <c r="AA59" s="7"/>
    </row>
    <row r="60" spans="1:33" ht="14.25">
      <c r="A60" s="656" t="s">
        <v>339</v>
      </c>
      <c r="B60" s="656"/>
      <c r="C60" s="7"/>
      <c r="D60" s="7"/>
      <c r="E60" s="7"/>
      <c r="F60" s="7"/>
      <c r="G60" s="7"/>
      <c r="H60" s="7"/>
      <c r="I60" s="7"/>
      <c r="J60" s="7"/>
      <c r="K60" s="7"/>
      <c r="L60" s="7"/>
      <c r="M60" s="7"/>
      <c r="N60" s="7"/>
      <c r="O60" s="7" t="s">
        <v>0</v>
      </c>
      <c r="P60" s="7"/>
      <c r="Q60" s="54" t="str">
        <f>IF($A$59&lt;=DATE(2023,8,1),"462-0016","461-0025")</f>
        <v>461-0025</v>
      </c>
      <c r="R60" s="7"/>
      <c r="S60" s="7"/>
      <c r="T60" s="7"/>
      <c r="U60" s="7"/>
      <c r="V60" s="7"/>
      <c r="W60" s="7"/>
      <c r="X60" s="7"/>
      <c r="Y60" s="7"/>
      <c r="Z60" s="7"/>
      <c r="AA60" s="7"/>
    </row>
    <row r="61" spans="1:33" ht="14.25">
      <c r="A61" s="7"/>
      <c r="B61" s="7"/>
      <c r="C61" s="7"/>
      <c r="D61" s="7"/>
      <c r="E61" s="7"/>
      <c r="F61" s="7"/>
      <c r="G61" s="7"/>
      <c r="H61" s="7"/>
      <c r="I61" s="7"/>
      <c r="J61" s="7"/>
      <c r="K61" s="7"/>
      <c r="L61" s="7"/>
      <c r="M61" s="7"/>
      <c r="N61" s="7"/>
      <c r="O61" s="622" t="str">
        <f>IF($A$59&lt;=DATE(2023,8,1),"愛知県名古屋市北区西味鋺1丁目５１１水野ビル201","愛知県名古屋市東区徳川2-18-18")</f>
        <v>愛知県名古屋市東区徳川2-18-18</v>
      </c>
      <c r="P61" s="622"/>
      <c r="Q61" s="622"/>
      <c r="R61" s="622"/>
      <c r="S61" s="622"/>
      <c r="T61" s="622"/>
      <c r="U61" s="622"/>
      <c r="V61" s="622"/>
      <c r="W61" s="622"/>
      <c r="X61" s="622"/>
      <c r="Y61" s="622"/>
      <c r="Z61" s="622"/>
      <c r="AA61" s="622"/>
    </row>
    <row r="62" spans="1:33" ht="14.25">
      <c r="A62" s="7"/>
      <c r="B62" s="7"/>
      <c r="C62" s="7"/>
      <c r="D62" s="7"/>
      <c r="E62" s="7"/>
      <c r="F62" s="7"/>
      <c r="G62" s="7"/>
      <c r="H62" s="7"/>
      <c r="I62" s="7"/>
      <c r="J62" s="7"/>
      <c r="K62" s="7"/>
      <c r="L62" s="7"/>
      <c r="M62" s="7"/>
      <c r="N62" s="7"/>
      <c r="O62" s="7" t="s">
        <v>1970</v>
      </c>
      <c r="P62" s="7"/>
      <c r="Q62" s="7"/>
      <c r="R62" s="7"/>
      <c r="S62" s="7"/>
      <c r="T62" s="7"/>
      <c r="U62" s="7"/>
      <c r="V62" s="7"/>
      <c r="W62" s="7"/>
      <c r="X62" s="7"/>
      <c r="Y62" s="7"/>
      <c r="Z62" s="7"/>
      <c r="AA62" s="7"/>
    </row>
    <row r="63" spans="1:33" ht="14.25">
      <c r="A63" s="7"/>
      <c r="B63" s="7"/>
      <c r="C63" s="7"/>
      <c r="D63" s="7"/>
      <c r="E63" s="7"/>
      <c r="F63" s="7"/>
      <c r="G63" s="7"/>
      <c r="H63" s="7"/>
      <c r="I63" s="7"/>
      <c r="J63" s="7"/>
      <c r="K63" s="7"/>
      <c r="L63" s="7"/>
      <c r="M63" s="7"/>
      <c r="N63" s="7"/>
      <c r="O63" s="7" t="s">
        <v>314</v>
      </c>
      <c r="P63" s="7"/>
      <c r="Q63" s="7"/>
      <c r="R63" s="7"/>
      <c r="S63" s="7"/>
      <c r="T63" s="7"/>
      <c r="U63" s="7"/>
      <c r="V63" s="7"/>
      <c r="W63" s="7"/>
      <c r="X63" s="7"/>
      <c r="Y63" s="7"/>
      <c r="Z63" s="7"/>
      <c r="AA63" s="7"/>
    </row>
    <row r="64" spans="1:33" ht="14.25">
      <c r="A64" s="7"/>
      <c r="B64" s="7"/>
      <c r="C64" s="7"/>
      <c r="D64" s="7"/>
      <c r="E64" s="7"/>
      <c r="F64" s="7"/>
      <c r="G64" s="7"/>
      <c r="H64" s="7"/>
      <c r="I64" s="7"/>
      <c r="J64" s="7"/>
      <c r="K64" s="7"/>
      <c r="L64" s="7"/>
      <c r="M64" s="7"/>
      <c r="N64" s="7"/>
      <c r="O64" s="7" t="s">
        <v>1972</v>
      </c>
      <c r="P64" s="7"/>
      <c r="Q64" s="7"/>
      <c r="R64" s="7"/>
      <c r="S64" s="7"/>
      <c r="T64" s="7"/>
      <c r="U64" s="7"/>
      <c r="V64" s="7"/>
      <c r="W64" s="7"/>
      <c r="X64" s="7"/>
      <c r="Y64" s="7"/>
      <c r="Z64" s="7"/>
      <c r="AA64" s="7"/>
    </row>
    <row r="65" spans="1:27" ht="14.25">
      <c r="A65" s="7"/>
      <c r="B65" s="7"/>
      <c r="C65" s="7"/>
      <c r="D65" s="7"/>
      <c r="E65" s="7"/>
      <c r="F65" s="7"/>
      <c r="G65" s="7"/>
      <c r="H65" s="7"/>
      <c r="I65" s="7"/>
      <c r="J65" s="7"/>
      <c r="K65" s="7"/>
      <c r="L65" s="7"/>
      <c r="M65" s="7"/>
      <c r="N65" s="7"/>
      <c r="O65" s="7"/>
      <c r="P65" s="7"/>
      <c r="Q65" s="7"/>
      <c r="R65" s="7"/>
      <c r="S65" s="7"/>
      <c r="T65" s="7"/>
      <c r="U65" s="7"/>
      <c r="V65" s="7"/>
      <c r="W65" s="7"/>
      <c r="X65" s="7"/>
      <c r="Y65" s="7"/>
      <c r="Z65" s="7"/>
      <c r="AA65" s="7"/>
    </row>
  </sheetData>
  <mergeCells count="116">
    <mergeCell ref="AG1:AG5"/>
    <mergeCell ref="H37:AA40"/>
    <mergeCell ref="T29:V29"/>
    <mergeCell ref="W29:Y29"/>
    <mergeCell ref="H30:J30"/>
    <mergeCell ref="K30:M30"/>
    <mergeCell ref="W30:Y30"/>
    <mergeCell ref="N29:P29"/>
    <mergeCell ref="Q29:S29"/>
    <mergeCell ref="V16:X16"/>
    <mergeCell ref="Y16:AA16"/>
    <mergeCell ref="H16:M16"/>
    <mergeCell ref="P16:U16"/>
    <mergeCell ref="N16:O16"/>
    <mergeCell ref="Y7:AA7"/>
    <mergeCell ref="Y8:AA8"/>
    <mergeCell ref="Y9:AA9"/>
    <mergeCell ref="J1:S1"/>
    <mergeCell ref="A2:AA3"/>
    <mergeCell ref="C5:G5"/>
    <mergeCell ref="O5:P5"/>
    <mergeCell ref="H10:I10"/>
    <mergeCell ref="Q7:W7"/>
    <mergeCell ref="Q8:W8"/>
    <mergeCell ref="Q9:W9"/>
    <mergeCell ref="C18:G21"/>
    <mergeCell ref="H18:AA21"/>
    <mergeCell ref="C22:G25"/>
    <mergeCell ref="H22:AA25"/>
    <mergeCell ref="C56:G57"/>
    <mergeCell ref="H32:J32"/>
    <mergeCell ref="K32:M32"/>
    <mergeCell ref="N32:P32"/>
    <mergeCell ref="Q32:S32"/>
    <mergeCell ref="Y10:AA10"/>
    <mergeCell ref="H15:AA15"/>
    <mergeCell ref="H36:AA36"/>
    <mergeCell ref="H41:AA42"/>
    <mergeCell ref="H52:AA53"/>
    <mergeCell ref="H43:AA44"/>
    <mergeCell ref="H45:AA51"/>
    <mergeCell ref="T32:V32"/>
    <mergeCell ref="W32:Y32"/>
    <mergeCell ref="H34:AA35"/>
    <mergeCell ref="A12:B57"/>
    <mergeCell ref="Q4:W4"/>
    <mergeCell ref="Y4:AA4"/>
    <mergeCell ref="H33:I33"/>
    <mergeCell ref="J33:AA33"/>
    <mergeCell ref="H31:K31"/>
    <mergeCell ref="H11:I11"/>
    <mergeCell ref="A4:B9"/>
    <mergeCell ref="A10:B11"/>
    <mergeCell ref="Q5:W5"/>
    <mergeCell ref="Y5:AA5"/>
    <mergeCell ref="O11:P11"/>
    <mergeCell ref="J7:N7"/>
    <mergeCell ref="J8:N8"/>
    <mergeCell ref="J9:N9"/>
    <mergeCell ref="C11:G11"/>
    <mergeCell ref="C41:G53"/>
    <mergeCell ref="O7:P7"/>
    <mergeCell ref="O8:P8"/>
    <mergeCell ref="O9:P9"/>
    <mergeCell ref="H56:AA57"/>
    <mergeCell ref="H54:AA55"/>
    <mergeCell ref="O10:P10"/>
    <mergeCell ref="H7:I7"/>
    <mergeCell ref="I4:N4"/>
    <mergeCell ref="C36:G36"/>
    <mergeCell ref="C37:G40"/>
    <mergeCell ref="C54:G55"/>
    <mergeCell ref="C26:G26"/>
    <mergeCell ref="C27:G28"/>
    <mergeCell ref="C29:G31"/>
    <mergeCell ref="C32:G33"/>
    <mergeCell ref="C34:G35"/>
    <mergeCell ref="C14:G14"/>
    <mergeCell ref="C15:G15"/>
    <mergeCell ref="C16:G16"/>
    <mergeCell ref="C17:G17"/>
    <mergeCell ref="C7:G7"/>
    <mergeCell ref="C9:G9"/>
    <mergeCell ref="C6:G6"/>
    <mergeCell ref="C10:G10"/>
    <mergeCell ref="C8:G8"/>
    <mergeCell ref="C12:G13"/>
    <mergeCell ref="C4:G4"/>
    <mergeCell ref="I5:N5"/>
    <mergeCell ref="H8:I8"/>
    <mergeCell ref="H9:I9"/>
    <mergeCell ref="H6:N6"/>
    <mergeCell ref="O61:AA61"/>
    <mergeCell ref="M31:Q31"/>
    <mergeCell ref="AD2:AF2"/>
    <mergeCell ref="AD3:AF3"/>
    <mergeCell ref="AD1:AF1"/>
    <mergeCell ref="N30:V30"/>
    <mergeCell ref="AD4:AF4"/>
    <mergeCell ref="H17:AA17"/>
    <mergeCell ref="AD5:AF5"/>
    <mergeCell ref="H27:AA28"/>
    <mergeCell ref="H29:J29"/>
    <mergeCell ref="K29:M29"/>
    <mergeCell ref="J11:N11"/>
    <mergeCell ref="Q11:W11"/>
    <mergeCell ref="Y11:AA11"/>
    <mergeCell ref="J10:N10"/>
    <mergeCell ref="Q10:W10"/>
    <mergeCell ref="O6:P6"/>
    <mergeCell ref="Q6:W6"/>
    <mergeCell ref="A58:AA58"/>
    <mergeCell ref="H26:AA26"/>
    <mergeCell ref="A59:G59"/>
    <mergeCell ref="A60:B60"/>
    <mergeCell ref="O4:P4"/>
  </mergeCells>
  <phoneticPr fontId="8" type="noConversion"/>
  <conditionalFormatting sqref="P16:U16">
    <cfRule type="cellIs" dxfId="24" priority="1" operator="lessThan">
      <formula>$H$16</formula>
    </cfRule>
  </conditionalFormatting>
  <dataValidations count="3">
    <dataValidation type="list" allowBlank="1" showInputMessage="1" showErrorMessage="1" sqref="AD6" xr:uid="{7AF5F0E4-37DC-480D-85B7-1DCC82944BD4}">
      <formula1>"通知書,通知書(別々)"</formula1>
    </dataValidation>
    <dataValidation type="list" allowBlank="1" showInputMessage="1" showErrorMessage="1" sqref="AE8" xr:uid="{3033247E-FA05-4C00-888D-BB5EDC085831}">
      <formula1>"-1,0,1,2,3,23.4～"</formula1>
    </dataValidation>
    <dataValidation type="list" allowBlank="1" showInputMessage="1" showErrorMessage="1" sqref="AI10" xr:uid="{42DB1569-3328-4B53-87B6-10881EAB5E58}">
      <formula1>"Lista_Fabricas"</formula1>
    </dataValidation>
  </dataValidations>
  <hyperlinks>
    <hyperlink ref="AE6" location="'通知書(別々)'!A4" display="通知書(別々)'!AD8" xr:uid="{C364B0E9-6078-4C94-A3E8-16AF0B575F8F}"/>
    <hyperlink ref="AF6" location="DAICHO!BC9" display="DAICHO" xr:uid="{49E0E6F5-2C29-4160-8B3E-1D5BF6D039E7}"/>
  </hyperlinks>
  <pageMargins left="0.59055118110236227" right="0.31496062992125984" top="0.15748031496062992" bottom="0" header="0.11811023622047245" footer="0"/>
  <pageSetup paperSize="9" scale="9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Check Box 2">
              <controlPr defaultSize="0" autoFill="0" autoLine="0" autoPict="0">
                <anchor moveWithCells="1" sizeWithCells="1">
                  <from>
                    <xdr:col>14</xdr:col>
                    <xdr:colOff>9525</xdr:colOff>
                    <xdr:row>11</xdr:row>
                    <xdr:rowOff>19050</xdr:rowOff>
                  </from>
                  <to>
                    <xdr:col>16</xdr:col>
                    <xdr:colOff>123825</xdr:colOff>
                    <xdr:row>13</xdr:row>
                    <xdr:rowOff>9525</xdr:rowOff>
                  </to>
                </anchor>
              </controlPr>
            </control>
          </mc:Choice>
        </mc:AlternateContent>
        <mc:AlternateContent xmlns:mc="http://schemas.openxmlformats.org/markup-compatibility/2006">
          <mc:Choice Requires="x14">
            <control shapeId="9221" r:id="rId5" name="Check Box 5">
              <controlPr defaultSize="0" autoFill="0" autoLine="0" autoPict="0">
                <anchor moveWithCells="1" sizeWithCells="1">
                  <from>
                    <xdr:col>7</xdr:col>
                    <xdr:colOff>76200</xdr:colOff>
                    <xdr:row>13</xdr:row>
                    <xdr:rowOff>0</xdr:rowOff>
                  </from>
                  <to>
                    <xdr:col>12</xdr:col>
                    <xdr:colOff>57150</xdr:colOff>
                    <xdr:row>14</xdr:row>
                    <xdr:rowOff>0</xdr:rowOff>
                  </to>
                </anchor>
              </controlPr>
            </control>
          </mc:Choice>
        </mc:AlternateContent>
        <mc:AlternateContent xmlns:mc="http://schemas.openxmlformats.org/markup-compatibility/2006">
          <mc:Choice Requires="x14">
            <control shapeId="9222" r:id="rId6" name="Check Box 6">
              <controlPr defaultSize="0" autoFill="0" autoLine="0" autoPict="0">
                <anchor moveWithCells="1" sizeWithCells="1">
                  <from>
                    <xdr:col>14</xdr:col>
                    <xdr:colOff>9525</xdr:colOff>
                    <xdr:row>13</xdr:row>
                    <xdr:rowOff>0</xdr:rowOff>
                  </from>
                  <to>
                    <xdr:col>19</xdr:col>
                    <xdr:colOff>114300</xdr:colOff>
                    <xdr:row>14</xdr:row>
                    <xdr:rowOff>0</xdr:rowOff>
                  </to>
                </anchor>
              </controlPr>
            </control>
          </mc:Choice>
        </mc:AlternateContent>
        <mc:AlternateContent xmlns:mc="http://schemas.openxmlformats.org/markup-compatibility/2006">
          <mc:Choice Requires="x14">
            <control shapeId="9223" r:id="rId7" name="Check Box 7">
              <controlPr defaultSize="0" autoFill="0" autoLine="0" autoPict="0">
                <anchor moveWithCells="1" sizeWithCells="1">
                  <from>
                    <xdr:col>7</xdr:col>
                    <xdr:colOff>76200</xdr:colOff>
                    <xdr:row>11</xdr:row>
                    <xdr:rowOff>0</xdr:rowOff>
                  </from>
                  <to>
                    <xdr:col>14</xdr:col>
                    <xdr:colOff>276225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24FFEE46-9CF7-46C7-983B-BAC026196313}">
          <x14:formula1>
            <xm:f>ListaDinamicas!$D:$D</xm:f>
          </x14:formula1>
          <xm:sqref>AD4:AF4</xm:sqref>
        </x14:dataValidation>
        <x14:dataValidation type="list" allowBlank="1" showInputMessage="1" showErrorMessage="1" xr:uid="{F5F94C7B-FABB-4BF4-8D76-59E889D9119A}">
          <x14:formula1>
            <xm:f>ListaDinamicas!$C:$C</xm:f>
          </x14:formula1>
          <xm:sqref>AD3:AF3</xm:sqref>
        </x14:dataValidation>
        <x14:dataValidation type="list" allowBlank="1" showInputMessage="1" showErrorMessage="1" xr:uid="{3B5C693D-7432-4AC8-B79D-61D99CD4019A}">
          <x14:formula1>
            <xm:f>ListaDinamicas!$B:$B</xm:f>
          </x14:formula1>
          <xm:sqref>AD2:AF2</xm:sqref>
        </x14:dataValidation>
        <x14:dataValidation type="list" allowBlank="1" showInputMessage="1" showErrorMessage="1" xr:uid="{ABD4CD8F-8507-4789-9FC2-DAA2A70B3485}">
          <x14:formula1>
            <xm:f>ListaDinamicas!$A:A</xm:f>
          </x14:formula1>
          <xm:sqref>AD1:AF1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3117D-10BE-419C-91ED-A8EF9F945BA7}">
  <sheetPr codeName="Sheet2">
    <tabColor rgb="FFFFFF00"/>
  </sheetPr>
  <dimension ref="A1:D17"/>
  <sheetViews>
    <sheetView workbookViewId="0">
      <selection activeCell="H15" sqref="H15"/>
    </sheetView>
  </sheetViews>
  <sheetFormatPr defaultRowHeight="15"/>
  <cols>
    <col min="1" max="1" width="40.89453125" bestFit="1" customWidth="1"/>
    <col min="2" max="2" width="36.18359375" customWidth="1"/>
    <col min="3" max="3" width="23.67578125" customWidth="1"/>
  </cols>
  <sheetData>
    <row r="1" spans="1:4">
      <c r="A1" t="str" cm="1">
        <f t="array" ref="A1:A17">_xlfn._xlws.SORT(_xlfn.UNIQUE(TBKaisha!A:A))</f>
        <v xml:space="preserve">	瑞陵精機株式会社</v>
      </c>
      <c r="B1" t="str" cm="1">
        <f t="array" ref="B1:B7">_xlfn._xlws.SORT(_xlfn.UNIQUE(_xlfn._xlws.FILTER(TBKaisha!G:G, TBKaisha!A:A=派遣先, "No existe")))</f>
        <v>CVJ工場</v>
      </c>
      <c r="C1" t="str" cm="1">
        <f t="array" ref="C1:C2">_xlfn._xlws.SORT(_xlfn.UNIQUE(_xlfn._xlws.FILTER(TBKaisha!J:J, (TBKaisha!A:A=派遣先) * (TBKaisha!G:G=工場名), "No existe")))</f>
        <v>製作課</v>
      </c>
      <c r="D1" t="str" cm="1">
        <f t="array" ref="D1:D7">_xlfn._xlws.SORT(_xlfn.UNIQUE(_xlfn._xlws.FILTER(TBKaisha!K:K, (TBKaisha!A:A=派遣先) * (TBKaisha!G:G=工場名) * (TBKaisha!J:J=配属先), "No existe")))</f>
        <v>Aライン</v>
      </c>
    </row>
    <row r="2" spans="1:4">
      <c r="A2" t="str">
        <v>TK株式会社</v>
      </c>
      <c r="B2" t="str">
        <v>HUB工場</v>
      </c>
      <c r="C2" t="str">
        <v>第一営業部本社営業課</v>
      </c>
      <c r="D2" t="str">
        <v>Fライン</v>
      </c>
    </row>
    <row r="3" spans="1:4">
      <c r="A3" t="str">
        <v>アサヒフォージ株式会社</v>
      </c>
      <c r="B3" t="str">
        <v>海南第一工場</v>
      </c>
      <c r="D3" t="str">
        <v>Gライン</v>
      </c>
    </row>
    <row r="4" spans="1:4">
      <c r="A4" t="str">
        <v>セイビテック株式会社</v>
      </c>
      <c r="B4" t="str">
        <v>海南第二工場</v>
      </c>
      <c r="D4" t="str">
        <v>Tライン</v>
      </c>
    </row>
    <row r="5" spans="1:4">
      <c r="A5" t="str">
        <v>ピーエムアイ有限会社</v>
      </c>
      <c r="B5" t="str">
        <v>第一工場</v>
      </c>
      <c r="D5" t="str">
        <v>バリ取り</v>
      </c>
    </row>
    <row r="6" spans="1:4">
      <c r="A6" t="str">
        <v>フェニテックセミコンダクター(株)</v>
      </c>
      <c r="B6" t="str">
        <v>第二工場</v>
      </c>
      <c r="D6" t="str">
        <v>切紛回収</v>
      </c>
    </row>
    <row r="7" spans="1:4">
      <c r="A7" t="str">
        <v>ユアサ工機株式会社</v>
      </c>
      <c r="B7" t="str">
        <v>本社工場</v>
      </c>
      <c r="D7" t="str">
        <v>六面加工</v>
      </c>
    </row>
    <row r="8" spans="1:4">
      <c r="A8" t="str">
        <v>ユアサ工機株式会社　</v>
      </c>
    </row>
    <row r="9" spans="1:4">
      <c r="A9" t="str">
        <v>加藤木材工業株式会社</v>
      </c>
    </row>
    <row r="10" spans="1:4">
      <c r="A10" t="str">
        <v>株式会社オーツカ</v>
      </c>
    </row>
    <row r="11" spans="1:4">
      <c r="A11" t="str">
        <v>株式会社川原鉄工所</v>
      </c>
    </row>
    <row r="12" spans="1:4">
      <c r="A12" t="str">
        <v>株式会社美鈴工業</v>
      </c>
    </row>
    <row r="13" spans="1:4">
      <c r="A13" t="str">
        <v>高雄工業株式会社</v>
      </c>
    </row>
    <row r="14" spans="1:4">
      <c r="A14" t="str">
        <v>三幸技研株式会社</v>
      </c>
    </row>
    <row r="15" spans="1:4">
      <c r="A15" t="str">
        <v>派遣先</v>
      </c>
    </row>
    <row r="16" spans="1:4">
      <c r="A16" t="str">
        <v>六甲電子株式会社</v>
      </c>
    </row>
    <row r="17" spans="1:1">
      <c r="A17">
        <v>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EF7C2-CCD2-411C-A33D-7BDBE1BD9EC2}">
  <sheetPr codeName="Hoja7">
    <tabColor rgb="FFFFFF00"/>
  </sheetPr>
  <dimension ref="A1:AH66"/>
  <sheetViews>
    <sheetView zoomScale="140" zoomScaleNormal="140" workbookViewId="0">
      <selection activeCell="I10" sqref="I10"/>
    </sheetView>
  </sheetViews>
  <sheetFormatPr defaultColWidth="9.14453125" defaultRowHeight="15"/>
  <cols>
    <col min="1" max="1" width="9.953125" bestFit="1" customWidth="1"/>
    <col min="2" max="2" width="19.1015625" bestFit="1" customWidth="1"/>
    <col min="4" max="4" width="17.21875" style="31" bestFit="1" customWidth="1"/>
    <col min="5" max="6" width="9.28125" bestFit="1" customWidth="1"/>
    <col min="7" max="7" width="19.234375" style="31" bestFit="1" customWidth="1"/>
    <col min="8" max="8" width="9.81640625" bestFit="1" customWidth="1"/>
    <col min="9" max="9" width="34.16796875" customWidth="1"/>
    <col min="10" max="10" width="4.4375" bestFit="1" customWidth="1"/>
    <col min="11" max="11" width="12.64453125" customWidth="1"/>
    <col min="12" max="13" width="7.93359375" bestFit="1" customWidth="1"/>
    <col min="14" max="14" width="11.296875" customWidth="1"/>
    <col min="15" max="15" width="17.75390625" customWidth="1"/>
    <col min="16" max="16" width="38.7421875" bestFit="1" customWidth="1"/>
  </cols>
  <sheetData>
    <row r="1" spans="1:34" ht="29.25" customHeight="1">
      <c r="B1" t="s">
        <v>1148</v>
      </c>
      <c r="I1" s="52" t="s">
        <v>15</v>
      </c>
      <c r="J1" s="52"/>
      <c r="K1" s="52"/>
      <c r="L1" s="52"/>
      <c r="M1" s="2"/>
      <c r="P1" s="380">
        <f>WORKDAY(HakenkikanS,-3,)</f>
        <v>45926</v>
      </c>
    </row>
    <row r="2" spans="1:34" ht="18.75">
      <c r="I2" s="740" t="str">
        <f>個別契約書X!I4&amp;" "&amp;個別契約書X!J7</f>
        <v>高雄工業株式会社 製作課</v>
      </c>
      <c r="J2" s="740"/>
      <c r="K2" s="740"/>
      <c r="L2" s="53" t="s">
        <v>387</v>
      </c>
      <c r="M2" s="2"/>
      <c r="N2" s="2"/>
      <c r="O2" s="2"/>
      <c r="P2" s="2"/>
    </row>
    <row r="3" spans="1:34" ht="18">
      <c r="I3" s="24"/>
      <c r="J3" s="1"/>
      <c r="K3" s="1"/>
      <c r="L3" s="1"/>
      <c r="M3" s="1"/>
      <c r="N3" s="1"/>
      <c r="O3" s="1"/>
      <c r="P3" s="1"/>
    </row>
    <row r="4" spans="1:34" ht="18">
      <c r="D4" s="56">
        <v>45931</v>
      </c>
      <c r="G4" s="71" t="s">
        <v>806</v>
      </c>
      <c r="I4" s="1"/>
      <c r="J4" s="1"/>
      <c r="K4" s="1"/>
      <c r="L4" s="1"/>
      <c r="M4" s="1"/>
      <c r="N4" s="1"/>
      <c r="O4" s="1"/>
      <c r="P4" s="1"/>
    </row>
    <row r="5" spans="1:34" ht="18.75">
      <c r="I5" s="2"/>
      <c r="J5" s="2"/>
      <c r="K5" s="2"/>
      <c r="L5" s="2"/>
      <c r="P5" s="83" t="str">
        <f>個別契約書X!O61</f>
        <v>愛知県名古屋市東区徳川2-18-18</v>
      </c>
      <c r="Y5" t="e">
        <f>_xlfn.XLOOKUP(koko,#REF!,#REF!,"",0,1)</f>
        <v>#NAME?</v>
      </c>
    </row>
    <row r="6" spans="1:34" ht="18.75">
      <c r="I6" s="2"/>
      <c r="J6" s="2"/>
      <c r="K6" s="2"/>
      <c r="L6" s="2"/>
      <c r="O6" s="52"/>
      <c r="P6" s="52" t="s">
        <v>14</v>
      </c>
    </row>
    <row r="7" spans="1:34" ht="18">
      <c r="I7" s="51" t="str">
        <f>CONCATENATE(TEXT(個別契約書X!A59,"gggyy年m月d日"),"付の労働者派遣個別契約に基づき以下の者を派遣します。")</f>
        <v>令和07年9月29日付の労働者派遣個別契約に基づき以下の者を派遣します。</v>
      </c>
      <c r="J7" s="30"/>
      <c r="K7" s="30"/>
      <c r="L7" s="30"/>
      <c r="M7" s="30"/>
      <c r="N7" s="2"/>
      <c r="O7" s="2"/>
      <c r="P7" s="30"/>
    </row>
    <row r="8" spans="1:34" ht="18.75" customHeight="1">
      <c r="H8" s="3" t="s">
        <v>5</v>
      </c>
      <c r="I8" s="48" t="s">
        <v>25</v>
      </c>
      <c r="J8" s="48" t="s">
        <v>7</v>
      </c>
      <c r="K8" s="48" t="s">
        <v>8</v>
      </c>
      <c r="L8" s="48" t="s">
        <v>9</v>
      </c>
      <c r="M8" s="48" t="s">
        <v>10</v>
      </c>
      <c r="N8" s="48" t="s">
        <v>11</v>
      </c>
      <c r="O8" s="48" t="s">
        <v>12</v>
      </c>
      <c r="P8" s="48" t="s">
        <v>394</v>
      </c>
    </row>
    <row r="9" spans="1:34" ht="18.75" customHeight="1">
      <c r="A9" cm="1">
        <f t="array" aca="1" ref="A9:A22" ca="1">_xlfn._xlws.FILTER(TablaTransfor[社員№],TablaTransfor[ライン]=ライン,"")</f>
        <v>210102</v>
      </c>
      <c r="B9" t="str" cm="1">
        <f t="array" aca="1" ref="B9" ca="1">_xlfn._xlws.FILTER(TablaTransfor[カナ],(TablaTransfor[ライン]=ライン)*(TablaTransfor[現在]="在職中")*(TablaTransfor[単価]=時給単価),"")</f>
        <v>グエン　ヴァン　ティ</v>
      </c>
      <c r="C9" t="str" cm="1">
        <f t="array" aca="1" ref="C9" ca="1">_xlfn._xlws.FILTER(TablaTransfor[性別],(TablaTransfor[ライン]=ライン)*(TablaTransfor[現在]="在職中")*(TablaTransfor[単価]=時給単価),"")</f>
        <v>男</v>
      </c>
      <c r="D9" s="31" cm="1">
        <f t="array" aca="1" ref="D9" ca="1">_xlfn._xlws.FILTER(TablaTransfor[生年月日],(TablaTransfor[ライン]=ライン)*(TablaTransfor[現在]="在職中")*(TablaTransfor[単価]=時給単価),"")</f>
        <v>35429</v>
      </c>
      <c r="E9" cm="1">
        <f t="array" aca="1" ref="E9" ca="1">_xlfn._xlws.FILTER(TablaTransfor[年齢],(TablaTransfor[ライン]=ライン)*(TablaTransfor[現在]="在職中")*(TablaTransfor[単価]=時給単価),"")</f>
        <v>28</v>
      </c>
      <c r="F9" cm="1">
        <f t="array" aca="1" ref="F9" ca="1">_xlfn._xlws.FILTER(TablaTransfor[単価],(TablaTransfor[ライン]=ライン)*(TablaTransfor[現在]="在職中")*(TablaTransfor[単価]=時給単価),"")</f>
        <v>1720</v>
      </c>
      <c r="G9" s="31" cm="1">
        <f t="array" aca="1" ref="G9" ca="1">_xlfn._xlws.FILTER(TablaTransfor[unicosC],(TablaTransfor[ライン]=ライン)*(TablaTransfor[現在]="在職中")*(TablaTransfor[単価]=時給単価),"")</f>
        <v>45566</v>
      </c>
      <c r="H9" s="21">
        <f ca="1">IF(I9="","",1)</f>
        <v>1</v>
      </c>
      <c r="I9" s="45" t="str" cm="1">
        <f t="array" aca="1" ref="I9" ca="1">_xlfn._xlws.FILTER(TablaTransfor[カナ],(TablaTransfor[ライン]=ライン)*(TablaTransfor[現在]="在職中")*(TablaTransfor[単価]=時給単価)*HakenKikanE&gt;=TablaTransfor[入社日],"")</f>
        <v>グエン　ヴァン　ティ</v>
      </c>
      <c r="J9" s="48" t="str" cm="1">
        <f t="array" aca="1" ref="J9" ca="1">_xlfn._xlws.FILTER(TablaTransfor[性別],(TablaTransfor[ライン]=ライン)*(TablaTransfor[現在]="在職中")*(TablaTransfor[単価]=時給単価)*HakenKikanE&gt;=TablaTransfor[入社日],"")</f>
        <v>男</v>
      </c>
      <c r="K9" s="48" t="str">
        <f ca="1">IF(H9="","",IF(E9&lt;=18,"18未満(     )歳",IF(AND((E9&gt;=18),(E9&lt;=45)),"18以上45歳未満",IF(AND((E9&gt;=46),(E9&lt;=60)),"46以上60歳未満",IF(E9&lt;=60,"60歳未満","60歳以上")))))</f>
        <v>18以上45歳未満</v>
      </c>
      <c r="L9" s="48" t="str">
        <f ca="1">IF($H9="","","加入")</f>
        <v>加入</v>
      </c>
      <c r="M9" s="48" t="str">
        <f ca="1">IF($H9="","","加入")</f>
        <v>加入</v>
      </c>
      <c r="N9" s="48" t="str">
        <f ca="1">IF($H9="","","加入")</f>
        <v>加入</v>
      </c>
      <c r="O9" s="48" t="str">
        <f ca="1">IF($H9="","",IF(_xlfn.XLOOKUP(I9,TablaTransfor[カナ],TablaTransfor[入社日],"",0,-1)+1095&lt;HakenKikanE,"無期雇用","有期雇用（3ヵ月)"))</f>
        <v>無期雇用</v>
      </c>
      <c r="P9" s="48" t="str">
        <f ca="1">IF($H9="","","協定対象派遣労働者(労使協定式方式)")</f>
        <v>協定対象派遣労働者(労使協定式方式)</v>
      </c>
      <c r="R9" cm="1">
        <f t="array" aca="1" ref="R9:R22" ca="1">_xlfn._xlws.FILTER(TablaTransfor[社員№],TablaTransfor[ライン]=ライン,"")</f>
        <v>210102</v>
      </c>
      <c r="AD9" s="68"/>
    </row>
    <row r="10" spans="1:34" ht="18.75" customHeight="1">
      <c r="A10">
        <f ca="1"/>
        <v>220503</v>
      </c>
      <c r="H10" s="21" t="str">
        <f ca="1">IF(I10="","",H9+1)</f>
        <v/>
      </c>
      <c r="I10" s="45"/>
      <c r="J10" s="22"/>
      <c r="K10" s="48" t="str">
        <f t="shared" ref="K10:K49" ca="1" si="0">IF(H10="","",IF(E10&lt;=18,"18未満(     )歳",IF(AND((E10&gt;=18),(E10&lt;=45)),"18以上45歳未満",IF(AND((E10&gt;=46),(E10&lt;=60)),"46以上60歳未満",IF(E10&lt;=60,"60歳未満","60歳以上")))))</f>
        <v/>
      </c>
      <c r="L10" s="48" t="str">
        <f t="shared" ref="L10:N49" ca="1" si="1">IF($H10="","","加入")</f>
        <v/>
      </c>
      <c r="M10" s="48" t="str">
        <f t="shared" ca="1" si="1"/>
        <v/>
      </c>
      <c r="N10" s="48" t="str">
        <f t="shared" ca="1" si="1"/>
        <v/>
      </c>
      <c r="O10" s="48" t="str">
        <f ca="1">IF($H10="","",IF(_xlfn.XLOOKUP(I10,TablaTransfor[カナ],TablaTransfor[入社日],"",0,-1)+1095&lt;HakenKikanE,"無期雇用","有期雇用（3ヵ月)"))</f>
        <v/>
      </c>
      <c r="P10" s="48" t="str">
        <f t="shared" ref="P10:P49" ca="1" si="2">IF($H10="","","協定対象派遣労働者(労使協定式方式)")</f>
        <v/>
      </c>
      <c r="R10">
        <f ca="1"/>
        <v>220503</v>
      </c>
      <c r="AH10">
        <v>1</v>
      </c>
    </row>
    <row r="11" spans="1:34" ht="18.75" customHeight="1">
      <c r="A11">
        <f ca="1"/>
        <v>221102</v>
      </c>
      <c r="H11" s="21" t="str">
        <f t="shared" ref="H11:H49" ca="1" si="3">IF(I11="","",H10+1)</f>
        <v/>
      </c>
      <c r="I11" s="45"/>
      <c r="J11" s="22"/>
      <c r="K11" s="48" t="str">
        <f t="shared" ca="1" si="0"/>
        <v/>
      </c>
      <c r="L11" s="48" t="str">
        <f t="shared" ca="1" si="1"/>
        <v/>
      </c>
      <c r="M11" s="48" t="str">
        <f t="shared" ca="1" si="1"/>
        <v/>
      </c>
      <c r="N11" s="48" t="str">
        <f t="shared" ca="1" si="1"/>
        <v/>
      </c>
      <c r="O11" s="48" t="str">
        <f ca="1">IF($H11="","",IF(_xlfn.XLOOKUP(I11,TablaTransfor[カナ],TablaTransfor[入社日],"",0,-1)+1095&lt;HakenKikanE,"無期雇用","有期雇用（3ヵ月)"))</f>
        <v/>
      </c>
      <c r="P11" s="48" t="str">
        <f t="shared" ca="1" si="2"/>
        <v/>
      </c>
      <c r="R11">
        <f ca="1"/>
        <v>221102</v>
      </c>
    </row>
    <row r="12" spans="1:34" ht="18.75" customHeight="1">
      <c r="A12">
        <f ca="1"/>
        <v>221210</v>
      </c>
      <c r="H12" s="21" t="str">
        <f t="shared" ca="1" si="3"/>
        <v/>
      </c>
      <c r="I12" s="45"/>
      <c r="J12" s="22"/>
      <c r="K12" s="48" t="str">
        <f t="shared" ca="1" si="0"/>
        <v/>
      </c>
      <c r="L12" s="48" t="str">
        <f t="shared" ca="1" si="1"/>
        <v/>
      </c>
      <c r="M12" s="48" t="str">
        <f t="shared" ca="1" si="1"/>
        <v/>
      </c>
      <c r="N12" s="48" t="str">
        <f t="shared" ca="1" si="1"/>
        <v/>
      </c>
      <c r="O12" s="48" t="str">
        <f ca="1">IF($H12="","",IF(_xlfn.XLOOKUP(I12,TablaTransfor[カナ],TablaTransfor[入社日],"",0,-1)+1095&lt;HakenKikanE,"無期雇用","有期雇用（3ヵ月)"))</f>
        <v/>
      </c>
      <c r="P12" s="48" t="str">
        <f t="shared" ca="1" si="2"/>
        <v/>
      </c>
      <c r="R12">
        <f ca="1"/>
        <v>221210</v>
      </c>
    </row>
    <row r="13" spans="1:34" ht="18.75" customHeight="1">
      <c r="A13">
        <f ca="1"/>
        <v>250224</v>
      </c>
      <c r="H13" s="21" t="str">
        <f t="shared" ca="1" si="3"/>
        <v/>
      </c>
      <c r="I13" s="45"/>
      <c r="J13" s="22"/>
      <c r="K13" s="48" t="str">
        <f t="shared" ca="1" si="0"/>
        <v/>
      </c>
      <c r="L13" s="48" t="str">
        <f t="shared" ca="1" si="1"/>
        <v/>
      </c>
      <c r="M13" s="48" t="str">
        <f t="shared" ca="1" si="1"/>
        <v/>
      </c>
      <c r="N13" s="48" t="str">
        <f t="shared" ca="1" si="1"/>
        <v/>
      </c>
      <c r="O13" s="48" t="str">
        <f ca="1">IF($H13="","",IF(_xlfn.XLOOKUP(I13,TablaTransfor[カナ],TablaTransfor[入社日],"",0,-1)+1095&lt;HakenKikanE,"無期雇用","有期雇用（3ヵ月)"))</f>
        <v/>
      </c>
      <c r="P13" s="48" t="str">
        <f t="shared" ca="1" si="2"/>
        <v/>
      </c>
      <c r="R13">
        <f ca="1"/>
        <v>250224</v>
      </c>
    </row>
    <row r="14" spans="1:34" ht="18.75" customHeight="1">
      <c r="A14">
        <f ca="1"/>
        <v>231205</v>
      </c>
      <c r="H14" s="21" t="str">
        <f t="shared" ca="1" si="3"/>
        <v/>
      </c>
      <c r="I14" s="45"/>
      <c r="J14" s="22"/>
      <c r="K14" s="48" t="str">
        <f t="shared" ca="1" si="0"/>
        <v/>
      </c>
      <c r="L14" s="48" t="str">
        <f t="shared" ca="1" si="1"/>
        <v/>
      </c>
      <c r="M14" s="48" t="str">
        <f t="shared" ca="1" si="1"/>
        <v/>
      </c>
      <c r="N14" s="48" t="str">
        <f t="shared" ca="1" si="1"/>
        <v/>
      </c>
      <c r="O14" s="48" t="str">
        <f ca="1">IF($H14="","",IF(_xlfn.XLOOKUP(I14,TablaTransfor[カナ],TablaTransfor[入社日],"",0,-1)+1095&lt;HakenKikanE,"無期雇用","有期雇用（3ヵ月)"))</f>
        <v/>
      </c>
      <c r="P14" s="48" t="str">
        <f t="shared" ca="1" si="2"/>
        <v/>
      </c>
      <c r="R14">
        <f ca="1"/>
        <v>231205</v>
      </c>
    </row>
    <row r="15" spans="1:34" ht="18.75" customHeight="1">
      <c r="A15">
        <f ca="1"/>
        <v>231102</v>
      </c>
      <c r="H15" s="21" t="str">
        <f t="shared" ca="1" si="3"/>
        <v/>
      </c>
      <c r="I15" s="45"/>
      <c r="J15" s="22"/>
      <c r="K15" s="48" t="str">
        <f t="shared" ca="1" si="0"/>
        <v/>
      </c>
      <c r="L15" s="48" t="str">
        <f t="shared" ca="1" si="1"/>
        <v/>
      </c>
      <c r="M15" s="48" t="str">
        <f t="shared" ca="1" si="1"/>
        <v/>
      </c>
      <c r="N15" s="48" t="str">
        <f t="shared" ca="1" si="1"/>
        <v/>
      </c>
      <c r="O15" s="48" t="str">
        <f ca="1">IF($H15="","",IF(_xlfn.XLOOKUP(I15,TablaTransfor[カナ],TablaTransfor[入社日],"",0,-1)+1095&lt;HakenKikanE,"無期雇用","有期雇用（3ヵ月)"))</f>
        <v/>
      </c>
      <c r="P15" s="48" t="str">
        <f t="shared" ca="1" si="2"/>
        <v/>
      </c>
      <c r="R15">
        <f ca="1"/>
        <v>231102</v>
      </c>
    </row>
    <row r="16" spans="1:34" ht="18.75" customHeight="1">
      <c r="A16">
        <f ca="1"/>
        <v>230811</v>
      </c>
      <c r="H16" s="21" t="str">
        <f t="shared" ca="1" si="3"/>
        <v/>
      </c>
      <c r="I16" s="45"/>
      <c r="J16" s="22"/>
      <c r="K16" s="48" t="str">
        <f t="shared" ca="1" si="0"/>
        <v/>
      </c>
      <c r="L16" s="48" t="str">
        <f t="shared" ca="1" si="1"/>
        <v/>
      </c>
      <c r="M16" s="48" t="str">
        <f t="shared" ca="1" si="1"/>
        <v/>
      </c>
      <c r="N16" s="48" t="str">
        <f t="shared" ca="1" si="1"/>
        <v/>
      </c>
      <c r="O16" s="48" t="str">
        <f ca="1">IF($H16="","",IF(_xlfn.XLOOKUP(I16,TablaTransfor[カナ],TablaTransfor[入社日],"",0,-1)+1095&lt;HakenKikanE,"無期雇用","有期雇用（3ヵ月)"))</f>
        <v/>
      </c>
      <c r="P16" s="48" t="str">
        <f t="shared" ca="1" si="2"/>
        <v/>
      </c>
      <c r="R16">
        <f ca="1"/>
        <v>230811</v>
      </c>
    </row>
    <row r="17" spans="1:18" ht="18.75" customHeight="1">
      <c r="A17">
        <f ca="1"/>
        <v>250608</v>
      </c>
      <c r="H17" s="21" t="str">
        <f t="shared" ca="1" si="3"/>
        <v/>
      </c>
      <c r="I17" s="45"/>
      <c r="J17" s="22"/>
      <c r="K17" s="48" t="str">
        <f t="shared" ca="1" si="0"/>
        <v/>
      </c>
      <c r="L17" s="48" t="str">
        <f t="shared" ca="1" si="1"/>
        <v/>
      </c>
      <c r="M17" s="48" t="str">
        <f t="shared" ca="1" si="1"/>
        <v/>
      </c>
      <c r="N17" s="48" t="str">
        <f t="shared" ca="1" si="1"/>
        <v/>
      </c>
      <c r="O17" s="48" t="str">
        <f ca="1">IF($H17="","",IF(_xlfn.XLOOKUP(I17,TablaTransfor[カナ],TablaTransfor[入社日],"",0,-1)+1095&lt;HakenKikanE,"無期雇用","有期雇用（3ヵ月)"))</f>
        <v/>
      </c>
      <c r="P17" s="48" t="str">
        <f t="shared" ca="1" si="2"/>
        <v/>
      </c>
      <c r="R17">
        <f ca="1"/>
        <v>250608</v>
      </c>
    </row>
    <row r="18" spans="1:18" ht="18.75" customHeight="1">
      <c r="A18">
        <f ca="1"/>
        <v>230505</v>
      </c>
      <c r="H18" s="21" t="str">
        <f t="shared" ca="1" si="3"/>
        <v/>
      </c>
      <c r="I18" s="45"/>
      <c r="J18" s="22"/>
      <c r="K18" s="48" t="str">
        <f t="shared" ca="1" si="0"/>
        <v/>
      </c>
      <c r="L18" s="48" t="str">
        <f t="shared" ca="1" si="1"/>
        <v/>
      </c>
      <c r="M18" s="48" t="str">
        <f t="shared" ca="1" si="1"/>
        <v/>
      </c>
      <c r="N18" s="48" t="str">
        <f t="shared" ca="1" si="1"/>
        <v/>
      </c>
      <c r="O18" s="48" t="str">
        <f ca="1">IF($H18="","",IF(_xlfn.XLOOKUP(I18,TablaTransfor[カナ],TablaTransfor[入社日],"",0,-1)+1095&lt;HakenKikanE,"無期雇用","有期雇用（3ヵ月)"))</f>
        <v/>
      </c>
      <c r="P18" s="48" t="str">
        <f t="shared" ca="1" si="2"/>
        <v/>
      </c>
      <c r="R18">
        <f ca="1"/>
        <v>230505</v>
      </c>
    </row>
    <row r="19" spans="1:18" ht="18.75" customHeight="1">
      <c r="A19">
        <f ca="1"/>
        <v>240504</v>
      </c>
      <c r="H19" s="21" t="str">
        <f t="shared" ca="1" si="3"/>
        <v/>
      </c>
      <c r="I19" s="45"/>
      <c r="J19" s="22"/>
      <c r="K19" s="48" t="str">
        <f t="shared" ca="1" si="0"/>
        <v/>
      </c>
      <c r="L19" s="48" t="str">
        <f t="shared" ca="1" si="1"/>
        <v/>
      </c>
      <c r="M19" s="48" t="str">
        <f t="shared" ca="1" si="1"/>
        <v/>
      </c>
      <c r="N19" s="48" t="str">
        <f t="shared" ca="1" si="1"/>
        <v/>
      </c>
      <c r="O19" s="48" t="str">
        <f ca="1">IF($H19="","",IF(_xlfn.XLOOKUP(I19,TablaTransfor[カナ],TablaTransfor[入社日],"",0,-1)+1095&lt;HakenKikanE,"無期雇用","有期雇用（3ヵ月)"))</f>
        <v/>
      </c>
      <c r="P19" s="48" t="str">
        <f t="shared" ca="1" si="2"/>
        <v/>
      </c>
      <c r="R19">
        <f ca="1"/>
        <v>240504</v>
      </c>
    </row>
    <row r="20" spans="1:18" ht="18.75" customHeight="1">
      <c r="A20">
        <f ca="1"/>
        <v>240317</v>
      </c>
      <c r="H20" s="21" t="str">
        <f t="shared" ca="1" si="3"/>
        <v/>
      </c>
      <c r="I20" s="45"/>
      <c r="J20" s="22"/>
      <c r="K20" s="48" t="str">
        <f t="shared" ca="1" si="0"/>
        <v/>
      </c>
      <c r="L20" s="48" t="str">
        <f t="shared" ca="1" si="1"/>
        <v/>
      </c>
      <c r="M20" s="48" t="str">
        <f t="shared" ca="1" si="1"/>
        <v/>
      </c>
      <c r="N20" s="48" t="str">
        <f t="shared" ca="1" si="1"/>
        <v/>
      </c>
      <c r="O20" s="48" t="str">
        <f ca="1">IF($H20="","",IF(_xlfn.XLOOKUP(I20,TablaTransfor[カナ],TablaTransfor[入社日],"",0,-1)+1095&lt;HakenKikanE,"無期雇用","有期雇用（3ヵ月)"))</f>
        <v/>
      </c>
      <c r="P20" s="48" t="str">
        <f t="shared" ca="1" si="2"/>
        <v/>
      </c>
      <c r="R20">
        <f ca="1"/>
        <v>240317</v>
      </c>
    </row>
    <row r="21" spans="1:18" ht="18.75" customHeight="1">
      <c r="A21">
        <f ca="1"/>
        <v>220212</v>
      </c>
      <c r="H21" s="21" t="str">
        <f t="shared" ca="1" si="3"/>
        <v/>
      </c>
      <c r="I21" s="45"/>
      <c r="J21" s="22"/>
      <c r="K21" s="48" t="str">
        <f t="shared" ca="1" si="0"/>
        <v/>
      </c>
      <c r="L21" s="48" t="str">
        <f t="shared" ca="1" si="1"/>
        <v/>
      </c>
      <c r="M21" s="48" t="str">
        <f t="shared" ca="1" si="1"/>
        <v/>
      </c>
      <c r="N21" s="48" t="str">
        <f t="shared" ca="1" si="1"/>
        <v/>
      </c>
      <c r="O21" s="48" t="str">
        <f ca="1">IF($H21="","",IF(_xlfn.XLOOKUP(I21,TablaTransfor[カナ],TablaTransfor[入社日],"",0,-1)+1095&lt;HakenKikanE,"無期雇用","有期雇用（3ヵ月)"))</f>
        <v/>
      </c>
      <c r="P21" s="48" t="str">
        <f t="shared" ca="1" si="2"/>
        <v/>
      </c>
      <c r="R21">
        <f ca="1"/>
        <v>220212</v>
      </c>
    </row>
    <row r="22" spans="1:18" ht="18.75" customHeight="1">
      <c r="A22">
        <f ca="1"/>
        <v>241202</v>
      </c>
      <c r="H22" s="25" t="str">
        <f t="shared" ca="1" si="3"/>
        <v/>
      </c>
      <c r="I22" s="46"/>
      <c r="J22" s="42"/>
      <c r="K22" s="48" t="str">
        <f t="shared" ca="1" si="0"/>
        <v/>
      </c>
      <c r="L22" s="49" t="str">
        <f t="shared" ca="1" si="1"/>
        <v/>
      </c>
      <c r="M22" s="49" t="str">
        <f t="shared" ca="1" si="1"/>
        <v/>
      </c>
      <c r="N22" s="49" t="str">
        <f t="shared" ca="1" si="1"/>
        <v/>
      </c>
      <c r="O22" s="48" t="str">
        <f ca="1">IF($H22="","",IF(_xlfn.XLOOKUP(I22,TablaTransfor[カナ],TablaTransfor[入社日],"",0,-1)+1095&lt;HakenKikanE,"無期雇用","有期雇用（3ヵ月)"))</f>
        <v/>
      </c>
      <c r="P22" s="48" t="str">
        <f t="shared" ca="1" si="2"/>
        <v/>
      </c>
      <c r="R22">
        <f ca="1"/>
        <v>241202</v>
      </c>
    </row>
    <row r="23" spans="1:18" ht="18.75" customHeight="1">
      <c r="H23" s="21" t="str">
        <f t="shared" ca="1" si="3"/>
        <v/>
      </c>
      <c r="I23" s="45"/>
      <c r="J23" s="22"/>
      <c r="K23" s="48" t="str">
        <f t="shared" ca="1" si="0"/>
        <v/>
      </c>
      <c r="L23" s="48" t="str">
        <f t="shared" ca="1" si="1"/>
        <v/>
      </c>
      <c r="M23" s="48" t="str">
        <f t="shared" ca="1" si="1"/>
        <v/>
      </c>
      <c r="N23" s="48" t="str">
        <f t="shared" ca="1" si="1"/>
        <v/>
      </c>
      <c r="O23" s="48" t="str">
        <f ca="1">IF($H23="","",IF(_xlfn.XLOOKUP(I23,TablaTransfor[カナ],TablaTransfor[入社日],"",0,-1)+1095&lt;HakenKikanE,"無期雇用","有期雇用（3ヵ月)"))</f>
        <v/>
      </c>
      <c r="P23" s="48" t="str">
        <f t="shared" ca="1" si="2"/>
        <v/>
      </c>
    </row>
    <row r="24" spans="1:18" ht="18.75" customHeight="1">
      <c r="H24" s="21" t="str">
        <f t="shared" ca="1" si="3"/>
        <v/>
      </c>
      <c r="I24" s="45"/>
      <c r="J24" s="22"/>
      <c r="K24" s="48" t="str">
        <f t="shared" ca="1" si="0"/>
        <v/>
      </c>
      <c r="L24" s="48" t="str">
        <f t="shared" ca="1" si="1"/>
        <v/>
      </c>
      <c r="M24" s="48" t="str">
        <f t="shared" ca="1" si="1"/>
        <v/>
      </c>
      <c r="N24" s="48" t="str">
        <f t="shared" ca="1" si="1"/>
        <v/>
      </c>
      <c r="O24" s="48" t="str">
        <f ca="1">IF($H24="","",IF(_xlfn.XLOOKUP(I24,TablaTransfor[カナ],TablaTransfor[入社日],"",0,-1)+1095&lt;HakenKikanE,"無期雇用","有期雇用（3ヵ月)"))</f>
        <v/>
      </c>
      <c r="P24" s="48" t="str">
        <f t="shared" ca="1" si="2"/>
        <v/>
      </c>
    </row>
    <row r="25" spans="1:18" ht="18.75" customHeight="1">
      <c r="H25" s="21" t="str">
        <f t="shared" ca="1" si="3"/>
        <v/>
      </c>
      <c r="I25" s="45"/>
      <c r="J25" s="22"/>
      <c r="K25" s="48" t="str">
        <f t="shared" ca="1" si="0"/>
        <v/>
      </c>
      <c r="L25" s="48" t="str">
        <f t="shared" ca="1" si="1"/>
        <v/>
      </c>
      <c r="M25" s="48" t="str">
        <f t="shared" ca="1" si="1"/>
        <v/>
      </c>
      <c r="N25" s="48" t="str">
        <f t="shared" ca="1" si="1"/>
        <v/>
      </c>
      <c r="O25" s="48" t="str">
        <f ca="1">IF($H25="","",IF(_xlfn.XLOOKUP(I25,TablaTransfor[カナ],TablaTransfor[入社日],"",0,-1)+1095&lt;HakenKikanE,"無期雇用","有期雇用（3ヵ月)"))</f>
        <v/>
      </c>
      <c r="P25" s="48" t="str">
        <f t="shared" ca="1" si="2"/>
        <v/>
      </c>
    </row>
    <row r="26" spans="1:18" ht="18.75" customHeight="1">
      <c r="H26" s="21" t="str">
        <f t="shared" ca="1" si="3"/>
        <v/>
      </c>
      <c r="I26" s="45"/>
      <c r="J26" s="22"/>
      <c r="K26" s="48" t="str">
        <f t="shared" ca="1" si="0"/>
        <v/>
      </c>
      <c r="L26" s="48" t="str">
        <f t="shared" ca="1" si="1"/>
        <v/>
      </c>
      <c r="M26" s="48" t="str">
        <f t="shared" ca="1" si="1"/>
        <v/>
      </c>
      <c r="N26" s="48" t="str">
        <f t="shared" ca="1" si="1"/>
        <v/>
      </c>
      <c r="O26" s="48" t="str">
        <f ca="1">IF($H26="","",IF(_xlfn.XLOOKUP(I26,TablaTransfor[カナ],TablaTransfor[入社日],"",0,-1)+1095&lt;HakenKikanE,"無期雇用","有期雇用（3ヵ月)"))</f>
        <v/>
      </c>
      <c r="P26" s="48" t="str">
        <f t="shared" ca="1" si="2"/>
        <v/>
      </c>
    </row>
    <row r="27" spans="1:18" ht="18.75" customHeight="1">
      <c r="H27" s="21" t="str">
        <f t="shared" ca="1" si="3"/>
        <v/>
      </c>
      <c r="I27" s="45"/>
      <c r="J27" s="22"/>
      <c r="K27" s="48" t="str">
        <f t="shared" ca="1" si="0"/>
        <v/>
      </c>
      <c r="L27" s="48" t="str">
        <f t="shared" ca="1" si="1"/>
        <v/>
      </c>
      <c r="M27" s="48" t="str">
        <f t="shared" ca="1" si="1"/>
        <v/>
      </c>
      <c r="N27" s="48" t="str">
        <f t="shared" ca="1" si="1"/>
        <v/>
      </c>
      <c r="O27" s="48" t="str">
        <f ca="1">IF($H27="","",IF(_xlfn.XLOOKUP(I27,TablaTransfor[カナ],TablaTransfor[入社日],"",0,-1)+1095&lt;HakenKikanE,"無期雇用","有期雇用（3ヵ月)"))</f>
        <v/>
      </c>
      <c r="P27" s="48" t="str">
        <f t="shared" ca="1" si="2"/>
        <v/>
      </c>
    </row>
    <row r="28" spans="1:18" ht="18.75" customHeight="1">
      <c r="H28" s="27" t="str">
        <f t="shared" ca="1" si="3"/>
        <v/>
      </c>
      <c r="I28" s="47"/>
      <c r="J28" s="44"/>
      <c r="K28" s="48" t="str">
        <f t="shared" ca="1" si="0"/>
        <v/>
      </c>
      <c r="L28" s="50" t="str">
        <f t="shared" ca="1" si="1"/>
        <v/>
      </c>
      <c r="M28" s="50" t="str">
        <f t="shared" ca="1" si="1"/>
        <v/>
      </c>
      <c r="N28" s="50" t="str">
        <f t="shared" ca="1" si="1"/>
        <v/>
      </c>
      <c r="O28" s="48" t="str">
        <f ca="1">IF($H28="","",IF(_xlfn.XLOOKUP(I28,TablaTransfor[カナ],TablaTransfor[入社日],"",0,-1)+1095&lt;HakenKikanE,"無期雇用","有期雇用（3ヵ月)"))</f>
        <v/>
      </c>
      <c r="P28" s="48" t="str">
        <f t="shared" ca="1" si="2"/>
        <v/>
      </c>
    </row>
    <row r="29" spans="1:18" ht="18.75" customHeight="1">
      <c r="H29" s="21" t="str">
        <f t="shared" ca="1" si="3"/>
        <v/>
      </c>
      <c r="I29" s="45"/>
      <c r="J29" s="22"/>
      <c r="K29" s="48" t="str">
        <f t="shared" ca="1" si="0"/>
        <v/>
      </c>
      <c r="L29" s="48" t="str">
        <f t="shared" ca="1" si="1"/>
        <v/>
      </c>
      <c r="M29" s="48" t="str">
        <f t="shared" ca="1" si="1"/>
        <v/>
      </c>
      <c r="N29" s="48" t="str">
        <f t="shared" ca="1" si="1"/>
        <v/>
      </c>
      <c r="O29" s="48" t="str">
        <f ca="1">IF($H29="","",IF(_xlfn.XLOOKUP(I29,TablaTransfor[カナ],TablaTransfor[入社日],"",0,-1)+1095&lt;HakenKikanE,"無期雇用","有期雇用（3ヵ月)"))</f>
        <v/>
      </c>
      <c r="P29" s="48" t="str">
        <f t="shared" ca="1" si="2"/>
        <v/>
      </c>
    </row>
    <row r="30" spans="1:18" ht="18.75" customHeight="1">
      <c r="H30" s="21" t="str">
        <f t="shared" ca="1" si="3"/>
        <v/>
      </c>
      <c r="I30" s="45"/>
      <c r="J30" s="22"/>
      <c r="K30" s="48" t="str">
        <f t="shared" ca="1" si="0"/>
        <v/>
      </c>
      <c r="L30" s="48" t="str">
        <f t="shared" ca="1" si="1"/>
        <v/>
      </c>
      <c r="M30" s="48" t="str">
        <f t="shared" ca="1" si="1"/>
        <v/>
      </c>
      <c r="N30" s="48" t="str">
        <f t="shared" ca="1" si="1"/>
        <v/>
      </c>
      <c r="O30" s="48" t="str">
        <f ca="1">IF($H30="","",IF(_xlfn.XLOOKUP(I30,TablaTransfor[カナ],TablaTransfor[入社日],"",0,-1)+1095&lt;HakenKikanE,"無期雇用","有期雇用（3ヵ月)"))</f>
        <v/>
      </c>
      <c r="P30" s="48" t="str">
        <f t="shared" ca="1" si="2"/>
        <v/>
      </c>
    </row>
    <row r="31" spans="1:18" ht="18.75" customHeight="1">
      <c r="H31" s="21" t="str">
        <f t="shared" ca="1" si="3"/>
        <v/>
      </c>
      <c r="I31" s="45"/>
      <c r="J31" s="22"/>
      <c r="K31" s="48" t="str">
        <f t="shared" ca="1" si="0"/>
        <v/>
      </c>
      <c r="L31" s="48" t="str">
        <f t="shared" ca="1" si="1"/>
        <v/>
      </c>
      <c r="M31" s="48" t="str">
        <f t="shared" ca="1" si="1"/>
        <v/>
      </c>
      <c r="N31" s="48" t="str">
        <f t="shared" ca="1" si="1"/>
        <v/>
      </c>
      <c r="O31" s="48" t="str">
        <f ca="1">IF($H31="","",IF(_xlfn.XLOOKUP(I31,TablaTransfor[カナ],TablaTransfor[入社日],"",0,-1)+1095&lt;HakenKikanE,"無期雇用","有期雇用（3ヵ月)"))</f>
        <v/>
      </c>
      <c r="P31" s="48" t="str">
        <f t="shared" ca="1" si="2"/>
        <v/>
      </c>
    </row>
    <row r="32" spans="1:18" ht="18.75" customHeight="1">
      <c r="H32" s="21" t="str">
        <f t="shared" ca="1" si="3"/>
        <v/>
      </c>
      <c r="I32" s="45"/>
      <c r="J32" s="22"/>
      <c r="K32" s="48" t="str">
        <f t="shared" ca="1" si="0"/>
        <v/>
      </c>
      <c r="L32" s="48" t="str">
        <f t="shared" ca="1" si="1"/>
        <v/>
      </c>
      <c r="M32" s="48" t="str">
        <f t="shared" ca="1" si="1"/>
        <v/>
      </c>
      <c r="N32" s="48" t="str">
        <f t="shared" ca="1" si="1"/>
        <v/>
      </c>
      <c r="O32" s="48" t="str">
        <f ca="1">IF($H32="","",IF(_xlfn.XLOOKUP(I32,TablaTransfor[カナ],TablaTransfor[入社日],"",0,-1)+1095&lt;HakenKikanE,"無期雇用","有期雇用（3ヵ月)"))</f>
        <v/>
      </c>
      <c r="P32" s="48" t="str">
        <f t="shared" ca="1" si="2"/>
        <v/>
      </c>
    </row>
    <row r="33" spans="8:16" ht="18.75" customHeight="1">
      <c r="H33" s="21" t="str">
        <f t="shared" ca="1" si="3"/>
        <v/>
      </c>
      <c r="I33" s="45"/>
      <c r="J33" s="22"/>
      <c r="K33" s="48" t="str">
        <f t="shared" ca="1" si="0"/>
        <v/>
      </c>
      <c r="L33" s="48" t="str">
        <f t="shared" ca="1" si="1"/>
        <v/>
      </c>
      <c r="M33" s="48" t="str">
        <f t="shared" ca="1" si="1"/>
        <v/>
      </c>
      <c r="N33" s="48" t="str">
        <f t="shared" ca="1" si="1"/>
        <v/>
      </c>
      <c r="O33" s="48" t="str">
        <f ca="1">IF($H33="","",IF(_xlfn.XLOOKUP(I33,TablaTransfor[カナ],TablaTransfor[入社日],"",0,-1)+1095&lt;HakenKikanE,"無期雇用","有期雇用（3ヵ月)"))</f>
        <v/>
      </c>
      <c r="P33" s="48" t="str">
        <f t="shared" ca="1" si="2"/>
        <v/>
      </c>
    </row>
    <row r="34" spans="8:16" ht="18.75" customHeight="1">
      <c r="H34" s="21" t="str">
        <f t="shared" ca="1" si="3"/>
        <v/>
      </c>
      <c r="I34" s="45"/>
      <c r="J34" s="22"/>
      <c r="K34" s="48" t="str">
        <f t="shared" ca="1" si="0"/>
        <v/>
      </c>
      <c r="L34" s="48" t="str">
        <f t="shared" ca="1" si="1"/>
        <v/>
      </c>
      <c r="M34" s="48" t="str">
        <f t="shared" ca="1" si="1"/>
        <v/>
      </c>
      <c r="N34" s="48" t="str">
        <f t="shared" ca="1" si="1"/>
        <v/>
      </c>
      <c r="O34" s="48" t="str">
        <f ca="1">IF($H34="","",IF(_xlfn.XLOOKUP(I34,TablaTransfor[カナ],TablaTransfor[入社日],"",0,-1)+1095&lt;HakenKikanE,"無期雇用","有期雇用（3ヵ月)"))</f>
        <v/>
      </c>
      <c r="P34" s="48" t="str">
        <f t="shared" ca="1" si="2"/>
        <v/>
      </c>
    </row>
    <row r="35" spans="8:16" ht="18.75" customHeight="1">
      <c r="H35" s="21" t="str">
        <f t="shared" ca="1" si="3"/>
        <v/>
      </c>
      <c r="I35" s="45"/>
      <c r="J35" s="22"/>
      <c r="K35" s="48" t="str">
        <f t="shared" ca="1" si="0"/>
        <v/>
      </c>
      <c r="L35" s="48" t="str">
        <f t="shared" ca="1" si="1"/>
        <v/>
      </c>
      <c r="M35" s="48" t="str">
        <f t="shared" ca="1" si="1"/>
        <v/>
      </c>
      <c r="N35" s="48" t="str">
        <f t="shared" ca="1" si="1"/>
        <v/>
      </c>
      <c r="O35" s="48" t="str">
        <f ca="1">IF($H35="","",IF(_xlfn.XLOOKUP(I35,TablaTransfor[カナ],TablaTransfor[入社日],"",0,-1)+1095&lt;HakenKikanE,"無期雇用","有期雇用（3ヵ月)"))</f>
        <v/>
      </c>
      <c r="P35" s="48" t="str">
        <f t="shared" ca="1" si="2"/>
        <v/>
      </c>
    </row>
    <row r="36" spans="8:16" ht="18.75" customHeight="1">
      <c r="H36" s="21" t="str">
        <f t="shared" ca="1" si="3"/>
        <v/>
      </c>
      <c r="I36" s="45"/>
      <c r="J36" s="22"/>
      <c r="K36" s="48" t="str">
        <f t="shared" ca="1" si="0"/>
        <v/>
      </c>
      <c r="L36" s="48" t="str">
        <f t="shared" ca="1" si="1"/>
        <v/>
      </c>
      <c r="M36" s="48" t="str">
        <f t="shared" ca="1" si="1"/>
        <v/>
      </c>
      <c r="N36" s="48" t="str">
        <f t="shared" ca="1" si="1"/>
        <v/>
      </c>
      <c r="O36" s="48" t="str">
        <f ca="1">IF($H36="","",IF(_xlfn.XLOOKUP(I36,TablaTransfor[カナ],TablaTransfor[入社日],"",0,-1)+1095&lt;HakenKikanE,"無期雇用","有期雇用（3ヵ月)"))</f>
        <v/>
      </c>
      <c r="P36" s="48" t="str">
        <f t="shared" ca="1" si="2"/>
        <v/>
      </c>
    </row>
    <row r="37" spans="8:16" ht="18.75" customHeight="1">
      <c r="H37" s="21" t="str">
        <f t="shared" ca="1" si="3"/>
        <v/>
      </c>
      <c r="I37" s="45"/>
      <c r="J37" s="22"/>
      <c r="K37" s="48" t="str">
        <f t="shared" ca="1" si="0"/>
        <v/>
      </c>
      <c r="L37" s="48" t="str">
        <f t="shared" ca="1" si="1"/>
        <v/>
      </c>
      <c r="M37" s="48" t="str">
        <f t="shared" ca="1" si="1"/>
        <v/>
      </c>
      <c r="N37" s="48" t="str">
        <f t="shared" ca="1" si="1"/>
        <v/>
      </c>
      <c r="O37" s="48" t="str">
        <f ca="1">IF($H37="","",IF(_xlfn.XLOOKUP(I37,TablaTransfor[カナ],TablaTransfor[入社日],"",0,-1)+1095&lt;HakenKikanE,"無期雇用","有期雇用（3ヵ月)"))</f>
        <v/>
      </c>
      <c r="P37" s="48" t="str">
        <f t="shared" ca="1" si="2"/>
        <v/>
      </c>
    </row>
    <row r="38" spans="8:16" ht="18.75" customHeight="1">
      <c r="H38" s="21" t="str">
        <f t="shared" ca="1" si="3"/>
        <v/>
      </c>
      <c r="I38" s="45"/>
      <c r="J38" s="22"/>
      <c r="K38" s="48" t="str">
        <f t="shared" ca="1" si="0"/>
        <v/>
      </c>
      <c r="L38" s="48" t="str">
        <f t="shared" ca="1" si="1"/>
        <v/>
      </c>
      <c r="M38" s="48" t="str">
        <f t="shared" ca="1" si="1"/>
        <v/>
      </c>
      <c r="N38" s="48" t="str">
        <f t="shared" ca="1" si="1"/>
        <v/>
      </c>
      <c r="O38" s="48" t="str">
        <f ca="1">IF($H38="","",IF(_xlfn.XLOOKUP(I38,TablaTransfor[カナ],TablaTransfor[入社日],"",0,-1)+1095&lt;HakenKikanE,"無期雇用","有期雇用（3ヵ月)"))</f>
        <v/>
      </c>
      <c r="P38" s="48" t="str">
        <f t="shared" ca="1" si="2"/>
        <v/>
      </c>
    </row>
    <row r="39" spans="8:16" ht="18.75" customHeight="1">
      <c r="H39" s="21" t="str">
        <f t="shared" ca="1" si="3"/>
        <v/>
      </c>
      <c r="I39" s="45"/>
      <c r="J39" s="22"/>
      <c r="K39" s="48" t="str">
        <f t="shared" ca="1" si="0"/>
        <v/>
      </c>
      <c r="L39" s="48" t="str">
        <f t="shared" ca="1" si="1"/>
        <v/>
      </c>
      <c r="M39" s="48" t="str">
        <f t="shared" ca="1" si="1"/>
        <v/>
      </c>
      <c r="N39" s="48" t="str">
        <f t="shared" ca="1" si="1"/>
        <v/>
      </c>
      <c r="O39" s="48" t="str">
        <f ca="1">IF($H39="","",IF(_xlfn.XLOOKUP(I39,TablaTransfor[カナ],TablaTransfor[入社日],"",0,-1)+1095&lt;HakenKikanE,"無期雇用","有期雇用（3ヵ月)"))</f>
        <v/>
      </c>
      <c r="P39" s="48" t="str">
        <f t="shared" ca="1" si="2"/>
        <v/>
      </c>
    </row>
    <row r="40" spans="8:16" ht="18.75" customHeight="1">
      <c r="H40" s="21" t="str">
        <f t="shared" ca="1" si="3"/>
        <v/>
      </c>
      <c r="I40" s="45"/>
      <c r="J40" s="22"/>
      <c r="K40" s="48" t="str">
        <f t="shared" ca="1" si="0"/>
        <v/>
      </c>
      <c r="L40" s="48" t="str">
        <f t="shared" ca="1" si="1"/>
        <v/>
      </c>
      <c r="M40" s="48" t="str">
        <f t="shared" ca="1" si="1"/>
        <v/>
      </c>
      <c r="N40" s="48" t="str">
        <f t="shared" ca="1" si="1"/>
        <v/>
      </c>
      <c r="O40" s="48" t="str">
        <f ca="1">IF($H40="","",IF(_xlfn.XLOOKUP(I40,TablaTransfor[カナ],TablaTransfor[入社日],"",0,-1)+1095&lt;HakenKikanE,"無期雇用","有期雇用（3ヵ月)"))</f>
        <v/>
      </c>
      <c r="P40" s="48" t="str">
        <f t="shared" ca="1" si="2"/>
        <v/>
      </c>
    </row>
    <row r="41" spans="8:16" ht="18.75" customHeight="1">
      <c r="H41" s="21" t="str">
        <f t="shared" ca="1" si="3"/>
        <v/>
      </c>
      <c r="I41" s="45"/>
      <c r="J41" s="22"/>
      <c r="K41" s="48" t="str">
        <f t="shared" ca="1" si="0"/>
        <v/>
      </c>
      <c r="L41" s="48" t="str">
        <f t="shared" ca="1" si="1"/>
        <v/>
      </c>
      <c r="M41" s="48" t="str">
        <f t="shared" ca="1" si="1"/>
        <v/>
      </c>
      <c r="N41" s="48" t="str">
        <f t="shared" ca="1" si="1"/>
        <v/>
      </c>
      <c r="O41" s="48" t="str">
        <f ca="1">IF($H41="","",IF(_xlfn.XLOOKUP(I41,TablaTransfor[カナ],TablaTransfor[入社日],"",0,-1)+1095&lt;HakenKikanE,"無期雇用","有期雇用（3ヵ月)"))</f>
        <v/>
      </c>
      <c r="P41" s="48" t="str">
        <f t="shared" ca="1" si="2"/>
        <v/>
      </c>
    </row>
    <row r="42" spans="8:16" ht="18.75" customHeight="1">
      <c r="H42" s="21" t="str">
        <f t="shared" ca="1" si="3"/>
        <v/>
      </c>
      <c r="I42" s="45"/>
      <c r="J42" s="22"/>
      <c r="K42" s="48" t="str">
        <f t="shared" ca="1" si="0"/>
        <v/>
      </c>
      <c r="L42" s="48" t="str">
        <f t="shared" ca="1" si="1"/>
        <v/>
      </c>
      <c r="M42" s="48" t="str">
        <f t="shared" ca="1" si="1"/>
        <v/>
      </c>
      <c r="N42" s="48" t="str">
        <f t="shared" ca="1" si="1"/>
        <v/>
      </c>
      <c r="O42" s="48" t="str">
        <f ca="1">IF($H42="","",IF(_xlfn.XLOOKUP(I42,TablaTransfor[カナ],TablaTransfor[入社日],"",0,-1)+1095&lt;HakenKikanE,"無期雇用","有期雇用（3ヵ月)"))</f>
        <v/>
      </c>
      <c r="P42" s="48" t="str">
        <f t="shared" ca="1" si="2"/>
        <v/>
      </c>
    </row>
    <row r="43" spans="8:16" ht="18.75" customHeight="1">
      <c r="H43" s="21" t="str">
        <f t="shared" ca="1" si="3"/>
        <v/>
      </c>
      <c r="I43" s="45"/>
      <c r="J43" s="22"/>
      <c r="K43" s="48" t="str">
        <f t="shared" ca="1" si="0"/>
        <v/>
      </c>
      <c r="L43" s="48" t="str">
        <f t="shared" ca="1" si="1"/>
        <v/>
      </c>
      <c r="M43" s="48" t="str">
        <f t="shared" ca="1" si="1"/>
        <v/>
      </c>
      <c r="N43" s="48" t="str">
        <f t="shared" ca="1" si="1"/>
        <v/>
      </c>
      <c r="O43" s="48" t="str">
        <f ca="1">IF($H43="","",IF(_xlfn.XLOOKUP(I43,TablaTransfor[カナ],TablaTransfor[入社日],"",0,-1)+1095&lt;HakenKikanE,"無期雇用","有期雇用（3ヵ月)"))</f>
        <v/>
      </c>
      <c r="P43" s="48" t="str">
        <f t="shared" ca="1" si="2"/>
        <v/>
      </c>
    </row>
    <row r="44" spans="8:16" ht="18.75" customHeight="1">
      <c r="H44" s="21" t="str">
        <f t="shared" ca="1" si="3"/>
        <v/>
      </c>
      <c r="I44" s="45"/>
      <c r="J44" s="22"/>
      <c r="K44" s="48" t="str">
        <f t="shared" ca="1" si="0"/>
        <v/>
      </c>
      <c r="L44" s="48" t="str">
        <f t="shared" ca="1" si="1"/>
        <v/>
      </c>
      <c r="M44" s="48" t="str">
        <f t="shared" ca="1" si="1"/>
        <v/>
      </c>
      <c r="N44" s="48" t="str">
        <f t="shared" ca="1" si="1"/>
        <v/>
      </c>
      <c r="O44" s="48" t="str">
        <f ca="1">IF($H44="","",IF(_xlfn.XLOOKUP(I44,TablaTransfor[カナ],TablaTransfor[入社日],"",0,-1)+1095&lt;HakenKikanE,"無期雇用","有期雇用（3ヵ月)"))</f>
        <v/>
      </c>
      <c r="P44" s="48" t="str">
        <f t="shared" ca="1" si="2"/>
        <v/>
      </c>
    </row>
    <row r="45" spans="8:16" ht="18.75" customHeight="1">
      <c r="H45" s="21" t="str">
        <f t="shared" ca="1" si="3"/>
        <v/>
      </c>
      <c r="I45" s="45"/>
      <c r="J45" s="22"/>
      <c r="K45" s="48" t="str">
        <f t="shared" ca="1" si="0"/>
        <v/>
      </c>
      <c r="L45" s="48" t="str">
        <f t="shared" ca="1" si="1"/>
        <v/>
      </c>
      <c r="M45" s="48" t="str">
        <f t="shared" ca="1" si="1"/>
        <v/>
      </c>
      <c r="N45" s="48" t="str">
        <f t="shared" ca="1" si="1"/>
        <v/>
      </c>
      <c r="O45" s="48" t="str">
        <f ca="1">IF($H45="","",IF(_xlfn.XLOOKUP(I45,TablaTransfor[カナ],TablaTransfor[入社日],"",0,-1)+1095&lt;HakenKikanE,"無期雇用","有期雇用（3ヵ月)"))</f>
        <v/>
      </c>
      <c r="P45" s="48" t="str">
        <f t="shared" ca="1" si="2"/>
        <v/>
      </c>
    </row>
    <row r="46" spans="8:16" ht="18.75" customHeight="1">
      <c r="H46" s="21" t="str">
        <f t="shared" ca="1" si="3"/>
        <v/>
      </c>
      <c r="I46" s="45"/>
      <c r="J46" s="22"/>
      <c r="K46" s="48" t="str">
        <f t="shared" ca="1" si="0"/>
        <v/>
      </c>
      <c r="L46" s="48" t="str">
        <f t="shared" ca="1" si="1"/>
        <v/>
      </c>
      <c r="M46" s="48" t="str">
        <f t="shared" ca="1" si="1"/>
        <v/>
      </c>
      <c r="N46" s="48" t="str">
        <f t="shared" ca="1" si="1"/>
        <v/>
      </c>
      <c r="O46" s="48" t="str">
        <f ca="1">IF($H46="","",IF(_xlfn.XLOOKUP(I46,TablaTransfor[カナ],TablaTransfor[入社日],"",0,-1)+1095&lt;HakenKikanE,"無期雇用","有期雇用（3ヵ月)"))</f>
        <v/>
      </c>
      <c r="P46" s="48" t="str">
        <f t="shared" ca="1" si="2"/>
        <v/>
      </c>
    </row>
    <row r="47" spans="8:16" ht="18.75" customHeight="1">
      <c r="H47" s="21" t="str">
        <f t="shared" ca="1" si="3"/>
        <v/>
      </c>
      <c r="I47" s="45"/>
      <c r="J47" s="22"/>
      <c r="K47" s="48" t="str">
        <f t="shared" ca="1" si="0"/>
        <v/>
      </c>
      <c r="L47" s="48" t="str">
        <f t="shared" ca="1" si="1"/>
        <v/>
      </c>
      <c r="M47" s="48" t="str">
        <f t="shared" ca="1" si="1"/>
        <v/>
      </c>
      <c r="N47" s="48" t="str">
        <f t="shared" ca="1" si="1"/>
        <v/>
      </c>
      <c r="O47" s="48" t="str">
        <f ca="1">IF($H47="","",IF(_xlfn.XLOOKUP(I47,TablaTransfor[カナ],TablaTransfor[入社日],"",0,-1)+1095&lt;HakenKikanE,"無期雇用","有期雇用（3ヵ月)"))</f>
        <v/>
      </c>
      <c r="P47" s="48" t="str">
        <f t="shared" ca="1" si="2"/>
        <v/>
      </c>
    </row>
    <row r="48" spans="8:16" ht="18.75" customHeight="1">
      <c r="H48" s="21" t="str">
        <f t="shared" ca="1" si="3"/>
        <v/>
      </c>
      <c r="I48" s="45"/>
      <c r="J48" s="22"/>
      <c r="K48" s="48" t="str">
        <f t="shared" ca="1" si="0"/>
        <v/>
      </c>
      <c r="L48" s="48" t="str">
        <f t="shared" ca="1" si="1"/>
        <v/>
      </c>
      <c r="M48" s="48" t="str">
        <f t="shared" ca="1" si="1"/>
        <v/>
      </c>
      <c r="N48" s="48" t="str">
        <f t="shared" ca="1" si="1"/>
        <v/>
      </c>
      <c r="O48" s="48" t="str">
        <f ca="1">IF($H48="","",IF(_xlfn.XLOOKUP(I48,TablaTransfor[カナ],TablaTransfor[入社日],"",0,-1)+1095&lt;HakenKikanE,"無期雇用","有期雇用（3ヵ月)"))</f>
        <v/>
      </c>
      <c r="P48" s="48" t="str">
        <f t="shared" ca="1" si="2"/>
        <v/>
      </c>
    </row>
    <row r="49" spans="8:16" ht="18.75" customHeight="1">
      <c r="H49" s="21" t="str">
        <f t="shared" ca="1" si="3"/>
        <v/>
      </c>
      <c r="I49" s="45"/>
      <c r="J49" s="22"/>
      <c r="K49" s="48" t="str">
        <f t="shared" ca="1" si="0"/>
        <v/>
      </c>
      <c r="L49" s="48" t="str">
        <f t="shared" ca="1" si="1"/>
        <v/>
      </c>
      <c r="M49" s="48" t="str">
        <f t="shared" ca="1" si="1"/>
        <v/>
      </c>
      <c r="N49" s="48" t="str">
        <f t="shared" ca="1" si="1"/>
        <v/>
      </c>
      <c r="O49" s="48" t="str">
        <f ca="1">IF($H49="","",IF(_xlfn.XLOOKUP(I49,TablaTransfor[カナ],TablaTransfor[入社日],"",0,-1)+1095&lt;HakenKikanE,"無期雇用","有期雇用（3ヵ月)"))</f>
        <v/>
      </c>
      <c r="P49" s="48" t="str">
        <f t="shared" ca="1" si="2"/>
        <v/>
      </c>
    </row>
    <row r="50" spans="8:16" ht="18.75">
      <c r="H50" s="21"/>
      <c r="I50" s="45"/>
      <c r="J50" s="22"/>
      <c r="K50" s="48"/>
      <c r="L50" s="48"/>
      <c r="M50" s="48"/>
      <c r="N50" s="48"/>
      <c r="O50" s="48" t="str">
        <f ca="1">IF($H50="","",IF(_xlfn.XLOOKUP(I50,TablaTransfor[カナ],TablaTransfor[入社日],"",0,-1)+1095&lt;HakenKikanE,"無期雇用","有期雇用（3ヵ月)"))</f>
        <v/>
      </c>
      <c r="P50" s="48"/>
    </row>
    <row r="51" spans="8:16" ht="18.75">
      <c r="H51" s="21"/>
      <c r="I51" s="45"/>
      <c r="J51" s="22"/>
      <c r="K51" s="48"/>
      <c r="L51" s="48"/>
      <c r="M51" s="48"/>
      <c r="N51" s="48"/>
      <c r="O51" s="48" t="str">
        <f ca="1">IF($H51="","",IF(_xlfn.XLOOKUP(I51,TablaTransfor[カナ],TablaTransfor[入社日],"",0,-1)+1095&lt;HakenKikanE,"無期雇用","有期雇用（3ヵ月)"))</f>
        <v/>
      </c>
      <c r="P51" s="48"/>
    </row>
    <row r="52" spans="8:16" ht="18.75">
      <c r="H52" s="21"/>
      <c r="I52" s="45"/>
      <c r="J52" s="22"/>
      <c r="K52" s="48"/>
      <c r="L52" s="48"/>
      <c r="M52" s="48"/>
      <c r="N52" s="48"/>
      <c r="O52" s="48" t="str">
        <f ca="1">IF($H52="","",IF(_xlfn.XLOOKUP(I52,TablaTransfor[カナ],TablaTransfor[入社日],"",0,-1)+1095&lt;HakenKikanE,"無期雇用","有期雇用（3ヵ月)"))</f>
        <v/>
      </c>
      <c r="P52" s="48"/>
    </row>
    <row r="53" spans="8:16" ht="18.75">
      <c r="H53" s="21"/>
      <c r="I53" s="45"/>
      <c r="J53" s="22"/>
      <c r="K53" s="48"/>
      <c r="L53" s="48"/>
      <c r="M53" s="48"/>
      <c r="N53" s="48"/>
      <c r="O53" s="48" t="str">
        <f ca="1">IF($H53="","",IF(_xlfn.XLOOKUP(I53,TablaTransfor[カナ],TablaTransfor[入社日],"",0,-1)+1095&lt;HakenKikanE,"無期雇用","有期雇用（3ヵ月)"))</f>
        <v/>
      </c>
      <c r="P53" s="48"/>
    </row>
    <row r="54" spans="8:16" ht="18.75">
      <c r="H54" s="21"/>
      <c r="I54" s="45"/>
      <c r="J54" s="22"/>
      <c r="K54" s="48"/>
      <c r="L54" s="48"/>
      <c r="M54" s="48"/>
      <c r="N54" s="48"/>
      <c r="O54" s="48" t="str">
        <f ca="1">IF($H54="","",IF(_xlfn.XLOOKUP(I54,TablaTransfor[カナ],TablaTransfor[入社日],"",0,-1)+1095&lt;HakenKikanE,"無期雇用","有期雇用（3ヵ月)"))</f>
        <v/>
      </c>
      <c r="P54" s="48"/>
    </row>
    <row r="55" spans="8:16" ht="18.75">
      <c r="H55" s="21"/>
      <c r="I55" s="45"/>
      <c r="J55" s="22"/>
      <c r="K55" s="48"/>
      <c r="L55" s="48"/>
      <c r="M55" s="48"/>
      <c r="N55" s="48"/>
      <c r="O55" s="48" t="str">
        <f ca="1">IF($H55="","",IF(_xlfn.XLOOKUP(I55,TablaTransfor[カナ],TablaTransfor[入社日],"",0,-1)+1095&lt;HakenKikanE,"無期雇用","有期雇用（3ヵ月)"))</f>
        <v/>
      </c>
      <c r="P55" s="48"/>
    </row>
    <row r="56" spans="8:16" ht="18.75">
      <c r="H56" s="21"/>
      <c r="I56" s="45"/>
      <c r="J56" s="22"/>
      <c r="K56" s="48"/>
      <c r="L56" s="48"/>
      <c r="M56" s="48"/>
      <c r="N56" s="48"/>
      <c r="O56" s="48" t="str">
        <f ca="1">IF($H56="","",IF(_xlfn.XLOOKUP(I56,TablaTransfor[カナ],TablaTransfor[入社日],"",0,-1)+1095&lt;HakenKikanE,"無期雇用","有期雇用（3ヵ月)"))</f>
        <v/>
      </c>
      <c r="P56" s="48"/>
    </row>
    <row r="57" spans="8:16" ht="18.75">
      <c r="H57" s="21"/>
      <c r="I57" s="45"/>
      <c r="J57" s="22"/>
      <c r="K57" s="48"/>
      <c r="L57" s="48"/>
      <c r="M57" s="48"/>
      <c r="N57" s="48"/>
      <c r="O57" s="48" t="str">
        <f ca="1">IF($H57="","",IF(_xlfn.XLOOKUP(I57,TablaTransfor[カナ],TablaTransfor[入社日],"",0,-1)+1095&lt;HakenKikanE,"無期雇用","有期雇用（3ヵ月)"))</f>
        <v/>
      </c>
      <c r="P57" s="48"/>
    </row>
    <row r="58" spans="8:16" ht="18.75">
      <c r="H58" s="21"/>
      <c r="I58" s="45"/>
      <c r="J58" s="22"/>
      <c r="K58" s="48"/>
      <c r="L58" s="48"/>
      <c r="M58" s="48"/>
      <c r="N58" s="48"/>
      <c r="O58" s="48" t="str">
        <f ca="1">IF($H58="","",IF(_xlfn.XLOOKUP(I58,TablaTransfor[カナ],TablaTransfor[入社日],"",0,-1)+1095&lt;HakenKikanE,"無期雇用","有期雇用（3ヵ月)"))</f>
        <v/>
      </c>
      <c r="P58" s="48"/>
    </row>
    <row r="59" spans="8:16" ht="18.75">
      <c r="H59" s="21"/>
      <c r="I59" s="45"/>
      <c r="J59" s="22"/>
      <c r="K59" s="48"/>
      <c r="L59" s="48"/>
      <c r="M59" s="48"/>
      <c r="N59" s="48"/>
      <c r="O59" s="48" t="str">
        <f ca="1">IF($H59="","",IF(_xlfn.XLOOKUP(I59,TablaTransfor[カナ],TablaTransfor[入社日],"",0,-1)+1095&lt;HakenKikanE,"無期雇用","有期雇用（3ヵ月)"))</f>
        <v/>
      </c>
      <c r="P59" s="48"/>
    </row>
    <row r="60" spans="8:16" ht="18.75">
      <c r="H60" s="21"/>
      <c r="I60" s="45"/>
      <c r="J60" s="22"/>
      <c r="K60" s="48"/>
      <c r="L60" s="48"/>
      <c r="M60" s="48"/>
      <c r="N60" s="48"/>
      <c r="O60" s="48" t="str">
        <f ca="1">IF($H60="","",IF(_xlfn.XLOOKUP(I60,TablaTransfor[カナ],TablaTransfor[入社日],"",0,-1)+1095&lt;HakenKikanE,"無期雇用","有期雇用（3ヵ月)"))</f>
        <v/>
      </c>
      <c r="P60" s="48"/>
    </row>
    <row r="61" spans="8:16" ht="18.75">
      <c r="H61" s="21"/>
      <c r="I61" s="45"/>
      <c r="J61" s="22"/>
      <c r="K61" s="48"/>
      <c r="L61" s="48"/>
      <c r="M61" s="48"/>
      <c r="N61" s="48"/>
      <c r="O61" s="48" t="str">
        <f ca="1">IF($H61="","",IF(_xlfn.XLOOKUP(I61,TablaTransfor[カナ],TablaTransfor[入社日],"",0,-1)+1095&lt;HakenKikanE,"無期雇用","有期雇用（3ヵ月)"))</f>
        <v/>
      </c>
      <c r="P61" s="48"/>
    </row>
    <row r="62" spans="8:16" ht="18.75">
      <c r="H62" s="21"/>
      <c r="I62" s="45"/>
      <c r="J62" s="22"/>
      <c r="K62" s="48"/>
      <c r="L62" s="48"/>
      <c r="M62" s="48"/>
      <c r="N62" s="48"/>
      <c r="O62" s="48" t="str">
        <f ca="1">IF($H62="","",IF(_xlfn.XLOOKUP(I62,TablaTransfor[カナ],TablaTransfor[入社日],"",0,-1)+1095&lt;HakenKikanE,"無期雇用","有期雇用（3ヵ月)"))</f>
        <v/>
      </c>
      <c r="P62" s="48"/>
    </row>
    <row r="63" spans="8:16" ht="18.75">
      <c r="H63" s="21"/>
      <c r="I63" s="45"/>
      <c r="J63" s="22"/>
      <c r="K63" s="48"/>
      <c r="L63" s="48"/>
      <c r="M63" s="48"/>
      <c r="N63" s="48"/>
      <c r="O63" s="48" t="str">
        <f ca="1">IF($H63="","",IF(_xlfn.XLOOKUP(I63,TablaTransfor[カナ],TablaTransfor[入社日],"",0,-1)+1095&lt;HakenKikanE,"無期雇用","有期雇用（3ヵ月)"))</f>
        <v/>
      </c>
      <c r="P63" s="48"/>
    </row>
    <row r="64" spans="8:16" ht="18.75">
      <c r="H64" s="21"/>
      <c r="I64" s="45"/>
      <c r="J64" s="22"/>
      <c r="K64" s="48"/>
      <c r="L64" s="48"/>
      <c r="M64" s="48"/>
      <c r="N64" s="48"/>
      <c r="O64" s="48" t="str">
        <f ca="1">IF($H64="","",IF(_xlfn.XLOOKUP(I64,TablaTransfor[カナ],TablaTransfor[入社日],"",0,-1)+1095&lt;HakenKikanE,"無期雇用","有期雇用（3ヵ月)"))</f>
        <v/>
      </c>
      <c r="P64" s="48"/>
    </row>
    <row r="65" spans="8:16" ht="18.75">
      <c r="H65" s="21"/>
      <c r="I65" s="45"/>
      <c r="J65" s="22"/>
      <c r="K65" s="48"/>
      <c r="L65" s="48"/>
      <c r="M65" s="48"/>
      <c r="N65" s="48"/>
      <c r="O65" s="48" t="str">
        <f ca="1">IF($H65="","",IF(_xlfn.XLOOKUP(I65,TablaTransfor[カナ],TablaTransfor[入社日],"",0,-1)+1095&lt;HakenKikanE,"無期雇用","有期雇用（3ヵ月)"))</f>
        <v/>
      </c>
      <c r="P65" s="48"/>
    </row>
    <row r="66" spans="8:16" ht="18.75">
      <c r="H66" s="21"/>
      <c r="I66" s="45"/>
      <c r="J66" s="22"/>
      <c r="K66" s="48"/>
      <c r="L66" s="48"/>
      <c r="M66" s="48"/>
      <c r="N66" s="48"/>
      <c r="O66" s="48" t="str">
        <f ca="1">IF($H66="","",IF(_xlfn.XLOOKUP(I66,TablaTransfor[カナ],TablaTransfor[入社日],"",0,-1)+1095&lt;HakenKikanE,"無期雇用","有期雇用（3ヵ月)"))</f>
        <v/>
      </c>
      <c r="P66" s="48"/>
    </row>
  </sheetData>
  <mergeCells count="1">
    <mergeCell ref="I2:K2"/>
  </mergeCells>
  <phoneticPr fontId="1"/>
  <dataValidations count="3">
    <dataValidation type="list" allowBlank="1" showInputMessage="1" showErrorMessage="1" sqref="K58" xr:uid="{AE2E86D4-1176-42BE-87C5-10498CF3486F}">
      <formula1>"18歳未満（　　　　歳）,45歳以上60歳未満,60歳以上,60歳未満"</formula1>
    </dataValidation>
    <dataValidation type="list" allowBlank="1" showInputMessage="1" showErrorMessage="1" sqref="J58" xr:uid="{90329B12-6E3D-48BC-B719-530096CAB6C8}">
      <formula1>"男,女"</formula1>
    </dataValidation>
    <dataValidation type="list" allowBlank="1" showInputMessage="1" showErrorMessage="1" sqref="D4" xr:uid="{0BC2179D-51AF-40E1-90FE-78600270154A}">
      <formula1>$G$9:$G$66</formula1>
    </dataValidation>
  </dataValidations>
  <hyperlinks>
    <hyperlink ref="G4" location="PuntoG" display="Go to Back" xr:uid="{11CC80F2-63A6-4155-9402-F875619475D1}"/>
  </hyperlinks>
  <pageMargins left="0.31496062992125984" right="3.937007874015748E-2" top="0.27559055118110237" bottom="0.27559055118110237" header="0.15748031496062992" footer="7.874015748031496E-2"/>
  <pageSetup paperSize="9" scale="7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04AE0-8693-4615-87E8-470E39057080}">
  <sheetPr codeName="Hoja14">
    <tabColor rgb="FFFFFF00"/>
  </sheetPr>
  <dimension ref="A1:AH67"/>
  <sheetViews>
    <sheetView view="pageBreakPreview" zoomScale="60" zoomScaleNormal="100" workbookViewId="0">
      <selection activeCell="AD6" sqref="AD6"/>
    </sheetView>
  </sheetViews>
  <sheetFormatPr defaultColWidth="9.14453125" defaultRowHeight="15"/>
  <cols>
    <col min="1" max="1" width="9.953125" bestFit="1" customWidth="1"/>
    <col min="2" max="2" width="33.765625" bestFit="1" customWidth="1"/>
    <col min="3" max="3" width="9.28125" bestFit="1" customWidth="1"/>
    <col min="4" max="4" width="18.83203125" style="31" customWidth="1"/>
    <col min="5" max="6" width="9.28125" bestFit="1" customWidth="1"/>
    <col min="7" max="7" width="19.234375" style="31" bestFit="1" customWidth="1"/>
    <col min="8" max="8" width="8.0703125" customWidth="1"/>
    <col min="9" max="9" width="34.16796875" customWidth="1"/>
    <col min="10" max="10" width="4.4375" bestFit="1" customWidth="1"/>
    <col min="11" max="11" width="14.390625" customWidth="1"/>
    <col min="12" max="13" width="7.93359375" bestFit="1" customWidth="1"/>
    <col min="14" max="14" width="11.296875" bestFit="1" customWidth="1"/>
    <col min="15" max="15" width="17.62109375" customWidth="1"/>
    <col min="16" max="16" width="38.7421875" bestFit="1" customWidth="1"/>
  </cols>
  <sheetData>
    <row r="1" spans="1:34" ht="29.25" customHeight="1">
      <c r="I1" s="52" t="s">
        <v>15</v>
      </c>
      <c r="J1" s="52"/>
      <c r="K1" s="52"/>
      <c r="L1" s="52"/>
      <c r="M1" s="2"/>
      <c r="P1" s="395">
        <f>WORKDAY(HakenkikanS,-3,)</f>
        <v>45926</v>
      </c>
    </row>
    <row r="2" spans="1:34" ht="18.75">
      <c r="I2" s="740" t="str">
        <f>個別契約書X!I4</f>
        <v>高雄工業株式会社</v>
      </c>
      <c r="J2" s="740"/>
      <c r="K2" s="740"/>
      <c r="L2" s="53" t="s">
        <v>387</v>
      </c>
      <c r="M2" s="2"/>
      <c r="N2" s="2"/>
      <c r="O2" s="2"/>
      <c r="P2" s="2"/>
    </row>
    <row r="3" spans="1:34" ht="18">
      <c r="I3" s="24"/>
      <c r="J3" s="1"/>
      <c r="K3" s="1"/>
      <c r="L3" s="1"/>
      <c r="M3" s="1"/>
      <c r="N3" s="1"/>
      <c r="O3" s="1"/>
      <c r="P3" s="1"/>
    </row>
    <row r="4" spans="1:34" ht="18">
      <c r="D4" s="56">
        <v>45931</v>
      </c>
      <c r="F4" s="60" t="s">
        <v>1152</v>
      </c>
      <c r="I4" s="1"/>
      <c r="J4" s="1"/>
      <c r="K4" s="1"/>
      <c r="L4" s="1"/>
      <c r="M4" s="1"/>
      <c r="N4" s="1"/>
      <c r="O4" s="1"/>
      <c r="P4" s="1"/>
    </row>
    <row r="5" spans="1:34" ht="18.75">
      <c r="I5" s="2"/>
      <c r="J5" s="2"/>
      <c r="K5" s="2"/>
      <c r="L5" s="2"/>
      <c r="P5" s="84" t="str">
        <f>個別契約書X!O61</f>
        <v>愛知県名古屋市東区徳川2-18-18</v>
      </c>
      <c r="Y5" t="e">
        <f>_xlfn.XLOOKUP(koko,#REF!,#REF!,"",0,1)</f>
        <v>#NAME?</v>
      </c>
    </row>
    <row r="6" spans="1:34" ht="18.75">
      <c r="I6" s="2"/>
      <c r="J6" s="2"/>
      <c r="K6" s="2"/>
      <c r="L6" s="2"/>
      <c r="O6" s="52"/>
      <c r="P6" s="52" t="s">
        <v>14</v>
      </c>
    </row>
    <row r="7" spans="1:34" ht="18">
      <c r="I7" s="51" t="str">
        <f>CONCATENATE(TEXT(個別契約書X!A59,"gggyy年m月d日"),"付の労働者派遣個別契約に基づき以下の者を派遣します。")</f>
        <v>令和07年9月29日付の労働者派遣個別契約に基づき以下の者を派遣します。</v>
      </c>
      <c r="J7" s="30"/>
      <c r="K7" s="30"/>
      <c r="L7" s="30"/>
      <c r="M7" s="30"/>
      <c r="N7" s="2"/>
      <c r="O7" s="2"/>
      <c r="P7" s="30"/>
    </row>
    <row r="8" spans="1:34" ht="18.75" customHeight="1">
      <c r="H8" s="3" t="s">
        <v>5</v>
      </c>
      <c r="I8" s="48" t="s">
        <v>25</v>
      </c>
      <c r="J8" s="48" t="s">
        <v>7</v>
      </c>
      <c r="K8" s="48" t="s">
        <v>8</v>
      </c>
      <c r="L8" s="48" t="s">
        <v>9</v>
      </c>
      <c r="M8" s="48" t="s">
        <v>10</v>
      </c>
      <c r="N8" s="48" t="s">
        <v>11</v>
      </c>
      <c r="O8" s="48" t="s">
        <v>12</v>
      </c>
      <c r="P8" s="48" t="s">
        <v>394</v>
      </c>
    </row>
    <row r="9" spans="1:34" ht="18.75" customHeight="1">
      <c r="A9" cm="1">
        <f t="array" aca="1" ref="A9:A22" ca="1">_xlfn._xlws.FILTER(TablaTransfor[社員№],TablaTransfor[ライン]=ライン,"")</f>
        <v>210102</v>
      </c>
      <c r="B9" t="str" cm="1">
        <f t="array" aca="1" ref="B9" ca="1">_xlfn._xlws.FILTER(TablaTransfor[カナ],(TablaTransfor[ライン]=ライン)*(TablaTransfor[現在]="在職中")*(TablaTransfor[単価]=時給単価),"")</f>
        <v>グエン　ヴァン　ティ</v>
      </c>
      <c r="C9" t="str" cm="1">
        <f t="array" aca="1" ref="C9" ca="1">_xlfn._xlws.FILTER(TablaTransfor[性別],(TablaTransfor[ライン]=ライン)*(TablaTransfor[現在]="在職中")*(TablaTransfor[単価]=時給単価),"")</f>
        <v>男</v>
      </c>
      <c r="D9" s="31" cm="1">
        <f t="array" aca="1" ref="D9" ca="1">_xlfn._xlws.FILTER(TablaTransfor[生年月日],(TablaTransfor[ライン]=ライン)*(TablaTransfor[現在]="在職中")*(TablaTransfor[単価]=時給単価),"")</f>
        <v>35429</v>
      </c>
      <c r="E9" cm="1">
        <f t="array" aca="1" ref="E9" ca="1">_xlfn._xlws.FILTER(TablaTransfor[年齢],(TablaTransfor[ライン]=ライン)*(TablaTransfor[現在]="在職中")*(TablaTransfor[単価]=時給単価),"")</f>
        <v>28</v>
      </c>
      <c r="F9" cm="1">
        <f t="array" aca="1" ref="F9" ca="1">_xlfn._xlws.FILTER(TablaTransfor[単価],(TablaTransfor[ライン]=ライン)*(TablaTransfor[現在]="在職中")*(TablaTransfor[単価]=時給単価),"")</f>
        <v>1720</v>
      </c>
      <c r="G9" s="31" cm="1">
        <f t="array" aca="1" ref="G9" ca="1">_xlfn._xlws.FILTER(TablaTransfor[unicosC],(TablaTransfor[ライン]=ライン)*(TablaTransfor[現在]="在職中")*(TablaTransfor[単価]=時給単価),"")</f>
        <v>45566</v>
      </c>
      <c r="H9" s="21" t="str">
        <f ca="1">IF(I9="","",1)</f>
        <v/>
      </c>
      <c r="I9" s="45" t="str" cm="1">
        <f t="array" aca="1" ref="I9" ca="1">_xlfn._xlws.FILTER(TablaTransfor[カナ],(TablaTransfor[ライン]=ライン)*(TablaTransfor[現在]="在職中")*(TablaTransfor[単価]=時給単価)*(TablaTransfor[unicosC]=D4),"")</f>
        <v/>
      </c>
      <c r="J9" s="48" t="str" cm="1">
        <f t="array" aca="1" ref="J9" ca="1">_xlfn._xlws.FILTER(TablaTransfor[性別],(TablaTransfor[ライン]=ライン)*(TablaTransfor[現在]="在職中")*(TablaTransfor[単価]=時給単価)*(TablaTransfor[unicosC]=D4),"")</f>
        <v/>
      </c>
      <c r="K9" s="48" t="str">
        <f ca="1">IF(H9="","",IF(E9&lt;=18,"18未満(     )歳",IF(AND((E9&gt;=18),(E9&lt;=45)),"18以上45歳未満",IF(AND((E9&gt;=46),(E9&lt;=60)),"46以上60歳未満",IF(E9&lt;=60,"60歳未満","60歳以上")))))</f>
        <v/>
      </c>
      <c r="L9" s="48" t="str">
        <f ca="1">IF($H9="","","加入")</f>
        <v/>
      </c>
      <c r="M9" s="48" t="str">
        <f ca="1">IF($H9="","","加入")</f>
        <v/>
      </c>
      <c r="N9" s="48" t="str">
        <f ca="1">IF($H9="","","加入")</f>
        <v/>
      </c>
      <c r="O9" s="48" t="str">
        <f ca="1">IF($H9="","",IF(_xlfn.XLOOKUP(I9,TablaTransfor[カナ],TablaTransfor[現入社],"",0,-1)+1095&lt;HakenKikanE,"無期雇用","有期雇用（3ヵ月)"))</f>
        <v/>
      </c>
      <c r="P9" s="48" t="str">
        <f ca="1">IF($H9="","","協定対象派遣労働者(労使協定式方式)")</f>
        <v/>
      </c>
      <c r="AD9" s="23">
        <f>EDATE("2021/10/26",AE9)</f>
        <v>44495</v>
      </c>
    </row>
    <row r="10" spans="1:34" ht="18.75" customHeight="1">
      <c r="A10">
        <f ca="1"/>
        <v>220503</v>
      </c>
      <c r="H10" s="21" t="str">
        <f ca="1">IF(I10="","",H9+1)</f>
        <v/>
      </c>
      <c r="I10" s="45"/>
      <c r="J10" s="48"/>
      <c r="K10" s="48" t="str">
        <f t="shared" ref="K10:K66" ca="1" si="0">IF(H10="","",IF(E10&lt;=18,"18未満(     )歳",IF(AND((E10&gt;=18),(E10&lt;=45)),"18以上45歳未満",IF(AND((E10&gt;=46),(E10&lt;=60)),"46以上60歳未満",IF(E10&lt;=60,"60歳未満","60歳以上")))))</f>
        <v/>
      </c>
      <c r="L10" s="48" t="str">
        <f t="shared" ref="L10:N49" ca="1" si="1">IF($H10="","","加入")</f>
        <v/>
      </c>
      <c r="M10" s="48" t="str">
        <f t="shared" ca="1" si="1"/>
        <v/>
      </c>
      <c r="N10" s="48" t="str">
        <f t="shared" ca="1" si="1"/>
        <v/>
      </c>
      <c r="O10" s="48" t="str">
        <f ca="1">IF($H10="","",IF(_xlfn.XLOOKUP(I10,TablaTransfor[カナ],TablaTransfor[現入社],"",0,-1)+1095&lt;HakenKikanE,"無期雇用","有期雇用（3ヵ月)"))</f>
        <v/>
      </c>
      <c r="P10" s="48" t="str">
        <f t="shared" ref="P10:P49" ca="1" si="2">IF($H10="","","協定対象派遣労働者(労使協定式方式)")</f>
        <v/>
      </c>
      <c r="AH10">
        <v>2</v>
      </c>
    </row>
    <row r="11" spans="1:34" ht="18.75" customHeight="1">
      <c r="A11">
        <f ca="1"/>
        <v>221102</v>
      </c>
      <c r="H11" s="21" t="str">
        <f t="shared" ref="H11:H49" ca="1" si="3">IF(I11="","",H10+1)</f>
        <v/>
      </c>
      <c r="I11" s="45"/>
      <c r="J11" s="48"/>
      <c r="K11" s="48" t="str">
        <f t="shared" ca="1" si="0"/>
        <v/>
      </c>
      <c r="L11" s="48" t="str">
        <f t="shared" ca="1" si="1"/>
        <v/>
      </c>
      <c r="M11" s="48" t="str">
        <f t="shared" ca="1" si="1"/>
        <v/>
      </c>
      <c r="N11" s="48" t="str">
        <f t="shared" ca="1" si="1"/>
        <v/>
      </c>
      <c r="O11" s="48" t="str">
        <f ca="1">IF($H11="","",IF(_xlfn.XLOOKUP(I11,TablaTransfor[カナ],TablaTransfor[現入社],"",0,-1)+1095&lt;HakenKikanE,"無期雇用","有期雇用（3ヵ月)"))</f>
        <v/>
      </c>
      <c r="P11" s="48" t="str">
        <f t="shared" ca="1" si="2"/>
        <v/>
      </c>
    </row>
    <row r="12" spans="1:34" ht="18.75" customHeight="1">
      <c r="A12">
        <f ca="1"/>
        <v>221210</v>
      </c>
      <c r="H12" s="21" t="str">
        <f t="shared" ca="1" si="3"/>
        <v/>
      </c>
      <c r="I12" s="45"/>
      <c r="J12" s="48"/>
      <c r="K12" s="48" t="str">
        <f t="shared" ca="1" si="0"/>
        <v/>
      </c>
      <c r="L12" s="48" t="str">
        <f t="shared" ca="1" si="1"/>
        <v/>
      </c>
      <c r="M12" s="48" t="str">
        <f t="shared" ca="1" si="1"/>
        <v/>
      </c>
      <c r="N12" s="48" t="str">
        <f t="shared" ca="1" si="1"/>
        <v/>
      </c>
      <c r="O12" s="48" t="str">
        <f ca="1">IF($H12="","",IF(_xlfn.XLOOKUP(I12,TablaTransfor[カナ],TablaTransfor[現入社],"",0,-1)+1095&lt;HakenKikanE,"無期雇用","有期雇用（3ヵ月)"))</f>
        <v/>
      </c>
      <c r="P12" s="48" t="str">
        <f t="shared" ca="1" si="2"/>
        <v/>
      </c>
    </row>
    <row r="13" spans="1:34" ht="18.75" customHeight="1">
      <c r="A13">
        <f ca="1"/>
        <v>250224</v>
      </c>
      <c r="H13" s="21" t="str">
        <f t="shared" ca="1" si="3"/>
        <v/>
      </c>
      <c r="I13" s="45"/>
      <c r="J13" s="48"/>
      <c r="K13" s="48" t="str">
        <f t="shared" ca="1" si="0"/>
        <v/>
      </c>
      <c r="L13" s="48" t="str">
        <f t="shared" ca="1" si="1"/>
        <v/>
      </c>
      <c r="M13" s="48" t="str">
        <f t="shared" ca="1" si="1"/>
        <v/>
      </c>
      <c r="N13" s="48" t="str">
        <f t="shared" ca="1" si="1"/>
        <v/>
      </c>
      <c r="O13" s="48" t="str">
        <f ca="1">IF($H13="","",IF(_xlfn.XLOOKUP(I13,TablaTransfor[カナ],TablaTransfor[現入社],"",0,-1)+1095&lt;HakenKikanE,"無期雇用","有期雇用（3ヵ月)"))</f>
        <v/>
      </c>
      <c r="P13" s="48" t="str">
        <f t="shared" ca="1" si="2"/>
        <v/>
      </c>
    </row>
    <row r="14" spans="1:34" ht="18.75" customHeight="1">
      <c r="A14">
        <f ca="1"/>
        <v>231205</v>
      </c>
      <c r="H14" s="21" t="str">
        <f t="shared" ca="1" si="3"/>
        <v/>
      </c>
      <c r="I14" s="45"/>
      <c r="J14" s="48"/>
      <c r="K14" s="48" t="str">
        <f t="shared" ca="1" si="0"/>
        <v/>
      </c>
      <c r="L14" s="48" t="str">
        <f t="shared" ca="1" si="1"/>
        <v/>
      </c>
      <c r="M14" s="48" t="str">
        <f t="shared" ca="1" si="1"/>
        <v/>
      </c>
      <c r="N14" s="48" t="str">
        <f t="shared" ca="1" si="1"/>
        <v/>
      </c>
      <c r="O14" s="48" t="str">
        <f ca="1">IF($H14="","",IF(_xlfn.XLOOKUP(I14,TablaTransfor[カナ],TablaTransfor[現入社],"",0,-1)+1095&lt;HakenKikanE,"無期雇用","有期雇用（3ヵ月)"))</f>
        <v/>
      </c>
      <c r="P14" s="48" t="str">
        <f t="shared" ca="1" si="2"/>
        <v/>
      </c>
    </row>
    <row r="15" spans="1:34" ht="18.75" customHeight="1">
      <c r="A15">
        <f ca="1"/>
        <v>231102</v>
      </c>
      <c r="H15" s="21" t="str">
        <f t="shared" ca="1" si="3"/>
        <v/>
      </c>
      <c r="I15" s="45"/>
      <c r="J15" s="48"/>
      <c r="K15" s="48" t="str">
        <f t="shared" ca="1" si="0"/>
        <v/>
      </c>
      <c r="L15" s="48" t="str">
        <f t="shared" ca="1" si="1"/>
        <v/>
      </c>
      <c r="M15" s="48" t="str">
        <f t="shared" ca="1" si="1"/>
        <v/>
      </c>
      <c r="N15" s="48" t="str">
        <f t="shared" ca="1" si="1"/>
        <v/>
      </c>
      <c r="O15" s="48" t="str">
        <f ca="1">IF($H15="","",IF(_xlfn.XLOOKUP(I15,TablaTransfor[カナ],TablaTransfor[現入社],"",0,-1)+1095&lt;HakenKikanE,"無期雇用","有期雇用（3ヵ月)"))</f>
        <v/>
      </c>
      <c r="P15" s="48" t="str">
        <f t="shared" ca="1" si="2"/>
        <v/>
      </c>
    </row>
    <row r="16" spans="1:34" ht="18.75" customHeight="1">
      <c r="A16">
        <f ca="1"/>
        <v>230811</v>
      </c>
      <c r="H16" s="21" t="str">
        <f t="shared" ca="1" si="3"/>
        <v/>
      </c>
      <c r="I16" s="45"/>
      <c r="J16" s="48"/>
      <c r="K16" s="48" t="str">
        <f t="shared" ca="1" si="0"/>
        <v/>
      </c>
      <c r="L16" s="48" t="str">
        <f t="shared" ca="1" si="1"/>
        <v/>
      </c>
      <c r="M16" s="48" t="str">
        <f t="shared" ca="1" si="1"/>
        <v/>
      </c>
      <c r="N16" s="48" t="str">
        <f t="shared" ca="1" si="1"/>
        <v/>
      </c>
      <c r="O16" s="48" t="str">
        <f ca="1">IF($H16="","",IF(_xlfn.XLOOKUP(I16,TablaTransfor[カナ],TablaTransfor[現入社],"",0,-1)+1095&lt;HakenKikanE,"無期雇用","有期雇用（3ヵ月)"))</f>
        <v/>
      </c>
      <c r="P16" s="48" t="str">
        <f t="shared" ca="1" si="2"/>
        <v/>
      </c>
    </row>
    <row r="17" spans="1:16" ht="18.75" customHeight="1">
      <c r="A17">
        <f ca="1"/>
        <v>250608</v>
      </c>
      <c r="H17" s="21" t="str">
        <f t="shared" ca="1" si="3"/>
        <v/>
      </c>
      <c r="I17" s="45"/>
      <c r="J17" s="48"/>
      <c r="K17" s="48" t="str">
        <f t="shared" ca="1" si="0"/>
        <v/>
      </c>
      <c r="L17" s="48" t="str">
        <f t="shared" ca="1" si="1"/>
        <v/>
      </c>
      <c r="M17" s="48" t="str">
        <f t="shared" ca="1" si="1"/>
        <v/>
      </c>
      <c r="N17" s="48" t="str">
        <f t="shared" ca="1" si="1"/>
        <v/>
      </c>
      <c r="O17" s="48" t="str">
        <f ca="1">IF($H17="","",IF(_xlfn.XLOOKUP(I17,TablaTransfor[カナ],TablaTransfor[現入社],"",0,-1)+1095&lt;HakenKikanE,"無期雇用","有期雇用（3ヵ月)"))</f>
        <v/>
      </c>
      <c r="P17" s="48" t="str">
        <f t="shared" ca="1" si="2"/>
        <v/>
      </c>
    </row>
    <row r="18" spans="1:16" ht="18.75" customHeight="1">
      <c r="A18">
        <f ca="1"/>
        <v>230505</v>
      </c>
      <c r="H18" s="21" t="str">
        <f t="shared" ca="1" si="3"/>
        <v/>
      </c>
      <c r="I18" s="45"/>
      <c r="J18" s="48"/>
      <c r="K18" s="48" t="str">
        <f t="shared" ca="1" si="0"/>
        <v/>
      </c>
      <c r="L18" s="48" t="str">
        <f t="shared" ca="1" si="1"/>
        <v/>
      </c>
      <c r="M18" s="48" t="str">
        <f t="shared" ca="1" si="1"/>
        <v/>
      </c>
      <c r="N18" s="48" t="str">
        <f t="shared" ca="1" si="1"/>
        <v/>
      </c>
      <c r="O18" s="48" t="str">
        <f ca="1">IF($H18="","",IF(_xlfn.XLOOKUP(I18,TablaTransfor[カナ],TablaTransfor[現入社],"",0,-1)+1095&lt;HakenKikanE,"無期雇用","有期雇用（3ヵ月)"))</f>
        <v/>
      </c>
      <c r="P18" s="48" t="str">
        <f t="shared" ca="1" si="2"/>
        <v/>
      </c>
    </row>
    <row r="19" spans="1:16" ht="18.75" customHeight="1">
      <c r="A19">
        <f ca="1"/>
        <v>240504</v>
      </c>
      <c r="H19" s="21" t="str">
        <f t="shared" ca="1" si="3"/>
        <v/>
      </c>
      <c r="I19" s="45"/>
      <c r="J19" s="48"/>
      <c r="K19" s="48" t="str">
        <f t="shared" ca="1" si="0"/>
        <v/>
      </c>
      <c r="L19" s="48" t="str">
        <f t="shared" ca="1" si="1"/>
        <v/>
      </c>
      <c r="M19" s="48" t="str">
        <f t="shared" ca="1" si="1"/>
        <v/>
      </c>
      <c r="N19" s="48" t="str">
        <f t="shared" ca="1" si="1"/>
        <v/>
      </c>
      <c r="O19" s="48" t="str">
        <f ca="1">IF($H19="","",IF(_xlfn.XLOOKUP(I19,TablaTransfor[カナ],TablaTransfor[現入社],"",0,-1)+1095&lt;HakenKikanE,"無期雇用","有期雇用（3ヵ月)"))</f>
        <v/>
      </c>
      <c r="P19" s="48" t="str">
        <f t="shared" ca="1" si="2"/>
        <v/>
      </c>
    </row>
    <row r="20" spans="1:16" ht="18.75" customHeight="1">
      <c r="A20">
        <f ca="1"/>
        <v>240317</v>
      </c>
      <c r="H20" s="21" t="str">
        <f t="shared" ca="1" si="3"/>
        <v/>
      </c>
      <c r="I20" s="45"/>
      <c r="J20" s="48"/>
      <c r="K20" s="48" t="str">
        <f t="shared" ca="1" si="0"/>
        <v/>
      </c>
      <c r="L20" s="48" t="str">
        <f t="shared" ca="1" si="1"/>
        <v/>
      </c>
      <c r="M20" s="48" t="str">
        <f t="shared" ca="1" si="1"/>
        <v/>
      </c>
      <c r="N20" s="48" t="str">
        <f t="shared" ca="1" si="1"/>
        <v/>
      </c>
      <c r="O20" s="48" t="str">
        <f ca="1">IF($H20="","",IF(_xlfn.XLOOKUP(I20,TablaTransfor[カナ],TablaTransfor[現入社],"",0,-1)+1095&lt;HakenKikanE,"無期雇用","有期雇用（3ヵ月)"))</f>
        <v/>
      </c>
      <c r="P20" s="48" t="str">
        <f t="shared" ca="1" si="2"/>
        <v/>
      </c>
    </row>
    <row r="21" spans="1:16" ht="18.75" customHeight="1">
      <c r="A21">
        <f ca="1"/>
        <v>220212</v>
      </c>
      <c r="H21" s="21" t="str">
        <f t="shared" ca="1" si="3"/>
        <v/>
      </c>
      <c r="I21" s="45"/>
      <c r="J21" s="48"/>
      <c r="K21" s="48" t="str">
        <f t="shared" ca="1" si="0"/>
        <v/>
      </c>
      <c r="L21" s="48" t="str">
        <f t="shared" ca="1" si="1"/>
        <v/>
      </c>
      <c r="M21" s="48" t="str">
        <f t="shared" ca="1" si="1"/>
        <v/>
      </c>
      <c r="N21" s="48" t="str">
        <f t="shared" ca="1" si="1"/>
        <v/>
      </c>
      <c r="O21" s="48" t="str">
        <f ca="1">IF($H21="","",IF(_xlfn.XLOOKUP(I21,TablaTransfor[カナ],TablaTransfor[現入社],"",0,-1)+1095&lt;HakenKikanE,"無期雇用","有期雇用（3ヵ月)"))</f>
        <v/>
      </c>
      <c r="P21" s="48" t="str">
        <f t="shared" ca="1" si="2"/>
        <v/>
      </c>
    </row>
    <row r="22" spans="1:16" ht="18.75" customHeight="1">
      <c r="A22">
        <f ca="1"/>
        <v>241202</v>
      </c>
      <c r="H22" s="21" t="str">
        <f t="shared" ca="1" si="3"/>
        <v/>
      </c>
      <c r="I22" s="46"/>
      <c r="J22" s="48"/>
      <c r="K22" s="48" t="str">
        <f t="shared" ca="1" si="0"/>
        <v/>
      </c>
      <c r="L22" s="49" t="str">
        <f t="shared" ca="1" si="1"/>
        <v/>
      </c>
      <c r="M22" s="49" t="str">
        <f t="shared" ca="1" si="1"/>
        <v/>
      </c>
      <c r="N22" s="49" t="str">
        <f t="shared" ca="1" si="1"/>
        <v/>
      </c>
      <c r="O22" s="48" t="str">
        <f ca="1">IF($H22="","",IF(_xlfn.XLOOKUP(I22,TablaTransfor[カナ],TablaTransfor[現入社],"",0,-1)+1095&lt;HakenKikanE,"無期雇用","有期雇用（3ヵ月)"))</f>
        <v/>
      </c>
      <c r="P22" s="48" t="str">
        <f t="shared" ca="1" si="2"/>
        <v/>
      </c>
    </row>
    <row r="23" spans="1:16" ht="18.75" customHeight="1">
      <c r="H23" s="21" t="str">
        <f t="shared" ca="1" si="3"/>
        <v/>
      </c>
      <c r="I23" s="45"/>
      <c r="J23" s="48"/>
      <c r="K23" s="48" t="str">
        <f t="shared" ca="1" si="0"/>
        <v/>
      </c>
      <c r="L23" s="48" t="str">
        <f t="shared" ca="1" si="1"/>
        <v/>
      </c>
      <c r="M23" s="48" t="str">
        <f t="shared" ca="1" si="1"/>
        <v/>
      </c>
      <c r="N23" s="48" t="str">
        <f t="shared" ca="1" si="1"/>
        <v/>
      </c>
      <c r="O23" s="48" t="str">
        <f ca="1">IF($H23="","",IF(_xlfn.XLOOKUP(I23,TablaTransfor[カナ],TablaTransfor[現入社],"",0,-1)+1095&lt;HakenKikanE,"無期雇用","有期雇用（3ヵ月)"))</f>
        <v/>
      </c>
      <c r="P23" s="48" t="str">
        <f t="shared" ca="1" si="2"/>
        <v/>
      </c>
    </row>
    <row r="24" spans="1:16" ht="18.75" customHeight="1">
      <c r="H24" s="21" t="str">
        <f t="shared" ca="1" si="3"/>
        <v/>
      </c>
      <c r="I24" s="45"/>
      <c r="J24" s="48"/>
      <c r="K24" s="48" t="str">
        <f t="shared" ca="1" si="0"/>
        <v/>
      </c>
      <c r="L24" s="48" t="str">
        <f t="shared" ca="1" si="1"/>
        <v/>
      </c>
      <c r="M24" s="48" t="str">
        <f t="shared" ca="1" si="1"/>
        <v/>
      </c>
      <c r="N24" s="48" t="str">
        <f t="shared" ca="1" si="1"/>
        <v/>
      </c>
      <c r="O24" s="48" t="str">
        <f ca="1">IF($H24="","",IF(_xlfn.XLOOKUP(I24,TablaTransfor[カナ],TablaTransfor[現入社],"",0,-1)+1095&lt;HakenKikanE,"無期雇用","有期雇用（3ヵ月)"))</f>
        <v/>
      </c>
      <c r="P24" s="48" t="str">
        <f t="shared" ca="1" si="2"/>
        <v/>
      </c>
    </row>
    <row r="25" spans="1:16" ht="18.75" customHeight="1">
      <c r="H25" s="21" t="str">
        <f t="shared" ca="1" si="3"/>
        <v/>
      </c>
      <c r="I25" s="45"/>
      <c r="J25" s="48"/>
      <c r="K25" s="48" t="str">
        <f t="shared" ca="1" si="0"/>
        <v/>
      </c>
      <c r="L25" s="48"/>
      <c r="M25" s="48" t="str">
        <f t="shared" ca="1" si="1"/>
        <v/>
      </c>
      <c r="N25" s="48" t="str">
        <f t="shared" ca="1" si="1"/>
        <v/>
      </c>
      <c r="O25" s="48" t="str">
        <f ca="1">IF($H25="","",IF(_xlfn.XLOOKUP(I25,TablaTransfor[カナ],TablaTransfor[現入社],"",0,-1)+1095&lt;HakenKikanE,"無期雇用","有期雇用（3ヵ月)"))</f>
        <v/>
      </c>
      <c r="P25" s="48" t="str">
        <f t="shared" ca="1" si="2"/>
        <v/>
      </c>
    </row>
    <row r="26" spans="1:16" ht="18.75" customHeight="1">
      <c r="H26" s="21" t="str">
        <f t="shared" ca="1" si="3"/>
        <v/>
      </c>
      <c r="I26" s="45"/>
      <c r="J26" s="48"/>
      <c r="K26" s="48" t="str">
        <f t="shared" ca="1" si="0"/>
        <v/>
      </c>
      <c r="L26" s="48" t="str">
        <f t="shared" ca="1" si="1"/>
        <v/>
      </c>
      <c r="M26" s="48" t="str">
        <f t="shared" ca="1" si="1"/>
        <v/>
      </c>
      <c r="N26" s="48" t="str">
        <f t="shared" ca="1" si="1"/>
        <v/>
      </c>
      <c r="O26" s="48" t="str">
        <f ca="1">IF($H26="","",IF(_xlfn.XLOOKUP(I26,TablaTransfor[カナ],TablaTransfor[現入社],"",0,-1)+1095&lt;HakenKikanE,"無期雇用","有期雇用（3ヵ月)"))</f>
        <v/>
      </c>
      <c r="P26" s="48" t="str">
        <f t="shared" ca="1" si="2"/>
        <v/>
      </c>
    </row>
    <row r="27" spans="1:16" ht="18.75" customHeight="1">
      <c r="H27" s="21" t="str">
        <f t="shared" ca="1" si="3"/>
        <v/>
      </c>
      <c r="I27" s="45"/>
      <c r="J27" s="48"/>
      <c r="K27" s="48" t="str">
        <f t="shared" ca="1" si="0"/>
        <v/>
      </c>
      <c r="L27" s="48" t="str">
        <f t="shared" ca="1" si="1"/>
        <v/>
      </c>
      <c r="M27" s="48" t="str">
        <f t="shared" ca="1" si="1"/>
        <v/>
      </c>
      <c r="N27" s="48" t="str">
        <f t="shared" ca="1" si="1"/>
        <v/>
      </c>
      <c r="O27" s="48" t="str">
        <f ca="1">IF($H27="","",IF(_xlfn.XLOOKUP(I27,TablaTransfor[カナ],TablaTransfor[現入社],"",0,-1)+1095&lt;HakenKikanE,"無期雇用","有期雇用（3ヵ月)"))</f>
        <v/>
      </c>
      <c r="P27" s="48" t="str">
        <f t="shared" ca="1" si="2"/>
        <v/>
      </c>
    </row>
    <row r="28" spans="1:16" ht="18.75" customHeight="1">
      <c r="H28" s="21" t="str">
        <f t="shared" ca="1" si="3"/>
        <v/>
      </c>
      <c r="I28" s="47"/>
      <c r="J28" s="48"/>
      <c r="K28" s="48" t="str">
        <f t="shared" ca="1" si="0"/>
        <v/>
      </c>
      <c r="L28" s="50" t="str">
        <f t="shared" ca="1" si="1"/>
        <v/>
      </c>
      <c r="M28" s="50" t="str">
        <f t="shared" ca="1" si="1"/>
        <v/>
      </c>
      <c r="N28" s="50" t="str">
        <f t="shared" ca="1" si="1"/>
        <v/>
      </c>
      <c r="O28" s="48" t="str">
        <f ca="1">IF($H28="","",IF(_xlfn.XLOOKUP(I28,TablaTransfor[カナ],TablaTransfor[現入社],"",0,-1)+1095&lt;HakenKikanE,"無期雇用","有期雇用（3ヵ月)"))</f>
        <v/>
      </c>
      <c r="P28" s="48" t="str">
        <f t="shared" ca="1" si="2"/>
        <v/>
      </c>
    </row>
    <row r="29" spans="1:16" ht="18.75" customHeight="1">
      <c r="H29" s="21" t="str">
        <f t="shared" ca="1" si="3"/>
        <v/>
      </c>
      <c r="I29" s="45"/>
      <c r="J29" s="48"/>
      <c r="K29" s="48" t="str">
        <f t="shared" ca="1" si="0"/>
        <v/>
      </c>
      <c r="L29" s="48" t="str">
        <f t="shared" ca="1" si="1"/>
        <v/>
      </c>
      <c r="M29" s="48" t="str">
        <f t="shared" ca="1" si="1"/>
        <v/>
      </c>
      <c r="N29" s="48" t="str">
        <f t="shared" ca="1" si="1"/>
        <v/>
      </c>
      <c r="O29" s="48" t="str">
        <f ca="1">IF($H29="","",IF(_xlfn.XLOOKUP(I29,TablaTransfor[カナ],TablaTransfor[現入社],"",0,-1)+1095&lt;HakenKikanE,"無期雇用","有期雇用（3ヵ月)"))</f>
        <v/>
      </c>
      <c r="P29" s="48" t="str">
        <f t="shared" ca="1" si="2"/>
        <v/>
      </c>
    </row>
    <row r="30" spans="1:16" ht="18.75" customHeight="1">
      <c r="H30" s="21" t="str">
        <f t="shared" ca="1" si="3"/>
        <v/>
      </c>
      <c r="I30" s="45"/>
      <c r="J30" s="48"/>
      <c r="K30" s="48" t="str">
        <f t="shared" ca="1" si="0"/>
        <v/>
      </c>
      <c r="L30" s="48" t="str">
        <f t="shared" ca="1" si="1"/>
        <v/>
      </c>
      <c r="M30" s="48" t="str">
        <f t="shared" ca="1" si="1"/>
        <v/>
      </c>
      <c r="N30" s="48" t="str">
        <f t="shared" ca="1" si="1"/>
        <v/>
      </c>
      <c r="O30" s="48" t="str">
        <f ca="1">IF($H30="","",IF(_xlfn.XLOOKUP(I30,TablaTransfor[カナ],TablaTransfor[現入社],"",0,-1)+1095&lt;HakenKikanE,"無期雇用","有期雇用（3ヵ月)"))</f>
        <v/>
      </c>
      <c r="P30" s="48" t="str">
        <f t="shared" ca="1" si="2"/>
        <v/>
      </c>
    </row>
    <row r="31" spans="1:16" ht="18.75" customHeight="1">
      <c r="H31" s="21" t="str">
        <f t="shared" ca="1" si="3"/>
        <v/>
      </c>
      <c r="I31" s="45"/>
      <c r="J31" s="48"/>
      <c r="K31" s="48" t="str">
        <f t="shared" ca="1" si="0"/>
        <v/>
      </c>
      <c r="L31" s="48" t="str">
        <f t="shared" ca="1" si="1"/>
        <v/>
      </c>
      <c r="M31" s="48" t="str">
        <f t="shared" ca="1" si="1"/>
        <v/>
      </c>
      <c r="N31" s="48" t="str">
        <f t="shared" ca="1" si="1"/>
        <v/>
      </c>
      <c r="O31" s="48" t="str">
        <f ca="1">IF($H31="","",IF(_xlfn.XLOOKUP(I31,TablaTransfor[カナ],TablaTransfor[現入社],"",0,-1)+1095&lt;HakenKikanE,"無期雇用","有期雇用（3ヵ月)"))</f>
        <v/>
      </c>
      <c r="P31" s="48" t="str">
        <f t="shared" ca="1" si="2"/>
        <v/>
      </c>
    </row>
    <row r="32" spans="1:16" ht="18.75" customHeight="1">
      <c r="H32" s="21" t="str">
        <f t="shared" ca="1" si="3"/>
        <v/>
      </c>
      <c r="I32" s="45"/>
      <c r="J32" s="48"/>
      <c r="K32" s="48" t="str">
        <f t="shared" ca="1" si="0"/>
        <v/>
      </c>
      <c r="L32" s="48" t="str">
        <f t="shared" ca="1" si="1"/>
        <v/>
      </c>
      <c r="M32" s="48" t="str">
        <f t="shared" ca="1" si="1"/>
        <v/>
      </c>
      <c r="N32" s="48" t="str">
        <f t="shared" ca="1" si="1"/>
        <v/>
      </c>
      <c r="O32" s="48" t="str">
        <f ca="1">IF($H32="","",IF(_xlfn.XLOOKUP(I32,TablaTransfor[カナ],TablaTransfor[現入社],"",0,-1)+1095&lt;HakenKikanE,"無期雇用","有期雇用（3ヵ月)"))</f>
        <v/>
      </c>
      <c r="P32" s="48" t="str">
        <f t="shared" ca="1" si="2"/>
        <v/>
      </c>
    </row>
    <row r="33" spans="8:16" ht="18.75" customHeight="1">
      <c r="H33" s="21" t="str">
        <f t="shared" ca="1" si="3"/>
        <v/>
      </c>
      <c r="I33" s="45"/>
      <c r="J33" s="48"/>
      <c r="K33" s="48" t="str">
        <f t="shared" ca="1" si="0"/>
        <v/>
      </c>
      <c r="L33" s="48" t="str">
        <f t="shared" ca="1" si="1"/>
        <v/>
      </c>
      <c r="M33" s="48" t="str">
        <f t="shared" ca="1" si="1"/>
        <v/>
      </c>
      <c r="N33" s="48" t="str">
        <f t="shared" ca="1" si="1"/>
        <v/>
      </c>
      <c r="O33" s="48" t="str">
        <f ca="1">IF($H33="","",IF(_xlfn.XLOOKUP(I33,TablaTransfor[カナ],TablaTransfor[現入社],"",0,-1)+1095&lt;HakenKikanE,"無期雇用","有期雇用（3ヵ月)"))</f>
        <v/>
      </c>
      <c r="P33" s="48" t="str">
        <f t="shared" ca="1" si="2"/>
        <v/>
      </c>
    </row>
    <row r="34" spans="8:16" ht="18.75" customHeight="1">
      <c r="H34" s="21" t="str">
        <f t="shared" ca="1" si="3"/>
        <v/>
      </c>
      <c r="I34" s="45"/>
      <c r="J34" s="48"/>
      <c r="K34" s="48" t="str">
        <f t="shared" ca="1" si="0"/>
        <v/>
      </c>
      <c r="L34" s="48" t="str">
        <f t="shared" ca="1" si="1"/>
        <v/>
      </c>
      <c r="M34" s="48" t="str">
        <f t="shared" ca="1" si="1"/>
        <v/>
      </c>
      <c r="N34" s="48" t="str">
        <f t="shared" ca="1" si="1"/>
        <v/>
      </c>
      <c r="O34" s="48" t="str">
        <f ca="1">IF($H34="","",IF(_xlfn.XLOOKUP(I34,TablaTransfor[カナ],TablaTransfor[現入社],"",0,-1)+1095&lt;HakenKikanE,"無期雇用","有期雇用（3ヵ月)"))</f>
        <v/>
      </c>
      <c r="P34" s="48" t="str">
        <f t="shared" ca="1" si="2"/>
        <v/>
      </c>
    </row>
    <row r="35" spans="8:16" ht="18.75" customHeight="1">
      <c r="H35" s="21" t="str">
        <f t="shared" ca="1" si="3"/>
        <v/>
      </c>
      <c r="I35" s="45"/>
      <c r="J35" s="48"/>
      <c r="K35" s="48" t="str">
        <f t="shared" ca="1" si="0"/>
        <v/>
      </c>
      <c r="L35" s="48" t="str">
        <f t="shared" ca="1" si="1"/>
        <v/>
      </c>
      <c r="M35" s="48" t="str">
        <f t="shared" ca="1" si="1"/>
        <v/>
      </c>
      <c r="N35" s="48" t="str">
        <f t="shared" ca="1" si="1"/>
        <v/>
      </c>
      <c r="O35" s="48" t="str">
        <f ca="1">IF($H35="","",IF(_xlfn.XLOOKUP(I35,TablaTransfor[カナ],TablaTransfor[現入社],"",0,-1)+1095&lt;HakenKikanE,"無期雇用","有期雇用（3ヵ月)"))</f>
        <v/>
      </c>
      <c r="P35" s="48" t="str">
        <f t="shared" ca="1" si="2"/>
        <v/>
      </c>
    </row>
    <row r="36" spans="8:16" ht="18.75" customHeight="1">
      <c r="H36" s="21" t="str">
        <f t="shared" ca="1" si="3"/>
        <v/>
      </c>
      <c r="I36" s="45"/>
      <c r="J36" s="48"/>
      <c r="K36" s="48" t="str">
        <f t="shared" ca="1" si="0"/>
        <v/>
      </c>
      <c r="L36" s="48" t="str">
        <f t="shared" ca="1" si="1"/>
        <v/>
      </c>
      <c r="M36" s="48" t="str">
        <f t="shared" ca="1" si="1"/>
        <v/>
      </c>
      <c r="N36" s="48" t="str">
        <f t="shared" ca="1" si="1"/>
        <v/>
      </c>
      <c r="O36" s="48" t="str">
        <f ca="1">IF($H36="","",IF(_xlfn.XLOOKUP(I36,TablaTransfor[カナ],TablaTransfor[現入社],"",0,-1)+1095&lt;HakenKikanE,"無期雇用","有期雇用（3ヵ月)"))</f>
        <v/>
      </c>
      <c r="P36" s="48" t="str">
        <f t="shared" ca="1" si="2"/>
        <v/>
      </c>
    </row>
    <row r="37" spans="8:16" ht="18.75" customHeight="1">
      <c r="H37" s="21" t="str">
        <f t="shared" ca="1" si="3"/>
        <v/>
      </c>
      <c r="I37" s="45"/>
      <c r="J37" s="48"/>
      <c r="K37" s="48" t="str">
        <f t="shared" ca="1" si="0"/>
        <v/>
      </c>
      <c r="L37" s="48" t="str">
        <f t="shared" ca="1" si="1"/>
        <v/>
      </c>
      <c r="M37" s="48" t="str">
        <f t="shared" ca="1" si="1"/>
        <v/>
      </c>
      <c r="N37" s="48" t="str">
        <f t="shared" ca="1" si="1"/>
        <v/>
      </c>
      <c r="O37" s="48" t="str">
        <f ca="1">IF($H37="","",IF(_xlfn.XLOOKUP(I37,TablaTransfor[カナ],TablaTransfor[現入社],"",0,-1)+1095&lt;HakenKikanE,"無期雇用","有期雇用（3ヵ月)"))</f>
        <v/>
      </c>
      <c r="P37" s="48" t="str">
        <f t="shared" ca="1" si="2"/>
        <v/>
      </c>
    </row>
    <row r="38" spans="8:16" ht="18.75" customHeight="1">
      <c r="H38" s="21" t="str">
        <f t="shared" ca="1" si="3"/>
        <v/>
      </c>
      <c r="I38" s="45"/>
      <c r="J38" s="48"/>
      <c r="K38" s="48" t="str">
        <f t="shared" ca="1" si="0"/>
        <v/>
      </c>
      <c r="L38" s="48" t="str">
        <f t="shared" ca="1" si="1"/>
        <v/>
      </c>
      <c r="M38" s="48" t="str">
        <f t="shared" ca="1" si="1"/>
        <v/>
      </c>
      <c r="N38" s="48" t="str">
        <f t="shared" ca="1" si="1"/>
        <v/>
      </c>
      <c r="O38" s="48" t="str">
        <f ca="1">IF($H38="","",IF(_xlfn.XLOOKUP(I38,TablaTransfor[カナ],TablaTransfor[現入社],"",0,-1)+1095&lt;HakenKikanE,"無期雇用","有期雇用（3ヵ月)"))</f>
        <v/>
      </c>
      <c r="P38" s="48" t="str">
        <f t="shared" ca="1" si="2"/>
        <v/>
      </c>
    </row>
    <row r="39" spans="8:16" ht="18.75" customHeight="1">
      <c r="H39" s="21" t="str">
        <f t="shared" ca="1" si="3"/>
        <v/>
      </c>
      <c r="I39" s="45"/>
      <c r="J39" s="48"/>
      <c r="K39" s="48" t="str">
        <f t="shared" ca="1" si="0"/>
        <v/>
      </c>
      <c r="L39" s="48" t="str">
        <f t="shared" ca="1" si="1"/>
        <v/>
      </c>
      <c r="M39" s="48" t="str">
        <f t="shared" ca="1" si="1"/>
        <v/>
      </c>
      <c r="N39" s="48" t="str">
        <f t="shared" ca="1" si="1"/>
        <v/>
      </c>
      <c r="O39" s="48" t="str">
        <f ca="1">IF($H39="","",IF(_xlfn.XLOOKUP(I39,TablaTransfor[カナ],TablaTransfor[現入社],"",0,-1)+1095&lt;HakenKikanE,"無期雇用","有期雇用（3ヵ月)"))</f>
        <v/>
      </c>
      <c r="P39" s="48" t="str">
        <f t="shared" ca="1" si="2"/>
        <v/>
      </c>
    </row>
    <row r="40" spans="8:16" ht="18.75" customHeight="1">
      <c r="H40" s="21" t="str">
        <f t="shared" ca="1" si="3"/>
        <v/>
      </c>
      <c r="I40" s="45"/>
      <c r="J40" s="48"/>
      <c r="K40" s="48" t="str">
        <f t="shared" ca="1" si="0"/>
        <v/>
      </c>
      <c r="L40" s="48" t="str">
        <f t="shared" ca="1" si="1"/>
        <v/>
      </c>
      <c r="M40" s="48" t="str">
        <f t="shared" ca="1" si="1"/>
        <v/>
      </c>
      <c r="N40" s="48" t="str">
        <f t="shared" ca="1" si="1"/>
        <v/>
      </c>
      <c r="O40" s="48" t="str">
        <f ca="1">IF($H40="","",IF(_xlfn.XLOOKUP(I40,TablaTransfor[カナ],TablaTransfor[現入社],"",0,-1)+1095&lt;HakenKikanE,"無期雇用","有期雇用（3ヵ月)"))</f>
        <v/>
      </c>
      <c r="P40" s="48" t="str">
        <f t="shared" ca="1" si="2"/>
        <v/>
      </c>
    </row>
    <row r="41" spans="8:16" ht="18.75" customHeight="1">
      <c r="H41" s="21" t="str">
        <f t="shared" ca="1" si="3"/>
        <v/>
      </c>
      <c r="I41" s="45"/>
      <c r="J41" s="48"/>
      <c r="K41" s="48" t="str">
        <f t="shared" ca="1" si="0"/>
        <v/>
      </c>
      <c r="L41" s="48" t="str">
        <f t="shared" ca="1" si="1"/>
        <v/>
      </c>
      <c r="M41" s="48" t="str">
        <f t="shared" ca="1" si="1"/>
        <v/>
      </c>
      <c r="N41" s="48" t="str">
        <f t="shared" ca="1" si="1"/>
        <v/>
      </c>
      <c r="O41" s="48" t="str">
        <f ca="1">IF($H41="","",IF(_xlfn.XLOOKUP(I41,TablaTransfor[カナ],TablaTransfor[現入社],"",0,-1)+1095&lt;HakenKikanE,"無期雇用","有期雇用（3ヵ月)"))</f>
        <v/>
      </c>
      <c r="P41" s="48" t="str">
        <f t="shared" ca="1" si="2"/>
        <v/>
      </c>
    </row>
    <row r="42" spans="8:16" ht="18.75" customHeight="1">
      <c r="H42" s="21" t="str">
        <f t="shared" ca="1" si="3"/>
        <v/>
      </c>
      <c r="I42" s="45"/>
      <c r="J42" s="48"/>
      <c r="K42" s="48" t="str">
        <f t="shared" ca="1" si="0"/>
        <v/>
      </c>
      <c r="L42" s="48" t="str">
        <f t="shared" ca="1" si="1"/>
        <v/>
      </c>
      <c r="M42" s="48" t="str">
        <f t="shared" ca="1" si="1"/>
        <v/>
      </c>
      <c r="N42" s="48" t="str">
        <f t="shared" ca="1" si="1"/>
        <v/>
      </c>
      <c r="O42" s="48" t="str">
        <f ca="1">IF($H42="","",IF(_xlfn.XLOOKUP(I42,TablaTransfor[カナ],TablaTransfor[現入社],"",0,-1)+1095&lt;HakenKikanE,"無期雇用","有期雇用（3ヵ月)"))</f>
        <v/>
      </c>
      <c r="P42" s="48" t="str">
        <f t="shared" ca="1" si="2"/>
        <v/>
      </c>
    </row>
    <row r="43" spans="8:16" ht="18.75" customHeight="1">
      <c r="H43" s="21" t="str">
        <f t="shared" ca="1" si="3"/>
        <v/>
      </c>
      <c r="I43" s="45"/>
      <c r="J43" s="48"/>
      <c r="K43" s="48" t="str">
        <f t="shared" ca="1" si="0"/>
        <v/>
      </c>
      <c r="L43" s="48" t="str">
        <f t="shared" ca="1" si="1"/>
        <v/>
      </c>
      <c r="M43" s="48" t="str">
        <f t="shared" ca="1" si="1"/>
        <v/>
      </c>
      <c r="N43" s="48" t="str">
        <f t="shared" ca="1" si="1"/>
        <v/>
      </c>
      <c r="O43" s="48" t="str">
        <f ca="1">IF($H43="","",IF(_xlfn.XLOOKUP(I43,TablaTransfor[カナ],TablaTransfor[現入社],"",0,-1)+1095&lt;HakenKikanE,"無期雇用","有期雇用（3ヵ月)"))</f>
        <v/>
      </c>
      <c r="P43" s="48" t="str">
        <f t="shared" ca="1" si="2"/>
        <v/>
      </c>
    </row>
    <row r="44" spans="8:16" ht="18.75" customHeight="1">
      <c r="H44" s="21" t="str">
        <f t="shared" ca="1" si="3"/>
        <v/>
      </c>
      <c r="I44" s="45"/>
      <c r="J44" s="48"/>
      <c r="K44" s="48" t="str">
        <f t="shared" ca="1" si="0"/>
        <v/>
      </c>
      <c r="L44" s="48" t="str">
        <f t="shared" ca="1" si="1"/>
        <v/>
      </c>
      <c r="M44" s="48" t="str">
        <f t="shared" ca="1" si="1"/>
        <v/>
      </c>
      <c r="N44" s="48" t="str">
        <f t="shared" ca="1" si="1"/>
        <v/>
      </c>
      <c r="O44" s="48" t="str">
        <f ca="1">IF($H44="","",IF(_xlfn.XLOOKUP(I44,TablaTransfor[カナ],TablaTransfor[現入社],"",0,-1)+1095&lt;HakenKikanE,"無期雇用","有期雇用（3ヵ月)"))</f>
        <v/>
      </c>
      <c r="P44" s="48" t="str">
        <f t="shared" ca="1" si="2"/>
        <v/>
      </c>
    </row>
    <row r="45" spans="8:16" ht="18.75" customHeight="1">
      <c r="H45" s="21" t="str">
        <f t="shared" ca="1" si="3"/>
        <v/>
      </c>
      <c r="I45" s="45"/>
      <c r="J45" s="48"/>
      <c r="K45" s="48" t="str">
        <f t="shared" ca="1" si="0"/>
        <v/>
      </c>
      <c r="L45" s="48" t="str">
        <f t="shared" ca="1" si="1"/>
        <v/>
      </c>
      <c r="M45" s="48" t="str">
        <f t="shared" ca="1" si="1"/>
        <v/>
      </c>
      <c r="N45" s="48" t="str">
        <f t="shared" ca="1" si="1"/>
        <v/>
      </c>
      <c r="O45" s="48" t="str">
        <f ca="1">IF($H45="","",IF(_xlfn.XLOOKUP(I45,TablaTransfor[カナ],TablaTransfor[現入社],"",0,-1)+1095&lt;HakenKikanE,"無期雇用","有期雇用（3ヵ月)"))</f>
        <v/>
      </c>
      <c r="P45" s="48" t="str">
        <f t="shared" ca="1" si="2"/>
        <v/>
      </c>
    </row>
    <row r="46" spans="8:16" ht="18.75" customHeight="1">
      <c r="H46" s="21" t="str">
        <f t="shared" ca="1" si="3"/>
        <v/>
      </c>
      <c r="I46" s="45"/>
      <c r="J46" s="48"/>
      <c r="K46" s="48" t="str">
        <f t="shared" ca="1" si="0"/>
        <v/>
      </c>
      <c r="L46" s="48" t="str">
        <f t="shared" ca="1" si="1"/>
        <v/>
      </c>
      <c r="M46" s="48" t="str">
        <f t="shared" ca="1" si="1"/>
        <v/>
      </c>
      <c r="N46" s="48" t="str">
        <f t="shared" ca="1" si="1"/>
        <v/>
      </c>
      <c r="O46" s="48" t="str">
        <f ca="1">IF($H46="","",IF(_xlfn.XLOOKUP(I46,TablaTransfor[カナ],TablaTransfor[現入社],"",0,-1)+1095&lt;HakenKikanE,"無期雇用","有期雇用（3ヵ月)"))</f>
        <v/>
      </c>
      <c r="P46" s="48" t="str">
        <f t="shared" ca="1" si="2"/>
        <v/>
      </c>
    </row>
    <row r="47" spans="8:16" ht="18.75" customHeight="1">
      <c r="H47" s="21" t="str">
        <f t="shared" ca="1" si="3"/>
        <v/>
      </c>
      <c r="I47" s="45"/>
      <c r="J47" s="48"/>
      <c r="K47" s="48" t="str">
        <f t="shared" ca="1" si="0"/>
        <v/>
      </c>
      <c r="L47" s="48" t="str">
        <f t="shared" ca="1" si="1"/>
        <v/>
      </c>
      <c r="M47" s="48" t="str">
        <f t="shared" ca="1" si="1"/>
        <v/>
      </c>
      <c r="N47" s="48" t="str">
        <f t="shared" ca="1" si="1"/>
        <v/>
      </c>
      <c r="O47" s="48" t="str">
        <f ca="1">IF($H47="","",IF(_xlfn.XLOOKUP(I47,TablaTransfor[カナ],TablaTransfor[現入社],"",0,-1)+1095&lt;HakenKikanE,"無期雇用","有期雇用（3ヵ月)"))</f>
        <v/>
      </c>
      <c r="P47" s="48" t="str">
        <f t="shared" ca="1" si="2"/>
        <v/>
      </c>
    </row>
    <row r="48" spans="8:16" ht="18.75" customHeight="1">
      <c r="H48" s="21" t="str">
        <f t="shared" ca="1" si="3"/>
        <v/>
      </c>
      <c r="I48" s="45"/>
      <c r="J48" s="48"/>
      <c r="K48" s="48" t="str">
        <f t="shared" ca="1" si="0"/>
        <v/>
      </c>
      <c r="L48" s="48" t="str">
        <f t="shared" ca="1" si="1"/>
        <v/>
      </c>
      <c r="M48" s="48" t="str">
        <f t="shared" ca="1" si="1"/>
        <v/>
      </c>
      <c r="N48" s="48" t="str">
        <f t="shared" ca="1" si="1"/>
        <v/>
      </c>
      <c r="O48" s="48" t="str">
        <f ca="1">IF($H48="","",IF(_xlfn.XLOOKUP(I48,TablaTransfor[カナ],TablaTransfor[現入社],"",0,-1)+1095&lt;HakenKikanE,"無期雇用","有期雇用（3ヵ月)"))</f>
        <v/>
      </c>
      <c r="P48" s="48" t="str">
        <f t="shared" ca="1" si="2"/>
        <v/>
      </c>
    </row>
    <row r="49" spans="8:16" ht="18.75" customHeight="1">
      <c r="H49" s="21" t="str">
        <f t="shared" ca="1" si="3"/>
        <v/>
      </c>
      <c r="I49" s="45"/>
      <c r="J49" s="48"/>
      <c r="K49" s="48" t="str">
        <f t="shared" ca="1" si="0"/>
        <v/>
      </c>
      <c r="L49" s="48" t="str">
        <f t="shared" ca="1" si="1"/>
        <v/>
      </c>
      <c r="M49" s="48" t="str">
        <f t="shared" ca="1" si="1"/>
        <v/>
      </c>
      <c r="N49" s="48" t="str">
        <f t="shared" ca="1" si="1"/>
        <v/>
      </c>
      <c r="O49" s="48" t="str">
        <f ca="1">IF($H49="","",IF(_xlfn.XLOOKUP(I49,TablaTransfor[カナ],TablaTransfor[現入社],"",0,-1)+1095&lt;HakenKikanE,"無期雇用","有期雇用（3ヵ月)"))</f>
        <v/>
      </c>
      <c r="P49" s="48" t="str">
        <f t="shared" ca="1" si="2"/>
        <v/>
      </c>
    </row>
    <row r="50" spans="8:16" ht="18.75">
      <c r="H50" s="21"/>
      <c r="I50" s="45"/>
      <c r="J50" s="48"/>
      <c r="K50" s="48" t="str">
        <f t="shared" si="0"/>
        <v/>
      </c>
      <c r="L50" s="48"/>
      <c r="M50" s="48"/>
      <c r="N50" s="48"/>
      <c r="O50" s="48" t="str">
        <f ca="1">IF($H50="","",IF(_xlfn.XLOOKUP(I50,TablaTransfor[カナ],TablaTransfor[現入社],"",0,-1)+1095&lt;HakenKikanE,"無期雇用","有期雇用（3ヵ月)"))</f>
        <v/>
      </c>
      <c r="P50" s="48"/>
    </row>
    <row r="51" spans="8:16" ht="18.75">
      <c r="H51" s="21"/>
      <c r="I51" s="45"/>
      <c r="J51" s="48"/>
      <c r="K51" s="48" t="str">
        <f t="shared" si="0"/>
        <v/>
      </c>
      <c r="L51" s="48"/>
      <c r="M51" s="48"/>
      <c r="N51" s="48"/>
      <c r="O51" s="48" t="str">
        <f ca="1">IF($H51="","",IF(_xlfn.XLOOKUP(I51,TablaTransfor[カナ],TablaTransfor[現入社],"",0,-1)+1095&lt;HakenKikanE,"無期雇用","有期雇用（3ヵ月)"))</f>
        <v/>
      </c>
      <c r="P51" s="48"/>
    </row>
    <row r="52" spans="8:16" ht="18.75">
      <c r="H52" s="21"/>
      <c r="I52" s="45"/>
      <c r="J52" s="48"/>
      <c r="K52" s="48" t="str">
        <f t="shared" si="0"/>
        <v/>
      </c>
      <c r="L52" s="48"/>
      <c r="M52" s="48"/>
      <c r="N52" s="48"/>
      <c r="O52" s="48" t="str">
        <f ca="1">IF($H52="","",IF(_xlfn.XLOOKUP(I52,TablaTransfor[カナ],TablaTransfor[現入社],"",0,-1)+1095&lt;HakenKikanE,"無期雇用","有期雇用（3ヵ月)"))</f>
        <v/>
      </c>
      <c r="P52" s="48"/>
    </row>
    <row r="53" spans="8:16" ht="18.75">
      <c r="H53" s="21"/>
      <c r="I53" s="45"/>
      <c r="J53" s="48"/>
      <c r="K53" s="48" t="str">
        <f t="shared" si="0"/>
        <v/>
      </c>
      <c r="L53" s="48"/>
      <c r="M53" s="48"/>
      <c r="N53" s="48"/>
      <c r="O53" s="48" t="str">
        <f ca="1">IF($H53="","",IF(_xlfn.XLOOKUP(I53,TablaTransfor[カナ],TablaTransfor[現入社],"",0,-1)+1095&lt;HakenKikanE,"無期雇用","有期雇用（3ヵ月)"))</f>
        <v/>
      </c>
      <c r="P53" s="48"/>
    </row>
    <row r="54" spans="8:16" ht="18.75">
      <c r="H54" s="21"/>
      <c r="I54" s="45"/>
      <c r="J54" s="48"/>
      <c r="K54" s="48" t="str">
        <f t="shared" si="0"/>
        <v/>
      </c>
      <c r="L54" s="48"/>
      <c r="M54" s="48"/>
      <c r="N54" s="48"/>
      <c r="O54" s="48" t="str">
        <f ca="1">IF($H54="","",IF(_xlfn.XLOOKUP(I54,TablaTransfor[カナ],TablaTransfor[現入社],"",0,-1)+1095&lt;HakenKikanE,"無期雇用","有期雇用（3ヵ月)"))</f>
        <v/>
      </c>
      <c r="P54" s="48"/>
    </row>
    <row r="55" spans="8:16" ht="18.75">
      <c r="H55" s="21"/>
      <c r="I55" s="45"/>
      <c r="J55" s="48"/>
      <c r="K55" s="48" t="str">
        <f t="shared" si="0"/>
        <v/>
      </c>
      <c r="L55" s="48"/>
      <c r="M55" s="48"/>
      <c r="N55" s="48"/>
      <c r="O55" s="48" t="str">
        <f ca="1">IF($H55="","",IF(_xlfn.XLOOKUP(I55,TablaTransfor[カナ],TablaTransfor[現入社],"",0,-1)+1095&lt;HakenKikanE,"無期雇用","有期雇用（3ヵ月)"))</f>
        <v/>
      </c>
      <c r="P55" s="48"/>
    </row>
    <row r="56" spans="8:16" ht="18.75">
      <c r="H56" s="21"/>
      <c r="I56" s="45"/>
      <c r="J56" s="48"/>
      <c r="K56" s="48" t="str">
        <f t="shared" si="0"/>
        <v/>
      </c>
      <c r="L56" s="48"/>
      <c r="M56" s="48"/>
      <c r="N56" s="48"/>
      <c r="O56" s="48" t="str">
        <f ca="1">IF($H56="","",IF(_xlfn.XLOOKUP(I56,TablaTransfor[カナ],TablaTransfor[現入社],"",0,-1)+1095&lt;HakenKikanE,"無期雇用","有期雇用（3ヵ月)"))</f>
        <v/>
      </c>
      <c r="P56" s="48"/>
    </row>
    <row r="57" spans="8:16" ht="18.75">
      <c r="H57" s="21"/>
      <c r="I57" s="45"/>
      <c r="J57" s="48"/>
      <c r="K57" s="48" t="str">
        <f t="shared" si="0"/>
        <v/>
      </c>
      <c r="L57" s="48"/>
      <c r="M57" s="48"/>
      <c r="N57" s="48"/>
      <c r="O57" s="48" t="str">
        <f ca="1">IF($H57="","",IF(_xlfn.XLOOKUP(I57,TablaTransfor[カナ],TablaTransfor[現入社],"",0,-1)+1095&lt;HakenKikanE,"無期雇用","有期雇用（3ヵ月)"))</f>
        <v/>
      </c>
      <c r="P57" s="48"/>
    </row>
    <row r="58" spans="8:16" ht="18.75">
      <c r="H58" s="21"/>
      <c r="I58" s="45"/>
      <c r="J58" s="48"/>
      <c r="K58" s="48" t="str">
        <f t="shared" si="0"/>
        <v/>
      </c>
      <c r="L58" s="48"/>
      <c r="M58" s="48"/>
      <c r="N58" s="48"/>
      <c r="O58" s="48" t="str">
        <f ca="1">IF($H58="","",IF(_xlfn.XLOOKUP(I58,TablaTransfor[カナ],TablaTransfor[現入社],"",0,-1)+1095&lt;HakenKikanE,"無期雇用","有期雇用（3ヵ月)"))</f>
        <v/>
      </c>
      <c r="P58" s="48"/>
    </row>
    <row r="59" spans="8:16" ht="18.75">
      <c r="H59" s="21"/>
      <c r="I59" s="45"/>
      <c r="J59" s="48"/>
      <c r="K59" s="48" t="str">
        <f t="shared" si="0"/>
        <v/>
      </c>
      <c r="L59" s="48"/>
      <c r="M59" s="48"/>
      <c r="N59" s="48"/>
      <c r="O59" s="48" t="str">
        <f ca="1">IF($H59="","",IF(_xlfn.XLOOKUP(I59,TablaTransfor[カナ],TablaTransfor[現入社],"",0,-1)+1095&lt;HakenKikanE,"無期雇用","有期雇用（3ヵ月)"))</f>
        <v/>
      </c>
      <c r="P59" s="48"/>
    </row>
    <row r="60" spans="8:16" ht="18.75">
      <c r="H60" s="21"/>
      <c r="I60" s="45"/>
      <c r="J60" s="48"/>
      <c r="K60" s="48" t="str">
        <f t="shared" si="0"/>
        <v/>
      </c>
      <c r="L60" s="48"/>
      <c r="M60" s="48"/>
      <c r="N60" s="48"/>
      <c r="O60" s="48" t="str">
        <f ca="1">IF($H60="","",IF(_xlfn.XLOOKUP(I60,TablaTransfor[カナ],TablaTransfor[現入社],"",0,-1)+1095&lt;HakenKikanE,"無期雇用","有期雇用（3ヵ月)"))</f>
        <v/>
      </c>
      <c r="P60" s="48"/>
    </row>
    <row r="61" spans="8:16" ht="18.75">
      <c r="H61" s="21"/>
      <c r="I61" s="45"/>
      <c r="J61" s="48"/>
      <c r="K61" s="48" t="str">
        <f t="shared" si="0"/>
        <v/>
      </c>
      <c r="L61" s="48"/>
      <c r="M61" s="48"/>
      <c r="N61" s="48"/>
      <c r="O61" s="48" t="str">
        <f ca="1">IF($H61="","",IF(_xlfn.XLOOKUP(I61,TablaTransfor[カナ],TablaTransfor[現入社],"",0,-1)+1095&lt;HakenKikanE,"無期雇用","有期雇用（3ヵ月)"))</f>
        <v/>
      </c>
      <c r="P61" s="48"/>
    </row>
    <row r="62" spans="8:16" ht="18.75">
      <c r="H62" s="21"/>
      <c r="I62" s="45"/>
      <c r="J62" s="48"/>
      <c r="K62" s="48" t="str">
        <f t="shared" si="0"/>
        <v/>
      </c>
      <c r="L62" s="48"/>
      <c r="M62" s="48"/>
      <c r="N62" s="48"/>
      <c r="O62" s="48" t="str">
        <f ca="1">IF($H62="","",IF(_xlfn.XLOOKUP(I62,TablaTransfor[カナ],TablaTransfor[現入社],"",0,-1)+1095&lt;HakenKikanE,"無期雇用","有期雇用（3ヵ月)"))</f>
        <v/>
      </c>
      <c r="P62" s="48"/>
    </row>
    <row r="63" spans="8:16" ht="18.75">
      <c r="H63" s="21"/>
      <c r="I63" s="45"/>
      <c r="J63" s="48"/>
      <c r="K63" s="48" t="str">
        <f t="shared" si="0"/>
        <v/>
      </c>
      <c r="L63" s="48"/>
      <c r="M63" s="48"/>
      <c r="N63" s="48"/>
      <c r="O63" s="48" t="str">
        <f ca="1">IF($H63="","",IF(_xlfn.XLOOKUP(I63,TablaTransfor[カナ],TablaTransfor[現入社],"",0,-1)+1095&lt;HakenKikanE,"無期雇用","有期雇用（3ヵ月)"))</f>
        <v/>
      </c>
      <c r="P63" s="48"/>
    </row>
    <row r="64" spans="8:16" ht="18.75">
      <c r="H64" s="21"/>
      <c r="I64" s="45"/>
      <c r="J64" s="48"/>
      <c r="K64" s="48" t="str">
        <f t="shared" si="0"/>
        <v/>
      </c>
      <c r="L64" s="48"/>
      <c r="M64" s="48"/>
      <c r="N64" s="48"/>
      <c r="O64" s="48" t="str">
        <f ca="1">IF($H64="","",IF(_xlfn.XLOOKUP(I64,TablaTransfor[カナ],TablaTransfor[現入社],"",0,-1)+1095&lt;HakenKikanE,"無期雇用","有期雇用（3ヵ月)"))</f>
        <v/>
      </c>
      <c r="P64" s="48"/>
    </row>
    <row r="65" spans="8:16" ht="18.75">
      <c r="H65" s="21"/>
      <c r="I65" s="45"/>
      <c r="J65" s="48"/>
      <c r="K65" s="48" t="str">
        <f t="shared" si="0"/>
        <v/>
      </c>
      <c r="L65" s="48"/>
      <c r="M65" s="48"/>
      <c r="N65" s="48"/>
      <c r="O65" s="48" t="str">
        <f ca="1">IF($H65="","",IF(_xlfn.XLOOKUP(I65,TablaTransfor[カナ],TablaTransfor[現入社],"",0,-1)+1095&lt;HakenKikanE,"無期雇用","有期雇用（3ヵ月)"))</f>
        <v/>
      </c>
      <c r="P65" s="48"/>
    </row>
    <row r="66" spans="8:16" ht="18.75">
      <c r="H66" s="21"/>
      <c r="I66" s="45"/>
      <c r="J66" s="48"/>
      <c r="K66" s="48" t="str">
        <f t="shared" si="0"/>
        <v/>
      </c>
      <c r="L66" s="48"/>
      <c r="M66" s="48"/>
      <c r="N66" s="48"/>
      <c r="O66" s="48" t="str">
        <f ca="1">IF($H66="","",IF(_xlfn.XLOOKUP(I66,TablaTransfor[カナ],TablaTransfor[現入社],"",0,-1)+1095&lt;HakenKikanE,"無期雇用","有期雇用（3ヵ月)"))</f>
        <v/>
      </c>
      <c r="P66" s="48"/>
    </row>
    <row r="67" spans="8:16" ht="18">
      <c r="J67" s="48"/>
    </row>
  </sheetData>
  <mergeCells count="1">
    <mergeCell ref="I2:K2"/>
  </mergeCells>
  <phoneticPr fontId="1"/>
  <dataValidations count="1">
    <dataValidation type="list" allowBlank="1" showInputMessage="1" showErrorMessage="1" sqref="D4" xr:uid="{2D929343-F951-4DB2-B78B-6E1F9F1B12D0}">
      <formula1>$G$9:$G$66</formula1>
    </dataValidation>
  </dataValidations>
  <hyperlinks>
    <hyperlink ref="F4" location="個別契約書X!A1" display="個別契約書X!A1" xr:uid="{A696307C-895F-4F15-BAB0-143958B53CF2}"/>
  </hyperlinks>
  <pageMargins left="0.31496062992125984" right="3.937007874015748E-2" top="0.27559055118110237" bottom="0.27559055118110237" header="0.15748031496062992" footer="7.874015748031496E-2"/>
  <pageSetup paperSize="9" scale="65" orientation="portrait" r:id="rId1"/>
  <colBreaks count="2" manualBreakCount="2">
    <brk id="7" max="1048575" man="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C4E7A-66B3-4330-811C-4DD780506EC9}">
  <sheetPr codeName="Hoja12">
    <tabColor theme="3" tint="0.39997558519241921"/>
  </sheetPr>
  <dimension ref="A1:Z102"/>
  <sheetViews>
    <sheetView topLeftCell="E1" workbookViewId="0">
      <selection activeCell="G5" sqref="G5"/>
    </sheetView>
  </sheetViews>
  <sheetFormatPr defaultColWidth="9.14453125" defaultRowHeight="15"/>
  <cols>
    <col min="1" max="1" width="9.81640625" bestFit="1" customWidth="1"/>
    <col min="2" max="2" width="19.1015625" bestFit="1" customWidth="1"/>
    <col min="4" max="4" width="15.33203125" style="31" bestFit="1" customWidth="1"/>
    <col min="7" max="7" width="15.33203125" style="31" bestFit="1" customWidth="1"/>
    <col min="8" max="8" width="15.33203125" style="31" customWidth="1"/>
    <col min="9" max="9" width="4.9765625" customWidth="1"/>
    <col min="10" max="10" width="34.16796875" customWidth="1"/>
    <col min="11" max="11" width="4.4375" bestFit="1" customWidth="1"/>
    <col min="12" max="12" width="10.35546875" bestFit="1" customWidth="1"/>
    <col min="13" max="14" width="9.01171875" bestFit="1" customWidth="1"/>
    <col min="15" max="15" width="11.296875" bestFit="1" customWidth="1"/>
    <col min="16" max="16" width="22.328125" customWidth="1"/>
    <col min="17" max="17" width="36.18359375" customWidth="1"/>
  </cols>
  <sheetData>
    <row r="1" spans="1:26" ht="29.25" customHeight="1">
      <c r="A1">
        <v>1</v>
      </c>
      <c r="J1" s="2" t="s">
        <v>15</v>
      </c>
      <c r="K1" s="2"/>
      <c r="L1" s="2"/>
      <c r="M1" s="2"/>
      <c r="N1" s="2"/>
      <c r="Q1" s="2" t="s">
        <v>16</v>
      </c>
      <c r="U1">
        <f ca="1">COUNT(I9:I102)</f>
        <v>10</v>
      </c>
    </row>
    <row r="2" spans="1:26" ht="18">
      <c r="J2" s="741" t="str">
        <f>個別契約書X!I4&amp;" "&amp;個別契約書X!J7</f>
        <v>高雄工業株式会社 製作課</v>
      </c>
      <c r="K2" s="741"/>
      <c r="L2" s="741"/>
      <c r="M2" s="20" t="s">
        <v>387</v>
      </c>
      <c r="N2" s="2"/>
      <c r="O2" s="2"/>
      <c r="P2" s="2"/>
      <c r="Q2" s="2"/>
    </row>
    <row r="3" spans="1:26" ht="18">
      <c r="J3" s="24" t="str">
        <f>ライン</f>
        <v>Fライン</v>
      </c>
      <c r="K3" s="1"/>
      <c r="L3" s="1"/>
      <c r="M3" s="1"/>
      <c r="N3" s="1"/>
      <c r="O3" s="1"/>
      <c r="P3" s="1"/>
      <c r="Q3" s="1"/>
    </row>
    <row r="4" spans="1:26" ht="18">
      <c r="J4" s="1"/>
      <c r="K4" s="1"/>
      <c r="L4" s="1"/>
      <c r="M4" s="1"/>
      <c r="N4" s="1"/>
      <c r="O4" s="1"/>
      <c r="P4" s="1"/>
      <c r="Q4" s="1"/>
    </row>
    <row r="5" spans="1:26" ht="18.75">
      <c r="G5" s="73" t="s">
        <v>808</v>
      </c>
      <c r="H5" s="71" t="s">
        <v>805</v>
      </c>
      <c r="J5" s="2"/>
      <c r="K5" s="2"/>
      <c r="L5" s="2"/>
      <c r="M5" s="2"/>
      <c r="Q5" s="52" t="s">
        <v>13</v>
      </c>
      <c r="Z5" t="e">
        <f>_xlfn.XLOOKUP(koko,#REF!,#REF!,"",0,1)</f>
        <v>#NAME?</v>
      </c>
    </row>
    <row r="6" spans="1:26" ht="18.75">
      <c r="J6" s="2"/>
      <c r="K6" s="2"/>
      <c r="L6" s="2"/>
      <c r="M6" s="2"/>
      <c r="P6" s="52"/>
      <c r="Q6" s="52" t="s">
        <v>14</v>
      </c>
    </row>
    <row r="7" spans="1:26" ht="18">
      <c r="J7" s="51" t="str">
        <f>CONCATENATE(TEXT(個別契約書X!A59,"gggyy年m月d日"),"付の労働者派遣個別契約に基づき以下の者を派遣します。")</f>
        <v>令和07年9月29日付の労働者派遣個別契約に基づき以下の者を派遣します。</v>
      </c>
      <c r="K7" s="30"/>
      <c r="L7" s="30"/>
      <c r="M7" s="30"/>
      <c r="N7" s="30"/>
      <c r="O7" s="2"/>
      <c r="P7" s="2"/>
      <c r="Q7" s="30"/>
    </row>
    <row r="8" spans="1:26" ht="18.75" customHeight="1">
      <c r="B8" t="s">
        <v>1760</v>
      </c>
      <c r="I8" s="3" t="s">
        <v>5</v>
      </c>
      <c r="J8" s="48" t="s">
        <v>25</v>
      </c>
      <c r="K8" s="48" t="s">
        <v>7</v>
      </c>
      <c r="L8" s="48" t="s">
        <v>8</v>
      </c>
      <c r="M8" s="48" t="s">
        <v>9</v>
      </c>
      <c r="N8" s="48" t="s">
        <v>10</v>
      </c>
      <c r="O8" s="48" t="s">
        <v>11</v>
      </c>
      <c r="P8" s="48" t="s">
        <v>12</v>
      </c>
      <c r="Q8" s="48" t="s">
        <v>394</v>
      </c>
    </row>
    <row r="9" spans="1:26" ht="18.75" customHeight="1">
      <c r="A9" cm="1">
        <f t="array" aca="1" ref="A9:A22" ca="1">_xlfn._xlws.FILTER(TablaTransfor[社員№],TablaTransfor[ライン]=ライン,"")</f>
        <v>210102</v>
      </c>
      <c r="B9" t="str" cm="1">
        <f t="array" aca="1" ref="B9:B18" ca="1">_xlfn._xlws.FILTER(TablaTransfor[カナ],(TablaTransfor[ライン]=ライン)*(TablaTransfor[現在]="在職中"),"")</f>
        <v>ハー　ヴィエット　トウイ</v>
      </c>
      <c r="C9" t="str" cm="1">
        <f t="array" aca="1" ref="C9:C18" ca="1">_xlfn._xlws.FILTER(TablaTransfor[性別],(TablaTransfor[ライン]=ライン)*(TablaTransfor[現在]="在職中"),"")</f>
        <v>男</v>
      </c>
      <c r="D9" s="31" cm="1">
        <f t="array" aca="1" ref="D9:D18" ca="1">_xlfn._xlws.FILTER(TablaTransfor[生年月日],(TablaTransfor[ライン]=ライン)*(TablaTransfor[現在]="在職中"),"")</f>
        <v>34820</v>
      </c>
      <c r="E9" cm="1">
        <f t="array" aca="1" ref="E9:E18" ca="1">_xlfn._xlws.FILTER(TablaTransfor[年齢],(TablaTransfor[ライン]=ライン)*(TablaTransfor[現在]="在職中"),"")</f>
        <v>30</v>
      </c>
      <c r="F9" cm="1">
        <f t="array" aca="1" ref="F9:F18" ca="1">_xlfn._xlws.FILTER(TablaTransfor[単価],(TablaTransfor[ライン]=ライン)*(TablaTransfor[現在]="在職中"),"")</f>
        <v>1710</v>
      </c>
      <c r="G9" s="31" cm="1">
        <f t="array" aca="1" ref="G9:G18" ca="1">_xlfn._xlws.FILTER(TablaTransfor[現入社],(TablaTransfor[ライン]=ライン)*(TablaTransfor[現在]="在職中"),"")</f>
        <v>44690</v>
      </c>
      <c r="H9" s="31" t="str" cm="1">
        <f t="array" aca="1" ref="H9:H18" ca="1">_xlfn._xlws.FILTER(TablaTransfor[unicosC],(TablaTransfor[ライン]=ライン)*(TablaTransfor[現在]="在職中"),"")</f>
        <v>noHayCholo</v>
      </c>
      <c r="I9" s="21">
        <f ca="1">IF(J9="","",1)</f>
        <v>1</v>
      </c>
      <c r="J9" s="45" t="str" cm="1">
        <f t="array" aca="1" ref="J9:J18" ca="1">_xlfn._xlws.FILTER(TablaTransfor[カナ],(TablaTransfor[ライン]=ライン)*(TablaTransfor[現在]="在職中")*(TablaTransfor[入社日]&gt;D2),"")</f>
        <v>ハー　ヴィエット　トウイ</v>
      </c>
      <c r="K9" s="48" t="str" cm="1">
        <f t="array" aca="1" ref="K9:K18" ca="1">_xlfn._xlws.FILTER(TablaTransfor[性別],(TablaTransfor[ライン]=ライン)*(TablaTransfor[現在]="在職中")*(TablaTransfor[入社日]&gt;D2),"")</f>
        <v>男</v>
      </c>
      <c r="L9" s="48" t="str">
        <f ca="1">IF(H9="","",IF(E9&lt;=18,"18未満(     )歳",IF(AND((E9&gt;=18),(E9&lt;=45)),"18以上45歳未満",IF(AND((E9&gt;=46),(E9&lt;=60)),"46以上60歳未満",IF(E9&lt;=60,"60歳未満","60歳以上")))))</f>
        <v>18以上45歳未満</v>
      </c>
      <c r="M9" s="48" t="str">
        <f ca="1">IF($I9="","","加入")</f>
        <v>加入</v>
      </c>
      <c r="N9" s="48" t="str">
        <f ca="1">IF($I9="","","加入")</f>
        <v>加入</v>
      </c>
      <c r="O9" s="48" t="str">
        <f ca="1">IF($I9="","","加入")</f>
        <v>加入</v>
      </c>
      <c r="P9" s="48" t="str">
        <f ca="1">IF($I9="","",IF(G9+1095&lt;HakenKikanE,"無期雇用","有期雇用（3ヵ月)"))</f>
        <v>無期雇用</v>
      </c>
      <c r="Q9" s="48" t="str">
        <f ca="1">IF($I9="","","協定対象派遣労働者(労使協定式方式)")</f>
        <v>協定対象派遣労働者(労使協定式方式)</v>
      </c>
    </row>
    <row r="10" spans="1:26" ht="18.75" customHeight="1">
      <c r="A10">
        <f ca="1"/>
        <v>220503</v>
      </c>
      <c r="B10" t="str">
        <f ca="1"/>
        <v>グエン　クオック　ダット</v>
      </c>
      <c r="C10" t="str">
        <f ca="1"/>
        <v>男</v>
      </c>
      <c r="D10" s="31">
        <f ca="1"/>
        <v>34790</v>
      </c>
      <c r="E10">
        <f ca="1"/>
        <v>30</v>
      </c>
      <c r="F10">
        <f ca="1"/>
        <v>1710</v>
      </c>
      <c r="G10" s="31">
        <f ca="1"/>
        <v>44874</v>
      </c>
      <c r="H10" s="31" t="str">
        <f ca="1"/>
        <v>noHayCholo</v>
      </c>
      <c r="I10" s="21">
        <f ca="1">IF(J10="","",I9+1)</f>
        <v>2</v>
      </c>
      <c r="J10" s="45" t="str">
        <f ca="1"/>
        <v>グエン　クオック　ダット</v>
      </c>
      <c r="K10" s="22" t="str">
        <f ca="1"/>
        <v>男</v>
      </c>
      <c r="L10" s="48" t="str">
        <f t="shared" ref="L10:L66" ca="1" si="0">IF(H10="","",IF(E10&lt;=18,"18未満(     )歳",IF(AND((E10&gt;=18),(E10&lt;=45)),"18以上45歳未満",IF(AND((E10&gt;=46),(E10&lt;=60)),"46以上60歳未満",IF(E10&lt;=60,"60歳未満","60歳以上")))))</f>
        <v>18以上45歳未満</v>
      </c>
      <c r="M10" s="48" t="str">
        <f t="shared" ref="M10:O50" ca="1" si="1">IF($I10="","","加入")</f>
        <v>加入</v>
      </c>
      <c r="N10" s="48" t="str">
        <f t="shared" ca="1" si="1"/>
        <v>加入</v>
      </c>
      <c r="O10" s="48" t="str">
        <f t="shared" ca="1" si="1"/>
        <v>加入</v>
      </c>
      <c r="P10" s="48" t="str">
        <f t="shared" ref="P10:P66" ca="1" si="2">IF($I10="","",IF(G10+1095&lt;HakenKikanE,"無期雇用","有期雇用（3ヵ月)"))</f>
        <v>無期雇用</v>
      </c>
      <c r="Q10" s="48" t="str">
        <f t="shared" ref="Q10:Q73" ca="1" si="3">IF($I10="","","協定対象派遣労働者(労使協定式方式)")</f>
        <v>協定対象派遣労働者(労使協定式方式)</v>
      </c>
    </row>
    <row r="11" spans="1:26" ht="18.75" customHeight="1">
      <c r="A11">
        <f ca="1"/>
        <v>221102</v>
      </c>
      <c r="B11" t="str">
        <f ca="1"/>
        <v>ノン　ドゥック　フン</v>
      </c>
      <c r="C11" t="str">
        <f ca="1"/>
        <v>男</v>
      </c>
      <c r="D11" s="31">
        <f ca="1"/>
        <v>36739</v>
      </c>
      <c r="E11">
        <f ca="1"/>
        <v>25</v>
      </c>
      <c r="F11">
        <f ca="1"/>
        <v>1650</v>
      </c>
      <c r="G11" s="31">
        <f ca="1"/>
        <v>45707</v>
      </c>
      <c r="H11" s="31">
        <f ca="1"/>
        <v>45566</v>
      </c>
      <c r="I11" s="21">
        <f t="shared" ref="I11:I43" ca="1" si="4">IF(J11="","",I10+1)</f>
        <v>3</v>
      </c>
      <c r="J11" s="45" t="str">
        <f ca="1"/>
        <v>ノン　ドゥック　フン</v>
      </c>
      <c r="K11" s="22" t="str">
        <f ca="1"/>
        <v>男</v>
      </c>
      <c r="L11" s="48" t="str">
        <f t="shared" ca="1" si="0"/>
        <v>18以上45歳未満</v>
      </c>
      <c r="M11" s="48" t="str">
        <f t="shared" ca="1" si="1"/>
        <v>加入</v>
      </c>
      <c r="N11" s="48" t="str">
        <f t="shared" ca="1" si="1"/>
        <v>加入</v>
      </c>
      <c r="O11" s="48" t="str">
        <f t="shared" ca="1" si="1"/>
        <v>加入</v>
      </c>
      <c r="P11" s="48" t="str">
        <f t="shared" ca="1" si="2"/>
        <v>有期雇用（3ヵ月)</v>
      </c>
      <c r="Q11" s="48" t="str">
        <f t="shared" ca="1" si="3"/>
        <v>協定対象派遣労働者(労使協定式方式)</v>
      </c>
    </row>
    <row r="12" spans="1:26" ht="18.75" customHeight="1">
      <c r="A12">
        <f ca="1"/>
        <v>221210</v>
      </c>
      <c r="B12" t="str">
        <f ca="1"/>
        <v>ズオン　タイン　トゥン</v>
      </c>
      <c r="C12" t="str">
        <f ca="1"/>
        <v>男</v>
      </c>
      <c r="D12" s="31">
        <f ca="1"/>
        <v>35497</v>
      </c>
      <c r="E12">
        <f ca="1"/>
        <v>28</v>
      </c>
      <c r="F12">
        <f ca="1"/>
        <v>1710</v>
      </c>
      <c r="G12" s="31">
        <f ca="1"/>
        <v>45231</v>
      </c>
      <c r="H12" s="31" t="str">
        <f ca="1"/>
        <v>noHayCholo</v>
      </c>
      <c r="I12" s="21">
        <f t="shared" ca="1" si="4"/>
        <v>4</v>
      </c>
      <c r="J12" s="45" t="str">
        <f ca="1"/>
        <v>ズオン　タイン　トゥン</v>
      </c>
      <c r="K12" s="22" t="str">
        <f ca="1"/>
        <v>男</v>
      </c>
      <c r="L12" s="48" t="str">
        <f t="shared" ca="1" si="0"/>
        <v>18以上45歳未満</v>
      </c>
      <c r="M12" s="48" t="str">
        <f t="shared" ca="1" si="1"/>
        <v>加入</v>
      </c>
      <c r="N12" s="48" t="str">
        <f t="shared" ca="1" si="1"/>
        <v>加入</v>
      </c>
      <c r="O12" s="48" t="str">
        <f t="shared" ca="1" si="1"/>
        <v>加入</v>
      </c>
      <c r="P12" s="48" t="str">
        <f t="shared" ca="1" si="2"/>
        <v>有期雇用（3ヵ月)</v>
      </c>
      <c r="Q12" s="48" t="str">
        <f t="shared" ca="1" si="3"/>
        <v>協定対象派遣労働者(労使協定式方式)</v>
      </c>
    </row>
    <row r="13" spans="1:26" ht="18.75" customHeight="1">
      <c r="A13">
        <f ca="1"/>
        <v>250224</v>
      </c>
      <c r="B13" t="str">
        <f ca="1"/>
        <v>グエン　ヴァン　クイ</v>
      </c>
      <c r="C13" t="str">
        <f ca="1"/>
        <v>男</v>
      </c>
      <c r="D13" s="31">
        <f ca="1"/>
        <v>37213</v>
      </c>
      <c r="E13">
        <f ca="1"/>
        <v>24</v>
      </c>
      <c r="F13">
        <f ca="1"/>
        <v>1700</v>
      </c>
      <c r="G13" s="31">
        <f ca="1"/>
        <v>45139</v>
      </c>
      <c r="H13" s="31">
        <f ca="1"/>
        <v>45566</v>
      </c>
      <c r="I13" s="21">
        <f t="shared" ca="1" si="4"/>
        <v>5</v>
      </c>
      <c r="J13" s="45" t="str">
        <f ca="1"/>
        <v>グエン　ヴァン　クイ</v>
      </c>
      <c r="K13" s="22" t="str">
        <f ca="1"/>
        <v>男</v>
      </c>
      <c r="L13" s="48" t="str">
        <f t="shared" ca="1" si="0"/>
        <v>18以上45歳未満</v>
      </c>
      <c r="M13" s="48" t="str">
        <f t="shared" ca="1" si="1"/>
        <v>加入</v>
      </c>
      <c r="N13" s="48" t="str">
        <f t="shared" ca="1" si="1"/>
        <v>加入</v>
      </c>
      <c r="O13" s="48" t="str">
        <f t="shared" ca="1" si="1"/>
        <v>加入</v>
      </c>
      <c r="P13" s="48" t="str">
        <f t="shared" ca="1" si="2"/>
        <v>無期雇用</v>
      </c>
      <c r="Q13" s="48" t="str">
        <f t="shared" ca="1" si="3"/>
        <v>協定対象派遣労働者(労使協定式方式)</v>
      </c>
    </row>
    <row r="14" spans="1:26" ht="18.75" customHeight="1">
      <c r="A14">
        <f ca="1"/>
        <v>231205</v>
      </c>
      <c r="B14" t="str">
        <f ca="1"/>
        <v>ド　チュン　キエン</v>
      </c>
      <c r="C14" t="str">
        <f ca="1"/>
        <v>男</v>
      </c>
      <c r="D14" s="31">
        <f ca="1"/>
        <v>36548</v>
      </c>
      <c r="E14">
        <f ca="1"/>
        <v>25</v>
      </c>
      <c r="F14">
        <f ca="1"/>
        <v>1650</v>
      </c>
      <c r="G14" s="31">
        <f ca="1"/>
        <v>45838</v>
      </c>
      <c r="H14" s="31">
        <f ca="1"/>
        <v>45931</v>
      </c>
      <c r="I14" s="21">
        <f t="shared" ca="1" si="4"/>
        <v>6</v>
      </c>
      <c r="J14" s="45" t="str">
        <f ca="1"/>
        <v>ド　チュン　キエン</v>
      </c>
      <c r="K14" s="22" t="str">
        <f ca="1"/>
        <v>男</v>
      </c>
      <c r="L14" s="48" t="str">
        <f t="shared" ca="1" si="0"/>
        <v>18以上45歳未満</v>
      </c>
      <c r="M14" s="48" t="str">
        <f t="shared" ca="1" si="1"/>
        <v>加入</v>
      </c>
      <c r="N14" s="48" t="str">
        <f t="shared" ca="1" si="1"/>
        <v>加入</v>
      </c>
      <c r="O14" s="48" t="str">
        <f t="shared" ca="1" si="1"/>
        <v>加入</v>
      </c>
      <c r="P14" s="48" t="str">
        <f t="shared" ca="1" si="2"/>
        <v>有期雇用（3ヵ月)</v>
      </c>
      <c r="Q14" s="48" t="str">
        <f t="shared" ca="1" si="3"/>
        <v>協定対象派遣労働者(労使協定式方式)</v>
      </c>
    </row>
    <row r="15" spans="1:26" ht="18.75" customHeight="1">
      <c r="A15">
        <f ca="1"/>
        <v>231102</v>
      </c>
      <c r="B15" t="str">
        <f ca="1"/>
        <v>グエン　ヴァン　ティ</v>
      </c>
      <c r="C15" t="str">
        <f ca="1"/>
        <v>男</v>
      </c>
      <c r="D15" s="31">
        <f ca="1"/>
        <v>35429</v>
      </c>
      <c r="E15">
        <f ca="1"/>
        <v>28</v>
      </c>
      <c r="F15">
        <f ca="1"/>
        <v>1720</v>
      </c>
      <c r="G15" s="31">
        <f ca="1"/>
        <v>45061</v>
      </c>
      <c r="H15" s="31">
        <f ca="1"/>
        <v>45566</v>
      </c>
      <c r="I15" s="21">
        <f t="shared" ca="1" si="4"/>
        <v>7</v>
      </c>
      <c r="J15" s="45" t="str">
        <f ca="1"/>
        <v>グエン　ヴァン　ティ</v>
      </c>
      <c r="K15" s="22" t="str">
        <f ca="1"/>
        <v>男</v>
      </c>
      <c r="L15" s="48" t="str">
        <f t="shared" ca="1" si="0"/>
        <v>18以上45歳未満</v>
      </c>
      <c r="M15" s="48" t="str">
        <f t="shared" ca="1" si="1"/>
        <v>加入</v>
      </c>
      <c r="N15" s="48" t="str">
        <f t="shared" ca="1" si="1"/>
        <v>加入</v>
      </c>
      <c r="O15" s="48" t="str">
        <f t="shared" ca="1" si="1"/>
        <v>加入</v>
      </c>
      <c r="P15" s="48" t="str">
        <f t="shared" ca="1" si="2"/>
        <v>無期雇用</v>
      </c>
      <c r="Q15" s="48" t="str">
        <f t="shared" ca="1" si="3"/>
        <v>協定対象派遣労働者(労使協定式方式)</v>
      </c>
    </row>
    <row r="16" spans="1:26" ht="18.75" customHeight="1">
      <c r="A16">
        <f ca="1"/>
        <v>230811</v>
      </c>
      <c r="B16" t="str">
        <f ca="1"/>
        <v>グエン　ホアン　チュン</v>
      </c>
      <c r="C16" t="str">
        <f ca="1"/>
        <v>男</v>
      </c>
      <c r="D16" s="31">
        <f ca="1"/>
        <v>36870</v>
      </c>
      <c r="E16">
        <f ca="1"/>
        <v>24</v>
      </c>
      <c r="F16">
        <f ca="1"/>
        <v>1660</v>
      </c>
      <c r="G16" s="31">
        <f ca="1"/>
        <v>45422</v>
      </c>
      <c r="H16" s="31" t="str">
        <f ca="1"/>
        <v>noHayCholo</v>
      </c>
      <c r="I16" s="21">
        <f t="shared" ca="1" si="4"/>
        <v>8</v>
      </c>
      <c r="J16" s="45" t="str">
        <f ca="1"/>
        <v>グエン　ホアン　チュン</v>
      </c>
      <c r="K16" s="22" t="str">
        <f ca="1"/>
        <v>男</v>
      </c>
      <c r="L16" s="48" t="str">
        <f t="shared" ca="1" si="0"/>
        <v>18以上45歳未満</v>
      </c>
      <c r="M16" s="48" t="str">
        <f t="shared" ca="1" si="1"/>
        <v>加入</v>
      </c>
      <c r="N16" s="48" t="str">
        <f t="shared" ca="1" si="1"/>
        <v>加入</v>
      </c>
      <c r="O16" s="48" t="str">
        <f t="shared" ca="1" si="1"/>
        <v>加入</v>
      </c>
      <c r="P16" s="48" t="str">
        <f t="shared" ca="1" si="2"/>
        <v>有期雇用（3ヵ月)</v>
      </c>
      <c r="Q16" s="48" t="str">
        <f t="shared" ca="1" si="3"/>
        <v>協定対象派遣労働者(労使協定式方式)</v>
      </c>
    </row>
    <row r="17" spans="1:17" ht="18.75" customHeight="1">
      <c r="A17">
        <f ca="1"/>
        <v>250608</v>
      </c>
      <c r="B17" t="str">
        <f ca="1"/>
        <v>グエン　アイン　トゥアン</v>
      </c>
      <c r="C17" t="str">
        <f ca="1"/>
        <v>男</v>
      </c>
      <c r="D17" s="31">
        <f ca="1"/>
        <v>37041</v>
      </c>
      <c r="E17">
        <f ca="1"/>
        <v>24</v>
      </c>
      <c r="F17">
        <f ca="1"/>
        <v>1670</v>
      </c>
      <c r="G17" s="31">
        <f ca="1"/>
        <v>45366</v>
      </c>
      <c r="H17" s="31" t="str">
        <f ca="1"/>
        <v>noHayCholo</v>
      </c>
      <c r="I17" s="21">
        <f t="shared" ca="1" si="4"/>
        <v>9</v>
      </c>
      <c r="J17" s="45" t="str">
        <f ca="1"/>
        <v>グエン　アイン　トゥアン</v>
      </c>
      <c r="K17" s="22" t="str">
        <f ca="1"/>
        <v>男</v>
      </c>
      <c r="L17" s="48" t="str">
        <f t="shared" ca="1" si="0"/>
        <v>18以上45歳未満</v>
      </c>
      <c r="M17" s="48" t="str">
        <f t="shared" ca="1" si="1"/>
        <v>加入</v>
      </c>
      <c r="N17" s="48" t="str">
        <f t="shared" ca="1" si="1"/>
        <v>加入</v>
      </c>
      <c r="O17" s="48" t="str">
        <f t="shared" ca="1" si="1"/>
        <v>加入</v>
      </c>
      <c r="P17" s="48" t="str">
        <f t="shared" ca="1" si="2"/>
        <v>有期雇用（3ヵ月)</v>
      </c>
      <c r="Q17" s="48" t="str">
        <f t="shared" ca="1" si="3"/>
        <v>協定対象派遣労働者(労使協定式方式)</v>
      </c>
    </row>
    <row r="18" spans="1:17" ht="18.75" customHeight="1">
      <c r="A18">
        <f ca="1"/>
        <v>230505</v>
      </c>
      <c r="B18" t="str">
        <f ca="1"/>
        <v>グエン　タイン　ヴァン</v>
      </c>
      <c r="C18" t="str">
        <f ca="1"/>
        <v>男</v>
      </c>
      <c r="D18" s="31">
        <f ca="1"/>
        <v>37056</v>
      </c>
      <c r="E18">
        <f ca="1"/>
        <v>24</v>
      </c>
      <c r="F18">
        <f ca="1"/>
        <v>1650</v>
      </c>
      <c r="G18" s="31">
        <f ca="1"/>
        <v>45631</v>
      </c>
      <c r="H18" s="31">
        <f ca="1"/>
        <v>45931</v>
      </c>
      <c r="I18" s="21">
        <f t="shared" ca="1" si="4"/>
        <v>10</v>
      </c>
      <c r="J18" s="45" t="str">
        <f ca="1"/>
        <v>グエン　タイン　ヴァン</v>
      </c>
      <c r="K18" s="22" t="str">
        <f ca="1"/>
        <v>男</v>
      </c>
      <c r="L18" s="48" t="str">
        <f t="shared" ca="1" si="0"/>
        <v>18以上45歳未満</v>
      </c>
      <c r="M18" s="48" t="str">
        <f t="shared" ca="1" si="1"/>
        <v>加入</v>
      </c>
      <c r="N18" s="48" t="str">
        <f t="shared" ca="1" si="1"/>
        <v>加入</v>
      </c>
      <c r="O18" s="48" t="str">
        <f t="shared" ca="1" si="1"/>
        <v>加入</v>
      </c>
      <c r="P18" s="48" t="str">
        <f ca="1">IF($I18="","",IF(G18+1095&lt;HakenKikanE,"無期雇用","有期雇用（3ヵ月)"))</f>
        <v>有期雇用（3ヵ月)</v>
      </c>
      <c r="Q18" s="48" t="str">
        <f t="shared" ca="1" si="3"/>
        <v>協定対象派遣労働者(労使協定式方式)</v>
      </c>
    </row>
    <row r="19" spans="1:17" ht="18.75" customHeight="1">
      <c r="A19">
        <f ca="1"/>
        <v>240504</v>
      </c>
      <c r="I19" s="21" t="str">
        <f t="shared" ca="1" si="4"/>
        <v/>
      </c>
      <c r="J19" s="45"/>
      <c r="K19" s="22"/>
      <c r="L19" s="48" t="str">
        <f t="shared" si="0"/>
        <v/>
      </c>
      <c r="M19" s="48" t="str">
        <f t="shared" ca="1" si="1"/>
        <v/>
      </c>
      <c r="N19" s="48" t="str">
        <f t="shared" ca="1" si="1"/>
        <v/>
      </c>
      <c r="O19" s="48" t="str">
        <f t="shared" ca="1" si="1"/>
        <v/>
      </c>
      <c r="P19" s="48" t="str">
        <f t="shared" ca="1" si="2"/>
        <v/>
      </c>
      <c r="Q19" s="48" t="str">
        <f t="shared" ca="1" si="3"/>
        <v/>
      </c>
    </row>
    <row r="20" spans="1:17" ht="18.75" customHeight="1">
      <c r="A20">
        <f ca="1"/>
        <v>240317</v>
      </c>
      <c r="I20" s="21" t="str">
        <f t="shared" ca="1" si="4"/>
        <v/>
      </c>
      <c r="J20" s="45"/>
      <c r="K20" s="22"/>
      <c r="L20" s="48" t="str">
        <f t="shared" si="0"/>
        <v/>
      </c>
      <c r="M20" s="48" t="str">
        <f t="shared" ca="1" si="1"/>
        <v/>
      </c>
      <c r="N20" s="48" t="str">
        <f t="shared" ca="1" si="1"/>
        <v/>
      </c>
      <c r="O20" s="48" t="str">
        <f t="shared" ca="1" si="1"/>
        <v/>
      </c>
      <c r="P20" s="48" t="str">
        <f t="shared" ca="1" si="2"/>
        <v/>
      </c>
      <c r="Q20" s="48" t="str">
        <f t="shared" ca="1" si="3"/>
        <v/>
      </c>
    </row>
    <row r="21" spans="1:17" ht="18.75" customHeight="1">
      <c r="A21">
        <f ca="1"/>
        <v>220212</v>
      </c>
      <c r="I21" s="21" t="str">
        <f t="shared" ca="1" si="4"/>
        <v/>
      </c>
      <c r="J21" s="45"/>
      <c r="K21" s="22"/>
      <c r="L21" s="48" t="str">
        <f t="shared" si="0"/>
        <v/>
      </c>
      <c r="M21" s="48" t="str">
        <f t="shared" ca="1" si="1"/>
        <v/>
      </c>
      <c r="N21" s="48" t="str">
        <f t="shared" ca="1" si="1"/>
        <v/>
      </c>
      <c r="O21" s="48" t="str">
        <f t="shared" ca="1" si="1"/>
        <v/>
      </c>
      <c r="P21" s="48" t="str">
        <f t="shared" ca="1" si="2"/>
        <v/>
      </c>
      <c r="Q21" s="48" t="str">
        <f t="shared" ca="1" si="3"/>
        <v/>
      </c>
    </row>
    <row r="22" spans="1:17" ht="18.75" customHeight="1">
      <c r="A22">
        <f ca="1"/>
        <v>241202</v>
      </c>
      <c r="I22" s="25" t="str">
        <f t="shared" ca="1" si="4"/>
        <v/>
      </c>
      <c r="J22" s="46"/>
      <c r="K22" s="42"/>
      <c r="L22" s="48" t="str">
        <f t="shared" si="0"/>
        <v/>
      </c>
      <c r="M22" s="49" t="str">
        <f t="shared" ca="1" si="1"/>
        <v/>
      </c>
      <c r="N22" s="49" t="str">
        <f t="shared" ca="1" si="1"/>
        <v/>
      </c>
      <c r="O22" s="49" t="str">
        <f t="shared" ca="1" si="1"/>
        <v/>
      </c>
      <c r="P22" s="48" t="str">
        <f t="shared" ca="1" si="2"/>
        <v/>
      </c>
      <c r="Q22" s="49" t="str">
        <f t="shared" ca="1" si="3"/>
        <v/>
      </c>
    </row>
    <row r="23" spans="1:17" ht="18.75" customHeight="1">
      <c r="I23" s="21" t="str">
        <f t="shared" ca="1" si="4"/>
        <v/>
      </c>
      <c r="J23" s="45"/>
      <c r="K23" s="22"/>
      <c r="L23" s="48" t="str">
        <f t="shared" si="0"/>
        <v/>
      </c>
      <c r="M23" s="48" t="str">
        <f t="shared" ca="1" si="1"/>
        <v/>
      </c>
      <c r="N23" s="48" t="str">
        <f t="shared" ca="1" si="1"/>
        <v/>
      </c>
      <c r="O23" s="48" t="str">
        <f t="shared" ca="1" si="1"/>
        <v/>
      </c>
      <c r="P23" s="48" t="str">
        <f t="shared" ca="1" si="2"/>
        <v/>
      </c>
      <c r="Q23" s="48" t="str">
        <f t="shared" ca="1" si="3"/>
        <v/>
      </c>
    </row>
    <row r="24" spans="1:17" ht="18.75" customHeight="1">
      <c r="I24" s="21" t="str">
        <f t="shared" ca="1" si="4"/>
        <v/>
      </c>
      <c r="J24" s="45"/>
      <c r="K24" s="22"/>
      <c r="L24" s="48" t="str">
        <f t="shared" si="0"/>
        <v/>
      </c>
      <c r="M24" s="48" t="str">
        <f t="shared" ca="1" si="1"/>
        <v/>
      </c>
      <c r="N24" s="48" t="str">
        <f t="shared" ca="1" si="1"/>
        <v/>
      </c>
      <c r="O24" s="48" t="str">
        <f t="shared" ca="1" si="1"/>
        <v/>
      </c>
      <c r="P24" s="48" t="str">
        <f t="shared" ca="1" si="2"/>
        <v/>
      </c>
      <c r="Q24" s="48" t="str">
        <f t="shared" ca="1" si="3"/>
        <v/>
      </c>
    </row>
    <row r="25" spans="1:17" ht="18.75" customHeight="1">
      <c r="I25" s="21" t="str">
        <f t="shared" ca="1" si="4"/>
        <v/>
      </c>
      <c r="J25" s="45"/>
      <c r="K25" s="22"/>
      <c r="L25" s="48" t="str">
        <f t="shared" si="0"/>
        <v/>
      </c>
      <c r="M25" s="48"/>
      <c r="N25" s="48" t="str">
        <f t="shared" ca="1" si="1"/>
        <v/>
      </c>
      <c r="O25" s="48" t="str">
        <f t="shared" ca="1" si="1"/>
        <v/>
      </c>
      <c r="P25" s="48" t="str">
        <f t="shared" ca="1" si="2"/>
        <v/>
      </c>
      <c r="Q25" s="48" t="str">
        <f t="shared" ca="1" si="3"/>
        <v/>
      </c>
    </row>
    <row r="26" spans="1:17" ht="18.75" customHeight="1">
      <c r="I26" s="21" t="str">
        <f t="shared" ca="1" si="4"/>
        <v/>
      </c>
      <c r="J26" s="45"/>
      <c r="K26" s="22"/>
      <c r="L26" s="48" t="str">
        <f t="shared" si="0"/>
        <v/>
      </c>
      <c r="M26" s="48" t="str">
        <f t="shared" ca="1" si="1"/>
        <v/>
      </c>
      <c r="N26" s="48" t="str">
        <f t="shared" ca="1" si="1"/>
        <v/>
      </c>
      <c r="O26" s="48" t="str">
        <f t="shared" ca="1" si="1"/>
        <v/>
      </c>
      <c r="P26" s="48" t="str">
        <f t="shared" ca="1" si="2"/>
        <v/>
      </c>
      <c r="Q26" s="48" t="str">
        <f t="shared" ca="1" si="3"/>
        <v/>
      </c>
    </row>
    <row r="27" spans="1:17" ht="18.75" customHeight="1">
      <c r="I27" s="21" t="str">
        <f t="shared" ca="1" si="4"/>
        <v/>
      </c>
      <c r="J27" s="45"/>
      <c r="K27" s="22"/>
      <c r="L27" s="48" t="str">
        <f t="shared" si="0"/>
        <v/>
      </c>
      <c r="M27" s="48" t="str">
        <f t="shared" ca="1" si="1"/>
        <v/>
      </c>
      <c r="N27" s="48" t="str">
        <f t="shared" ca="1" si="1"/>
        <v/>
      </c>
      <c r="O27" s="48" t="str">
        <f t="shared" ca="1" si="1"/>
        <v/>
      </c>
      <c r="P27" s="48" t="str">
        <f t="shared" ca="1" si="2"/>
        <v/>
      </c>
      <c r="Q27" s="48" t="str">
        <f t="shared" ca="1" si="3"/>
        <v/>
      </c>
    </row>
    <row r="28" spans="1:17" ht="18.75" customHeight="1">
      <c r="I28" s="27" t="str">
        <f t="shared" ca="1" si="4"/>
        <v/>
      </c>
      <c r="J28" s="47"/>
      <c r="K28" s="44"/>
      <c r="L28" s="48" t="str">
        <f t="shared" si="0"/>
        <v/>
      </c>
      <c r="M28" s="50" t="str">
        <f t="shared" ca="1" si="1"/>
        <v/>
      </c>
      <c r="N28" s="50" t="str">
        <f t="shared" ca="1" si="1"/>
        <v/>
      </c>
      <c r="O28" s="50" t="str">
        <f t="shared" ca="1" si="1"/>
        <v/>
      </c>
      <c r="P28" s="48" t="str">
        <f t="shared" ca="1" si="2"/>
        <v/>
      </c>
      <c r="Q28" s="50" t="str">
        <f t="shared" ca="1" si="3"/>
        <v/>
      </c>
    </row>
    <row r="29" spans="1:17" ht="18.75" customHeight="1">
      <c r="I29" s="21" t="str">
        <f t="shared" ca="1" si="4"/>
        <v/>
      </c>
      <c r="J29" s="45"/>
      <c r="K29" s="22"/>
      <c r="L29" s="48" t="str">
        <f t="shared" si="0"/>
        <v/>
      </c>
      <c r="M29" s="48" t="str">
        <f t="shared" ca="1" si="1"/>
        <v/>
      </c>
      <c r="N29" s="48" t="str">
        <f t="shared" ca="1" si="1"/>
        <v/>
      </c>
      <c r="O29" s="48" t="str">
        <f t="shared" ca="1" si="1"/>
        <v/>
      </c>
      <c r="P29" s="48" t="str">
        <f t="shared" ca="1" si="2"/>
        <v/>
      </c>
      <c r="Q29" s="48" t="str">
        <f t="shared" ca="1" si="3"/>
        <v/>
      </c>
    </row>
    <row r="30" spans="1:17" ht="18.75" customHeight="1">
      <c r="I30" s="21" t="str">
        <f t="shared" ca="1" si="4"/>
        <v/>
      </c>
      <c r="J30" s="45"/>
      <c r="K30" s="22"/>
      <c r="L30" s="48" t="str">
        <f t="shared" si="0"/>
        <v/>
      </c>
      <c r="M30" s="48" t="str">
        <f t="shared" ca="1" si="1"/>
        <v/>
      </c>
      <c r="N30" s="48" t="str">
        <f t="shared" ca="1" si="1"/>
        <v/>
      </c>
      <c r="O30" s="48" t="str">
        <f t="shared" ca="1" si="1"/>
        <v/>
      </c>
      <c r="P30" s="48" t="str">
        <f t="shared" ca="1" si="2"/>
        <v/>
      </c>
      <c r="Q30" s="48" t="str">
        <f t="shared" ca="1" si="3"/>
        <v/>
      </c>
    </row>
    <row r="31" spans="1:17" ht="18.75" customHeight="1">
      <c r="I31" s="21" t="str">
        <f t="shared" ca="1" si="4"/>
        <v/>
      </c>
      <c r="J31" s="45"/>
      <c r="K31" s="22"/>
      <c r="L31" s="48" t="str">
        <f t="shared" si="0"/>
        <v/>
      </c>
      <c r="M31" s="48" t="str">
        <f t="shared" ca="1" si="1"/>
        <v/>
      </c>
      <c r="N31" s="48" t="str">
        <f t="shared" ca="1" si="1"/>
        <v/>
      </c>
      <c r="O31" s="48" t="str">
        <f t="shared" ca="1" si="1"/>
        <v/>
      </c>
      <c r="P31" s="48" t="str">
        <f t="shared" ca="1" si="2"/>
        <v/>
      </c>
      <c r="Q31" s="48" t="str">
        <f t="shared" ca="1" si="3"/>
        <v/>
      </c>
    </row>
    <row r="32" spans="1:17" ht="18.75" customHeight="1">
      <c r="I32" s="21" t="str">
        <f t="shared" ca="1" si="4"/>
        <v/>
      </c>
      <c r="J32" s="45"/>
      <c r="K32" s="22"/>
      <c r="L32" s="48" t="str">
        <f t="shared" si="0"/>
        <v/>
      </c>
      <c r="M32" s="48" t="str">
        <f t="shared" ca="1" si="1"/>
        <v/>
      </c>
      <c r="N32" s="48" t="str">
        <f t="shared" ca="1" si="1"/>
        <v/>
      </c>
      <c r="O32" s="48" t="str">
        <f t="shared" ca="1" si="1"/>
        <v/>
      </c>
      <c r="P32" s="48" t="str">
        <f t="shared" ca="1" si="2"/>
        <v/>
      </c>
      <c r="Q32" s="48" t="str">
        <f t="shared" ca="1" si="3"/>
        <v/>
      </c>
    </row>
    <row r="33" spans="9:17" ht="18.75" customHeight="1">
      <c r="I33" s="21" t="str">
        <f t="shared" ca="1" si="4"/>
        <v/>
      </c>
      <c r="J33" s="45"/>
      <c r="K33" s="22"/>
      <c r="L33" s="48" t="str">
        <f t="shared" si="0"/>
        <v/>
      </c>
      <c r="M33" s="48" t="str">
        <f t="shared" ca="1" si="1"/>
        <v/>
      </c>
      <c r="N33" s="48" t="str">
        <f t="shared" ca="1" si="1"/>
        <v/>
      </c>
      <c r="O33" s="48" t="str">
        <f t="shared" ca="1" si="1"/>
        <v/>
      </c>
      <c r="P33" s="48" t="str">
        <f t="shared" ca="1" si="2"/>
        <v/>
      </c>
      <c r="Q33" s="48" t="str">
        <f t="shared" ca="1" si="3"/>
        <v/>
      </c>
    </row>
    <row r="34" spans="9:17" ht="18.75" customHeight="1">
      <c r="I34" s="21" t="str">
        <f t="shared" ca="1" si="4"/>
        <v/>
      </c>
      <c r="J34" s="45"/>
      <c r="K34" s="22"/>
      <c r="L34" s="48" t="str">
        <f t="shared" si="0"/>
        <v/>
      </c>
      <c r="M34" s="48" t="str">
        <f t="shared" ca="1" si="1"/>
        <v/>
      </c>
      <c r="N34" s="48" t="str">
        <f t="shared" ca="1" si="1"/>
        <v/>
      </c>
      <c r="O34" s="48" t="str">
        <f t="shared" ca="1" si="1"/>
        <v/>
      </c>
      <c r="P34" s="48" t="str">
        <f t="shared" ca="1" si="2"/>
        <v/>
      </c>
      <c r="Q34" s="48" t="str">
        <f t="shared" ca="1" si="3"/>
        <v/>
      </c>
    </row>
    <row r="35" spans="9:17" ht="18.75" customHeight="1">
      <c r="I35" s="21" t="str">
        <f t="shared" ca="1" si="4"/>
        <v/>
      </c>
      <c r="J35" s="45"/>
      <c r="K35" s="22"/>
      <c r="L35" s="48" t="str">
        <f t="shared" si="0"/>
        <v/>
      </c>
      <c r="M35" s="48" t="str">
        <f t="shared" ca="1" si="1"/>
        <v/>
      </c>
      <c r="N35" s="48" t="str">
        <f t="shared" ca="1" si="1"/>
        <v/>
      </c>
      <c r="O35" s="48" t="str">
        <f t="shared" ca="1" si="1"/>
        <v/>
      </c>
      <c r="P35" s="48" t="str">
        <f t="shared" ca="1" si="2"/>
        <v/>
      </c>
      <c r="Q35" s="48" t="str">
        <f t="shared" ca="1" si="3"/>
        <v/>
      </c>
    </row>
    <row r="36" spans="9:17" ht="18.75" customHeight="1">
      <c r="I36" s="21" t="str">
        <f t="shared" ca="1" si="4"/>
        <v/>
      </c>
      <c r="J36" s="45"/>
      <c r="K36" s="22"/>
      <c r="L36" s="48" t="str">
        <f t="shared" si="0"/>
        <v/>
      </c>
      <c r="M36" s="48" t="str">
        <f t="shared" ca="1" si="1"/>
        <v/>
      </c>
      <c r="N36" s="48" t="str">
        <f t="shared" ca="1" si="1"/>
        <v/>
      </c>
      <c r="O36" s="48" t="str">
        <f t="shared" ca="1" si="1"/>
        <v/>
      </c>
      <c r="P36" s="48" t="str">
        <f t="shared" ca="1" si="2"/>
        <v/>
      </c>
      <c r="Q36" s="48" t="str">
        <f t="shared" ca="1" si="3"/>
        <v/>
      </c>
    </row>
    <row r="37" spans="9:17" ht="18.75" customHeight="1">
      <c r="I37" s="21" t="str">
        <f t="shared" ca="1" si="4"/>
        <v/>
      </c>
      <c r="J37" s="45"/>
      <c r="K37" s="22"/>
      <c r="L37" s="48" t="str">
        <f t="shared" si="0"/>
        <v/>
      </c>
      <c r="M37" s="48" t="str">
        <f t="shared" ca="1" si="1"/>
        <v/>
      </c>
      <c r="N37" s="48" t="str">
        <f t="shared" ca="1" si="1"/>
        <v/>
      </c>
      <c r="O37" s="48" t="str">
        <f t="shared" ca="1" si="1"/>
        <v/>
      </c>
      <c r="P37" s="48" t="str">
        <f t="shared" ca="1" si="2"/>
        <v/>
      </c>
      <c r="Q37" s="48" t="str">
        <f t="shared" ca="1" si="3"/>
        <v/>
      </c>
    </row>
    <row r="38" spans="9:17" ht="18.75" customHeight="1">
      <c r="I38" s="21" t="str">
        <f t="shared" ca="1" si="4"/>
        <v/>
      </c>
      <c r="J38" s="45"/>
      <c r="K38" s="22"/>
      <c r="L38" s="48" t="str">
        <f t="shared" si="0"/>
        <v/>
      </c>
      <c r="M38" s="48" t="str">
        <f t="shared" ca="1" si="1"/>
        <v/>
      </c>
      <c r="N38" s="48" t="str">
        <f t="shared" ca="1" si="1"/>
        <v/>
      </c>
      <c r="O38" s="48" t="str">
        <f t="shared" ca="1" si="1"/>
        <v/>
      </c>
      <c r="P38" s="48" t="str">
        <f t="shared" ca="1" si="2"/>
        <v/>
      </c>
      <c r="Q38" s="48" t="str">
        <f t="shared" ca="1" si="3"/>
        <v/>
      </c>
    </row>
    <row r="39" spans="9:17" ht="18.75" customHeight="1">
      <c r="I39" s="21" t="str">
        <f t="shared" ca="1" si="4"/>
        <v/>
      </c>
      <c r="J39" s="45"/>
      <c r="K39" s="22"/>
      <c r="L39" s="48" t="str">
        <f t="shared" si="0"/>
        <v/>
      </c>
      <c r="M39" s="48" t="str">
        <f t="shared" ca="1" si="1"/>
        <v/>
      </c>
      <c r="N39" s="48" t="str">
        <f t="shared" ca="1" si="1"/>
        <v/>
      </c>
      <c r="O39" s="48" t="str">
        <f t="shared" ca="1" si="1"/>
        <v/>
      </c>
      <c r="P39" s="48" t="str">
        <f t="shared" ca="1" si="2"/>
        <v/>
      </c>
      <c r="Q39" s="48" t="str">
        <f t="shared" ca="1" si="3"/>
        <v/>
      </c>
    </row>
    <row r="40" spans="9:17" ht="18.75" customHeight="1">
      <c r="I40" s="21" t="str">
        <f t="shared" ca="1" si="4"/>
        <v/>
      </c>
      <c r="J40" s="45"/>
      <c r="K40" s="22"/>
      <c r="L40" s="48" t="str">
        <f t="shared" si="0"/>
        <v/>
      </c>
      <c r="M40" s="48" t="str">
        <f t="shared" ca="1" si="1"/>
        <v/>
      </c>
      <c r="N40" s="48" t="str">
        <f t="shared" ca="1" si="1"/>
        <v/>
      </c>
      <c r="O40" s="48" t="str">
        <f t="shared" ca="1" si="1"/>
        <v/>
      </c>
      <c r="P40" s="48" t="str">
        <f t="shared" ca="1" si="2"/>
        <v/>
      </c>
      <c r="Q40" s="48" t="str">
        <f t="shared" ca="1" si="3"/>
        <v/>
      </c>
    </row>
    <row r="41" spans="9:17" ht="18.75" customHeight="1">
      <c r="I41" s="21" t="str">
        <f t="shared" ca="1" si="4"/>
        <v/>
      </c>
      <c r="J41" s="45"/>
      <c r="K41" s="22"/>
      <c r="L41" s="48" t="str">
        <f t="shared" si="0"/>
        <v/>
      </c>
      <c r="M41" s="48" t="str">
        <f t="shared" ca="1" si="1"/>
        <v/>
      </c>
      <c r="N41" s="48" t="str">
        <f t="shared" ca="1" si="1"/>
        <v/>
      </c>
      <c r="O41" s="48" t="str">
        <f t="shared" ca="1" si="1"/>
        <v/>
      </c>
      <c r="P41" s="48" t="str">
        <f t="shared" ca="1" si="2"/>
        <v/>
      </c>
      <c r="Q41" s="48" t="str">
        <f t="shared" ca="1" si="3"/>
        <v/>
      </c>
    </row>
    <row r="42" spans="9:17" ht="18.75" customHeight="1">
      <c r="I42" s="21" t="str">
        <f t="shared" ca="1" si="4"/>
        <v/>
      </c>
      <c r="J42" s="45"/>
      <c r="K42" s="22"/>
      <c r="L42" s="48" t="str">
        <f t="shared" si="0"/>
        <v/>
      </c>
      <c r="M42" s="48" t="str">
        <f t="shared" ca="1" si="1"/>
        <v/>
      </c>
      <c r="N42" s="48" t="str">
        <f t="shared" ca="1" si="1"/>
        <v/>
      </c>
      <c r="O42" s="48" t="str">
        <f t="shared" ca="1" si="1"/>
        <v/>
      </c>
      <c r="P42" s="48" t="str">
        <f t="shared" ca="1" si="2"/>
        <v/>
      </c>
      <c r="Q42" s="48" t="str">
        <f t="shared" ca="1" si="3"/>
        <v/>
      </c>
    </row>
    <row r="43" spans="9:17" ht="18.75" customHeight="1">
      <c r="I43" s="21" t="str">
        <f t="shared" ca="1" si="4"/>
        <v/>
      </c>
      <c r="J43" s="45"/>
      <c r="K43" s="22"/>
      <c r="L43" s="48" t="str">
        <f t="shared" si="0"/>
        <v/>
      </c>
      <c r="M43" s="48" t="str">
        <f t="shared" ca="1" si="1"/>
        <v/>
      </c>
      <c r="N43" s="48" t="str">
        <f t="shared" ca="1" si="1"/>
        <v/>
      </c>
      <c r="O43" s="48" t="str">
        <f t="shared" ca="1" si="1"/>
        <v/>
      </c>
      <c r="P43" s="48" t="str">
        <f t="shared" ca="1" si="2"/>
        <v/>
      </c>
      <c r="Q43" s="48" t="str">
        <f t="shared" ca="1" si="3"/>
        <v/>
      </c>
    </row>
    <row r="44" spans="9:17" ht="18.75" customHeight="1">
      <c r="I44" s="21" t="str">
        <f t="shared" ref="I44:I66" ca="1" si="5">IF(J44="","",I43+1)</f>
        <v/>
      </c>
      <c r="J44" s="45"/>
      <c r="K44" s="22"/>
      <c r="L44" s="48" t="str">
        <f t="shared" si="0"/>
        <v/>
      </c>
      <c r="M44" s="48" t="str">
        <f t="shared" ca="1" si="1"/>
        <v/>
      </c>
      <c r="N44" s="48" t="str">
        <f t="shared" ca="1" si="1"/>
        <v/>
      </c>
      <c r="O44" s="48" t="str">
        <f t="shared" ca="1" si="1"/>
        <v/>
      </c>
      <c r="P44" s="48" t="str">
        <f t="shared" ca="1" si="2"/>
        <v/>
      </c>
      <c r="Q44" s="48" t="str">
        <f t="shared" ca="1" si="3"/>
        <v/>
      </c>
    </row>
    <row r="45" spans="9:17" ht="18.75" customHeight="1">
      <c r="I45" s="21" t="str">
        <f t="shared" ca="1" si="5"/>
        <v/>
      </c>
      <c r="J45" s="45"/>
      <c r="K45" s="22"/>
      <c r="L45" s="48" t="str">
        <f t="shared" si="0"/>
        <v/>
      </c>
      <c r="M45" s="48" t="str">
        <f t="shared" ca="1" si="1"/>
        <v/>
      </c>
      <c r="N45" s="48" t="str">
        <f t="shared" ca="1" si="1"/>
        <v/>
      </c>
      <c r="O45" s="48" t="str">
        <f t="shared" ca="1" si="1"/>
        <v/>
      </c>
      <c r="P45" s="48" t="str">
        <f t="shared" ca="1" si="2"/>
        <v/>
      </c>
      <c r="Q45" s="48" t="str">
        <f t="shared" ca="1" si="3"/>
        <v/>
      </c>
    </row>
    <row r="46" spans="9:17" ht="18.75" customHeight="1">
      <c r="I46" s="21" t="str">
        <f t="shared" ca="1" si="5"/>
        <v/>
      </c>
      <c r="J46" s="45"/>
      <c r="K46" s="22"/>
      <c r="L46" s="48" t="str">
        <f t="shared" si="0"/>
        <v/>
      </c>
      <c r="M46" s="48" t="str">
        <f t="shared" ca="1" si="1"/>
        <v/>
      </c>
      <c r="N46" s="48" t="str">
        <f t="shared" ca="1" si="1"/>
        <v/>
      </c>
      <c r="O46" s="48" t="str">
        <f t="shared" ca="1" si="1"/>
        <v/>
      </c>
      <c r="P46" s="48" t="str">
        <f t="shared" ca="1" si="2"/>
        <v/>
      </c>
      <c r="Q46" s="48" t="str">
        <f t="shared" ca="1" si="3"/>
        <v/>
      </c>
    </row>
    <row r="47" spans="9:17" ht="18.75" customHeight="1">
      <c r="I47" s="21" t="str">
        <f t="shared" ca="1" si="5"/>
        <v/>
      </c>
      <c r="J47" s="45"/>
      <c r="K47" s="22"/>
      <c r="L47" s="48" t="str">
        <f t="shared" si="0"/>
        <v/>
      </c>
      <c r="M47" s="48" t="str">
        <f t="shared" ca="1" si="1"/>
        <v/>
      </c>
      <c r="N47" s="48" t="str">
        <f t="shared" ca="1" si="1"/>
        <v/>
      </c>
      <c r="O47" s="48" t="str">
        <f t="shared" ca="1" si="1"/>
        <v/>
      </c>
      <c r="P47" s="48" t="str">
        <f t="shared" ca="1" si="2"/>
        <v/>
      </c>
      <c r="Q47" s="48" t="str">
        <f t="shared" ca="1" si="3"/>
        <v/>
      </c>
    </row>
    <row r="48" spans="9:17" ht="18.75" customHeight="1">
      <c r="I48" s="21" t="str">
        <f t="shared" ca="1" si="5"/>
        <v/>
      </c>
      <c r="J48" s="45"/>
      <c r="K48" s="22"/>
      <c r="L48" s="48" t="str">
        <f t="shared" si="0"/>
        <v/>
      </c>
      <c r="M48" s="48" t="str">
        <f t="shared" ca="1" si="1"/>
        <v/>
      </c>
      <c r="N48" s="48" t="str">
        <f t="shared" ca="1" si="1"/>
        <v/>
      </c>
      <c r="O48" s="48" t="str">
        <f t="shared" ca="1" si="1"/>
        <v/>
      </c>
      <c r="P48" s="48" t="str">
        <f t="shared" ca="1" si="2"/>
        <v/>
      </c>
      <c r="Q48" s="48" t="str">
        <f t="shared" ca="1" si="3"/>
        <v/>
      </c>
    </row>
    <row r="49" spans="9:17" ht="18.75" customHeight="1">
      <c r="I49" s="21" t="str">
        <f t="shared" ca="1" si="5"/>
        <v/>
      </c>
      <c r="J49" s="45"/>
      <c r="K49" s="22"/>
      <c r="L49" s="48" t="str">
        <f t="shared" si="0"/>
        <v/>
      </c>
      <c r="M49" s="48" t="str">
        <f t="shared" ca="1" si="1"/>
        <v/>
      </c>
      <c r="N49" s="48" t="str">
        <f t="shared" ca="1" si="1"/>
        <v/>
      </c>
      <c r="O49" s="48" t="str">
        <f t="shared" ca="1" si="1"/>
        <v/>
      </c>
      <c r="P49" s="48" t="str">
        <f t="shared" ca="1" si="2"/>
        <v/>
      </c>
      <c r="Q49" s="48" t="str">
        <f t="shared" ca="1" si="3"/>
        <v/>
      </c>
    </row>
    <row r="50" spans="9:17" ht="18.75">
      <c r="I50" s="21" t="str">
        <f t="shared" ca="1" si="5"/>
        <v/>
      </c>
      <c r="J50" s="45"/>
      <c r="K50" s="22"/>
      <c r="L50" s="48" t="str">
        <f t="shared" si="0"/>
        <v/>
      </c>
      <c r="M50" s="48" t="str">
        <f t="shared" ca="1" si="1"/>
        <v/>
      </c>
      <c r="N50" s="48" t="str">
        <f t="shared" ca="1" si="1"/>
        <v/>
      </c>
      <c r="O50" s="48" t="str">
        <f t="shared" ca="1" si="1"/>
        <v/>
      </c>
      <c r="P50" s="48" t="str">
        <f t="shared" ca="1" si="2"/>
        <v/>
      </c>
      <c r="Q50" s="48" t="str">
        <f t="shared" ca="1" si="3"/>
        <v/>
      </c>
    </row>
    <row r="51" spans="9:17" ht="18.75">
      <c r="I51" s="21" t="str">
        <f t="shared" ca="1" si="5"/>
        <v/>
      </c>
      <c r="J51" s="45"/>
      <c r="K51" s="22"/>
      <c r="L51" s="48" t="str">
        <f t="shared" si="0"/>
        <v/>
      </c>
      <c r="M51" s="48" t="str">
        <f t="shared" ref="M51:O67" ca="1" si="6">IF($I51="","","加入")</f>
        <v/>
      </c>
      <c r="N51" s="48" t="str">
        <f t="shared" ca="1" si="6"/>
        <v/>
      </c>
      <c r="O51" s="48" t="str">
        <f t="shared" ca="1" si="6"/>
        <v/>
      </c>
      <c r="P51" s="48" t="str">
        <f t="shared" ca="1" si="2"/>
        <v/>
      </c>
      <c r="Q51" s="48" t="str">
        <f t="shared" ca="1" si="3"/>
        <v/>
      </c>
    </row>
    <row r="52" spans="9:17" ht="18.75">
      <c r="I52" s="21" t="str">
        <f t="shared" ca="1" si="5"/>
        <v/>
      </c>
      <c r="J52" s="45"/>
      <c r="K52" s="22"/>
      <c r="L52" s="48" t="str">
        <f t="shared" si="0"/>
        <v/>
      </c>
      <c r="M52" s="48" t="str">
        <f t="shared" ca="1" si="6"/>
        <v/>
      </c>
      <c r="N52" s="48" t="str">
        <f t="shared" ca="1" si="6"/>
        <v/>
      </c>
      <c r="O52" s="48" t="str">
        <f t="shared" ca="1" si="6"/>
        <v/>
      </c>
      <c r="P52" s="48" t="str">
        <f t="shared" ca="1" si="2"/>
        <v/>
      </c>
      <c r="Q52" s="48" t="str">
        <f t="shared" ca="1" si="3"/>
        <v/>
      </c>
    </row>
    <row r="53" spans="9:17" ht="18.75">
      <c r="I53" s="21" t="str">
        <f t="shared" ca="1" si="5"/>
        <v/>
      </c>
      <c r="J53" s="45"/>
      <c r="K53" s="22"/>
      <c r="L53" s="48" t="str">
        <f t="shared" si="0"/>
        <v/>
      </c>
      <c r="M53" s="48" t="str">
        <f t="shared" ca="1" si="6"/>
        <v/>
      </c>
      <c r="N53" s="48" t="str">
        <f t="shared" ca="1" si="6"/>
        <v/>
      </c>
      <c r="O53" s="48" t="str">
        <f t="shared" ca="1" si="6"/>
        <v/>
      </c>
      <c r="P53" s="48" t="str">
        <f t="shared" ca="1" si="2"/>
        <v/>
      </c>
      <c r="Q53" s="48" t="str">
        <f t="shared" ca="1" si="3"/>
        <v/>
      </c>
    </row>
    <row r="54" spans="9:17" ht="18.75">
      <c r="I54" s="21" t="str">
        <f t="shared" ca="1" si="5"/>
        <v/>
      </c>
      <c r="J54" s="45"/>
      <c r="K54" s="22"/>
      <c r="L54" s="48" t="str">
        <f t="shared" si="0"/>
        <v/>
      </c>
      <c r="M54" s="48" t="str">
        <f t="shared" ca="1" si="6"/>
        <v/>
      </c>
      <c r="N54" s="48" t="str">
        <f t="shared" ca="1" si="6"/>
        <v/>
      </c>
      <c r="O54" s="48" t="str">
        <f t="shared" ca="1" si="6"/>
        <v/>
      </c>
      <c r="P54" s="48" t="str">
        <f t="shared" ca="1" si="2"/>
        <v/>
      </c>
      <c r="Q54" s="48" t="str">
        <f t="shared" ca="1" si="3"/>
        <v/>
      </c>
    </row>
    <row r="55" spans="9:17" ht="18.75">
      <c r="I55" s="21" t="str">
        <f t="shared" ca="1" si="5"/>
        <v/>
      </c>
      <c r="J55" s="45"/>
      <c r="K55" s="22"/>
      <c r="L55" s="48" t="str">
        <f t="shared" si="0"/>
        <v/>
      </c>
      <c r="M55" s="48" t="str">
        <f t="shared" ca="1" si="6"/>
        <v/>
      </c>
      <c r="N55" s="48" t="str">
        <f t="shared" ca="1" si="6"/>
        <v/>
      </c>
      <c r="O55" s="48" t="str">
        <f t="shared" ca="1" si="6"/>
        <v/>
      </c>
      <c r="P55" s="48" t="str">
        <f t="shared" ca="1" si="2"/>
        <v/>
      </c>
      <c r="Q55" s="48" t="str">
        <f t="shared" ca="1" si="3"/>
        <v/>
      </c>
    </row>
    <row r="56" spans="9:17" ht="18.75">
      <c r="I56" s="21" t="str">
        <f t="shared" ca="1" si="5"/>
        <v/>
      </c>
      <c r="J56" s="45"/>
      <c r="K56" s="22"/>
      <c r="L56" s="48" t="str">
        <f t="shared" si="0"/>
        <v/>
      </c>
      <c r="M56" s="48" t="str">
        <f t="shared" ca="1" si="6"/>
        <v/>
      </c>
      <c r="N56" s="48" t="str">
        <f t="shared" ca="1" si="6"/>
        <v/>
      </c>
      <c r="O56" s="48" t="str">
        <f t="shared" ca="1" si="6"/>
        <v/>
      </c>
      <c r="P56" s="48" t="str">
        <f t="shared" ca="1" si="2"/>
        <v/>
      </c>
      <c r="Q56" s="48" t="str">
        <f t="shared" ca="1" si="3"/>
        <v/>
      </c>
    </row>
    <row r="57" spans="9:17" ht="18.75">
      <c r="I57" s="21" t="str">
        <f t="shared" ca="1" si="5"/>
        <v/>
      </c>
      <c r="J57" s="45"/>
      <c r="K57" s="22"/>
      <c r="L57" s="48" t="str">
        <f t="shared" si="0"/>
        <v/>
      </c>
      <c r="M57" s="48" t="str">
        <f t="shared" ca="1" si="6"/>
        <v/>
      </c>
      <c r="N57" s="48" t="str">
        <f t="shared" ca="1" si="6"/>
        <v/>
      </c>
      <c r="O57" s="48" t="str">
        <f t="shared" ca="1" si="6"/>
        <v/>
      </c>
      <c r="P57" s="48" t="str">
        <f t="shared" ca="1" si="2"/>
        <v/>
      </c>
      <c r="Q57" s="48" t="str">
        <f t="shared" ca="1" si="3"/>
        <v/>
      </c>
    </row>
    <row r="58" spans="9:17" ht="18.75">
      <c r="I58" s="21" t="str">
        <f t="shared" ca="1" si="5"/>
        <v/>
      </c>
      <c r="J58" s="45"/>
      <c r="K58" s="22"/>
      <c r="L58" s="48" t="str">
        <f t="shared" si="0"/>
        <v/>
      </c>
      <c r="M58" s="48" t="str">
        <f t="shared" ca="1" si="6"/>
        <v/>
      </c>
      <c r="N58" s="48" t="str">
        <f t="shared" ca="1" si="6"/>
        <v/>
      </c>
      <c r="O58" s="48" t="str">
        <f t="shared" ca="1" si="6"/>
        <v/>
      </c>
      <c r="P58" s="48" t="str">
        <f t="shared" ca="1" si="2"/>
        <v/>
      </c>
      <c r="Q58" s="48" t="str">
        <f t="shared" ca="1" si="3"/>
        <v/>
      </c>
    </row>
    <row r="59" spans="9:17" ht="18.75">
      <c r="I59" s="21" t="str">
        <f t="shared" ca="1" si="5"/>
        <v/>
      </c>
      <c r="J59" s="45"/>
      <c r="K59" s="22"/>
      <c r="L59" s="48" t="str">
        <f t="shared" si="0"/>
        <v/>
      </c>
      <c r="M59" s="48" t="str">
        <f t="shared" ca="1" si="6"/>
        <v/>
      </c>
      <c r="N59" s="48" t="str">
        <f t="shared" ca="1" si="6"/>
        <v/>
      </c>
      <c r="O59" s="48" t="str">
        <f t="shared" ca="1" si="6"/>
        <v/>
      </c>
      <c r="P59" s="48" t="str">
        <f t="shared" ca="1" si="2"/>
        <v/>
      </c>
      <c r="Q59" s="48" t="str">
        <f t="shared" ca="1" si="3"/>
        <v/>
      </c>
    </row>
    <row r="60" spans="9:17" ht="18.75">
      <c r="I60" s="21" t="str">
        <f t="shared" ca="1" si="5"/>
        <v/>
      </c>
      <c r="J60" s="45"/>
      <c r="K60" s="22"/>
      <c r="L60" s="48" t="str">
        <f t="shared" si="0"/>
        <v/>
      </c>
      <c r="M60" s="48" t="str">
        <f t="shared" ca="1" si="6"/>
        <v/>
      </c>
      <c r="N60" s="48" t="str">
        <f t="shared" ca="1" si="6"/>
        <v/>
      </c>
      <c r="O60" s="48" t="str">
        <f t="shared" ca="1" si="6"/>
        <v/>
      </c>
      <c r="P60" s="48" t="str">
        <f t="shared" ca="1" si="2"/>
        <v/>
      </c>
      <c r="Q60" s="48" t="str">
        <f t="shared" ca="1" si="3"/>
        <v/>
      </c>
    </row>
    <row r="61" spans="9:17" ht="18.75">
      <c r="I61" s="21" t="str">
        <f t="shared" ca="1" si="5"/>
        <v/>
      </c>
      <c r="J61" s="45"/>
      <c r="K61" s="22"/>
      <c r="L61" s="48" t="str">
        <f t="shared" si="0"/>
        <v/>
      </c>
      <c r="M61" s="48" t="str">
        <f t="shared" ca="1" si="6"/>
        <v/>
      </c>
      <c r="N61" s="48" t="str">
        <f t="shared" ca="1" si="6"/>
        <v/>
      </c>
      <c r="O61" s="48" t="str">
        <f t="shared" ca="1" si="6"/>
        <v/>
      </c>
      <c r="P61" s="48" t="str">
        <f t="shared" ca="1" si="2"/>
        <v/>
      </c>
      <c r="Q61" s="48" t="str">
        <f t="shared" ca="1" si="3"/>
        <v/>
      </c>
    </row>
    <row r="62" spans="9:17" ht="18.75">
      <c r="I62" s="21" t="str">
        <f t="shared" ca="1" si="5"/>
        <v/>
      </c>
      <c r="J62" s="45"/>
      <c r="K62" s="22"/>
      <c r="L62" s="48" t="str">
        <f t="shared" si="0"/>
        <v/>
      </c>
      <c r="M62" s="48" t="str">
        <f t="shared" ca="1" si="6"/>
        <v/>
      </c>
      <c r="N62" s="48" t="str">
        <f t="shared" ca="1" si="6"/>
        <v/>
      </c>
      <c r="O62" s="48" t="str">
        <f t="shared" ca="1" si="6"/>
        <v/>
      </c>
      <c r="P62" s="48" t="str">
        <f t="shared" ca="1" si="2"/>
        <v/>
      </c>
      <c r="Q62" s="48" t="str">
        <f t="shared" ca="1" si="3"/>
        <v/>
      </c>
    </row>
    <row r="63" spans="9:17" ht="18.75">
      <c r="I63" s="21" t="str">
        <f t="shared" ca="1" si="5"/>
        <v/>
      </c>
      <c r="J63" s="45"/>
      <c r="K63" s="22"/>
      <c r="L63" s="48" t="str">
        <f t="shared" si="0"/>
        <v/>
      </c>
      <c r="M63" s="48" t="str">
        <f t="shared" ca="1" si="6"/>
        <v/>
      </c>
      <c r="N63" s="48" t="str">
        <f t="shared" ca="1" si="6"/>
        <v/>
      </c>
      <c r="O63" s="48" t="str">
        <f t="shared" ca="1" si="6"/>
        <v/>
      </c>
      <c r="P63" s="48" t="str">
        <f t="shared" ca="1" si="2"/>
        <v/>
      </c>
      <c r="Q63" s="48" t="str">
        <f t="shared" ca="1" si="3"/>
        <v/>
      </c>
    </row>
    <row r="64" spans="9:17" ht="18.75">
      <c r="I64" s="21" t="str">
        <f t="shared" ca="1" si="5"/>
        <v/>
      </c>
      <c r="J64" s="45"/>
      <c r="K64" s="22"/>
      <c r="L64" s="48" t="str">
        <f t="shared" si="0"/>
        <v/>
      </c>
      <c r="M64" s="48" t="str">
        <f t="shared" ca="1" si="6"/>
        <v/>
      </c>
      <c r="N64" s="48" t="str">
        <f t="shared" ca="1" si="6"/>
        <v/>
      </c>
      <c r="O64" s="48" t="str">
        <f t="shared" ca="1" si="6"/>
        <v/>
      </c>
      <c r="P64" s="48" t="str">
        <f t="shared" ca="1" si="2"/>
        <v/>
      </c>
      <c r="Q64" s="48" t="str">
        <f t="shared" ca="1" si="3"/>
        <v/>
      </c>
    </row>
    <row r="65" spans="9:17" ht="18.75">
      <c r="I65" s="21" t="str">
        <f t="shared" ca="1" si="5"/>
        <v/>
      </c>
      <c r="J65" s="45"/>
      <c r="K65" s="22"/>
      <c r="L65" s="48" t="str">
        <f t="shared" si="0"/>
        <v/>
      </c>
      <c r="M65" s="48" t="str">
        <f t="shared" ca="1" si="6"/>
        <v/>
      </c>
      <c r="N65" s="48" t="str">
        <f t="shared" ca="1" si="6"/>
        <v/>
      </c>
      <c r="O65" s="48" t="str">
        <f t="shared" ca="1" si="6"/>
        <v/>
      </c>
      <c r="P65" s="48" t="str">
        <f t="shared" ca="1" si="2"/>
        <v/>
      </c>
      <c r="Q65" s="48" t="str">
        <f t="shared" ca="1" si="3"/>
        <v/>
      </c>
    </row>
    <row r="66" spans="9:17" ht="18.75">
      <c r="I66" s="21" t="str">
        <f t="shared" ca="1" si="5"/>
        <v/>
      </c>
      <c r="J66" s="45"/>
      <c r="K66" s="22"/>
      <c r="L66" s="48" t="str">
        <f t="shared" si="0"/>
        <v/>
      </c>
      <c r="M66" s="48" t="str">
        <f t="shared" ca="1" si="6"/>
        <v/>
      </c>
      <c r="N66" s="48" t="str">
        <f t="shared" ca="1" si="6"/>
        <v/>
      </c>
      <c r="O66" s="48" t="str">
        <f t="shared" ca="1" si="6"/>
        <v/>
      </c>
      <c r="P66" s="48" t="str">
        <f t="shared" ca="1" si="2"/>
        <v/>
      </c>
      <c r="Q66" s="48" t="str">
        <f t="shared" ca="1" si="3"/>
        <v/>
      </c>
    </row>
    <row r="67" spans="9:17" ht="18.75">
      <c r="I67" s="21" t="str">
        <f t="shared" ref="I67:I72" ca="1" si="7">IF(J67="","",I66+1)</f>
        <v/>
      </c>
      <c r="J67" s="45"/>
      <c r="K67" s="22"/>
      <c r="L67" s="48" t="str">
        <f t="shared" ref="L67:L72" si="8">IF(H67="","",IF(E67&lt;=18,"18未満(     )歳",IF(AND((E67&gt;=18),(E67&lt;=45)),"18以上45歳未満",IF(AND((E67&gt;=46),(E67&lt;=60)),"46以上60歳未満",IF(E67&lt;=60,"60歳未満","60歳以上")))))</f>
        <v/>
      </c>
      <c r="M67" s="48" t="str">
        <f t="shared" ca="1" si="6"/>
        <v/>
      </c>
      <c r="N67" s="48" t="str">
        <f t="shared" ca="1" si="6"/>
        <v/>
      </c>
      <c r="O67" s="48" t="str">
        <f t="shared" ca="1" si="6"/>
        <v/>
      </c>
      <c r="P67" s="48" t="str">
        <f t="shared" ref="P67:P72" ca="1" si="9">IF($I67="","",IF(G67+1095&lt;HakenKikanE,"無期雇用","有期雇用（3ヵ月)"))</f>
        <v/>
      </c>
      <c r="Q67" s="48" t="str">
        <f t="shared" ca="1" si="3"/>
        <v/>
      </c>
    </row>
    <row r="68" spans="9:17" ht="18.75">
      <c r="I68" s="21" t="str">
        <f t="shared" ca="1" si="7"/>
        <v/>
      </c>
      <c r="J68" s="45"/>
      <c r="K68" s="22"/>
      <c r="L68" s="48" t="str">
        <f t="shared" si="8"/>
        <v/>
      </c>
      <c r="M68" s="48" t="str">
        <f t="shared" ref="M68:O83" ca="1" si="10">IF($I68="","","加入")</f>
        <v/>
      </c>
      <c r="N68" s="48" t="str">
        <f t="shared" ca="1" si="10"/>
        <v/>
      </c>
      <c r="O68" s="48" t="str">
        <f t="shared" ca="1" si="10"/>
        <v/>
      </c>
      <c r="P68" s="48" t="str">
        <f t="shared" ca="1" si="9"/>
        <v/>
      </c>
      <c r="Q68" s="48" t="str">
        <f t="shared" ca="1" si="3"/>
        <v/>
      </c>
    </row>
    <row r="69" spans="9:17" ht="18.75">
      <c r="I69" s="21" t="str">
        <f t="shared" ca="1" si="7"/>
        <v/>
      </c>
      <c r="J69" s="45"/>
      <c r="K69" s="22"/>
      <c r="L69" s="48" t="str">
        <f t="shared" si="8"/>
        <v/>
      </c>
      <c r="M69" s="48" t="str">
        <f t="shared" ca="1" si="10"/>
        <v/>
      </c>
      <c r="N69" s="48" t="str">
        <f t="shared" ca="1" si="10"/>
        <v/>
      </c>
      <c r="O69" s="48" t="str">
        <f t="shared" ca="1" si="10"/>
        <v/>
      </c>
      <c r="P69" s="48" t="str">
        <f t="shared" ca="1" si="9"/>
        <v/>
      </c>
      <c r="Q69" s="48" t="str">
        <f t="shared" ca="1" si="3"/>
        <v/>
      </c>
    </row>
    <row r="70" spans="9:17" ht="18.75">
      <c r="I70" s="21" t="str">
        <f t="shared" ca="1" si="7"/>
        <v/>
      </c>
      <c r="J70" s="45"/>
      <c r="K70" s="22"/>
      <c r="L70" s="48" t="str">
        <f t="shared" si="8"/>
        <v/>
      </c>
      <c r="M70" s="48" t="str">
        <f t="shared" ca="1" si="10"/>
        <v/>
      </c>
      <c r="N70" s="48" t="str">
        <f t="shared" ca="1" si="10"/>
        <v/>
      </c>
      <c r="O70" s="48" t="str">
        <f t="shared" ca="1" si="10"/>
        <v/>
      </c>
      <c r="P70" s="48" t="str">
        <f t="shared" ca="1" si="9"/>
        <v/>
      </c>
      <c r="Q70" s="48" t="str">
        <f t="shared" ca="1" si="3"/>
        <v/>
      </c>
    </row>
    <row r="71" spans="9:17" ht="18.75">
      <c r="I71" s="21" t="str">
        <f t="shared" ca="1" si="7"/>
        <v/>
      </c>
      <c r="J71" s="45"/>
      <c r="K71" s="22"/>
      <c r="L71" s="48" t="str">
        <f t="shared" si="8"/>
        <v/>
      </c>
      <c r="M71" s="48" t="str">
        <f t="shared" ca="1" si="10"/>
        <v/>
      </c>
      <c r="N71" s="48" t="str">
        <f t="shared" ca="1" si="10"/>
        <v/>
      </c>
      <c r="O71" s="48" t="str">
        <f t="shared" ca="1" si="10"/>
        <v/>
      </c>
      <c r="P71" s="48" t="str">
        <f t="shared" ca="1" si="9"/>
        <v/>
      </c>
      <c r="Q71" s="48" t="str">
        <f t="shared" ca="1" si="3"/>
        <v/>
      </c>
    </row>
    <row r="72" spans="9:17" ht="18.75">
      <c r="I72" s="21" t="str">
        <f t="shared" ca="1" si="7"/>
        <v/>
      </c>
      <c r="J72" s="45"/>
      <c r="K72" s="22"/>
      <c r="L72" s="48" t="str">
        <f t="shared" si="8"/>
        <v/>
      </c>
      <c r="M72" s="48" t="str">
        <f t="shared" ca="1" si="10"/>
        <v/>
      </c>
      <c r="N72" s="48" t="str">
        <f t="shared" ca="1" si="10"/>
        <v/>
      </c>
      <c r="O72" s="48" t="str">
        <f t="shared" ca="1" si="10"/>
        <v/>
      </c>
      <c r="P72" s="48" t="str">
        <f t="shared" ca="1" si="9"/>
        <v/>
      </c>
      <c r="Q72" s="48" t="str">
        <f t="shared" ca="1" si="3"/>
        <v/>
      </c>
    </row>
    <row r="73" spans="9:17" ht="18.75">
      <c r="I73" s="21" t="str">
        <f t="shared" ref="I73:I102" ca="1" si="11">IF(J73="","",I72+1)</f>
        <v/>
      </c>
      <c r="J73" s="45"/>
      <c r="K73" s="22"/>
      <c r="L73" s="48" t="str">
        <f t="shared" ref="L73:L102" si="12">IF(H73="","",IF(E73&lt;=18,"18未満(     )歳",IF(AND((E73&gt;=18),(E73&lt;=45)),"18以上45歳未満",IF(AND((E73&gt;=46),(E73&lt;=60)),"46以上60歳未満",IF(E73&lt;=60,"60歳未満","60歳以上")))))</f>
        <v/>
      </c>
      <c r="M73" s="48" t="str">
        <f t="shared" ca="1" si="10"/>
        <v/>
      </c>
      <c r="N73" s="48" t="str">
        <f t="shared" ca="1" si="10"/>
        <v/>
      </c>
      <c r="O73" s="48" t="str">
        <f t="shared" ca="1" si="10"/>
        <v/>
      </c>
      <c r="P73" s="48" t="str">
        <f t="shared" ref="P73:P102" ca="1" si="13">IF($I73="","",IF(G73+1095&lt;HakenKikanE,"無期雇用","有期雇用（3ヵ月)"))</f>
        <v/>
      </c>
      <c r="Q73" s="48" t="str">
        <f t="shared" ca="1" si="3"/>
        <v/>
      </c>
    </row>
    <row r="74" spans="9:17" ht="18.75">
      <c r="I74" s="21" t="str">
        <f t="shared" ca="1" si="11"/>
        <v/>
      </c>
      <c r="J74" s="45"/>
      <c r="K74" s="22"/>
      <c r="L74" s="48" t="str">
        <f t="shared" si="12"/>
        <v/>
      </c>
      <c r="M74" s="48" t="str">
        <f t="shared" ca="1" si="10"/>
        <v/>
      </c>
      <c r="N74" s="48" t="str">
        <f t="shared" ca="1" si="10"/>
        <v/>
      </c>
      <c r="O74" s="48" t="str">
        <f t="shared" ca="1" si="10"/>
        <v/>
      </c>
      <c r="P74" s="48" t="str">
        <f t="shared" ca="1" si="13"/>
        <v/>
      </c>
      <c r="Q74" s="48" t="str">
        <f t="shared" ref="Q74:Q102" ca="1" si="14">IF($I74="","","協定対象派遣労働者(労使協定式方式)")</f>
        <v/>
      </c>
    </row>
    <row r="75" spans="9:17" ht="18.75">
      <c r="I75" s="21" t="str">
        <f t="shared" ca="1" si="11"/>
        <v/>
      </c>
      <c r="J75" s="45"/>
      <c r="K75" s="22"/>
      <c r="L75" s="48" t="str">
        <f t="shared" si="12"/>
        <v/>
      </c>
      <c r="M75" s="48" t="str">
        <f t="shared" ca="1" si="10"/>
        <v/>
      </c>
      <c r="N75" s="48" t="str">
        <f t="shared" ca="1" si="10"/>
        <v/>
      </c>
      <c r="O75" s="48" t="str">
        <f t="shared" ca="1" si="10"/>
        <v/>
      </c>
      <c r="P75" s="48" t="str">
        <f t="shared" ca="1" si="13"/>
        <v/>
      </c>
      <c r="Q75" s="48" t="str">
        <f t="shared" ca="1" si="14"/>
        <v/>
      </c>
    </row>
    <row r="76" spans="9:17" ht="18.75">
      <c r="I76" s="21" t="str">
        <f t="shared" ca="1" si="11"/>
        <v/>
      </c>
      <c r="J76" s="45"/>
      <c r="K76" s="22"/>
      <c r="L76" s="48" t="str">
        <f t="shared" si="12"/>
        <v/>
      </c>
      <c r="M76" s="48" t="str">
        <f t="shared" ca="1" si="10"/>
        <v/>
      </c>
      <c r="N76" s="48" t="str">
        <f t="shared" ca="1" si="10"/>
        <v/>
      </c>
      <c r="O76" s="48" t="str">
        <f t="shared" ca="1" si="10"/>
        <v/>
      </c>
      <c r="P76" s="48" t="str">
        <f t="shared" ca="1" si="13"/>
        <v/>
      </c>
      <c r="Q76" s="48" t="str">
        <f t="shared" ca="1" si="14"/>
        <v/>
      </c>
    </row>
    <row r="77" spans="9:17" ht="18.75">
      <c r="I77" s="21" t="str">
        <f t="shared" ca="1" si="11"/>
        <v/>
      </c>
      <c r="J77" s="45"/>
      <c r="K77" s="22"/>
      <c r="L77" s="48" t="str">
        <f t="shared" si="12"/>
        <v/>
      </c>
      <c r="M77" s="48" t="str">
        <f t="shared" ca="1" si="10"/>
        <v/>
      </c>
      <c r="N77" s="48" t="str">
        <f t="shared" ca="1" si="10"/>
        <v/>
      </c>
      <c r="O77" s="48" t="str">
        <f t="shared" ca="1" si="10"/>
        <v/>
      </c>
      <c r="P77" s="48" t="str">
        <f t="shared" ca="1" si="13"/>
        <v/>
      </c>
      <c r="Q77" s="48" t="str">
        <f t="shared" ca="1" si="14"/>
        <v/>
      </c>
    </row>
    <row r="78" spans="9:17" ht="18.75">
      <c r="I78" s="21" t="str">
        <f t="shared" ca="1" si="11"/>
        <v/>
      </c>
      <c r="J78" s="45"/>
      <c r="K78" s="22"/>
      <c r="L78" s="48" t="str">
        <f t="shared" si="12"/>
        <v/>
      </c>
      <c r="M78" s="48" t="str">
        <f t="shared" ca="1" si="10"/>
        <v/>
      </c>
      <c r="N78" s="48" t="str">
        <f t="shared" ca="1" si="10"/>
        <v/>
      </c>
      <c r="O78" s="48" t="str">
        <f t="shared" ca="1" si="10"/>
        <v/>
      </c>
      <c r="P78" s="48" t="str">
        <f t="shared" ca="1" si="13"/>
        <v/>
      </c>
      <c r="Q78" s="48" t="str">
        <f t="shared" ca="1" si="14"/>
        <v/>
      </c>
    </row>
    <row r="79" spans="9:17" ht="18.75">
      <c r="I79" s="21" t="str">
        <f t="shared" ca="1" si="11"/>
        <v/>
      </c>
      <c r="J79" s="45"/>
      <c r="K79" s="22"/>
      <c r="L79" s="48" t="str">
        <f t="shared" si="12"/>
        <v/>
      </c>
      <c r="M79" s="48" t="str">
        <f t="shared" ca="1" si="10"/>
        <v/>
      </c>
      <c r="N79" s="48" t="str">
        <f t="shared" ca="1" si="10"/>
        <v/>
      </c>
      <c r="O79" s="48" t="str">
        <f t="shared" ca="1" si="10"/>
        <v/>
      </c>
      <c r="P79" s="48" t="str">
        <f t="shared" ca="1" si="13"/>
        <v/>
      </c>
      <c r="Q79" s="48" t="str">
        <f t="shared" ca="1" si="14"/>
        <v/>
      </c>
    </row>
    <row r="80" spans="9:17" ht="18.75">
      <c r="I80" s="21" t="str">
        <f t="shared" ca="1" si="11"/>
        <v/>
      </c>
      <c r="J80" s="45"/>
      <c r="K80" s="22"/>
      <c r="L80" s="48" t="str">
        <f t="shared" si="12"/>
        <v/>
      </c>
      <c r="M80" s="48" t="str">
        <f t="shared" ca="1" si="10"/>
        <v/>
      </c>
      <c r="N80" s="48" t="str">
        <f t="shared" ca="1" si="10"/>
        <v/>
      </c>
      <c r="O80" s="48" t="str">
        <f t="shared" ca="1" si="10"/>
        <v/>
      </c>
      <c r="P80" s="48" t="str">
        <f t="shared" ca="1" si="13"/>
        <v/>
      </c>
      <c r="Q80" s="48" t="str">
        <f t="shared" ca="1" si="14"/>
        <v/>
      </c>
    </row>
    <row r="81" spans="9:17" ht="18.75">
      <c r="I81" s="21" t="str">
        <f t="shared" ca="1" si="11"/>
        <v/>
      </c>
      <c r="J81" s="45"/>
      <c r="K81" s="22"/>
      <c r="L81" s="48" t="str">
        <f t="shared" si="12"/>
        <v/>
      </c>
      <c r="M81" s="48" t="str">
        <f t="shared" ca="1" si="10"/>
        <v/>
      </c>
      <c r="N81" s="48" t="str">
        <f t="shared" ca="1" si="10"/>
        <v/>
      </c>
      <c r="O81" s="48" t="str">
        <f t="shared" ca="1" si="10"/>
        <v/>
      </c>
      <c r="P81" s="48" t="str">
        <f t="shared" ca="1" si="13"/>
        <v/>
      </c>
      <c r="Q81" s="48" t="str">
        <f t="shared" ca="1" si="14"/>
        <v/>
      </c>
    </row>
    <row r="82" spans="9:17" ht="18.75">
      <c r="I82" s="21" t="str">
        <f t="shared" ca="1" si="11"/>
        <v/>
      </c>
      <c r="J82" s="45"/>
      <c r="K82" s="22"/>
      <c r="L82" s="48" t="str">
        <f t="shared" si="12"/>
        <v/>
      </c>
      <c r="M82" s="48" t="str">
        <f t="shared" ca="1" si="10"/>
        <v/>
      </c>
      <c r="N82" s="48" t="str">
        <f t="shared" ca="1" si="10"/>
        <v/>
      </c>
      <c r="O82" s="48" t="str">
        <f t="shared" ca="1" si="10"/>
        <v/>
      </c>
      <c r="P82" s="48" t="str">
        <f t="shared" ca="1" si="13"/>
        <v/>
      </c>
      <c r="Q82" s="48" t="str">
        <f t="shared" ca="1" si="14"/>
        <v/>
      </c>
    </row>
    <row r="83" spans="9:17" ht="18.75">
      <c r="I83" s="21" t="str">
        <f t="shared" ca="1" si="11"/>
        <v/>
      </c>
      <c r="J83" s="45"/>
      <c r="K83" s="22"/>
      <c r="L83" s="48" t="str">
        <f t="shared" si="12"/>
        <v/>
      </c>
      <c r="M83" s="48" t="str">
        <f t="shared" ca="1" si="10"/>
        <v/>
      </c>
      <c r="N83" s="48" t="str">
        <f t="shared" ca="1" si="10"/>
        <v/>
      </c>
      <c r="O83" s="48" t="str">
        <f t="shared" ca="1" si="10"/>
        <v/>
      </c>
      <c r="P83" s="48" t="str">
        <f t="shared" ca="1" si="13"/>
        <v/>
      </c>
      <c r="Q83" s="48" t="str">
        <f t="shared" ca="1" si="14"/>
        <v/>
      </c>
    </row>
    <row r="84" spans="9:17" ht="18.75">
      <c r="I84" s="21" t="str">
        <f t="shared" ca="1" si="11"/>
        <v/>
      </c>
      <c r="J84" s="45"/>
      <c r="K84" s="22"/>
      <c r="L84" s="48" t="str">
        <f t="shared" si="12"/>
        <v/>
      </c>
      <c r="M84" s="48" t="str">
        <f t="shared" ref="M84:O102" ca="1" si="15">IF($I84="","","加入")</f>
        <v/>
      </c>
      <c r="N84" s="48" t="str">
        <f t="shared" ca="1" si="15"/>
        <v/>
      </c>
      <c r="O84" s="48" t="str">
        <f t="shared" ca="1" si="15"/>
        <v/>
      </c>
      <c r="P84" s="48" t="str">
        <f t="shared" ca="1" si="13"/>
        <v/>
      </c>
      <c r="Q84" s="48" t="str">
        <f t="shared" ca="1" si="14"/>
        <v/>
      </c>
    </row>
    <row r="85" spans="9:17" ht="18.75">
      <c r="I85" s="21" t="str">
        <f t="shared" ca="1" si="11"/>
        <v/>
      </c>
      <c r="J85" s="45"/>
      <c r="K85" s="22"/>
      <c r="L85" s="48" t="str">
        <f t="shared" si="12"/>
        <v/>
      </c>
      <c r="M85" s="48" t="str">
        <f t="shared" ca="1" si="15"/>
        <v/>
      </c>
      <c r="N85" s="48" t="str">
        <f t="shared" ca="1" si="15"/>
        <v/>
      </c>
      <c r="O85" s="48" t="str">
        <f t="shared" ca="1" si="15"/>
        <v/>
      </c>
      <c r="P85" s="48" t="str">
        <f t="shared" ca="1" si="13"/>
        <v/>
      </c>
      <c r="Q85" s="48" t="str">
        <f t="shared" ca="1" si="14"/>
        <v/>
      </c>
    </row>
    <row r="86" spans="9:17" ht="18.75">
      <c r="I86" s="21" t="str">
        <f t="shared" ca="1" si="11"/>
        <v/>
      </c>
      <c r="J86" s="45"/>
      <c r="K86" s="22"/>
      <c r="L86" s="48" t="str">
        <f t="shared" si="12"/>
        <v/>
      </c>
      <c r="M86" s="48" t="str">
        <f t="shared" ca="1" si="15"/>
        <v/>
      </c>
      <c r="N86" s="48" t="str">
        <f t="shared" ca="1" si="15"/>
        <v/>
      </c>
      <c r="O86" s="48" t="str">
        <f t="shared" ca="1" si="15"/>
        <v/>
      </c>
      <c r="P86" s="48" t="str">
        <f t="shared" ca="1" si="13"/>
        <v/>
      </c>
      <c r="Q86" s="48" t="str">
        <f t="shared" ca="1" si="14"/>
        <v/>
      </c>
    </row>
    <row r="87" spans="9:17" ht="18.75">
      <c r="I87" s="21" t="str">
        <f t="shared" ca="1" si="11"/>
        <v/>
      </c>
      <c r="J87" s="45"/>
      <c r="K87" s="22"/>
      <c r="L87" s="48" t="str">
        <f t="shared" si="12"/>
        <v/>
      </c>
      <c r="M87" s="48" t="str">
        <f t="shared" ca="1" si="15"/>
        <v/>
      </c>
      <c r="N87" s="48" t="str">
        <f t="shared" ca="1" si="15"/>
        <v/>
      </c>
      <c r="O87" s="48" t="str">
        <f t="shared" ca="1" si="15"/>
        <v/>
      </c>
      <c r="P87" s="48" t="str">
        <f t="shared" ca="1" si="13"/>
        <v/>
      </c>
      <c r="Q87" s="48" t="str">
        <f t="shared" ca="1" si="14"/>
        <v/>
      </c>
    </row>
    <row r="88" spans="9:17" ht="18.75">
      <c r="I88" s="21" t="str">
        <f t="shared" ca="1" si="11"/>
        <v/>
      </c>
      <c r="J88" s="45"/>
      <c r="K88" s="22"/>
      <c r="L88" s="48" t="str">
        <f t="shared" si="12"/>
        <v/>
      </c>
      <c r="M88" s="48" t="str">
        <f t="shared" ca="1" si="15"/>
        <v/>
      </c>
      <c r="N88" s="48" t="str">
        <f t="shared" ca="1" si="15"/>
        <v/>
      </c>
      <c r="O88" s="48" t="str">
        <f t="shared" ca="1" si="15"/>
        <v/>
      </c>
      <c r="P88" s="48" t="str">
        <f t="shared" ca="1" si="13"/>
        <v/>
      </c>
      <c r="Q88" s="48" t="str">
        <f t="shared" ca="1" si="14"/>
        <v/>
      </c>
    </row>
    <row r="89" spans="9:17" ht="18.75">
      <c r="I89" s="21" t="str">
        <f t="shared" ca="1" si="11"/>
        <v/>
      </c>
      <c r="J89" s="45"/>
      <c r="K89" s="22"/>
      <c r="L89" s="48" t="str">
        <f t="shared" si="12"/>
        <v/>
      </c>
      <c r="M89" s="48" t="str">
        <f t="shared" ca="1" si="15"/>
        <v/>
      </c>
      <c r="N89" s="48" t="str">
        <f t="shared" ca="1" si="15"/>
        <v/>
      </c>
      <c r="O89" s="48" t="str">
        <f t="shared" ca="1" si="15"/>
        <v/>
      </c>
      <c r="P89" s="48" t="str">
        <f t="shared" ca="1" si="13"/>
        <v/>
      </c>
      <c r="Q89" s="48" t="str">
        <f t="shared" ca="1" si="14"/>
        <v/>
      </c>
    </row>
    <row r="90" spans="9:17" ht="18.75">
      <c r="I90" s="21" t="str">
        <f t="shared" ca="1" si="11"/>
        <v/>
      </c>
      <c r="J90" s="45"/>
      <c r="K90" s="22"/>
      <c r="L90" s="48" t="str">
        <f t="shared" si="12"/>
        <v/>
      </c>
      <c r="M90" s="48" t="str">
        <f t="shared" ca="1" si="15"/>
        <v/>
      </c>
      <c r="N90" s="48" t="str">
        <f t="shared" ca="1" si="15"/>
        <v/>
      </c>
      <c r="O90" s="48" t="str">
        <f t="shared" ca="1" si="15"/>
        <v/>
      </c>
      <c r="P90" s="48" t="str">
        <f t="shared" ca="1" si="13"/>
        <v/>
      </c>
      <c r="Q90" s="48" t="str">
        <f t="shared" ca="1" si="14"/>
        <v/>
      </c>
    </row>
    <row r="91" spans="9:17" ht="18.75">
      <c r="I91" s="21" t="str">
        <f t="shared" ca="1" si="11"/>
        <v/>
      </c>
      <c r="J91" s="45"/>
      <c r="K91" s="22"/>
      <c r="L91" s="48" t="str">
        <f t="shared" si="12"/>
        <v/>
      </c>
      <c r="M91" s="48" t="str">
        <f t="shared" ca="1" si="15"/>
        <v/>
      </c>
      <c r="N91" s="48" t="str">
        <f t="shared" ca="1" si="15"/>
        <v/>
      </c>
      <c r="O91" s="48" t="str">
        <f t="shared" ca="1" si="15"/>
        <v/>
      </c>
      <c r="P91" s="48" t="str">
        <f t="shared" ca="1" si="13"/>
        <v/>
      </c>
      <c r="Q91" s="48" t="str">
        <f t="shared" ca="1" si="14"/>
        <v/>
      </c>
    </row>
    <row r="92" spans="9:17" ht="18.75">
      <c r="I92" s="21" t="str">
        <f t="shared" ca="1" si="11"/>
        <v/>
      </c>
      <c r="J92" s="45"/>
      <c r="K92" s="22"/>
      <c r="L92" s="48" t="str">
        <f t="shared" si="12"/>
        <v/>
      </c>
      <c r="M92" s="48" t="str">
        <f t="shared" ca="1" si="15"/>
        <v/>
      </c>
      <c r="N92" s="48" t="str">
        <f t="shared" ca="1" si="15"/>
        <v/>
      </c>
      <c r="O92" s="48" t="str">
        <f t="shared" ca="1" si="15"/>
        <v/>
      </c>
      <c r="P92" s="48" t="str">
        <f t="shared" ca="1" si="13"/>
        <v/>
      </c>
      <c r="Q92" s="48" t="str">
        <f t="shared" ca="1" si="14"/>
        <v/>
      </c>
    </row>
    <row r="93" spans="9:17" ht="18.75">
      <c r="I93" s="21" t="str">
        <f t="shared" ca="1" si="11"/>
        <v/>
      </c>
      <c r="J93" s="45"/>
      <c r="K93" s="22"/>
      <c r="L93" s="48" t="str">
        <f t="shared" si="12"/>
        <v/>
      </c>
      <c r="M93" s="48" t="str">
        <f t="shared" ca="1" si="15"/>
        <v/>
      </c>
      <c r="N93" s="48" t="str">
        <f t="shared" ca="1" si="15"/>
        <v/>
      </c>
      <c r="O93" s="48" t="str">
        <f t="shared" ca="1" si="15"/>
        <v/>
      </c>
      <c r="P93" s="48" t="str">
        <f t="shared" ca="1" si="13"/>
        <v/>
      </c>
      <c r="Q93" s="48" t="str">
        <f t="shared" ca="1" si="14"/>
        <v/>
      </c>
    </row>
    <row r="94" spans="9:17" ht="18.75">
      <c r="I94" s="21" t="str">
        <f t="shared" ca="1" si="11"/>
        <v/>
      </c>
      <c r="J94" s="45"/>
      <c r="K94" s="22"/>
      <c r="L94" s="48" t="str">
        <f t="shared" si="12"/>
        <v/>
      </c>
      <c r="M94" s="48" t="str">
        <f t="shared" ca="1" si="15"/>
        <v/>
      </c>
      <c r="N94" s="48" t="str">
        <f t="shared" ca="1" si="15"/>
        <v/>
      </c>
      <c r="O94" s="48" t="str">
        <f t="shared" ca="1" si="15"/>
        <v/>
      </c>
      <c r="P94" s="48" t="str">
        <f t="shared" ca="1" si="13"/>
        <v/>
      </c>
      <c r="Q94" s="48" t="str">
        <f t="shared" ca="1" si="14"/>
        <v/>
      </c>
    </row>
    <row r="95" spans="9:17" ht="18.75">
      <c r="I95" s="21" t="str">
        <f t="shared" ca="1" si="11"/>
        <v/>
      </c>
      <c r="J95" s="45"/>
      <c r="K95" s="22"/>
      <c r="L95" s="48" t="str">
        <f t="shared" si="12"/>
        <v/>
      </c>
      <c r="M95" s="48" t="str">
        <f t="shared" ca="1" si="15"/>
        <v/>
      </c>
      <c r="N95" s="48" t="str">
        <f t="shared" ca="1" si="15"/>
        <v/>
      </c>
      <c r="O95" s="48" t="str">
        <f t="shared" ca="1" si="15"/>
        <v/>
      </c>
      <c r="P95" s="48" t="str">
        <f t="shared" ca="1" si="13"/>
        <v/>
      </c>
      <c r="Q95" s="48" t="str">
        <f t="shared" ca="1" si="14"/>
        <v/>
      </c>
    </row>
    <row r="96" spans="9:17" ht="18.75">
      <c r="I96" s="21" t="str">
        <f t="shared" ca="1" si="11"/>
        <v/>
      </c>
      <c r="J96" s="45"/>
      <c r="K96" s="22"/>
      <c r="L96" s="48" t="str">
        <f t="shared" si="12"/>
        <v/>
      </c>
      <c r="M96" s="48" t="str">
        <f t="shared" ca="1" si="15"/>
        <v/>
      </c>
      <c r="N96" s="48" t="str">
        <f t="shared" ca="1" si="15"/>
        <v/>
      </c>
      <c r="O96" s="48" t="str">
        <f t="shared" ca="1" si="15"/>
        <v/>
      </c>
      <c r="P96" s="48" t="str">
        <f t="shared" ca="1" si="13"/>
        <v/>
      </c>
      <c r="Q96" s="48" t="str">
        <f t="shared" ca="1" si="14"/>
        <v/>
      </c>
    </row>
    <row r="97" spans="9:17" ht="18.75">
      <c r="I97" s="21" t="str">
        <f t="shared" ca="1" si="11"/>
        <v/>
      </c>
      <c r="J97" s="45"/>
      <c r="K97" s="22"/>
      <c r="L97" s="48" t="str">
        <f t="shared" si="12"/>
        <v/>
      </c>
      <c r="M97" s="48" t="str">
        <f t="shared" ca="1" si="15"/>
        <v/>
      </c>
      <c r="N97" s="48" t="str">
        <f t="shared" ca="1" si="15"/>
        <v/>
      </c>
      <c r="O97" s="48" t="str">
        <f t="shared" ca="1" si="15"/>
        <v/>
      </c>
      <c r="P97" s="48" t="str">
        <f t="shared" ca="1" si="13"/>
        <v/>
      </c>
      <c r="Q97" s="48" t="str">
        <f t="shared" ca="1" si="14"/>
        <v/>
      </c>
    </row>
    <row r="98" spans="9:17" ht="18.75">
      <c r="I98" s="21" t="str">
        <f t="shared" ca="1" si="11"/>
        <v/>
      </c>
      <c r="J98" s="45"/>
      <c r="K98" s="22"/>
      <c r="L98" s="48" t="str">
        <f t="shared" si="12"/>
        <v/>
      </c>
      <c r="M98" s="48" t="str">
        <f t="shared" ca="1" si="15"/>
        <v/>
      </c>
      <c r="N98" s="48" t="str">
        <f t="shared" ca="1" si="15"/>
        <v/>
      </c>
      <c r="O98" s="48" t="str">
        <f t="shared" ca="1" si="15"/>
        <v/>
      </c>
      <c r="P98" s="48" t="str">
        <f t="shared" ca="1" si="13"/>
        <v/>
      </c>
      <c r="Q98" s="48" t="str">
        <f t="shared" ca="1" si="14"/>
        <v/>
      </c>
    </row>
    <row r="99" spans="9:17" ht="18.75">
      <c r="I99" s="21" t="str">
        <f t="shared" ca="1" si="11"/>
        <v/>
      </c>
      <c r="J99" s="45"/>
      <c r="K99" s="22"/>
      <c r="L99" s="48" t="str">
        <f t="shared" si="12"/>
        <v/>
      </c>
      <c r="M99" s="48" t="str">
        <f t="shared" ca="1" si="15"/>
        <v/>
      </c>
      <c r="N99" s="48" t="str">
        <f t="shared" ca="1" si="15"/>
        <v/>
      </c>
      <c r="O99" s="48" t="str">
        <f t="shared" ca="1" si="15"/>
        <v/>
      </c>
      <c r="P99" s="48" t="str">
        <f t="shared" ca="1" si="13"/>
        <v/>
      </c>
      <c r="Q99" s="48" t="str">
        <f t="shared" ca="1" si="14"/>
        <v/>
      </c>
    </row>
    <row r="100" spans="9:17" ht="18.75">
      <c r="I100" s="21" t="str">
        <f t="shared" ca="1" si="11"/>
        <v/>
      </c>
      <c r="J100" s="45"/>
      <c r="K100" s="22"/>
      <c r="L100" s="48" t="str">
        <f t="shared" si="12"/>
        <v/>
      </c>
      <c r="M100" s="48" t="str">
        <f t="shared" ca="1" si="15"/>
        <v/>
      </c>
      <c r="N100" s="48" t="str">
        <f t="shared" ca="1" si="15"/>
        <v/>
      </c>
      <c r="O100" s="48" t="str">
        <f t="shared" ca="1" si="15"/>
        <v/>
      </c>
      <c r="P100" s="48" t="str">
        <f t="shared" ca="1" si="13"/>
        <v/>
      </c>
      <c r="Q100" s="48" t="str">
        <f t="shared" ca="1" si="14"/>
        <v/>
      </c>
    </row>
    <row r="101" spans="9:17" ht="18.75">
      <c r="I101" s="21" t="str">
        <f t="shared" ca="1" si="11"/>
        <v/>
      </c>
      <c r="J101" s="45"/>
      <c r="K101" s="22"/>
      <c r="L101" s="48" t="str">
        <f t="shared" si="12"/>
        <v/>
      </c>
      <c r="M101" s="48" t="str">
        <f t="shared" ca="1" si="15"/>
        <v/>
      </c>
      <c r="N101" s="48" t="str">
        <f t="shared" ca="1" si="15"/>
        <v/>
      </c>
      <c r="O101" s="48" t="str">
        <f t="shared" ca="1" si="15"/>
        <v/>
      </c>
      <c r="P101" s="48" t="str">
        <f t="shared" ca="1" si="13"/>
        <v/>
      </c>
      <c r="Q101" s="48" t="str">
        <f t="shared" ca="1" si="14"/>
        <v/>
      </c>
    </row>
    <row r="102" spans="9:17" ht="18.75">
      <c r="I102" s="21" t="str">
        <f t="shared" ca="1" si="11"/>
        <v/>
      </c>
      <c r="J102" s="45"/>
      <c r="K102" s="22"/>
      <c r="L102" s="48" t="str">
        <f t="shared" si="12"/>
        <v/>
      </c>
      <c r="M102" s="48" t="str">
        <f t="shared" ca="1" si="15"/>
        <v/>
      </c>
      <c r="N102" s="48" t="str">
        <f t="shared" ca="1" si="15"/>
        <v/>
      </c>
      <c r="O102" s="48" t="str">
        <f t="shared" ca="1" si="15"/>
        <v/>
      </c>
      <c r="P102" s="48" t="str">
        <f t="shared" ca="1" si="13"/>
        <v/>
      </c>
      <c r="Q102" s="48" t="str">
        <f t="shared" ca="1" si="14"/>
        <v/>
      </c>
    </row>
  </sheetData>
  <mergeCells count="1">
    <mergeCell ref="J2:L2"/>
  </mergeCells>
  <phoneticPr fontId="1"/>
  <hyperlinks>
    <hyperlink ref="H5" location="個別契約書X!A1" display="Back to main" xr:uid="{38424899-29AA-4FBB-A865-127ECC02FB59}"/>
    <hyperlink ref="G5" location="DAICHO!A1" display="DAICHO" xr:uid="{A66F2C4B-05AC-43EB-9FFB-F264DD6F691F}"/>
  </hyperlinks>
  <pageMargins left="0.31496062992125984" right="3.937007874015748E-2" top="0.27559055118110237" bottom="0.27559055118110237" header="0.15748031496062992" footer="7.874015748031496E-2"/>
  <pageSetup paperSize="9" scale="70"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62731-A9C5-42EC-9BD7-1730F0C1420D}">
  <sheetPr codeName="Hoja11">
    <tabColor rgb="FFFFFF00"/>
    <pageSetUpPr fitToPage="1"/>
  </sheetPr>
  <dimension ref="A1:DC417"/>
  <sheetViews>
    <sheetView zoomScaleNormal="100" zoomScaleSheetLayoutView="93" workbookViewId="0">
      <selection activeCell="BH36" sqref="BH36"/>
    </sheetView>
  </sheetViews>
  <sheetFormatPr defaultColWidth="11.02734375" defaultRowHeight="14.25"/>
  <cols>
    <col min="1" max="1" width="1.61328125" style="7" customWidth="1"/>
    <col min="2" max="2" width="2.015625" style="7" customWidth="1"/>
    <col min="3" max="3" width="2.15234375" style="7" customWidth="1"/>
    <col min="4" max="5" width="2.28515625" style="7" customWidth="1"/>
    <col min="6" max="7" width="1.61328125" style="7" customWidth="1"/>
    <col min="8" max="9" width="2.015625" style="7" customWidth="1"/>
    <col min="10" max="13" width="1.61328125" style="7" customWidth="1"/>
    <col min="14" max="14" width="0.8046875" style="7" customWidth="1"/>
    <col min="15" max="15" width="2.015625" style="7" customWidth="1"/>
    <col min="16" max="20" width="1.61328125" style="7" customWidth="1"/>
    <col min="21" max="21" width="2.15234375" style="7" customWidth="1"/>
    <col min="22" max="54" width="1.61328125" style="7" customWidth="1"/>
    <col min="55" max="55" width="2.15234375" style="7" customWidth="1"/>
    <col min="56" max="453" width="1.61328125" style="7" customWidth="1"/>
    <col min="454" max="16384" width="11.02734375" style="7"/>
  </cols>
  <sheetData>
    <row r="1" spans="1:107" s="54" customFormat="1">
      <c r="A1" s="54">
        <v>1</v>
      </c>
      <c r="B1" s="54" t="str">
        <f ca="1">_xlfn.XLOOKUP(O11,TablaTransfor[カナ],TablaTransfor[ライン],"",0,-1)</f>
        <v>Fライン</v>
      </c>
      <c r="C1" s="54">
        <f ca="1">_xlfn.XLOOKUP(O11,TablaTransfor[カナ],TablaTransfor[年齢],"",0,-1)</f>
        <v>30</v>
      </c>
      <c r="D1" s="449">
        <f ca="1">_xlfn.XLOOKUP(O11,TablaTransfor[カナ],TablaTransfor[現入社],"",0,-1)</f>
        <v>44690</v>
      </c>
      <c r="E1" s="54" t="str">
        <f ca="1">_xlfn.XLOOKUP(O11,TablaTransfor[カナ],TablaTransfor[配属先],"",0,-1)</f>
        <v>高雄工業株式会社 愛知事業所本社工場製作課</v>
      </c>
      <c r="BH1" s="54" t="str">
        <f ca="1">E1&amp;B1</f>
        <v>高雄工業株式会社 愛知事業所本社工場製作課Fライン</v>
      </c>
    </row>
    <row r="2" spans="1:107">
      <c r="AU2" s="69"/>
      <c r="AV2" s="69"/>
      <c r="AW2" s="69"/>
      <c r="AX2" s="69"/>
      <c r="AY2" s="69"/>
      <c r="AZ2" s="69"/>
      <c r="BA2" s="69"/>
      <c r="BB2" s="69"/>
      <c r="BC2" s="69"/>
    </row>
    <row r="3" spans="1:107" ht="9" customHeight="1">
      <c r="O3" s="743" t="s">
        <v>692</v>
      </c>
      <c r="P3" s="743"/>
      <c r="Q3" s="743"/>
      <c r="R3" s="743"/>
      <c r="S3" s="743"/>
      <c r="T3" s="743"/>
      <c r="U3" s="743"/>
      <c r="V3" s="743"/>
      <c r="W3" s="743"/>
      <c r="X3" s="743"/>
      <c r="Y3" s="743"/>
      <c r="Z3" s="743"/>
      <c r="AA3" s="743"/>
      <c r="AB3" s="743"/>
      <c r="AC3" s="743"/>
      <c r="AD3" s="743"/>
      <c r="AE3" s="743"/>
      <c r="AF3" s="743"/>
      <c r="AG3" s="743"/>
      <c r="AH3" s="743"/>
      <c r="AI3" s="743"/>
      <c r="AJ3" s="743"/>
      <c r="AK3" s="743"/>
      <c r="AL3" s="743"/>
      <c r="AM3" s="743"/>
      <c r="AP3" s="54" t="s">
        <v>731</v>
      </c>
      <c r="AQ3" s="54"/>
      <c r="AR3" s="54"/>
      <c r="AS3" s="54"/>
      <c r="AT3" s="54"/>
      <c r="AU3" s="69"/>
      <c r="AV3" s="69"/>
      <c r="AW3" s="69"/>
      <c r="AX3" s="69"/>
      <c r="AY3" s="69"/>
      <c r="AZ3" s="69"/>
      <c r="BA3" s="69"/>
      <c r="BB3" s="69"/>
      <c r="BC3" s="69"/>
      <c r="BD3" s="54"/>
      <c r="BE3" s="54"/>
    </row>
    <row r="4" spans="1:107" ht="9.75" customHeight="1">
      <c r="O4" s="743"/>
      <c r="P4" s="743"/>
      <c r="Q4" s="743"/>
      <c r="R4" s="743"/>
      <c r="S4" s="743"/>
      <c r="T4" s="743"/>
      <c r="U4" s="743"/>
      <c r="V4" s="743"/>
      <c r="W4" s="743"/>
      <c r="X4" s="743"/>
      <c r="Y4" s="743"/>
      <c r="Z4" s="743"/>
      <c r="AA4" s="743"/>
      <c r="AB4" s="743"/>
      <c r="AC4" s="743"/>
      <c r="AD4" s="743"/>
      <c r="AE4" s="743"/>
      <c r="AF4" s="743"/>
      <c r="AG4" s="743"/>
      <c r="AH4" s="743"/>
      <c r="AI4" s="743"/>
      <c r="AJ4" s="743"/>
      <c r="AK4" s="743"/>
      <c r="AL4" s="743"/>
      <c r="AM4" s="743"/>
      <c r="AR4" s="55"/>
      <c r="AS4" s="55"/>
      <c r="AT4" s="55"/>
      <c r="AU4" s="70"/>
      <c r="AV4" s="70"/>
      <c r="AW4" s="70"/>
      <c r="AX4" s="70"/>
      <c r="AY4" s="768" t="str">
        <f ca="1">_xlfn.XLOOKUP(A1,TablaTsuchichou[No],TablaTsuchichou[年齢],"",0,1)</f>
        <v>60歳未満</v>
      </c>
      <c r="AZ4" s="768"/>
      <c r="BA4" s="768"/>
      <c r="BB4" s="768"/>
      <c r="BC4" s="768"/>
      <c r="BD4" s="768"/>
    </row>
    <row r="5" spans="1:107" ht="9.75" customHeight="1">
      <c r="O5" s="743"/>
      <c r="P5" s="743"/>
      <c r="Q5" s="743"/>
      <c r="R5" s="743"/>
      <c r="S5" s="743"/>
      <c r="T5" s="743"/>
      <c r="U5" s="743"/>
      <c r="V5" s="743"/>
      <c r="W5" s="743"/>
      <c r="X5" s="743"/>
      <c r="Y5" s="743"/>
      <c r="Z5" s="743"/>
      <c r="AA5" s="743"/>
      <c r="AB5" s="743"/>
      <c r="AC5" s="743"/>
      <c r="AD5" s="743"/>
      <c r="AE5" s="743"/>
      <c r="AF5" s="743"/>
      <c r="AG5" s="743"/>
      <c r="AH5" s="743"/>
      <c r="AI5" s="743"/>
      <c r="AJ5" s="743"/>
      <c r="AK5" s="743"/>
      <c r="AL5" s="743"/>
      <c r="AM5" s="743"/>
      <c r="AR5" s="55"/>
      <c r="AS5" s="55"/>
      <c r="AT5" s="55"/>
      <c r="AU5" s="70"/>
      <c r="AV5" s="70"/>
      <c r="AW5" s="70"/>
      <c r="AX5" s="70"/>
      <c r="AY5" s="70"/>
      <c r="AZ5" s="70"/>
      <c r="BA5" s="70"/>
      <c r="BB5" s="69"/>
      <c r="BC5" s="69"/>
    </row>
    <row r="6" spans="1:107" ht="9.75" customHeight="1">
      <c r="AU6" s="69"/>
      <c r="BB6" s="69"/>
      <c r="BC6" s="69"/>
    </row>
    <row r="7" spans="1:107" ht="9.75" customHeight="1">
      <c r="AU7" s="69"/>
      <c r="AV7" s="69"/>
      <c r="AW7" s="69"/>
      <c r="AX7" s="69"/>
      <c r="AY7" s="69"/>
      <c r="AZ7" s="69"/>
      <c r="BA7" s="69"/>
      <c r="BB7" s="69"/>
      <c r="BC7" s="69"/>
    </row>
    <row r="8" spans="1:107" ht="9.75" customHeight="1">
      <c r="AU8" s="69"/>
      <c r="AV8" s="69"/>
      <c r="AW8" s="69"/>
      <c r="AX8" s="69"/>
      <c r="AY8" s="69"/>
      <c r="AZ8" s="69"/>
      <c r="BA8" s="69"/>
      <c r="BB8" s="69"/>
      <c r="BC8" s="69"/>
    </row>
    <row r="9" spans="1:107" ht="9.75" customHeight="1">
      <c r="C9" s="742" t="e">
        <f ca="1">WORKDAY(O37,-2,)</f>
        <v>#VALUE!</v>
      </c>
      <c r="D9" s="742"/>
      <c r="E9" s="742"/>
      <c r="F9" s="742"/>
      <c r="G9" s="742"/>
      <c r="H9" s="742"/>
      <c r="I9" s="742"/>
      <c r="J9" s="28" t="s">
        <v>734</v>
      </c>
      <c r="K9" s="28"/>
      <c r="L9" s="28"/>
      <c r="M9" s="28"/>
      <c r="N9" s="28"/>
      <c r="O9" s="28"/>
      <c r="P9" s="28"/>
      <c r="Q9" s="28"/>
      <c r="R9" s="28"/>
      <c r="S9" s="28"/>
      <c r="T9" s="28"/>
      <c r="U9" s="35"/>
      <c r="V9" s="35"/>
      <c r="W9" s="35"/>
      <c r="X9" s="35"/>
      <c r="Y9" s="35"/>
      <c r="Z9" s="35"/>
      <c r="AA9" s="35"/>
      <c r="AB9" s="35"/>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row>
    <row r="10" spans="1:107" ht="9.75" customHeight="1">
      <c r="C10" s="623"/>
      <c r="D10" s="623"/>
      <c r="E10" s="623"/>
      <c r="F10" s="623"/>
      <c r="G10" s="623"/>
      <c r="H10" s="623"/>
      <c r="I10" s="623"/>
      <c r="J10" s="623"/>
      <c r="K10" s="623"/>
      <c r="L10" s="623"/>
      <c r="M10" s="623"/>
      <c r="N10" s="623"/>
      <c r="O10" s="623"/>
      <c r="P10" s="623"/>
      <c r="Q10" s="623"/>
      <c r="R10" s="623"/>
      <c r="S10" s="623"/>
      <c r="T10" s="623"/>
      <c r="U10" s="623"/>
      <c r="V10" s="623"/>
      <c r="W10" s="623"/>
      <c r="X10" s="623"/>
      <c r="Y10" s="623"/>
      <c r="Z10" s="623"/>
      <c r="AA10" s="623"/>
      <c r="AB10" s="623"/>
      <c r="AC10" s="623"/>
      <c r="AD10" s="623"/>
      <c r="AE10" s="623"/>
      <c r="AF10" s="623"/>
      <c r="AG10" s="623"/>
      <c r="AH10" s="623"/>
      <c r="AI10" s="623"/>
      <c r="AJ10" s="623"/>
      <c r="AK10" s="623"/>
      <c r="AL10" s="623"/>
      <c r="AM10" s="623"/>
      <c r="AN10" s="623"/>
      <c r="AO10" s="623"/>
      <c r="AP10" s="623"/>
      <c r="AQ10" s="623"/>
      <c r="AR10" s="623"/>
      <c r="AS10" s="623"/>
      <c r="AT10" s="623"/>
      <c r="AU10" s="623"/>
      <c r="AV10" s="623"/>
      <c r="AW10" s="623"/>
      <c r="AX10" s="623"/>
      <c r="AY10" s="623"/>
      <c r="AZ10" s="623"/>
      <c r="BA10" s="623"/>
      <c r="BB10" s="623"/>
      <c r="BC10" s="623"/>
    </row>
    <row r="11" spans="1:107" ht="9.75" customHeight="1">
      <c r="C11" s="748" t="s">
        <v>693</v>
      </c>
      <c r="D11" s="749"/>
      <c r="E11" s="749"/>
      <c r="F11" s="749"/>
      <c r="G11" s="749"/>
      <c r="H11" s="749"/>
      <c r="I11" s="749"/>
      <c r="J11" s="749"/>
      <c r="K11" s="749"/>
      <c r="L11" s="749"/>
      <c r="M11" s="750"/>
      <c r="N11" s="757"/>
      <c r="O11" s="744" t="str">
        <f ca="1">VLOOKUP(A1,通知書Genzai!I9:Q100,2,TRUE)</f>
        <v>ハー　ヴィエット　トウイ</v>
      </c>
      <c r="P11" s="744"/>
      <c r="Q11" s="744"/>
      <c r="R11" s="744"/>
      <c r="S11" s="744"/>
      <c r="T11" s="744"/>
      <c r="U11" s="744"/>
      <c r="V11" s="744"/>
      <c r="W11" s="744"/>
      <c r="X11" s="744"/>
      <c r="Y11" s="744"/>
      <c r="Z11" s="744"/>
      <c r="AA11" s="744"/>
      <c r="AB11" s="744"/>
      <c r="AC11" s="744"/>
      <c r="AD11" s="744"/>
      <c r="AE11" s="744"/>
      <c r="AF11" s="744"/>
      <c r="AG11" s="744"/>
      <c r="AH11" s="744"/>
      <c r="AI11" s="744"/>
      <c r="AJ11" s="744"/>
      <c r="AK11" s="744"/>
      <c r="AL11" s="744"/>
      <c r="AM11" s="744"/>
      <c r="AN11" s="744"/>
      <c r="AO11" s="744"/>
      <c r="AP11" s="744"/>
      <c r="AQ11" s="744"/>
      <c r="AR11" s="744"/>
      <c r="AS11" s="744"/>
      <c r="AT11" s="744"/>
      <c r="AU11" s="744"/>
      <c r="AV11" s="744"/>
      <c r="AW11" s="744"/>
      <c r="AX11" s="744"/>
      <c r="AY11" s="744"/>
      <c r="AZ11" s="744"/>
      <c r="BA11" s="744"/>
      <c r="BB11" s="744"/>
      <c r="BC11" s="745"/>
    </row>
    <row r="12" spans="1:107" ht="9.75" customHeight="1">
      <c r="C12" s="751"/>
      <c r="D12" s="752"/>
      <c r="E12" s="752"/>
      <c r="F12" s="752"/>
      <c r="G12" s="752"/>
      <c r="H12" s="752"/>
      <c r="I12" s="752"/>
      <c r="J12" s="752"/>
      <c r="K12" s="752"/>
      <c r="L12" s="752"/>
      <c r="M12" s="753"/>
      <c r="N12" s="758"/>
      <c r="O12" s="760"/>
      <c r="P12" s="760"/>
      <c r="Q12" s="760"/>
      <c r="R12" s="760"/>
      <c r="S12" s="760"/>
      <c r="T12" s="760"/>
      <c r="U12" s="760"/>
      <c r="V12" s="760"/>
      <c r="W12" s="760"/>
      <c r="X12" s="760"/>
      <c r="Y12" s="760"/>
      <c r="Z12" s="760"/>
      <c r="AA12" s="760"/>
      <c r="AB12" s="760"/>
      <c r="AC12" s="760"/>
      <c r="AD12" s="760"/>
      <c r="AE12" s="760"/>
      <c r="AF12" s="760"/>
      <c r="AG12" s="760"/>
      <c r="AH12" s="760"/>
      <c r="AI12" s="760"/>
      <c r="AJ12" s="760"/>
      <c r="AK12" s="760"/>
      <c r="AL12" s="760"/>
      <c r="AM12" s="760"/>
      <c r="AN12" s="760"/>
      <c r="AO12" s="760"/>
      <c r="AP12" s="760"/>
      <c r="AQ12" s="760"/>
      <c r="AR12" s="760"/>
      <c r="AS12" s="760"/>
      <c r="AT12" s="760"/>
      <c r="AU12" s="760"/>
      <c r="AV12" s="760"/>
      <c r="AW12" s="760"/>
      <c r="AX12" s="760"/>
      <c r="AY12" s="760"/>
      <c r="AZ12" s="760"/>
      <c r="BA12" s="760"/>
      <c r="BB12" s="760"/>
      <c r="BC12" s="761"/>
    </row>
    <row r="13" spans="1:107" ht="15" customHeight="1">
      <c r="C13" s="754"/>
      <c r="D13" s="755"/>
      <c r="E13" s="755"/>
      <c r="F13" s="755"/>
      <c r="G13" s="755"/>
      <c r="H13" s="755"/>
      <c r="I13" s="755"/>
      <c r="J13" s="755"/>
      <c r="K13" s="755"/>
      <c r="L13" s="755"/>
      <c r="M13" s="756"/>
      <c r="N13" s="759"/>
      <c r="O13" s="746"/>
      <c r="P13" s="746"/>
      <c r="Q13" s="746"/>
      <c r="R13" s="746"/>
      <c r="S13" s="746"/>
      <c r="T13" s="746"/>
      <c r="U13" s="746"/>
      <c r="V13" s="746"/>
      <c r="W13" s="746"/>
      <c r="X13" s="746"/>
      <c r="Y13" s="746"/>
      <c r="Z13" s="746"/>
      <c r="AA13" s="746"/>
      <c r="AB13" s="746"/>
      <c r="AC13" s="746"/>
      <c r="AD13" s="746"/>
      <c r="AE13" s="746"/>
      <c r="AF13" s="746"/>
      <c r="AG13" s="746"/>
      <c r="AH13" s="746"/>
      <c r="AI13" s="746"/>
      <c r="AJ13" s="746"/>
      <c r="AK13" s="746"/>
      <c r="AL13" s="746"/>
      <c r="AM13" s="746"/>
      <c r="AN13" s="746"/>
      <c r="AO13" s="746"/>
      <c r="AP13" s="746"/>
      <c r="AQ13" s="746"/>
      <c r="AR13" s="746"/>
      <c r="AS13" s="746"/>
      <c r="AT13" s="746"/>
      <c r="AU13" s="746"/>
      <c r="AV13" s="746"/>
      <c r="AW13" s="746"/>
      <c r="AX13" s="746"/>
      <c r="AY13" s="746"/>
      <c r="AZ13" s="746"/>
      <c r="BA13" s="746"/>
      <c r="BB13" s="746"/>
      <c r="BC13" s="747"/>
      <c r="BG13" s="915" t="s">
        <v>3863</v>
      </c>
      <c r="BH13" s="915"/>
      <c r="BI13" s="915"/>
      <c r="BJ13" s="915"/>
      <c r="BK13" s="915"/>
      <c r="BL13" s="915"/>
      <c r="BM13" s="915"/>
      <c r="BN13" s="915"/>
      <c r="BO13" s="915"/>
      <c r="BP13" s="915"/>
      <c r="BQ13" s="915"/>
      <c r="BR13" s="915"/>
      <c r="BS13" s="915"/>
      <c r="BT13" s="915"/>
      <c r="BU13" s="915"/>
      <c r="BV13" s="915"/>
      <c r="BW13" s="915"/>
      <c r="BX13" s="915"/>
      <c r="BY13" s="915"/>
      <c r="BZ13" s="915"/>
      <c r="CA13" s="915"/>
      <c r="CB13" s="915"/>
      <c r="CC13" s="915"/>
      <c r="CD13" s="915"/>
      <c r="CE13" s="915"/>
      <c r="CF13" s="915"/>
      <c r="CG13" s="915"/>
      <c r="CH13" s="915"/>
      <c r="CI13" s="915"/>
      <c r="CJ13" s="915"/>
      <c r="CK13" s="915"/>
      <c r="CL13" s="915"/>
      <c r="CM13" s="915"/>
      <c r="CN13" s="915"/>
      <c r="CO13" s="915"/>
      <c r="CP13" s="915"/>
      <c r="CQ13" s="915"/>
      <c r="CR13" s="915"/>
      <c r="CS13" s="915"/>
      <c r="CT13" s="915"/>
      <c r="CU13" s="915"/>
      <c r="CV13" s="915"/>
      <c r="CW13" s="915"/>
      <c r="CX13" s="915"/>
      <c r="CY13" s="915"/>
      <c r="CZ13" s="915"/>
      <c r="DA13" s="915"/>
      <c r="DB13" s="915"/>
      <c r="DC13" s="915"/>
    </row>
    <row r="14" spans="1:107" ht="11.25" customHeight="1">
      <c r="C14" s="762" t="s">
        <v>732</v>
      </c>
      <c r="D14" s="749"/>
      <c r="E14" s="749"/>
      <c r="F14" s="749"/>
      <c r="G14" s="749"/>
      <c r="H14" s="749"/>
      <c r="I14" s="749"/>
      <c r="J14" s="749"/>
      <c r="K14" s="749"/>
      <c r="L14" s="749"/>
      <c r="M14" s="750"/>
      <c r="N14" s="32"/>
      <c r="O14" s="744" t="str">
        <f ca="1">_xlfn.XLOOKUP(O11,TablaTransfor[カナ],TablaTransfor[性別])</f>
        <v>男</v>
      </c>
      <c r="P14" s="744"/>
      <c r="Q14" s="744"/>
      <c r="R14" s="744"/>
      <c r="S14" s="744"/>
      <c r="T14" s="744"/>
      <c r="U14" s="744"/>
      <c r="V14" s="744"/>
      <c r="W14" s="744"/>
      <c r="X14" s="744"/>
      <c r="Y14" s="769" t="str">
        <f ca="1">IF(C1&lt;=60,"□60才以上       ☑ 60才未満","☑60才以上        □ 60才未満")</f>
        <v>□60才以上       ☑ 60才未満</v>
      </c>
      <c r="Z14" s="769"/>
      <c r="AA14" s="769"/>
      <c r="AB14" s="769"/>
      <c r="AC14" s="769"/>
      <c r="AD14" s="769"/>
      <c r="AE14" s="769"/>
      <c r="AF14" s="769"/>
      <c r="AG14" s="769"/>
      <c r="AH14" s="769"/>
      <c r="AI14" s="769"/>
      <c r="AJ14" s="769"/>
      <c r="AK14" s="769"/>
      <c r="AL14" s="769"/>
      <c r="AM14" s="769"/>
      <c r="AN14" s="769"/>
      <c r="AO14" s="769"/>
      <c r="AP14" s="769"/>
      <c r="AQ14" s="769"/>
      <c r="AR14" s="769"/>
      <c r="AS14" s="769"/>
      <c r="AT14" s="782" t="str">
        <f ca="1">IF(C1="","",IF(C1&lt;=18,"(18未満(     )歳)",IF(AND((C1&gt;=18),(C1&lt;=45)),"(18以上 45歳未満)",IF(AND((C1&gt;=46),(C1&lt;=60)),"(46以上 60歳未満)",IF(C1&lt;=60,"(60歳未満)","(60歳以上)")))))</f>
        <v>(18以上 45歳未満)</v>
      </c>
      <c r="AU14" s="782"/>
      <c r="AV14" s="782"/>
      <c r="AW14" s="782"/>
      <c r="AX14" s="782"/>
      <c r="AY14" s="782"/>
      <c r="AZ14" s="782"/>
      <c r="BA14" s="782"/>
      <c r="BB14" s="782"/>
      <c r="BC14" s="783"/>
      <c r="BG14" s="915"/>
      <c r="BH14" s="915"/>
      <c r="BI14" s="915"/>
      <c r="BJ14" s="915"/>
      <c r="BK14" s="915"/>
      <c r="BL14" s="915"/>
      <c r="BM14" s="915"/>
      <c r="BN14" s="915"/>
      <c r="BO14" s="915"/>
      <c r="BP14" s="915"/>
      <c r="BQ14" s="915"/>
      <c r="BR14" s="915"/>
      <c r="BS14" s="915"/>
      <c r="BT14" s="915"/>
      <c r="BU14" s="915"/>
      <c r="BV14" s="915"/>
      <c r="BW14" s="915"/>
      <c r="BX14" s="915"/>
      <c r="BY14" s="915"/>
      <c r="BZ14" s="915"/>
      <c r="CA14" s="915"/>
      <c r="CB14" s="915"/>
      <c r="CC14" s="915"/>
      <c r="CD14" s="915"/>
      <c r="CE14" s="915"/>
      <c r="CF14" s="915"/>
      <c r="CG14" s="915"/>
      <c r="CH14" s="915"/>
      <c r="CI14" s="915"/>
      <c r="CJ14" s="915"/>
      <c r="CK14" s="915"/>
      <c r="CL14" s="915"/>
      <c r="CM14" s="915"/>
      <c r="CN14" s="915"/>
      <c r="CO14" s="915"/>
      <c r="CP14" s="915"/>
      <c r="CQ14" s="915"/>
      <c r="CR14" s="915"/>
      <c r="CS14" s="915"/>
      <c r="CT14" s="915"/>
      <c r="CU14" s="915"/>
      <c r="CV14" s="915"/>
      <c r="CW14" s="915"/>
      <c r="CX14" s="915"/>
      <c r="CY14" s="915"/>
      <c r="CZ14" s="915"/>
      <c r="DA14" s="915"/>
      <c r="DB14" s="915"/>
      <c r="DC14" s="915"/>
    </row>
    <row r="15" spans="1:107" ht="11.25" customHeight="1">
      <c r="C15" s="754"/>
      <c r="D15" s="755"/>
      <c r="E15" s="755"/>
      <c r="F15" s="755"/>
      <c r="G15" s="755"/>
      <c r="H15" s="755"/>
      <c r="I15" s="755"/>
      <c r="J15" s="755"/>
      <c r="K15" s="755"/>
      <c r="L15" s="755"/>
      <c r="M15" s="756"/>
      <c r="N15" s="33"/>
      <c r="O15" s="746"/>
      <c r="P15" s="746"/>
      <c r="Q15" s="746"/>
      <c r="R15" s="746"/>
      <c r="S15" s="746"/>
      <c r="T15" s="746"/>
      <c r="U15" s="746"/>
      <c r="V15" s="746"/>
      <c r="W15" s="746"/>
      <c r="X15" s="746"/>
      <c r="Y15" s="770"/>
      <c r="Z15" s="770"/>
      <c r="AA15" s="770"/>
      <c r="AB15" s="770"/>
      <c r="AC15" s="770"/>
      <c r="AD15" s="770"/>
      <c r="AE15" s="770"/>
      <c r="AF15" s="770"/>
      <c r="AG15" s="770"/>
      <c r="AH15" s="770"/>
      <c r="AI15" s="770"/>
      <c r="AJ15" s="770"/>
      <c r="AK15" s="770"/>
      <c r="AL15" s="770"/>
      <c r="AM15" s="770"/>
      <c r="AN15" s="770"/>
      <c r="AO15" s="770"/>
      <c r="AP15" s="770"/>
      <c r="AQ15" s="770"/>
      <c r="AR15" s="770"/>
      <c r="AS15" s="770"/>
      <c r="AT15" s="788"/>
      <c r="AU15" s="788"/>
      <c r="AV15" s="788"/>
      <c r="AW15" s="788"/>
      <c r="AX15" s="788"/>
      <c r="AY15" s="788"/>
      <c r="AZ15" s="788"/>
      <c r="BA15" s="788"/>
      <c r="BB15" s="788"/>
      <c r="BC15" s="789"/>
    </row>
    <row r="16" spans="1:107" ht="13.5" customHeight="1">
      <c r="C16" s="763" t="s">
        <v>694</v>
      </c>
      <c r="D16" s="764"/>
      <c r="E16" s="764"/>
      <c r="F16" s="764"/>
      <c r="G16" s="764"/>
      <c r="H16" s="764"/>
      <c r="I16" s="764"/>
      <c r="J16" s="764"/>
      <c r="K16" s="764"/>
      <c r="L16" s="764"/>
      <c r="M16" s="765"/>
      <c r="N16" s="766" t="s">
        <v>695</v>
      </c>
      <c r="O16" s="744"/>
      <c r="P16" s="744"/>
      <c r="Q16" s="744"/>
      <c r="R16" s="744"/>
      <c r="S16" s="744"/>
      <c r="T16" s="744"/>
      <c r="U16" s="744" t="s">
        <v>700</v>
      </c>
      <c r="V16" s="744"/>
      <c r="W16" s="744"/>
      <c r="X16" s="744"/>
      <c r="Y16" s="744" t="s">
        <v>696</v>
      </c>
      <c r="Z16" s="744"/>
      <c r="AA16" s="744"/>
      <c r="AB16" s="744"/>
      <c r="AC16" s="744"/>
      <c r="AD16" s="744"/>
      <c r="AE16" s="744"/>
      <c r="AF16" s="744"/>
      <c r="AG16" s="744"/>
      <c r="AH16" s="744"/>
      <c r="AI16" s="744"/>
      <c r="AJ16" s="744"/>
      <c r="AK16" s="744"/>
      <c r="AL16" s="744"/>
      <c r="AM16" s="744" t="s">
        <v>697</v>
      </c>
      <c r="AN16" s="744"/>
      <c r="AO16" s="744"/>
      <c r="AP16" s="744"/>
      <c r="AQ16" s="744"/>
      <c r="AR16" s="744"/>
      <c r="AS16" s="744"/>
      <c r="AT16" s="744"/>
      <c r="AU16" s="744"/>
      <c r="AV16" s="744"/>
      <c r="AW16" s="744"/>
      <c r="AX16" s="744"/>
      <c r="AY16" s="744"/>
      <c r="AZ16" s="744"/>
      <c r="BA16" s="744"/>
      <c r="BB16" s="744"/>
      <c r="BC16" s="745"/>
    </row>
    <row r="17" spans="3:68" ht="13.5" customHeight="1">
      <c r="C17" s="763"/>
      <c r="D17" s="764"/>
      <c r="E17" s="764"/>
      <c r="F17" s="764"/>
      <c r="G17" s="764"/>
      <c r="H17" s="764"/>
      <c r="I17" s="764"/>
      <c r="J17" s="764"/>
      <c r="K17" s="764"/>
      <c r="L17" s="764"/>
      <c r="M17" s="765"/>
      <c r="N17" s="767"/>
      <c r="O17" s="746"/>
      <c r="P17" s="746"/>
      <c r="Q17" s="746"/>
      <c r="R17" s="746"/>
      <c r="S17" s="746"/>
      <c r="T17" s="746"/>
      <c r="U17" s="746"/>
      <c r="V17" s="746"/>
      <c r="W17" s="746"/>
      <c r="X17" s="746"/>
      <c r="Y17" s="746"/>
      <c r="Z17" s="746"/>
      <c r="AA17" s="746"/>
      <c r="AB17" s="746"/>
      <c r="AC17" s="746"/>
      <c r="AD17" s="746"/>
      <c r="AE17" s="746"/>
      <c r="AF17" s="746"/>
      <c r="AG17" s="746"/>
      <c r="AH17" s="746"/>
      <c r="AI17" s="746"/>
      <c r="AJ17" s="746"/>
      <c r="AK17" s="746"/>
      <c r="AL17" s="746"/>
      <c r="AM17" s="746"/>
      <c r="AN17" s="746"/>
      <c r="AO17" s="746"/>
      <c r="AP17" s="746"/>
      <c r="AQ17" s="746"/>
      <c r="AR17" s="746"/>
      <c r="AS17" s="746"/>
      <c r="AT17" s="746"/>
      <c r="AU17" s="746"/>
      <c r="AV17" s="746"/>
      <c r="AW17" s="746"/>
      <c r="AX17" s="746"/>
      <c r="AY17" s="746"/>
      <c r="AZ17" s="746"/>
      <c r="BA17" s="746"/>
      <c r="BB17" s="746"/>
      <c r="BC17" s="747"/>
    </row>
    <row r="18" spans="3:68" ht="13.5" customHeight="1">
      <c r="C18" s="790" t="s">
        <v>698</v>
      </c>
      <c r="D18" s="791"/>
      <c r="E18" s="791"/>
      <c r="F18" s="791"/>
      <c r="G18" s="791"/>
      <c r="H18" s="791"/>
      <c r="I18" s="791"/>
      <c r="J18" s="791"/>
      <c r="K18" s="791"/>
      <c r="L18" s="791"/>
      <c r="M18" s="792"/>
      <c r="N18" s="766" t="s">
        <v>699</v>
      </c>
      <c r="O18" s="744"/>
      <c r="P18" s="744"/>
      <c r="Q18" s="744"/>
      <c r="R18" s="744"/>
      <c r="S18" s="744"/>
      <c r="T18" s="744"/>
      <c r="U18" s="744" t="s">
        <v>700</v>
      </c>
      <c r="V18" s="744"/>
      <c r="W18" s="744"/>
      <c r="X18" s="744"/>
      <c r="Y18" s="744" t="s">
        <v>696</v>
      </c>
      <c r="Z18" s="744"/>
      <c r="AA18" s="744"/>
      <c r="AB18" s="744"/>
      <c r="AC18" s="744"/>
      <c r="AD18" s="744"/>
      <c r="AE18" s="744"/>
      <c r="AF18" s="744"/>
      <c r="AG18" s="744"/>
      <c r="AH18" s="744"/>
      <c r="AI18" s="744"/>
      <c r="AJ18" s="744"/>
      <c r="AK18" s="744"/>
      <c r="AL18" s="744"/>
      <c r="AM18" s="744" t="s">
        <v>697</v>
      </c>
      <c r="AN18" s="744"/>
      <c r="AO18" s="744"/>
      <c r="AP18" s="744"/>
      <c r="AQ18" s="744"/>
      <c r="AR18" s="744"/>
      <c r="AS18" s="744"/>
      <c r="AT18" s="744"/>
      <c r="AU18" s="744"/>
      <c r="AV18" s="744"/>
      <c r="AW18" s="744"/>
      <c r="AX18" s="744"/>
      <c r="AY18" s="744"/>
      <c r="AZ18" s="744"/>
      <c r="BA18" s="744"/>
      <c r="BB18" s="744"/>
      <c r="BC18" s="745"/>
    </row>
    <row r="19" spans="3:68" ht="13.5" customHeight="1">
      <c r="C19" s="790"/>
      <c r="D19" s="791"/>
      <c r="E19" s="791"/>
      <c r="F19" s="791"/>
      <c r="G19" s="791"/>
      <c r="H19" s="791"/>
      <c r="I19" s="791"/>
      <c r="J19" s="791"/>
      <c r="K19" s="791"/>
      <c r="L19" s="791"/>
      <c r="M19" s="792"/>
      <c r="N19" s="767"/>
      <c r="O19" s="746"/>
      <c r="P19" s="746"/>
      <c r="Q19" s="746"/>
      <c r="R19" s="746"/>
      <c r="S19" s="746"/>
      <c r="T19" s="746"/>
      <c r="U19" s="746"/>
      <c r="V19" s="746"/>
      <c r="W19" s="746"/>
      <c r="X19" s="746"/>
      <c r="Y19" s="746"/>
      <c r="Z19" s="746"/>
      <c r="AA19" s="746"/>
      <c r="AB19" s="746"/>
      <c r="AC19" s="746"/>
      <c r="AD19" s="746"/>
      <c r="AE19" s="746"/>
      <c r="AF19" s="746"/>
      <c r="AG19" s="746"/>
      <c r="AH19" s="746"/>
      <c r="AI19" s="746"/>
      <c r="AJ19" s="746"/>
      <c r="AK19" s="746"/>
      <c r="AL19" s="746"/>
      <c r="AM19" s="746"/>
      <c r="AN19" s="746"/>
      <c r="AO19" s="746"/>
      <c r="AP19" s="746"/>
      <c r="AQ19" s="746"/>
      <c r="AR19" s="746"/>
      <c r="AS19" s="746"/>
      <c r="AT19" s="746"/>
      <c r="AU19" s="746"/>
      <c r="AV19" s="746"/>
      <c r="AW19" s="746"/>
      <c r="AX19" s="746"/>
      <c r="AY19" s="746"/>
      <c r="AZ19" s="746"/>
      <c r="BA19" s="746"/>
      <c r="BB19" s="746"/>
      <c r="BC19" s="747"/>
      <c r="BP19" s="7" t="s">
        <v>3929</v>
      </c>
    </row>
    <row r="20" spans="3:68" ht="13.5" customHeight="1">
      <c r="C20" s="793" t="s">
        <v>701</v>
      </c>
      <c r="D20" s="794"/>
      <c r="E20" s="794"/>
      <c r="F20" s="794"/>
      <c r="G20" s="794"/>
      <c r="H20" s="794"/>
      <c r="I20" s="794"/>
      <c r="J20" s="794"/>
      <c r="K20" s="794"/>
      <c r="L20" s="794"/>
      <c r="M20" s="795"/>
      <c r="N20" s="760" t="s">
        <v>702</v>
      </c>
      <c r="O20" s="760"/>
      <c r="P20" s="760"/>
      <c r="Q20" s="760"/>
      <c r="R20" s="760"/>
      <c r="S20" s="760"/>
      <c r="T20" s="760"/>
      <c r="U20" s="760" t="s">
        <v>700</v>
      </c>
      <c r="V20" s="760"/>
      <c r="W20" s="760"/>
      <c r="X20" s="760"/>
      <c r="Y20" s="760" t="s">
        <v>696</v>
      </c>
      <c r="Z20" s="760"/>
      <c r="AA20" s="760"/>
      <c r="AB20" s="760"/>
      <c r="AC20" s="760"/>
      <c r="AD20" s="760"/>
      <c r="AE20" s="760"/>
      <c r="AF20" s="760"/>
      <c r="AG20" s="760"/>
      <c r="AH20" s="760"/>
      <c r="AI20" s="760"/>
      <c r="AJ20" s="760"/>
      <c r="AK20" s="760"/>
      <c r="AL20" s="760"/>
      <c r="AM20" s="760" t="s">
        <v>697</v>
      </c>
      <c r="AN20" s="760"/>
      <c r="AO20" s="760"/>
      <c r="AP20" s="760"/>
      <c r="AQ20" s="760"/>
      <c r="AR20" s="760"/>
      <c r="AS20" s="760"/>
      <c r="AT20" s="760"/>
      <c r="AU20" s="760"/>
      <c r="AV20" s="760"/>
      <c r="AW20" s="760"/>
      <c r="AX20" s="760"/>
      <c r="AY20" s="760"/>
      <c r="AZ20" s="760"/>
      <c r="BA20" s="760"/>
      <c r="BB20" s="760"/>
      <c r="BC20" s="761"/>
      <c r="BP20" s="7" t="s">
        <v>3930</v>
      </c>
    </row>
    <row r="21" spans="3:68" ht="13.5" customHeight="1">
      <c r="C21" s="796"/>
      <c r="D21" s="797"/>
      <c r="E21" s="797"/>
      <c r="F21" s="797"/>
      <c r="G21" s="797"/>
      <c r="H21" s="797"/>
      <c r="I21" s="797"/>
      <c r="J21" s="797"/>
      <c r="K21" s="797"/>
      <c r="L21" s="797"/>
      <c r="M21" s="798"/>
      <c r="N21" s="746"/>
      <c r="O21" s="746"/>
      <c r="P21" s="746"/>
      <c r="Q21" s="746"/>
      <c r="R21" s="746"/>
      <c r="S21" s="746"/>
      <c r="T21" s="746"/>
      <c r="U21" s="746"/>
      <c r="V21" s="746"/>
      <c r="W21" s="746"/>
      <c r="X21" s="746"/>
      <c r="Y21" s="746"/>
      <c r="Z21" s="746"/>
      <c r="AA21" s="746"/>
      <c r="AB21" s="746"/>
      <c r="AC21" s="746"/>
      <c r="AD21" s="746"/>
      <c r="AE21" s="746"/>
      <c r="AF21" s="746"/>
      <c r="AG21" s="746"/>
      <c r="AH21" s="746"/>
      <c r="AI21" s="746"/>
      <c r="AJ21" s="746"/>
      <c r="AK21" s="746"/>
      <c r="AL21" s="746"/>
      <c r="AM21" s="746"/>
      <c r="AN21" s="746"/>
      <c r="AO21" s="746"/>
      <c r="AP21" s="746"/>
      <c r="AQ21" s="746"/>
      <c r="AR21" s="746"/>
      <c r="AS21" s="746"/>
      <c r="AT21" s="746"/>
      <c r="AU21" s="746"/>
      <c r="AV21" s="746"/>
      <c r="AW21" s="746"/>
      <c r="AX21" s="746"/>
      <c r="AY21" s="746"/>
      <c r="AZ21" s="746"/>
      <c r="BA21" s="746"/>
      <c r="BB21" s="746"/>
      <c r="BC21" s="747"/>
      <c r="BP21" s="7" t="s">
        <v>3932</v>
      </c>
    </row>
    <row r="22" spans="3:68" ht="9" customHeight="1">
      <c r="C22" s="771" t="s">
        <v>703</v>
      </c>
      <c r="D22" s="772"/>
      <c r="E22" s="772"/>
      <c r="F22" s="772"/>
      <c r="G22" s="772"/>
      <c r="H22" s="772"/>
      <c r="I22" s="772"/>
      <c r="J22" s="772"/>
      <c r="K22" s="772"/>
      <c r="L22" s="772"/>
      <c r="M22" s="773"/>
      <c r="N22" s="622"/>
      <c r="O22" s="760" t="str">
        <f ca="1">_xlfn.XLOOKUP($B$1,TBKaishaInfo[ライン],TBKaishaInfo[派遣先])</f>
        <v>高雄工業株式会社</v>
      </c>
      <c r="P22" s="760"/>
      <c r="Q22" s="760"/>
      <c r="R22" s="760"/>
      <c r="S22" s="760"/>
      <c r="T22" s="760"/>
      <c r="U22" s="760"/>
      <c r="V22" s="760"/>
      <c r="W22" s="760"/>
      <c r="X22" s="760"/>
      <c r="Y22" s="760"/>
      <c r="Z22" s="760"/>
      <c r="AA22" s="760"/>
      <c r="AB22" s="760"/>
      <c r="AC22" s="760"/>
      <c r="AD22" s="760"/>
      <c r="AE22" s="760"/>
      <c r="AF22" s="760"/>
      <c r="AG22" s="760"/>
      <c r="AH22" s="760"/>
      <c r="AI22" s="760"/>
      <c r="AJ22" s="760"/>
      <c r="AK22" s="760"/>
      <c r="AL22" s="760"/>
      <c r="AM22" s="760"/>
      <c r="AN22" s="760"/>
      <c r="AO22" s="760"/>
      <c r="AP22" s="760"/>
      <c r="AQ22" s="760"/>
      <c r="AR22" s="760"/>
      <c r="AS22" s="760"/>
      <c r="AT22" s="760"/>
      <c r="AU22" s="760"/>
      <c r="AV22" s="760"/>
      <c r="AW22" s="760"/>
      <c r="AX22" s="760"/>
      <c r="AY22" s="760"/>
      <c r="AZ22" s="760"/>
      <c r="BA22" s="760"/>
      <c r="BB22" s="760"/>
      <c r="BC22" s="761"/>
      <c r="BP22" s="7" t="s">
        <v>3933</v>
      </c>
    </row>
    <row r="23" spans="3:68" ht="9" customHeight="1">
      <c r="C23" s="751"/>
      <c r="D23" s="752"/>
      <c r="E23" s="752"/>
      <c r="F23" s="752"/>
      <c r="G23" s="752"/>
      <c r="H23" s="752"/>
      <c r="I23" s="752"/>
      <c r="J23" s="752"/>
      <c r="K23" s="752"/>
      <c r="L23" s="752"/>
      <c r="M23" s="753"/>
      <c r="N23" s="622"/>
      <c r="O23" s="760"/>
      <c r="P23" s="760"/>
      <c r="Q23" s="760"/>
      <c r="R23" s="760"/>
      <c r="S23" s="760"/>
      <c r="T23" s="760"/>
      <c r="U23" s="760"/>
      <c r="V23" s="760"/>
      <c r="W23" s="760"/>
      <c r="X23" s="760"/>
      <c r="Y23" s="760"/>
      <c r="Z23" s="760"/>
      <c r="AA23" s="760"/>
      <c r="AB23" s="760"/>
      <c r="AC23" s="760"/>
      <c r="AD23" s="760"/>
      <c r="AE23" s="760"/>
      <c r="AF23" s="760"/>
      <c r="AG23" s="760"/>
      <c r="AH23" s="760"/>
      <c r="AI23" s="760"/>
      <c r="AJ23" s="760"/>
      <c r="AK23" s="760"/>
      <c r="AL23" s="760"/>
      <c r="AM23" s="760"/>
      <c r="AN23" s="760"/>
      <c r="AO23" s="760"/>
      <c r="AP23" s="760"/>
      <c r="AQ23" s="760"/>
      <c r="AR23" s="760"/>
      <c r="AS23" s="760"/>
      <c r="AT23" s="760"/>
      <c r="AU23" s="760"/>
      <c r="AV23" s="760"/>
      <c r="AW23" s="760"/>
      <c r="AX23" s="760"/>
      <c r="AY23" s="760"/>
      <c r="AZ23" s="760"/>
      <c r="BA23" s="760"/>
      <c r="BB23" s="760"/>
      <c r="BC23" s="761"/>
    </row>
    <row r="24" spans="3:68" ht="9" customHeight="1">
      <c r="C24" s="774"/>
      <c r="D24" s="775"/>
      <c r="E24" s="775"/>
      <c r="F24" s="775"/>
      <c r="G24" s="775"/>
      <c r="H24" s="775"/>
      <c r="I24" s="775"/>
      <c r="J24" s="775"/>
      <c r="K24" s="775"/>
      <c r="L24" s="775"/>
      <c r="M24" s="776"/>
      <c r="N24" s="622"/>
      <c r="O24" s="760"/>
      <c r="P24" s="760"/>
      <c r="Q24" s="760"/>
      <c r="R24" s="760"/>
      <c r="S24" s="760"/>
      <c r="T24" s="760"/>
      <c r="U24" s="760"/>
      <c r="V24" s="760"/>
      <c r="W24" s="760"/>
      <c r="X24" s="760"/>
      <c r="Y24" s="760"/>
      <c r="Z24" s="760"/>
      <c r="AA24" s="760"/>
      <c r="AB24" s="760"/>
      <c r="AC24" s="760"/>
      <c r="AD24" s="760"/>
      <c r="AE24" s="760"/>
      <c r="AF24" s="760"/>
      <c r="AG24" s="760"/>
      <c r="AH24" s="760"/>
      <c r="AI24" s="760"/>
      <c r="AJ24" s="760"/>
      <c r="AK24" s="760"/>
      <c r="AL24" s="760"/>
      <c r="AM24" s="760"/>
      <c r="AN24" s="760"/>
      <c r="AO24" s="760"/>
      <c r="AP24" s="760"/>
      <c r="AQ24" s="760"/>
      <c r="AR24" s="760"/>
      <c r="AS24" s="760"/>
      <c r="AT24" s="760"/>
      <c r="AU24" s="760"/>
      <c r="AV24" s="760"/>
      <c r="AW24" s="760"/>
      <c r="AX24" s="760"/>
      <c r="AY24" s="760"/>
      <c r="AZ24" s="760"/>
      <c r="BA24" s="760"/>
      <c r="BB24" s="760"/>
      <c r="BC24" s="761"/>
    </row>
    <row r="25" spans="3:68" ht="9" customHeight="1">
      <c r="C25" s="748" t="s">
        <v>704</v>
      </c>
      <c r="D25" s="749"/>
      <c r="E25" s="749"/>
      <c r="F25" s="749"/>
      <c r="G25" s="749"/>
      <c r="H25" s="749"/>
      <c r="I25" s="749"/>
      <c r="J25" s="749"/>
      <c r="K25" s="749"/>
      <c r="L25" s="749"/>
      <c r="M25" s="750"/>
      <c r="N25" s="744"/>
      <c r="O25" s="777" t="str">
        <f>個別契約書X!Q5</f>
        <v>愛知県弥富市楠三丁目13番地2</v>
      </c>
      <c r="P25" s="777"/>
      <c r="Q25" s="777"/>
      <c r="R25" s="777"/>
      <c r="S25" s="777"/>
      <c r="T25" s="777"/>
      <c r="U25" s="777"/>
      <c r="V25" s="777"/>
      <c r="W25" s="777"/>
      <c r="X25" s="777"/>
      <c r="Y25" s="777"/>
      <c r="Z25" s="777"/>
      <c r="AA25" s="777"/>
      <c r="AB25" s="777"/>
      <c r="AC25" s="777"/>
      <c r="AD25" s="777"/>
      <c r="AE25" s="777"/>
      <c r="AF25" s="777"/>
      <c r="AG25" s="777"/>
      <c r="AH25" s="777"/>
      <c r="AI25" s="777"/>
      <c r="AJ25" s="766" t="s">
        <v>705</v>
      </c>
      <c r="AK25" s="744"/>
      <c r="AL25" s="744"/>
      <c r="AM25" s="744"/>
      <c r="AN25" s="744"/>
      <c r="AO25" s="744"/>
      <c r="AP25" s="745"/>
      <c r="AQ25" s="781" t="str">
        <f>個別契約書X!J7</f>
        <v>製作課</v>
      </c>
      <c r="AR25" s="782"/>
      <c r="AS25" s="782"/>
      <c r="AT25" s="782"/>
      <c r="AU25" s="782"/>
      <c r="AV25" s="782"/>
      <c r="AW25" s="782"/>
      <c r="AX25" s="782"/>
      <c r="AY25" s="782"/>
      <c r="AZ25" s="782"/>
      <c r="BA25" s="782"/>
      <c r="BB25" s="782"/>
      <c r="BC25" s="783"/>
    </row>
    <row r="26" spans="3:68" ht="9" customHeight="1">
      <c r="C26" s="751"/>
      <c r="D26" s="752"/>
      <c r="E26" s="752"/>
      <c r="F26" s="752"/>
      <c r="G26" s="752"/>
      <c r="H26" s="752"/>
      <c r="I26" s="752"/>
      <c r="J26" s="752"/>
      <c r="K26" s="752"/>
      <c r="L26" s="752"/>
      <c r="M26" s="753"/>
      <c r="N26" s="760"/>
      <c r="O26" s="778"/>
      <c r="P26" s="778"/>
      <c r="Q26" s="778"/>
      <c r="R26" s="778"/>
      <c r="S26" s="778"/>
      <c r="T26" s="778"/>
      <c r="U26" s="778"/>
      <c r="V26" s="778"/>
      <c r="W26" s="778"/>
      <c r="X26" s="778"/>
      <c r="Y26" s="778"/>
      <c r="Z26" s="778"/>
      <c r="AA26" s="778"/>
      <c r="AB26" s="778"/>
      <c r="AC26" s="778"/>
      <c r="AD26" s="778"/>
      <c r="AE26" s="778"/>
      <c r="AF26" s="778"/>
      <c r="AG26" s="778"/>
      <c r="AH26" s="778"/>
      <c r="AI26" s="778"/>
      <c r="AJ26" s="780"/>
      <c r="AK26" s="760"/>
      <c r="AL26" s="760"/>
      <c r="AM26" s="760"/>
      <c r="AN26" s="760"/>
      <c r="AO26" s="760"/>
      <c r="AP26" s="761"/>
      <c r="AQ26" s="784"/>
      <c r="AR26" s="785"/>
      <c r="AS26" s="785"/>
      <c r="AT26" s="785"/>
      <c r="AU26" s="785"/>
      <c r="AV26" s="785"/>
      <c r="AW26" s="785"/>
      <c r="AX26" s="785"/>
      <c r="AY26" s="785"/>
      <c r="AZ26" s="785"/>
      <c r="BA26" s="785"/>
      <c r="BB26" s="785"/>
      <c r="BC26" s="786"/>
      <c r="BF26" s="7" t="s">
        <v>2411</v>
      </c>
    </row>
    <row r="27" spans="3:68" ht="9" customHeight="1">
      <c r="C27" s="754"/>
      <c r="D27" s="755"/>
      <c r="E27" s="755"/>
      <c r="F27" s="755"/>
      <c r="G27" s="755"/>
      <c r="H27" s="755"/>
      <c r="I27" s="755"/>
      <c r="J27" s="755"/>
      <c r="K27" s="755"/>
      <c r="L27" s="755"/>
      <c r="M27" s="756"/>
      <c r="N27" s="746"/>
      <c r="O27" s="779"/>
      <c r="P27" s="779"/>
      <c r="Q27" s="779"/>
      <c r="R27" s="779"/>
      <c r="S27" s="779"/>
      <c r="T27" s="779"/>
      <c r="U27" s="779"/>
      <c r="V27" s="779"/>
      <c r="W27" s="779"/>
      <c r="X27" s="779"/>
      <c r="Y27" s="779"/>
      <c r="Z27" s="779"/>
      <c r="AA27" s="779"/>
      <c r="AB27" s="779"/>
      <c r="AC27" s="779"/>
      <c r="AD27" s="779"/>
      <c r="AE27" s="779"/>
      <c r="AF27" s="779"/>
      <c r="AG27" s="779"/>
      <c r="AH27" s="779"/>
      <c r="AI27" s="779"/>
      <c r="AJ27" s="767"/>
      <c r="AK27" s="746"/>
      <c r="AL27" s="746"/>
      <c r="AM27" s="746"/>
      <c r="AN27" s="746"/>
      <c r="AO27" s="746"/>
      <c r="AP27" s="747"/>
      <c r="AQ27" s="787"/>
      <c r="AR27" s="788"/>
      <c r="AS27" s="788"/>
      <c r="AT27" s="788"/>
      <c r="AU27" s="788"/>
      <c r="AV27" s="788"/>
      <c r="AW27" s="788"/>
      <c r="AX27" s="788"/>
      <c r="AY27" s="788"/>
      <c r="AZ27" s="788"/>
      <c r="BA27" s="788"/>
      <c r="BB27" s="788"/>
      <c r="BC27" s="789"/>
      <c r="BF27" s="7" t="s">
        <v>3989</v>
      </c>
    </row>
    <row r="28" spans="3:68" ht="9.75" customHeight="1">
      <c r="C28" s="771" t="s">
        <v>706</v>
      </c>
      <c r="D28" s="772"/>
      <c r="E28" s="772"/>
      <c r="F28" s="772"/>
      <c r="G28" s="772"/>
      <c r="H28" s="772"/>
      <c r="I28" s="772"/>
      <c r="J28" s="772"/>
      <c r="K28" s="772"/>
      <c r="L28" s="824"/>
      <c r="M28" s="825"/>
      <c r="N28" s="760"/>
      <c r="O28" s="778" t="str">
        <f>個別契約書X!I5&amp;個別契約書X!H6</f>
        <v>高雄工業株式会社 愛知事業所本社工場 製作課</v>
      </c>
      <c r="P28" s="778"/>
      <c r="Q28" s="778"/>
      <c r="R28" s="778"/>
      <c r="S28" s="778"/>
      <c r="T28" s="778"/>
      <c r="U28" s="778"/>
      <c r="V28" s="778"/>
      <c r="W28" s="778"/>
      <c r="X28" s="778"/>
      <c r="Y28" s="778"/>
      <c r="Z28" s="778"/>
      <c r="AA28" s="778"/>
      <c r="AB28" s="778"/>
      <c r="AC28" s="778"/>
      <c r="AD28" s="778"/>
      <c r="AE28" s="778"/>
      <c r="AF28" s="778"/>
      <c r="AG28" s="778"/>
      <c r="AH28" s="778"/>
      <c r="AI28" s="778"/>
      <c r="AJ28" s="778"/>
      <c r="AK28" s="778"/>
      <c r="AL28" s="778"/>
      <c r="AM28" s="778"/>
      <c r="AN28" s="778"/>
      <c r="AO28" s="778"/>
      <c r="AP28" s="701" t="s">
        <v>1903</v>
      </c>
      <c r="AQ28" s="701"/>
      <c r="AR28" s="701"/>
      <c r="AS28" s="701"/>
      <c r="AT28" s="760" t="str">
        <f>個別契約書X!Y7</f>
        <v>0567-68-8110</v>
      </c>
      <c r="AU28" s="760"/>
      <c r="AV28" s="760"/>
      <c r="AW28" s="760"/>
      <c r="AX28" s="760"/>
      <c r="AY28" s="760"/>
      <c r="AZ28" s="760"/>
      <c r="BA28" s="760"/>
      <c r="BB28" s="760"/>
      <c r="BC28" s="761"/>
      <c r="BF28" s="7" t="s">
        <v>4042</v>
      </c>
    </row>
    <row r="29" spans="3:68" ht="9.75" customHeight="1">
      <c r="C29" s="751"/>
      <c r="D29" s="752"/>
      <c r="E29" s="752"/>
      <c r="F29" s="752"/>
      <c r="G29" s="752"/>
      <c r="H29" s="752"/>
      <c r="I29" s="752"/>
      <c r="J29" s="752"/>
      <c r="K29" s="802"/>
      <c r="L29" s="826"/>
      <c r="M29" s="827"/>
      <c r="N29" s="828"/>
      <c r="O29" s="829"/>
      <c r="P29" s="829"/>
      <c r="Q29" s="829"/>
      <c r="R29" s="829"/>
      <c r="S29" s="829"/>
      <c r="T29" s="829"/>
      <c r="U29" s="829"/>
      <c r="V29" s="829"/>
      <c r="W29" s="829"/>
      <c r="X29" s="829"/>
      <c r="Y29" s="829"/>
      <c r="Z29" s="829"/>
      <c r="AA29" s="829"/>
      <c r="AB29" s="829"/>
      <c r="AC29" s="829"/>
      <c r="AD29" s="829"/>
      <c r="AE29" s="829"/>
      <c r="AF29" s="829"/>
      <c r="AG29" s="829"/>
      <c r="AH29" s="829"/>
      <c r="AI29" s="829"/>
      <c r="AJ29" s="829"/>
      <c r="AK29" s="829"/>
      <c r="AL29" s="829"/>
      <c r="AM29" s="829"/>
      <c r="AN29" s="829"/>
      <c r="AO29" s="829"/>
      <c r="AP29" s="633"/>
      <c r="AQ29" s="633"/>
      <c r="AR29" s="633"/>
      <c r="AS29" s="633"/>
      <c r="AT29" s="828"/>
      <c r="AU29" s="828"/>
      <c r="AV29" s="828"/>
      <c r="AW29" s="828"/>
      <c r="AX29" s="828"/>
      <c r="AY29" s="828"/>
      <c r="AZ29" s="828"/>
      <c r="BA29" s="828"/>
      <c r="BB29" s="828"/>
      <c r="BC29" s="831"/>
    </row>
    <row r="30" spans="3:68" ht="9.75" customHeight="1">
      <c r="C30" s="754"/>
      <c r="D30" s="755"/>
      <c r="E30" s="755"/>
      <c r="F30" s="755"/>
      <c r="G30" s="755"/>
      <c r="H30" s="755"/>
      <c r="I30" s="755"/>
      <c r="J30" s="755"/>
      <c r="K30" s="803"/>
      <c r="L30" s="804"/>
      <c r="M30" s="805"/>
      <c r="N30" s="746"/>
      <c r="O30" s="779"/>
      <c r="P30" s="779"/>
      <c r="Q30" s="779"/>
      <c r="R30" s="779"/>
      <c r="S30" s="779"/>
      <c r="T30" s="779"/>
      <c r="U30" s="779"/>
      <c r="V30" s="779"/>
      <c r="W30" s="779"/>
      <c r="X30" s="779"/>
      <c r="Y30" s="779"/>
      <c r="Z30" s="779"/>
      <c r="AA30" s="779"/>
      <c r="AB30" s="779"/>
      <c r="AC30" s="779"/>
      <c r="AD30" s="779"/>
      <c r="AE30" s="779"/>
      <c r="AF30" s="779"/>
      <c r="AG30" s="779"/>
      <c r="AH30" s="779"/>
      <c r="AI30" s="779"/>
      <c r="AJ30" s="779"/>
      <c r="AK30" s="779"/>
      <c r="AL30" s="779"/>
      <c r="AM30" s="779"/>
      <c r="AN30" s="779"/>
      <c r="AO30" s="779"/>
      <c r="AP30" s="830"/>
      <c r="AQ30" s="830"/>
      <c r="AR30" s="830"/>
      <c r="AS30" s="830"/>
      <c r="AT30" s="746"/>
      <c r="AU30" s="746"/>
      <c r="AV30" s="746"/>
      <c r="AW30" s="746"/>
      <c r="AX30" s="746"/>
      <c r="AY30" s="746"/>
      <c r="AZ30" s="746"/>
      <c r="BA30" s="746"/>
      <c r="BB30" s="746"/>
      <c r="BC30" s="747"/>
    </row>
    <row r="31" spans="3:68" ht="9.75" customHeight="1">
      <c r="C31" s="771" t="s">
        <v>707</v>
      </c>
      <c r="D31" s="772"/>
      <c r="E31" s="772"/>
      <c r="F31" s="772"/>
      <c r="G31" s="772"/>
      <c r="H31" s="772"/>
      <c r="I31" s="772"/>
      <c r="J31" s="772"/>
      <c r="K31" s="799"/>
      <c r="L31" s="800"/>
      <c r="M31" s="801"/>
      <c r="N31" s="760"/>
      <c r="O31" s="778" t="str">
        <f ca="1">_xlfn.XLOOKUP($B$1,TBKaishaInfo[ライン],TBKaishaInfo[仕事内容])</f>
        <v>CVJ部品短軸品の施削加工、NCプログラム修正</v>
      </c>
      <c r="P31" s="778"/>
      <c r="Q31" s="778"/>
      <c r="R31" s="778"/>
      <c r="S31" s="778"/>
      <c r="T31" s="778"/>
      <c r="U31" s="778"/>
      <c r="V31" s="778"/>
      <c r="W31" s="778"/>
      <c r="X31" s="778"/>
      <c r="Y31" s="778"/>
      <c r="Z31" s="778"/>
      <c r="AA31" s="778"/>
      <c r="AB31" s="778"/>
      <c r="AC31" s="778"/>
      <c r="AD31" s="778"/>
      <c r="AE31" s="778"/>
      <c r="AF31" s="778"/>
      <c r="AG31" s="778"/>
      <c r="AH31" s="778"/>
      <c r="AI31" s="778"/>
      <c r="AJ31" s="778"/>
      <c r="AK31" s="778"/>
      <c r="AL31" s="778"/>
      <c r="AM31" s="778"/>
      <c r="AN31" s="806" t="s">
        <v>708</v>
      </c>
      <c r="AO31" s="807"/>
      <c r="AP31" s="807"/>
      <c r="AQ31" s="807"/>
      <c r="AR31" s="807"/>
      <c r="AS31" s="807"/>
      <c r="AT31" s="808"/>
      <c r="AU31" s="815" t="str">
        <f ca="1">IF($D1="","",IF(D1+1095&lt;HakenKikanE,"□ 有期雇用 　  　 ☑ 無期雇用","☑ 有期雇用 　  　 □ 無期雇用"))</f>
        <v>□ 有期雇用 　  　 ☑ 無期雇用</v>
      </c>
      <c r="AV31" s="816"/>
      <c r="AW31" s="816"/>
      <c r="AX31" s="816"/>
      <c r="AY31" s="816"/>
      <c r="AZ31" s="816"/>
      <c r="BA31" s="816"/>
      <c r="BB31" s="816"/>
      <c r="BC31" s="817"/>
      <c r="BF31" s="7" t="s">
        <v>3845</v>
      </c>
    </row>
    <row r="32" spans="3:68" ht="9.75" customHeight="1">
      <c r="C32" s="751"/>
      <c r="D32" s="752"/>
      <c r="E32" s="752"/>
      <c r="F32" s="752"/>
      <c r="G32" s="752"/>
      <c r="H32" s="752"/>
      <c r="I32" s="752"/>
      <c r="J32" s="752"/>
      <c r="K32" s="802"/>
      <c r="L32" s="800"/>
      <c r="M32" s="801"/>
      <c r="N32" s="760"/>
      <c r="O32" s="778"/>
      <c r="P32" s="778"/>
      <c r="Q32" s="778"/>
      <c r="R32" s="778"/>
      <c r="S32" s="778"/>
      <c r="T32" s="778"/>
      <c r="U32" s="778"/>
      <c r="V32" s="778"/>
      <c r="W32" s="778"/>
      <c r="X32" s="778"/>
      <c r="Y32" s="778"/>
      <c r="Z32" s="778"/>
      <c r="AA32" s="778"/>
      <c r="AB32" s="778"/>
      <c r="AC32" s="778"/>
      <c r="AD32" s="778"/>
      <c r="AE32" s="778"/>
      <c r="AF32" s="778"/>
      <c r="AG32" s="778"/>
      <c r="AH32" s="778"/>
      <c r="AI32" s="778"/>
      <c r="AJ32" s="778"/>
      <c r="AK32" s="778"/>
      <c r="AL32" s="778"/>
      <c r="AM32" s="778"/>
      <c r="AN32" s="809"/>
      <c r="AO32" s="810"/>
      <c r="AP32" s="810"/>
      <c r="AQ32" s="810"/>
      <c r="AR32" s="810"/>
      <c r="AS32" s="810"/>
      <c r="AT32" s="811"/>
      <c r="AU32" s="818"/>
      <c r="AV32" s="819"/>
      <c r="AW32" s="819"/>
      <c r="AX32" s="819"/>
      <c r="AY32" s="819"/>
      <c r="AZ32" s="819"/>
      <c r="BA32" s="819"/>
      <c r="BB32" s="819"/>
      <c r="BC32" s="820"/>
    </row>
    <row r="33" spans="3:58" ht="9.75" customHeight="1">
      <c r="C33" s="754"/>
      <c r="D33" s="755"/>
      <c r="E33" s="755"/>
      <c r="F33" s="755"/>
      <c r="G33" s="755"/>
      <c r="H33" s="755"/>
      <c r="I33" s="755"/>
      <c r="J33" s="755"/>
      <c r="K33" s="803"/>
      <c r="L33" s="804"/>
      <c r="M33" s="805"/>
      <c r="N33" s="746"/>
      <c r="O33" s="779"/>
      <c r="P33" s="779"/>
      <c r="Q33" s="779"/>
      <c r="R33" s="779"/>
      <c r="S33" s="779"/>
      <c r="T33" s="779"/>
      <c r="U33" s="779"/>
      <c r="V33" s="779"/>
      <c r="W33" s="779"/>
      <c r="X33" s="779"/>
      <c r="Y33" s="779"/>
      <c r="Z33" s="779"/>
      <c r="AA33" s="779"/>
      <c r="AB33" s="779"/>
      <c r="AC33" s="779"/>
      <c r="AD33" s="779"/>
      <c r="AE33" s="779"/>
      <c r="AF33" s="779"/>
      <c r="AG33" s="779"/>
      <c r="AH33" s="779"/>
      <c r="AI33" s="779"/>
      <c r="AJ33" s="779"/>
      <c r="AK33" s="779"/>
      <c r="AL33" s="779"/>
      <c r="AM33" s="779"/>
      <c r="AN33" s="812"/>
      <c r="AO33" s="813"/>
      <c r="AP33" s="813"/>
      <c r="AQ33" s="813"/>
      <c r="AR33" s="813"/>
      <c r="AS33" s="813"/>
      <c r="AT33" s="814"/>
      <c r="AU33" s="821"/>
      <c r="AV33" s="822"/>
      <c r="AW33" s="822"/>
      <c r="AX33" s="822"/>
      <c r="AY33" s="822"/>
      <c r="AZ33" s="822"/>
      <c r="BA33" s="822"/>
      <c r="BB33" s="822"/>
      <c r="BC33" s="823"/>
      <c r="BF33" s="7" t="s">
        <v>3846</v>
      </c>
    </row>
    <row r="34" spans="3:58" ht="9.75" customHeight="1">
      <c r="C34" s="771" t="s">
        <v>709</v>
      </c>
      <c r="D34" s="772"/>
      <c r="E34" s="772"/>
      <c r="F34" s="772"/>
      <c r="G34" s="772"/>
      <c r="H34" s="772"/>
      <c r="I34" s="772"/>
      <c r="J34" s="772"/>
      <c r="K34" s="799"/>
      <c r="L34" s="800"/>
      <c r="M34" s="801"/>
      <c r="N34" s="760"/>
      <c r="O34" s="837" t="s">
        <v>793</v>
      </c>
      <c r="P34" s="760"/>
      <c r="Q34" s="760"/>
      <c r="R34" s="760"/>
      <c r="S34" s="760"/>
      <c r="T34" s="760"/>
      <c r="U34" s="760"/>
      <c r="V34" s="760"/>
      <c r="W34" s="760"/>
      <c r="X34" s="760"/>
      <c r="Y34" s="760"/>
      <c r="Z34" s="760"/>
      <c r="AA34" s="760"/>
      <c r="AB34" s="760"/>
      <c r="AC34" s="760"/>
      <c r="AD34" s="760"/>
      <c r="AE34" s="760"/>
      <c r="AF34" s="760"/>
      <c r="AG34" s="760"/>
      <c r="AH34" s="760"/>
      <c r="AI34" s="760"/>
      <c r="AJ34" s="760"/>
      <c r="AK34" s="760"/>
      <c r="AL34" s="760"/>
      <c r="AM34" s="760"/>
      <c r="AN34" s="760"/>
      <c r="AO34" s="760"/>
      <c r="AP34" s="760"/>
      <c r="AQ34" s="760"/>
      <c r="AR34" s="760"/>
      <c r="AS34" s="760"/>
      <c r="AT34" s="760"/>
      <c r="AU34" s="760"/>
      <c r="AV34" s="760"/>
      <c r="AW34" s="760"/>
      <c r="AX34" s="760"/>
      <c r="AY34" s="760"/>
      <c r="AZ34" s="760"/>
      <c r="BA34" s="760"/>
      <c r="BB34" s="760"/>
      <c r="BC34" s="761"/>
    </row>
    <row r="35" spans="3:58" ht="9.75" customHeight="1">
      <c r="C35" s="751"/>
      <c r="D35" s="752"/>
      <c r="E35" s="752"/>
      <c r="F35" s="752"/>
      <c r="G35" s="752"/>
      <c r="H35" s="752"/>
      <c r="I35" s="752"/>
      <c r="J35" s="752"/>
      <c r="K35" s="802"/>
      <c r="L35" s="799"/>
      <c r="M35" s="835"/>
      <c r="N35" s="836"/>
      <c r="O35" s="836"/>
      <c r="P35" s="836"/>
      <c r="Q35" s="836"/>
      <c r="R35" s="836"/>
      <c r="S35" s="836"/>
      <c r="T35" s="836"/>
      <c r="U35" s="836"/>
      <c r="V35" s="836"/>
      <c r="W35" s="836"/>
      <c r="X35" s="836"/>
      <c r="Y35" s="836"/>
      <c r="Z35" s="836"/>
      <c r="AA35" s="836"/>
      <c r="AB35" s="836"/>
      <c r="AC35" s="836"/>
      <c r="AD35" s="836"/>
      <c r="AE35" s="836"/>
      <c r="AF35" s="836"/>
      <c r="AG35" s="836"/>
      <c r="AH35" s="836"/>
      <c r="AI35" s="836"/>
      <c r="AJ35" s="836"/>
      <c r="AK35" s="836"/>
      <c r="AL35" s="836"/>
      <c r="AM35" s="836"/>
      <c r="AN35" s="836"/>
      <c r="AO35" s="836"/>
      <c r="AP35" s="836"/>
      <c r="AQ35" s="836"/>
      <c r="AR35" s="836"/>
      <c r="AS35" s="836"/>
      <c r="AT35" s="836"/>
      <c r="AU35" s="836"/>
      <c r="AV35" s="836"/>
      <c r="AW35" s="836"/>
      <c r="AX35" s="836"/>
      <c r="AY35" s="836"/>
      <c r="AZ35" s="836"/>
      <c r="BA35" s="836"/>
      <c r="BB35" s="836"/>
      <c r="BC35" s="838"/>
    </row>
    <row r="36" spans="3:58" ht="9.75" customHeight="1">
      <c r="C36" s="774"/>
      <c r="D36" s="775"/>
      <c r="E36" s="775"/>
      <c r="F36" s="775"/>
      <c r="G36" s="775"/>
      <c r="H36" s="775"/>
      <c r="I36" s="775"/>
      <c r="J36" s="775"/>
      <c r="K36" s="775"/>
      <c r="L36" s="824"/>
      <c r="M36" s="825"/>
      <c r="N36" s="760"/>
      <c r="O36" s="760"/>
      <c r="P36" s="760"/>
      <c r="Q36" s="839"/>
      <c r="R36" s="760"/>
      <c r="S36" s="760"/>
      <c r="T36" s="760"/>
      <c r="U36" s="760"/>
      <c r="V36" s="760"/>
      <c r="W36" s="760"/>
      <c r="X36" s="760"/>
      <c r="Y36" s="760"/>
      <c r="Z36" s="760"/>
      <c r="AA36" s="760"/>
      <c r="AB36" s="760"/>
      <c r="AC36" s="760"/>
      <c r="AD36" s="760"/>
      <c r="AE36" s="760"/>
      <c r="AF36" s="760"/>
      <c r="AG36" s="760"/>
      <c r="AH36" s="760"/>
      <c r="AI36" s="760"/>
      <c r="AJ36" s="760"/>
      <c r="AK36" s="760"/>
      <c r="AL36" s="760"/>
      <c r="AM36" s="760"/>
      <c r="AN36" s="760"/>
      <c r="AO36" s="760"/>
      <c r="AP36" s="760"/>
      <c r="AQ36" s="760"/>
      <c r="AR36" s="760"/>
      <c r="AS36" s="760"/>
      <c r="AT36" s="760"/>
      <c r="AU36" s="760"/>
      <c r="AV36" s="760"/>
      <c r="AW36" s="760"/>
      <c r="AX36" s="760"/>
      <c r="AY36" s="760"/>
      <c r="AZ36" s="760"/>
      <c r="BA36" s="760"/>
      <c r="BB36" s="760"/>
      <c r="BC36" s="761"/>
    </row>
    <row r="37" spans="3:58" ht="9.75" customHeight="1">
      <c r="C37" s="748" t="s">
        <v>710</v>
      </c>
      <c r="D37" s="749"/>
      <c r="E37" s="749"/>
      <c r="F37" s="749"/>
      <c r="G37" s="749"/>
      <c r="H37" s="749"/>
      <c r="I37" s="749"/>
      <c r="J37" s="749"/>
      <c r="K37" s="749"/>
      <c r="L37" s="749"/>
      <c r="M37" s="750"/>
      <c r="N37" s="744"/>
      <c r="O37" s="840" t="str">
        <f ca="1">_xlfn.XLOOKUP($O$11,TablaTransfor[カナ],TablaTransfor[unicosC],"Check",0,-1)</f>
        <v>noHayCholo</v>
      </c>
      <c r="P37" s="840"/>
      <c r="Q37" s="840"/>
      <c r="R37" s="840"/>
      <c r="S37" s="840"/>
      <c r="T37" s="840"/>
      <c r="U37" s="840"/>
      <c r="V37" s="843" t="s">
        <v>733</v>
      </c>
      <c r="W37" s="846">
        <f ca="1">_xlfn.XLOOKUP($O$11,TablaTransfor[カナ],TablaTransfor[unicosF],"Check",0,-1)</f>
        <v>46295</v>
      </c>
      <c r="X37" s="846"/>
      <c r="Y37" s="846"/>
      <c r="Z37" s="846"/>
      <c r="AA37" s="846"/>
      <c r="AB37" s="846"/>
      <c r="AC37" s="846"/>
      <c r="AD37" s="847"/>
      <c r="AE37" s="852" t="s">
        <v>711</v>
      </c>
      <c r="AF37" s="852"/>
      <c r="AG37" s="852"/>
      <c r="AH37" s="852"/>
      <c r="AI37" s="852"/>
      <c r="AJ37" s="852"/>
      <c r="AK37" s="852"/>
      <c r="AL37" s="852"/>
      <c r="AM37" s="852"/>
      <c r="AN37" s="852"/>
      <c r="AO37" s="852"/>
      <c r="AP37" s="852"/>
      <c r="AQ37" s="852"/>
      <c r="AR37" s="852"/>
      <c r="AS37" s="852"/>
      <c r="AT37" s="852"/>
      <c r="AU37" s="852"/>
      <c r="AV37" s="852"/>
      <c r="AW37" s="852"/>
      <c r="AX37" s="852"/>
      <c r="AY37" s="852"/>
      <c r="AZ37" s="852"/>
      <c r="BA37" s="852"/>
      <c r="BB37" s="852"/>
      <c r="BC37" s="853"/>
    </row>
    <row r="38" spans="3:58" ht="9.75" customHeight="1">
      <c r="C38" s="751"/>
      <c r="D38" s="752"/>
      <c r="E38" s="752"/>
      <c r="F38" s="752"/>
      <c r="G38" s="752"/>
      <c r="H38" s="752"/>
      <c r="I38" s="752"/>
      <c r="J38" s="752"/>
      <c r="K38" s="752"/>
      <c r="L38" s="752"/>
      <c r="M38" s="753"/>
      <c r="N38" s="760"/>
      <c r="O38" s="841"/>
      <c r="P38" s="841"/>
      <c r="Q38" s="841"/>
      <c r="R38" s="841"/>
      <c r="S38" s="841"/>
      <c r="T38" s="841"/>
      <c r="U38" s="841"/>
      <c r="V38" s="844"/>
      <c r="W38" s="848"/>
      <c r="X38" s="848"/>
      <c r="Y38" s="848"/>
      <c r="Z38" s="848"/>
      <c r="AA38" s="848"/>
      <c r="AB38" s="848"/>
      <c r="AC38" s="848"/>
      <c r="AD38" s="849"/>
      <c r="AE38" s="633" t="s">
        <v>712</v>
      </c>
      <c r="AF38" s="633"/>
      <c r="AG38" s="633"/>
      <c r="AH38" s="633"/>
      <c r="AI38" s="633"/>
      <c r="AJ38" s="633"/>
      <c r="AK38" s="633"/>
      <c r="AL38" s="633"/>
      <c r="AM38" s="633"/>
      <c r="AN38" s="633"/>
      <c r="AO38" s="633"/>
      <c r="AP38" s="633"/>
      <c r="AQ38" s="633"/>
      <c r="AR38" s="633"/>
      <c r="AS38" s="633"/>
      <c r="AT38" s="633"/>
      <c r="AU38" s="633"/>
      <c r="AV38" s="633"/>
      <c r="AW38" s="633"/>
      <c r="AX38" s="633"/>
      <c r="AY38" s="633"/>
      <c r="AZ38" s="633"/>
      <c r="BA38" s="633"/>
      <c r="BB38" s="633"/>
      <c r="BC38" s="854"/>
    </row>
    <row r="39" spans="3:58" ht="9.75" customHeight="1">
      <c r="C39" s="754"/>
      <c r="D39" s="755"/>
      <c r="E39" s="755"/>
      <c r="F39" s="755"/>
      <c r="G39" s="755"/>
      <c r="H39" s="755"/>
      <c r="I39" s="755"/>
      <c r="J39" s="755"/>
      <c r="K39" s="755"/>
      <c r="L39" s="755"/>
      <c r="M39" s="756"/>
      <c r="N39" s="746"/>
      <c r="O39" s="842"/>
      <c r="P39" s="842"/>
      <c r="Q39" s="842"/>
      <c r="R39" s="842"/>
      <c r="S39" s="842"/>
      <c r="T39" s="842"/>
      <c r="U39" s="842"/>
      <c r="V39" s="845"/>
      <c r="W39" s="850"/>
      <c r="X39" s="850"/>
      <c r="Y39" s="850"/>
      <c r="Z39" s="850"/>
      <c r="AA39" s="850"/>
      <c r="AB39" s="850"/>
      <c r="AC39" s="850"/>
      <c r="AD39" s="851"/>
      <c r="AE39" s="623" t="s">
        <v>713</v>
      </c>
      <c r="AF39" s="623"/>
      <c r="AG39" s="623"/>
      <c r="AH39" s="623"/>
      <c r="AI39" s="623"/>
      <c r="AJ39" s="623"/>
      <c r="AK39" s="623"/>
      <c r="AL39" s="623"/>
      <c r="AM39" s="623"/>
      <c r="AN39" s="623"/>
      <c r="AO39" s="623"/>
      <c r="AP39" s="623"/>
      <c r="AQ39" s="623"/>
      <c r="AR39" s="623"/>
      <c r="AS39" s="623"/>
      <c r="AT39" s="623"/>
      <c r="AU39" s="623"/>
      <c r="AV39" s="623"/>
      <c r="AW39" s="623"/>
      <c r="AX39" s="623"/>
      <c r="AY39" s="623"/>
      <c r="AZ39" s="623"/>
      <c r="BA39" s="623"/>
      <c r="BB39" s="623"/>
      <c r="BC39" s="670"/>
    </row>
    <row r="40" spans="3:58" ht="9.75" customHeight="1">
      <c r="C40" s="762" t="s">
        <v>714</v>
      </c>
      <c r="D40" s="749"/>
      <c r="E40" s="749"/>
      <c r="F40" s="749"/>
      <c r="G40" s="749"/>
      <c r="H40" s="749"/>
      <c r="I40" s="749"/>
      <c r="J40" s="749"/>
      <c r="K40" s="749"/>
      <c r="L40" s="749"/>
      <c r="M40" s="750"/>
      <c r="N40" s="744"/>
      <c r="O40" s="769" t="str" cm="1">
        <f t="array" aca="1" ref="O40" ca="1">IF(_xlfn.XLOOKUP($B$1,TBKaishaInfo[ライン],TBKaishaInfo[派遣先責任者部署])="岡山事業所",_xlfn.XLOOKUP($B$1,TBKaishaInfo[ライン],TBKaishaInfo[派遣先責任者部署]&amp;" "&amp;TBKaishaInfo[派遣先：苦情処理：部署],0,1),_xlfn.XLOOKUP($B$1,TBKaishaInfo[ライン],TBKaishaInfo[派遣先責任者部署],0,1))</f>
        <v>愛知事業所</v>
      </c>
      <c r="P40" s="769"/>
      <c r="Q40" s="769"/>
      <c r="R40" s="769"/>
      <c r="S40" s="769"/>
      <c r="T40" s="769"/>
      <c r="U40" s="769"/>
      <c r="V40" s="769"/>
      <c r="W40" s="769"/>
      <c r="X40" s="769"/>
      <c r="Y40" s="769"/>
      <c r="Z40" s="769"/>
      <c r="AA40" s="769"/>
      <c r="AB40" s="782" t="str" cm="1">
        <f t="array" aca="1" ref="AB40" ca="1">IF(_xlfn.XLOOKUP($B$1,TBKaishaInfo[ライン],TBKaishaInfo[派遣先責任者部署])="岡山事業所",_xlfn.XLOOKUP($B$1,TBKaishaInfo[ライン],TBKaishaInfo[派遣先責任者部署]&amp;" "&amp;TBKaishaInfo[派遣先：苦情処理：部署],0,1),_xlfn.XLOOKUP($B$1,TBKaishaInfo[ライン],TBKaishaInfo[派遣先責任者名],0,1))</f>
        <v>副工場長　服部晃昌</v>
      </c>
      <c r="AC40" s="782"/>
      <c r="AD40" s="782"/>
      <c r="AE40" s="782"/>
      <c r="AF40" s="782"/>
      <c r="AG40" s="782"/>
      <c r="AH40" s="782"/>
      <c r="AI40" s="782"/>
      <c r="AJ40" s="782"/>
      <c r="AK40" s="782"/>
      <c r="AL40" s="782"/>
      <c r="AM40" s="782"/>
      <c r="AN40" s="782"/>
      <c r="AO40" s="782"/>
      <c r="AP40" s="701" t="s">
        <v>1903</v>
      </c>
      <c r="AQ40" s="701"/>
      <c r="AR40" s="701"/>
      <c r="AS40" s="701"/>
      <c r="AT40" s="744" t="str">
        <f ca="1">_xlfn.XLOOKUP($B$1,TBKaishaInfo[ライン],TBKaishaInfo[派遣先責任者電話])</f>
        <v>0567-68-8110</v>
      </c>
      <c r="AU40" s="744"/>
      <c r="AV40" s="744"/>
      <c r="AW40" s="744"/>
      <c r="AX40" s="744"/>
      <c r="AY40" s="744"/>
      <c r="AZ40" s="744"/>
      <c r="BA40" s="744"/>
      <c r="BB40" s="744"/>
      <c r="BC40" s="745"/>
      <c r="BF40" s="7" t="s">
        <v>1902</v>
      </c>
    </row>
    <row r="41" spans="3:58" ht="9.75" customHeight="1">
      <c r="C41" s="751"/>
      <c r="D41" s="752"/>
      <c r="E41" s="752"/>
      <c r="F41" s="752"/>
      <c r="G41" s="752"/>
      <c r="H41" s="752"/>
      <c r="I41" s="752"/>
      <c r="J41" s="752"/>
      <c r="K41" s="752"/>
      <c r="L41" s="775"/>
      <c r="M41" s="776"/>
      <c r="N41" s="760"/>
      <c r="O41" s="922"/>
      <c r="P41" s="922"/>
      <c r="Q41" s="922"/>
      <c r="R41" s="922"/>
      <c r="S41" s="922"/>
      <c r="T41" s="922"/>
      <c r="U41" s="922"/>
      <c r="V41" s="922"/>
      <c r="W41" s="922"/>
      <c r="X41" s="922"/>
      <c r="Y41" s="922"/>
      <c r="Z41" s="922"/>
      <c r="AA41" s="922"/>
      <c r="AB41" s="785"/>
      <c r="AC41" s="785"/>
      <c r="AD41" s="785"/>
      <c r="AE41" s="785"/>
      <c r="AF41" s="785"/>
      <c r="AG41" s="785"/>
      <c r="AH41" s="785"/>
      <c r="AI41" s="785"/>
      <c r="AJ41" s="785"/>
      <c r="AK41" s="785"/>
      <c r="AL41" s="785"/>
      <c r="AM41" s="785"/>
      <c r="AN41" s="785"/>
      <c r="AO41" s="785"/>
      <c r="AP41" s="633"/>
      <c r="AQ41" s="633"/>
      <c r="AR41" s="633"/>
      <c r="AS41" s="633"/>
      <c r="AT41" s="760"/>
      <c r="AU41" s="760"/>
      <c r="AV41" s="760"/>
      <c r="AW41" s="760"/>
      <c r="AX41" s="760"/>
      <c r="AY41" s="760"/>
      <c r="AZ41" s="760"/>
      <c r="BA41" s="760"/>
      <c r="BB41" s="760"/>
      <c r="BC41" s="761"/>
    </row>
    <row r="42" spans="3:58" ht="9.75" customHeight="1">
      <c r="C42" s="754"/>
      <c r="D42" s="755"/>
      <c r="E42" s="755"/>
      <c r="F42" s="755"/>
      <c r="G42" s="755"/>
      <c r="H42" s="755"/>
      <c r="I42" s="755"/>
      <c r="J42" s="755"/>
      <c r="K42" s="803"/>
      <c r="L42" s="755"/>
      <c r="M42" s="756"/>
      <c r="N42" s="928"/>
      <c r="O42" s="770"/>
      <c r="P42" s="770"/>
      <c r="Q42" s="770"/>
      <c r="R42" s="770"/>
      <c r="S42" s="770"/>
      <c r="T42" s="770"/>
      <c r="U42" s="770"/>
      <c r="V42" s="770"/>
      <c r="W42" s="770"/>
      <c r="X42" s="770"/>
      <c r="Y42" s="770"/>
      <c r="Z42" s="770"/>
      <c r="AA42" s="770"/>
      <c r="AB42" s="788"/>
      <c r="AC42" s="788"/>
      <c r="AD42" s="788"/>
      <c r="AE42" s="788"/>
      <c r="AF42" s="788"/>
      <c r="AG42" s="788"/>
      <c r="AH42" s="788"/>
      <c r="AI42" s="788"/>
      <c r="AJ42" s="788"/>
      <c r="AK42" s="788"/>
      <c r="AL42" s="788"/>
      <c r="AM42" s="788"/>
      <c r="AN42" s="788"/>
      <c r="AO42" s="788"/>
      <c r="AP42" s="830"/>
      <c r="AQ42" s="830"/>
      <c r="AR42" s="830"/>
      <c r="AS42" s="830"/>
      <c r="AT42" s="928"/>
      <c r="AU42" s="928"/>
      <c r="AV42" s="928"/>
      <c r="AW42" s="928"/>
      <c r="AX42" s="928"/>
      <c r="AY42" s="928"/>
      <c r="AZ42" s="928"/>
      <c r="BA42" s="928"/>
      <c r="BB42" s="928"/>
      <c r="BC42" s="929"/>
      <c r="BF42" s="7" t="s">
        <v>3859</v>
      </c>
    </row>
    <row r="43" spans="3:58" ht="9.75" customHeight="1">
      <c r="C43" s="771" t="s">
        <v>715</v>
      </c>
      <c r="D43" s="772"/>
      <c r="E43" s="772"/>
      <c r="F43" s="772"/>
      <c r="G43" s="772"/>
      <c r="H43" s="772"/>
      <c r="I43" s="772"/>
      <c r="J43" s="772"/>
      <c r="K43" s="799"/>
      <c r="L43" s="800"/>
      <c r="M43" s="801"/>
      <c r="N43" s="760" t="s">
        <v>735</v>
      </c>
      <c r="O43" s="760"/>
      <c r="P43" s="760"/>
      <c r="Q43" s="760"/>
      <c r="R43" s="760"/>
      <c r="S43" s="760"/>
      <c r="T43" s="760"/>
      <c r="U43" s="760"/>
      <c r="V43" s="760"/>
      <c r="W43" s="760"/>
      <c r="X43" s="760"/>
      <c r="Y43" s="760"/>
      <c r="Z43" s="760"/>
      <c r="AA43" s="760"/>
      <c r="AB43" s="760"/>
      <c r="AC43" s="760"/>
      <c r="AD43" s="760"/>
      <c r="AE43" s="760"/>
      <c r="AF43" s="760"/>
      <c r="AG43" s="760"/>
      <c r="AH43" s="760"/>
      <c r="AI43" s="760"/>
      <c r="AJ43" s="760"/>
      <c r="AK43" s="760"/>
      <c r="AL43" s="760"/>
      <c r="AM43" s="760"/>
      <c r="AN43" s="760"/>
      <c r="AO43" s="760"/>
      <c r="AP43" s="760"/>
      <c r="AQ43" s="760"/>
      <c r="AR43" s="760"/>
      <c r="AS43" s="760"/>
      <c r="AT43" s="760"/>
      <c r="AU43" s="760"/>
      <c r="AV43" s="760"/>
      <c r="AW43" s="760"/>
      <c r="AX43" s="760"/>
      <c r="AY43" s="760"/>
      <c r="AZ43" s="760"/>
      <c r="BA43" s="760"/>
      <c r="BB43" s="760"/>
      <c r="BC43" s="761"/>
    </row>
    <row r="44" spans="3:58" ht="9.75" customHeight="1">
      <c r="C44" s="751"/>
      <c r="D44" s="752"/>
      <c r="E44" s="752"/>
      <c r="F44" s="752"/>
      <c r="G44" s="752"/>
      <c r="H44" s="752"/>
      <c r="I44" s="752"/>
      <c r="J44" s="752"/>
      <c r="K44" s="802"/>
      <c r="L44" s="800"/>
      <c r="M44" s="801"/>
      <c r="N44" s="760"/>
      <c r="O44" s="760"/>
      <c r="P44" s="760"/>
      <c r="Q44" s="760"/>
      <c r="R44" s="760"/>
      <c r="S44" s="760"/>
      <c r="T44" s="760"/>
      <c r="U44" s="760"/>
      <c r="V44" s="760"/>
      <c r="W44" s="760"/>
      <c r="X44" s="760"/>
      <c r="Y44" s="760"/>
      <c r="Z44" s="760"/>
      <c r="AA44" s="760"/>
      <c r="AB44" s="760"/>
      <c r="AC44" s="760"/>
      <c r="AD44" s="760"/>
      <c r="AE44" s="760"/>
      <c r="AF44" s="760"/>
      <c r="AG44" s="760"/>
      <c r="AH44" s="760"/>
      <c r="AI44" s="760"/>
      <c r="AJ44" s="760"/>
      <c r="AK44" s="760"/>
      <c r="AL44" s="760"/>
      <c r="AM44" s="760"/>
      <c r="AN44" s="760"/>
      <c r="AO44" s="760"/>
      <c r="AP44" s="760"/>
      <c r="AQ44" s="760"/>
      <c r="AR44" s="760"/>
      <c r="AS44" s="760"/>
      <c r="AT44" s="760"/>
      <c r="AU44" s="760"/>
      <c r="AV44" s="760"/>
      <c r="AW44" s="760"/>
      <c r="AX44" s="760"/>
      <c r="AY44" s="760"/>
      <c r="AZ44" s="760"/>
      <c r="BA44" s="760"/>
      <c r="BB44" s="760"/>
      <c r="BC44" s="761"/>
    </row>
    <row r="45" spans="3:58" ht="9.75" customHeight="1">
      <c r="C45" s="754"/>
      <c r="D45" s="755"/>
      <c r="E45" s="755"/>
      <c r="F45" s="755"/>
      <c r="G45" s="755"/>
      <c r="H45" s="755"/>
      <c r="I45" s="755"/>
      <c r="J45" s="755"/>
      <c r="K45" s="803"/>
      <c r="L45" s="804"/>
      <c r="M45" s="805"/>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7"/>
    </row>
    <row r="46" spans="3:58" ht="9.75" customHeight="1">
      <c r="C46" s="748" t="s">
        <v>716</v>
      </c>
      <c r="D46" s="749"/>
      <c r="E46" s="749"/>
      <c r="F46" s="749"/>
      <c r="G46" s="749"/>
      <c r="H46" s="749"/>
      <c r="I46" s="749"/>
      <c r="J46" s="749"/>
      <c r="K46" s="855"/>
      <c r="L46" s="856"/>
      <c r="M46" s="857"/>
      <c r="N46" s="858" t="str">
        <f ca="1">IF($O$37&lt;=DATE(2023,8,1),"〒462-0016","〒461-0025")</f>
        <v>〒461-0025</v>
      </c>
      <c r="O46" s="859"/>
      <c r="P46" s="859"/>
      <c r="Q46" s="859"/>
      <c r="R46" s="859"/>
      <c r="S46" s="859"/>
      <c r="T46" s="859"/>
      <c r="U46" s="859"/>
      <c r="V46" s="859"/>
      <c r="W46" s="744" t="str">
        <f ca="1">IF($O$37&lt;=DATE(2023,8,1),"愛知県名古屋市北区西味鋺1丁目５１１水野ビル201","愛知県名古屋市東区徳川2-18-18")</f>
        <v>愛知県名古屋市東区徳川2-18-18</v>
      </c>
      <c r="X46" s="744"/>
      <c r="Y46" s="744"/>
      <c r="Z46" s="744"/>
      <c r="AA46" s="744"/>
      <c r="AB46" s="744"/>
      <c r="AC46" s="744"/>
      <c r="AD46" s="744"/>
      <c r="AE46" s="744"/>
      <c r="AF46" s="744"/>
      <c r="AG46" s="744"/>
      <c r="AH46" s="744"/>
      <c r="AI46" s="744"/>
      <c r="AJ46" s="744"/>
      <c r="AK46" s="744"/>
      <c r="AL46" s="744"/>
      <c r="AM46" s="744"/>
      <c r="AN46" s="744"/>
      <c r="AO46" s="744"/>
      <c r="AP46" s="744"/>
      <c r="AQ46" s="744"/>
      <c r="AR46" s="744"/>
      <c r="AS46" s="744"/>
      <c r="AT46" s="744"/>
      <c r="AU46" s="744"/>
      <c r="AV46" s="744"/>
      <c r="AW46" s="744"/>
      <c r="AX46" s="744"/>
      <c r="AY46" s="744"/>
      <c r="AZ46" s="744"/>
      <c r="BA46" s="744"/>
      <c r="BB46" s="744"/>
      <c r="BC46" s="745"/>
    </row>
    <row r="47" spans="3:58" ht="9.75" customHeight="1">
      <c r="C47" s="751"/>
      <c r="D47" s="752"/>
      <c r="E47" s="752"/>
      <c r="F47" s="752"/>
      <c r="G47" s="752"/>
      <c r="H47" s="752"/>
      <c r="I47" s="752"/>
      <c r="J47" s="752"/>
      <c r="K47" s="802"/>
      <c r="L47" s="800"/>
      <c r="M47" s="801"/>
      <c r="N47" s="860"/>
      <c r="O47" s="861"/>
      <c r="P47" s="861"/>
      <c r="Q47" s="861"/>
      <c r="R47" s="861"/>
      <c r="S47" s="861"/>
      <c r="T47" s="861"/>
      <c r="U47" s="861"/>
      <c r="V47" s="861"/>
      <c r="W47" s="760"/>
      <c r="X47" s="760"/>
      <c r="Y47" s="760"/>
      <c r="Z47" s="760"/>
      <c r="AA47" s="760"/>
      <c r="AB47" s="760"/>
      <c r="AC47" s="760"/>
      <c r="AD47" s="760"/>
      <c r="AE47" s="760"/>
      <c r="AF47" s="760"/>
      <c r="AG47" s="760"/>
      <c r="AH47" s="760"/>
      <c r="AI47" s="760"/>
      <c r="AJ47" s="760"/>
      <c r="AK47" s="760"/>
      <c r="AL47" s="760"/>
      <c r="AM47" s="760"/>
      <c r="AN47" s="760"/>
      <c r="AO47" s="760"/>
      <c r="AP47" s="760"/>
      <c r="AQ47" s="760"/>
      <c r="AR47" s="760"/>
      <c r="AS47" s="760"/>
      <c r="AT47" s="760"/>
      <c r="AU47" s="760"/>
      <c r="AV47" s="760"/>
      <c r="AW47" s="760"/>
      <c r="AX47" s="760"/>
      <c r="AY47" s="760"/>
      <c r="AZ47" s="760"/>
      <c r="BA47" s="760"/>
      <c r="BB47" s="760"/>
      <c r="BC47" s="761"/>
    </row>
    <row r="48" spans="3:58" ht="9.75" customHeight="1">
      <c r="C48" s="754"/>
      <c r="D48" s="755"/>
      <c r="E48" s="755"/>
      <c r="F48" s="755"/>
      <c r="G48" s="755"/>
      <c r="H48" s="755"/>
      <c r="I48" s="755"/>
      <c r="J48" s="755"/>
      <c r="K48" s="803"/>
      <c r="L48" s="804"/>
      <c r="M48" s="805"/>
      <c r="N48" s="862"/>
      <c r="O48" s="863"/>
      <c r="P48" s="863"/>
      <c r="Q48" s="863"/>
      <c r="R48" s="863"/>
      <c r="S48" s="863"/>
      <c r="T48" s="863"/>
      <c r="U48" s="863"/>
      <c r="V48" s="863"/>
      <c r="W48" s="746"/>
      <c r="X48" s="746"/>
      <c r="Y48" s="746"/>
      <c r="Z48" s="746"/>
      <c r="AA48" s="746"/>
      <c r="AB48" s="746"/>
      <c r="AC48" s="746"/>
      <c r="AD48" s="746"/>
      <c r="AE48" s="746"/>
      <c r="AF48" s="746"/>
      <c r="AG48" s="746"/>
      <c r="AH48" s="746"/>
      <c r="AI48" s="746"/>
      <c r="AJ48" s="746"/>
      <c r="AK48" s="746"/>
      <c r="AL48" s="746"/>
      <c r="AM48" s="746"/>
      <c r="AN48" s="746"/>
      <c r="AO48" s="746"/>
      <c r="AP48" s="746"/>
      <c r="AQ48" s="746"/>
      <c r="AR48" s="746"/>
      <c r="AS48" s="746"/>
      <c r="AT48" s="746"/>
      <c r="AU48" s="746"/>
      <c r="AV48" s="746"/>
      <c r="AW48" s="746"/>
      <c r="AX48" s="746"/>
      <c r="AY48" s="746"/>
      <c r="AZ48" s="746"/>
      <c r="BA48" s="746"/>
      <c r="BB48" s="746"/>
      <c r="BC48" s="747"/>
    </row>
    <row r="49" spans="3:55" ht="10.5" customHeight="1">
      <c r="C49" s="927" t="s">
        <v>717</v>
      </c>
      <c r="D49" s="772"/>
      <c r="E49" s="772"/>
      <c r="F49" s="772"/>
      <c r="G49" s="772"/>
      <c r="H49" s="772"/>
      <c r="I49" s="772"/>
      <c r="J49" s="772"/>
      <c r="K49" s="799"/>
      <c r="L49" s="800"/>
      <c r="M49" s="801"/>
      <c r="N49" s="766"/>
      <c r="O49" s="875" t="str">
        <f ca="1">_xlfn.XLOOKUP(B1,TBKaishaInfo[ライン],TBKaishaInfo[派遣元責任者部署],"",0,1)</f>
        <v>営業部</v>
      </c>
      <c r="P49" s="875"/>
      <c r="Q49" s="875"/>
      <c r="R49" s="875"/>
      <c r="S49" s="875"/>
      <c r="T49" s="875"/>
      <c r="U49" s="875"/>
      <c r="V49" s="875" t="str">
        <f ca="1">_xlfn.XLOOKUP(B1,TBKaishaInfo[ライン],TBKaishaInfo[派遣元責任者名],"",0,1)</f>
        <v>取締役 ブウ　ティ　サウ</v>
      </c>
      <c r="W49" s="875"/>
      <c r="X49" s="875"/>
      <c r="Y49" s="875"/>
      <c r="Z49" s="875"/>
      <c r="AA49" s="875"/>
      <c r="AB49" s="875"/>
      <c r="AC49" s="875"/>
      <c r="AD49" s="875"/>
      <c r="AE49" s="875"/>
      <c r="AF49" s="875"/>
      <c r="AG49" s="875"/>
      <c r="AH49" s="875"/>
      <c r="AI49" s="875"/>
      <c r="AJ49" s="875"/>
      <c r="AK49" s="875"/>
      <c r="AL49" s="875"/>
      <c r="AM49" s="875"/>
      <c r="AN49" s="875"/>
      <c r="AO49" s="875"/>
      <c r="AP49" s="701" t="s">
        <v>1903</v>
      </c>
      <c r="AQ49" s="701"/>
      <c r="AR49" s="701"/>
      <c r="AS49" s="701"/>
      <c r="AT49" s="875" t="str">
        <f ca="1">_xlfn.XLOOKUP(B1,TBKaishaInfo[ライン],TBKaishaInfo[派遣元：苦情処理：電話],"",0,1)</f>
        <v>052-938-8840</v>
      </c>
      <c r="AU49" s="875"/>
      <c r="AV49" s="875"/>
      <c r="AW49" s="875"/>
      <c r="AX49" s="875"/>
      <c r="AY49" s="875"/>
      <c r="AZ49" s="875"/>
      <c r="BA49" s="875"/>
      <c r="BB49" s="875"/>
      <c r="BC49" s="877"/>
    </row>
    <row r="50" spans="3:55" ht="10.5" customHeight="1">
      <c r="C50" s="751"/>
      <c r="D50" s="752"/>
      <c r="E50" s="752"/>
      <c r="F50" s="752"/>
      <c r="G50" s="752"/>
      <c r="H50" s="752"/>
      <c r="I50" s="752"/>
      <c r="J50" s="752"/>
      <c r="K50" s="802"/>
      <c r="L50" s="800"/>
      <c r="M50" s="801"/>
      <c r="N50" s="780"/>
      <c r="O50" s="923"/>
      <c r="P50" s="923"/>
      <c r="Q50" s="923"/>
      <c r="R50" s="923"/>
      <c r="S50" s="923"/>
      <c r="T50" s="923"/>
      <c r="U50" s="923"/>
      <c r="V50" s="923"/>
      <c r="W50" s="923"/>
      <c r="X50" s="923"/>
      <c r="Y50" s="923"/>
      <c r="Z50" s="923"/>
      <c r="AA50" s="923"/>
      <c r="AB50" s="923"/>
      <c r="AC50" s="923"/>
      <c r="AD50" s="923"/>
      <c r="AE50" s="923"/>
      <c r="AF50" s="923"/>
      <c r="AG50" s="923"/>
      <c r="AH50" s="923"/>
      <c r="AI50" s="923"/>
      <c r="AJ50" s="923"/>
      <c r="AK50" s="923"/>
      <c r="AL50" s="923"/>
      <c r="AM50" s="923"/>
      <c r="AN50" s="923"/>
      <c r="AO50" s="923"/>
      <c r="AP50" s="633"/>
      <c r="AQ50" s="633"/>
      <c r="AR50" s="633"/>
      <c r="AS50" s="633"/>
      <c r="AT50" s="923"/>
      <c r="AU50" s="923"/>
      <c r="AV50" s="923"/>
      <c r="AW50" s="923"/>
      <c r="AX50" s="923"/>
      <c r="AY50" s="923"/>
      <c r="AZ50" s="923"/>
      <c r="BA50" s="923"/>
      <c r="BB50" s="923"/>
      <c r="BC50" s="924"/>
    </row>
    <row r="51" spans="3:55" ht="10.5" customHeight="1">
      <c r="C51" s="754"/>
      <c r="D51" s="755"/>
      <c r="E51" s="755"/>
      <c r="F51" s="755"/>
      <c r="G51" s="755"/>
      <c r="H51" s="755"/>
      <c r="I51" s="755"/>
      <c r="J51" s="755"/>
      <c r="K51" s="803"/>
      <c r="L51" s="804"/>
      <c r="M51" s="805"/>
      <c r="N51" s="767"/>
      <c r="O51" s="925"/>
      <c r="P51" s="925"/>
      <c r="Q51" s="925"/>
      <c r="R51" s="925"/>
      <c r="S51" s="925"/>
      <c r="T51" s="925"/>
      <c r="U51" s="925"/>
      <c r="V51" s="925"/>
      <c r="W51" s="925"/>
      <c r="X51" s="925"/>
      <c r="Y51" s="925"/>
      <c r="Z51" s="925"/>
      <c r="AA51" s="925"/>
      <c r="AB51" s="925"/>
      <c r="AC51" s="925"/>
      <c r="AD51" s="925"/>
      <c r="AE51" s="925"/>
      <c r="AF51" s="925"/>
      <c r="AG51" s="925"/>
      <c r="AH51" s="925"/>
      <c r="AI51" s="925"/>
      <c r="AJ51" s="925"/>
      <c r="AK51" s="925"/>
      <c r="AL51" s="925"/>
      <c r="AM51" s="925"/>
      <c r="AN51" s="925"/>
      <c r="AO51" s="925"/>
      <c r="AP51" s="830"/>
      <c r="AQ51" s="830"/>
      <c r="AR51" s="830"/>
      <c r="AS51" s="830"/>
      <c r="AT51" s="925"/>
      <c r="AU51" s="925"/>
      <c r="AV51" s="925"/>
      <c r="AW51" s="925"/>
      <c r="AX51" s="925"/>
      <c r="AY51" s="925"/>
      <c r="AZ51" s="925"/>
      <c r="BA51" s="925"/>
      <c r="BB51" s="925"/>
      <c r="BC51" s="926"/>
    </row>
    <row r="52" spans="3:55" ht="9" customHeight="1">
      <c r="C52" s="771" t="s">
        <v>718</v>
      </c>
      <c r="D52" s="772"/>
      <c r="E52" s="772"/>
      <c r="F52" s="772"/>
      <c r="G52" s="772"/>
      <c r="H52" s="772"/>
      <c r="I52" s="772"/>
      <c r="J52" s="772"/>
      <c r="K52" s="799"/>
      <c r="L52" s="800"/>
      <c r="M52" s="801"/>
      <c r="N52" s="8"/>
      <c r="O52" s="744" t="s">
        <v>719</v>
      </c>
      <c r="P52" s="744"/>
      <c r="Q52" s="744"/>
      <c r="R52" s="744"/>
      <c r="S52" s="744"/>
      <c r="T52" s="744"/>
      <c r="U52" s="744"/>
      <c r="V52" s="744"/>
      <c r="W52" s="744"/>
      <c r="X52" s="744"/>
      <c r="Y52" s="744"/>
      <c r="Z52" s="744"/>
      <c r="AA52" s="744"/>
      <c r="AB52" s="744"/>
      <c r="AC52" s="744"/>
      <c r="AD52" s="744"/>
      <c r="AE52" s="745"/>
      <c r="AF52" s="766" t="s">
        <v>720</v>
      </c>
      <c r="AG52" s="744"/>
      <c r="AH52" s="744"/>
      <c r="AI52" s="744"/>
      <c r="AJ52" s="744"/>
      <c r="AK52" s="744"/>
      <c r="AL52" s="745"/>
      <c r="AM52" s="760" t="s">
        <v>721</v>
      </c>
      <c r="AN52" s="760"/>
      <c r="AO52" s="760"/>
      <c r="AP52" s="760"/>
      <c r="AQ52" s="760"/>
      <c r="AR52" s="760"/>
      <c r="AS52" s="760"/>
      <c r="AT52" s="760"/>
      <c r="AU52" s="760"/>
      <c r="AV52" s="760"/>
      <c r="AW52" s="760"/>
      <c r="AX52" s="760"/>
      <c r="AY52" s="760"/>
      <c r="AZ52" s="760"/>
      <c r="BA52" s="760"/>
      <c r="BB52" s="760"/>
      <c r="BC52" s="761"/>
    </row>
    <row r="53" spans="3:55" ht="9" customHeight="1">
      <c r="C53" s="751"/>
      <c r="D53" s="752"/>
      <c r="E53" s="752"/>
      <c r="F53" s="752"/>
      <c r="G53" s="752"/>
      <c r="H53" s="752"/>
      <c r="I53" s="752"/>
      <c r="J53" s="752"/>
      <c r="K53" s="802"/>
      <c r="L53" s="800"/>
      <c r="M53" s="801"/>
      <c r="N53" s="34"/>
      <c r="O53" s="760"/>
      <c r="P53" s="760"/>
      <c r="Q53" s="760"/>
      <c r="R53" s="760"/>
      <c r="S53" s="760"/>
      <c r="T53" s="760"/>
      <c r="U53" s="760"/>
      <c r="V53" s="760"/>
      <c r="W53" s="760"/>
      <c r="X53" s="760"/>
      <c r="Y53" s="760"/>
      <c r="Z53" s="760"/>
      <c r="AA53" s="760"/>
      <c r="AB53" s="760"/>
      <c r="AC53" s="760"/>
      <c r="AD53" s="760"/>
      <c r="AE53" s="761"/>
      <c r="AF53" s="780"/>
      <c r="AG53" s="760"/>
      <c r="AH53" s="760"/>
      <c r="AI53" s="760"/>
      <c r="AJ53" s="760"/>
      <c r="AK53" s="760"/>
      <c r="AL53" s="761"/>
      <c r="AM53" s="760"/>
      <c r="AN53" s="760"/>
      <c r="AO53" s="760"/>
      <c r="AP53" s="760"/>
      <c r="AQ53" s="760"/>
      <c r="AR53" s="760"/>
      <c r="AS53" s="760"/>
      <c r="AT53" s="760"/>
      <c r="AU53" s="760"/>
      <c r="AV53" s="760"/>
      <c r="AW53" s="760"/>
      <c r="AX53" s="760"/>
      <c r="AY53" s="760"/>
      <c r="AZ53" s="760"/>
      <c r="BA53" s="760"/>
      <c r="BB53" s="760"/>
      <c r="BC53" s="761"/>
    </row>
    <row r="54" spans="3:55" ht="9" customHeight="1">
      <c r="C54" s="754"/>
      <c r="D54" s="755"/>
      <c r="E54" s="755"/>
      <c r="F54" s="755"/>
      <c r="G54" s="755"/>
      <c r="H54" s="755"/>
      <c r="I54" s="755"/>
      <c r="J54" s="755"/>
      <c r="K54" s="803"/>
      <c r="L54" s="804"/>
      <c r="M54" s="805"/>
      <c r="N54" s="34"/>
      <c r="O54" s="746"/>
      <c r="P54" s="746"/>
      <c r="Q54" s="746"/>
      <c r="R54" s="746"/>
      <c r="S54" s="746"/>
      <c r="T54" s="746"/>
      <c r="U54" s="746"/>
      <c r="V54" s="746"/>
      <c r="W54" s="746"/>
      <c r="X54" s="746"/>
      <c r="Y54" s="746"/>
      <c r="Z54" s="746"/>
      <c r="AA54" s="746"/>
      <c r="AB54" s="746"/>
      <c r="AC54" s="746"/>
      <c r="AD54" s="746"/>
      <c r="AE54" s="747"/>
      <c r="AF54" s="767"/>
      <c r="AG54" s="746"/>
      <c r="AH54" s="746"/>
      <c r="AI54" s="746"/>
      <c r="AJ54" s="746"/>
      <c r="AK54" s="746"/>
      <c r="AL54" s="747"/>
      <c r="AM54" s="760"/>
      <c r="AN54" s="760"/>
      <c r="AO54" s="760"/>
      <c r="AP54" s="760"/>
      <c r="AQ54" s="760"/>
      <c r="AR54" s="760"/>
      <c r="AS54" s="760"/>
      <c r="AT54" s="760"/>
      <c r="AU54" s="760"/>
      <c r="AV54" s="760"/>
      <c r="AW54" s="760"/>
      <c r="AX54" s="760"/>
      <c r="AY54" s="760"/>
      <c r="AZ54" s="760"/>
      <c r="BA54" s="760"/>
      <c r="BB54" s="760"/>
      <c r="BC54" s="761"/>
    </row>
    <row r="55" spans="3:55" ht="15" customHeight="1">
      <c r="C55" s="832" t="s">
        <v>722</v>
      </c>
      <c r="D55" s="833"/>
      <c r="E55" s="833"/>
      <c r="F55" s="833"/>
      <c r="G55" s="833"/>
      <c r="H55" s="833"/>
      <c r="I55" s="833"/>
      <c r="J55" s="833"/>
      <c r="K55" s="833"/>
      <c r="L55" s="833"/>
      <c r="M55" s="833"/>
      <c r="N55" s="833"/>
      <c r="O55" s="833"/>
      <c r="P55" s="833"/>
      <c r="Q55" s="833"/>
      <c r="R55" s="833"/>
      <c r="S55" s="833"/>
      <c r="T55" s="833"/>
      <c r="U55" s="833"/>
      <c r="V55" s="833"/>
      <c r="W55" s="833"/>
      <c r="X55" s="833"/>
      <c r="Y55" s="833"/>
      <c r="Z55" s="833"/>
      <c r="AA55" s="833"/>
      <c r="AB55" s="833"/>
      <c r="AC55" s="833"/>
      <c r="AD55" s="833"/>
      <c r="AE55" s="833"/>
      <c r="AF55" s="833"/>
      <c r="AG55" s="833"/>
      <c r="AH55" s="833"/>
      <c r="AI55" s="833"/>
      <c r="AJ55" s="833"/>
      <c r="AK55" s="833"/>
      <c r="AL55" s="833"/>
      <c r="AM55" s="833"/>
      <c r="AN55" s="833"/>
      <c r="AO55" s="833"/>
      <c r="AP55" s="833"/>
      <c r="AQ55" s="833"/>
      <c r="AR55" s="833"/>
      <c r="AS55" s="833"/>
      <c r="AT55" s="833"/>
      <c r="AU55" s="833"/>
      <c r="AV55" s="833"/>
      <c r="AW55" s="833"/>
      <c r="AX55" s="833"/>
      <c r="AY55" s="833"/>
      <c r="AZ55" s="833"/>
      <c r="BA55" s="833"/>
      <c r="BB55" s="833"/>
      <c r="BC55" s="834"/>
    </row>
    <row r="56" spans="3:55" ht="15" customHeight="1">
      <c r="C56" s="916" t="str">
        <f ca="1">IF(_xlfn.XLOOKUP(O11,TablaTransfor[カナ],TablaTransfor[現入社])&gt;=O37,_xlfn.XLOOKUP(O11,TablaTransfor[カナ],TablaTransfor[入社日]),"")</f>
        <v/>
      </c>
      <c r="D56" s="917"/>
      <c r="E56" s="917"/>
      <c r="F56" s="917"/>
      <c r="G56" s="917"/>
      <c r="H56" s="917"/>
      <c r="I56" s="917"/>
      <c r="J56" s="917"/>
      <c r="K56" s="917"/>
      <c r="L56" s="917"/>
      <c r="M56" s="918"/>
      <c r="N56" s="919" t="str">
        <f ca="1">IF(C56="","","安全衛生教育")</f>
        <v/>
      </c>
      <c r="O56" s="920"/>
      <c r="P56" s="920"/>
      <c r="Q56" s="920"/>
      <c r="R56" s="920"/>
      <c r="S56" s="920"/>
      <c r="T56" s="920"/>
      <c r="U56" s="920"/>
      <c r="V56" s="920"/>
      <c r="W56" s="920"/>
      <c r="X56" s="920"/>
      <c r="Y56" s="920"/>
      <c r="Z56" s="920"/>
      <c r="AA56" s="920"/>
      <c r="AB56" s="920"/>
      <c r="AC56" s="920"/>
      <c r="AD56" s="920"/>
      <c r="AE56" s="920"/>
      <c r="AF56" s="920"/>
      <c r="AG56" s="920"/>
      <c r="AH56" s="920"/>
      <c r="AI56" s="920"/>
      <c r="AJ56" s="920"/>
      <c r="AK56" s="920"/>
      <c r="AL56" s="920"/>
      <c r="AM56" s="920"/>
      <c r="AN56" s="920"/>
      <c r="AO56" s="920"/>
      <c r="AP56" s="920"/>
      <c r="AQ56" s="920"/>
      <c r="AR56" s="920"/>
      <c r="AS56" s="920"/>
      <c r="AT56" s="920"/>
      <c r="AU56" s="920"/>
      <c r="AV56" s="920"/>
      <c r="AW56" s="920"/>
      <c r="AX56" s="920"/>
      <c r="AY56" s="920"/>
      <c r="AZ56" s="920"/>
      <c r="BA56" s="920"/>
      <c r="BB56" s="920"/>
      <c r="BC56" s="921"/>
    </row>
    <row r="57" spans="3:55" ht="15" customHeight="1">
      <c r="C57" s="832"/>
      <c r="D57" s="833"/>
      <c r="E57" s="833"/>
      <c r="F57" s="833"/>
      <c r="G57" s="833"/>
      <c r="H57" s="833"/>
      <c r="I57" s="833"/>
      <c r="J57" s="833"/>
      <c r="K57" s="833"/>
      <c r="L57" s="833"/>
      <c r="M57" s="833"/>
      <c r="N57" s="833"/>
      <c r="O57" s="833"/>
      <c r="P57" s="833"/>
      <c r="Q57" s="833"/>
      <c r="R57" s="833"/>
      <c r="S57" s="833"/>
      <c r="T57" s="833"/>
      <c r="U57" s="833"/>
      <c r="V57" s="833"/>
      <c r="W57" s="833"/>
      <c r="X57" s="833"/>
      <c r="Y57" s="833"/>
      <c r="Z57" s="833"/>
      <c r="AA57" s="833"/>
      <c r="AB57" s="833"/>
      <c r="AC57" s="833"/>
      <c r="AD57" s="833"/>
      <c r="AE57" s="833"/>
      <c r="AF57" s="833"/>
      <c r="AG57" s="833"/>
      <c r="AH57" s="833"/>
      <c r="AI57" s="833"/>
      <c r="AJ57" s="833"/>
      <c r="AK57" s="833"/>
      <c r="AL57" s="833"/>
      <c r="AM57" s="833"/>
      <c r="AN57" s="833"/>
      <c r="AO57" s="833"/>
      <c r="AP57" s="833"/>
      <c r="AQ57" s="833"/>
      <c r="AR57" s="833"/>
      <c r="AS57" s="833"/>
      <c r="AT57" s="833"/>
      <c r="AU57" s="833"/>
      <c r="AV57" s="833"/>
      <c r="AW57" s="833"/>
      <c r="AX57" s="833"/>
      <c r="AY57" s="833"/>
      <c r="AZ57" s="833"/>
      <c r="BA57" s="833"/>
      <c r="BB57" s="833"/>
      <c r="BC57" s="834"/>
    </row>
    <row r="58" spans="3:55" ht="15" customHeight="1">
      <c r="C58" s="832"/>
      <c r="D58" s="833"/>
      <c r="E58" s="833"/>
      <c r="F58" s="833"/>
      <c r="G58" s="833"/>
      <c r="H58" s="833"/>
      <c r="I58" s="833"/>
      <c r="J58" s="833"/>
      <c r="K58" s="833"/>
      <c r="L58" s="833"/>
      <c r="M58" s="833"/>
      <c r="N58" s="833"/>
      <c r="O58" s="833"/>
      <c r="P58" s="833"/>
      <c r="Q58" s="833"/>
      <c r="R58" s="833"/>
      <c r="S58" s="833"/>
      <c r="T58" s="833"/>
      <c r="U58" s="833"/>
      <c r="V58" s="833"/>
      <c r="W58" s="833"/>
      <c r="X58" s="833"/>
      <c r="Y58" s="833"/>
      <c r="Z58" s="833"/>
      <c r="AA58" s="833"/>
      <c r="AB58" s="833"/>
      <c r="AC58" s="833"/>
      <c r="AD58" s="833"/>
      <c r="AE58" s="833"/>
      <c r="AF58" s="833"/>
      <c r="AG58" s="833"/>
      <c r="AH58" s="833"/>
      <c r="AI58" s="833"/>
      <c r="AJ58" s="833"/>
      <c r="AK58" s="833"/>
      <c r="AL58" s="833"/>
      <c r="AM58" s="833"/>
      <c r="AN58" s="833"/>
      <c r="AO58" s="833"/>
      <c r="AP58" s="833"/>
      <c r="AQ58" s="833"/>
      <c r="AR58" s="833"/>
      <c r="AS58" s="833"/>
      <c r="AT58" s="833"/>
      <c r="AU58" s="833"/>
      <c r="AV58" s="833"/>
      <c r="AW58" s="833"/>
      <c r="AX58" s="833"/>
      <c r="AY58" s="833"/>
      <c r="AZ58" s="833"/>
      <c r="BA58" s="833"/>
      <c r="BB58" s="833"/>
      <c r="BC58" s="834"/>
    </row>
    <row r="59" spans="3:55" ht="15" customHeight="1">
      <c r="C59" s="865" t="s">
        <v>723</v>
      </c>
      <c r="D59" s="866"/>
      <c r="E59" s="867"/>
      <c r="F59" s="874" t="s">
        <v>724</v>
      </c>
      <c r="G59" s="875"/>
      <c r="H59" s="875"/>
      <c r="I59" s="875"/>
      <c r="J59" s="875"/>
      <c r="K59" s="875"/>
      <c r="L59" s="876"/>
      <c r="M59" s="875"/>
      <c r="N59" s="875"/>
      <c r="O59" s="875"/>
      <c r="P59" s="877"/>
      <c r="Q59" s="875" t="s">
        <v>725</v>
      </c>
      <c r="R59" s="875"/>
      <c r="S59" s="875"/>
      <c r="T59" s="875"/>
      <c r="U59" s="875"/>
      <c r="V59" s="875"/>
      <c r="W59" s="875"/>
      <c r="X59" s="875"/>
      <c r="Y59" s="875"/>
      <c r="Z59" s="875"/>
      <c r="AA59" s="875"/>
      <c r="AB59" s="875"/>
      <c r="AC59" s="875"/>
      <c r="AD59" s="875"/>
      <c r="AE59" s="875"/>
      <c r="AF59" s="875"/>
      <c r="AG59" s="875"/>
      <c r="AH59" s="875"/>
      <c r="AI59" s="875"/>
      <c r="AJ59" s="875"/>
      <c r="AK59" s="875"/>
      <c r="AL59" s="875"/>
      <c r="AM59" s="875"/>
      <c r="AN59" s="875"/>
      <c r="AO59" s="875"/>
      <c r="AP59" s="875"/>
      <c r="AQ59" s="875"/>
      <c r="AR59" s="875"/>
      <c r="AS59" s="875"/>
      <c r="AT59" s="875"/>
      <c r="AU59" s="875"/>
      <c r="AV59" s="875"/>
      <c r="AW59" s="875"/>
      <c r="AX59" s="875"/>
      <c r="AY59" s="875"/>
      <c r="AZ59" s="875"/>
      <c r="BA59" s="875"/>
      <c r="BB59" s="875"/>
      <c r="BC59" s="877"/>
    </row>
    <row r="60" spans="3:55" ht="9" customHeight="1">
      <c r="C60" s="868"/>
      <c r="D60" s="869"/>
      <c r="E60" s="870"/>
      <c r="F60" s="878" t="s">
        <v>726</v>
      </c>
      <c r="G60" s="879"/>
      <c r="H60" s="879"/>
      <c r="I60" s="882" t="s">
        <v>727</v>
      </c>
      <c r="J60" s="883"/>
      <c r="K60" s="884"/>
      <c r="L60" s="884"/>
      <c r="M60" s="885"/>
      <c r="N60" s="885"/>
      <c r="O60" s="885"/>
      <c r="P60" s="886"/>
      <c r="Q60" s="895"/>
      <c r="R60" s="896"/>
      <c r="S60" s="896"/>
      <c r="T60" s="896"/>
      <c r="U60" s="896"/>
      <c r="V60" s="896"/>
      <c r="W60" s="896"/>
      <c r="X60" s="896"/>
      <c r="Y60" s="896"/>
      <c r="Z60" s="896"/>
      <c r="AA60" s="896"/>
      <c r="AB60" s="896"/>
      <c r="AC60" s="896"/>
      <c r="AD60" s="896"/>
      <c r="AE60" s="896"/>
      <c r="AF60" s="896"/>
      <c r="AG60" s="896"/>
      <c r="AH60" s="896"/>
      <c r="AI60" s="896"/>
      <c r="AJ60" s="896"/>
      <c r="AK60" s="896"/>
      <c r="AL60" s="896"/>
      <c r="AM60" s="896"/>
      <c r="AN60" s="896"/>
      <c r="AO60" s="896"/>
      <c r="AP60" s="896"/>
      <c r="AQ60" s="896"/>
      <c r="AR60" s="896"/>
      <c r="AS60" s="896"/>
      <c r="AT60" s="896"/>
      <c r="AU60" s="896"/>
      <c r="AV60" s="896"/>
      <c r="AW60" s="896"/>
      <c r="AX60" s="896"/>
      <c r="AY60" s="896"/>
      <c r="AZ60" s="896"/>
      <c r="BA60" s="896"/>
      <c r="BB60" s="896"/>
      <c r="BC60" s="897"/>
    </row>
    <row r="61" spans="3:55" ht="9" customHeight="1">
      <c r="C61" s="868"/>
      <c r="D61" s="869"/>
      <c r="E61" s="870"/>
      <c r="F61" s="878"/>
      <c r="G61" s="879"/>
      <c r="H61" s="879"/>
      <c r="I61" s="887"/>
      <c r="J61" s="888"/>
      <c r="K61" s="888"/>
      <c r="L61" s="889"/>
      <c r="M61" s="889"/>
      <c r="N61" s="889"/>
      <c r="O61" s="889"/>
      <c r="P61" s="890"/>
      <c r="Q61" s="898"/>
      <c r="R61" s="899"/>
      <c r="S61" s="899"/>
      <c r="T61" s="899"/>
      <c r="U61" s="899"/>
      <c r="V61" s="899"/>
      <c r="W61" s="899"/>
      <c r="X61" s="899"/>
      <c r="Y61" s="899"/>
      <c r="Z61" s="899"/>
      <c r="AA61" s="899"/>
      <c r="AB61" s="899"/>
      <c r="AC61" s="899"/>
      <c r="AD61" s="899"/>
      <c r="AE61" s="899"/>
      <c r="AF61" s="899"/>
      <c r="AG61" s="899"/>
      <c r="AH61" s="899"/>
      <c r="AI61" s="899"/>
      <c r="AJ61" s="899"/>
      <c r="AK61" s="899"/>
      <c r="AL61" s="899"/>
      <c r="AM61" s="899"/>
      <c r="AN61" s="899"/>
      <c r="AO61" s="899"/>
      <c r="AP61" s="899"/>
      <c r="AQ61" s="899"/>
      <c r="AR61" s="899"/>
      <c r="AS61" s="899"/>
      <c r="AT61" s="899"/>
      <c r="AU61" s="899"/>
      <c r="AV61" s="899"/>
      <c r="AW61" s="899"/>
      <c r="AX61" s="899"/>
      <c r="AY61" s="899"/>
      <c r="AZ61" s="899"/>
      <c r="BA61" s="899"/>
      <c r="BB61" s="899"/>
      <c r="BC61" s="900"/>
    </row>
    <row r="62" spans="3:55" ht="9" customHeight="1">
      <c r="C62" s="868"/>
      <c r="D62" s="869"/>
      <c r="E62" s="870"/>
      <c r="F62" s="878"/>
      <c r="G62" s="879"/>
      <c r="H62" s="879"/>
      <c r="I62" s="887"/>
      <c r="J62" s="888"/>
      <c r="K62" s="888"/>
      <c r="L62" s="888"/>
      <c r="M62" s="888"/>
      <c r="N62" s="888"/>
      <c r="O62" s="888"/>
      <c r="P62" s="891"/>
      <c r="Q62" s="901"/>
      <c r="R62" s="902"/>
      <c r="S62" s="902"/>
      <c r="T62" s="902"/>
      <c r="U62" s="902"/>
      <c r="V62" s="902"/>
      <c r="W62" s="902"/>
      <c r="X62" s="902"/>
      <c r="Y62" s="902"/>
      <c r="Z62" s="902"/>
      <c r="AA62" s="902"/>
      <c r="AB62" s="902"/>
      <c r="AC62" s="902"/>
      <c r="AD62" s="902"/>
      <c r="AE62" s="902"/>
      <c r="AF62" s="902"/>
      <c r="AG62" s="902"/>
      <c r="AH62" s="902"/>
      <c r="AI62" s="902"/>
      <c r="AJ62" s="902"/>
      <c r="AK62" s="902"/>
      <c r="AL62" s="902"/>
      <c r="AM62" s="902"/>
      <c r="AN62" s="902"/>
      <c r="AO62" s="902"/>
      <c r="AP62" s="902"/>
      <c r="AQ62" s="902"/>
      <c r="AR62" s="902"/>
      <c r="AS62" s="902"/>
      <c r="AT62" s="902"/>
      <c r="AU62" s="902"/>
      <c r="AV62" s="902"/>
      <c r="AW62" s="902"/>
      <c r="AX62" s="902"/>
      <c r="AY62" s="902"/>
      <c r="AZ62" s="902"/>
      <c r="BA62" s="902"/>
      <c r="BB62" s="902"/>
      <c r="BC62" s="903"/>
    </row>
    <row r="63" spans="3:55" ht="9" customHeight="1">
      <c r="C63" s="868"/>
      <c r="D63" s="869"/>
      <c r="E63" s="870"/>
      <c r="F63" s="878"/>
      <c r="G63" s="879"/>
      <c r="H63" s="879"/>
      <c r="I63" s="887"/>
      <c r="J63" s="888"/>
      <c r="K63" s="888"/>
      <c r="L63" s="888"/>
      <c r="M63" s="888"/>
      <c r="N63" s="888"/>
      <c r="O63" s="888"/>
      <c r="P63" s="891"/>
      <c r="Q63" s="898"/>
      <c r="R63" s="899"/>
      <c r="S63" s="899"/>
      <c r="T63" s="899"/>
      <c r="U63" s="899"/>
      <c r="V63" s="899"/>
      <c r="W63" s="899"/>
      <c r="X63" s="899"/>
      <c r="Y63" s="899"/>
      <c r="Z63" s="899"/>
      <c r="AA63" s="899"/>
      <c r="AB63" s="899"/>
      <c r="AC63" s="899"/>
      <c r="AD63" s="899"/>
      <c r="AE63" s="899"/>
      <c r="AF63" s="899"/>
      <c r="AG63" s="899"/>
      <c r="AH63" s="899"/>
      <c r="AI63" s="899"/>
      <c r="AJ63" s="899"/>
      <c r="AK63" s="899"/>
      <c r="AL63" s="899"/>
      <c r="AM63" s="899"/>
      <c r="AN63" s="899"/>
      <c r="AO63" s="899"/>
      <c r="AP63" s="899"/>
      <c r="AQ63" s="899"/>
      <c r="AR63" s="899"/>
      <c r="AS63" s="899"/>
      <c r="AT63" s="899"/>
      <c r="AU63" s="899"/>
      <c r="AV63" s="899"/>
      <c r="AW63" s="899"/>
      <c r="AX63" s="899"/>
      <c r="AY63" s="899"/>
      <c r="AZ63" s="899"/>
      <c r="BA63" s="899"/>
      <c r="BB63" s="899"/>
      <c r="BC63" s="900"/>
    </row>
    <row r="64" spans="3:55" ht="9" customHeight="1">
      <c r="C64" s="868"/>
      <c r="D64" s="869"/>
      <c r="E64" s="870"/>
      <c r="F64" s="878"/>
      <c r="G64" s="879"/>
      <c r="H64" s="879"/>
      <c r="I64" s="887"/>
      <c r="J64" s="888"/>
      <c r="K64" s="888"/>
      <c r="L64" s="888"/>
      <c r="M64" s="888"/>
      <c r="N64" s="888"/>
      <c r="O64" s="888"/>
      <c r="P64" s="891"/>
      <c r="Q64" s="904"/>
      <c r="R64" s="905"/>
      <c r="S64" s="905"/>
      <c r="T64" s="905"/>
      <c r="U64" s="905"/>
      <c r="V64" s="905"/>
      <c r="W64" s="905"/>
      <c r="X64" s="905"/>
      <c r="Y64" s="905"/>
      <c r="Z64" s="905"/>
      <c r="AA64" s="905"/>
      <c r="AB64" s="905"/>
      <c r="AC64" s="905"/>
      <c r="AD64" s="905"/>
      <c r="AE64" s="905"/>
      <c r="AF64" s="905"/>
      <c r="AG64" s="905"/>
      <c r="AH64" s="905"/>
      <c r="AI64" s="905"/>
      <c r="AJ64" s="905"/>
      <c r="AK64" s="905"/>
      <c r="AL64" s="905"/>
      <c r="AM64" s="905"/>
      <c r="AN64" s="905"/>
      <c r="AO64" s="905"/>
      <c r="AP64" s="905"/>
      <c r="AQ64" s="905"/>
      <c r="AR64" s="905"/>
      <c r="AS64" s="905"/>
      <c r="AT64" s="905"/>
      <c r="AU64" s="905"/>
      <c r="AV64" s="905"/>
      <c r="AW64" s="905"/>
      <c r="AX64" s="905"/>
      <c r="AY64" s="905"/>
      <c r="AZ64" s="905"/>
      <c r="BA64" s="905"/>
      <c r="BB64" s="905"/>
      <c r="BC64" s="906"/>
    </row>
    <row r="65" spans="3:55" ht="9" customHeight="1">
      <c r="C65" s="868"/>
      <c r="D65" s="869"/>
      <c r="E65" s="870"/>
      <c r="F65" s="878"/>
      <c r="G65" s="879"/>
      <c r="H65" s="879"/>
      <c r="I65" s="892"/>
      <c r="J65" s="893"/>
      <c r="K65" s="893"/>
      <c r="L65" s="893"/>
      <c r="M65" s="893"/>
      <c r="N65" s="893"/>
      <c r="O65" s="893"/>
      <c r="P65" s="894"/>
      <c r="Q65" s="901"/>
      <c r="R65" s="902"/>
      <c r="S65" s="902"/>
      <c r="T65" s="902"/>
      <c r="U65" s="902"/>
      <c r="V65" s="902"/>
      <c r="W65" s="902"/>
      <c r="X65" s="902"/>
      <c r="Y65" s="902"/>
      <c r="Z65" s="902"/>
      <c r="AA65" s="902"/>
      <c r="AB65" s="902"/>
      <c r="AC65" s="902"/>
      <c r="AD65" s="902"/>
      <c r="AE65" s="902"/>
      <c r="AF65" s="902"/>
      <c r="AG65" s="902"/>
      <c r="AH65" s="902"/>
      <c r="AI65" s="902"/>
      <c r="AJ65" s="902"/>
      <c r="AK65" s="902"/>
      <c r="AL65" s="902"/>
      <c r="AM65" s="902"/>
      <c r="AN65" s="902"/>
      <c r="AO65" s="902"/>
      <c r="AP65" s="902"/>
      <c r="AQ65" s="902"/>
      <c r="AR65" s="902"/>
      <c r="AS65" s="902"/>
      <c r="AT65" s="902"/>
      <c r="AU65" s="902"/>
      <c r="AV65" s="902"/>
      <c r="AW65" s="902"/>
      <c r="AX65" s="902"/>
      <c r="AY65" s="902"/>
      <c r="AZ65" s="902"/>
      <c r="BA65" s="902"/>
      <c r="BB65" s="902"/>
      <c r="BC65" s="903"/>
    </row>
    <row r="66" spans="3:55" ht="9" customHeight="1">
      <c r="C66" s="868"/>
      <c r="D66" s="869"/>
      <c r="E66" s="870"/>
      <c r="F66" s="878"/>
      <c r="G66" s="879"/>
      <c r="H66" s="879"/>
      <c r="I66" s="882" t="s">
        <v>728</v>
      </c>
      <c r="J66" s="883"/>
      <c r="K66" s="883"/>
      <c r="L66" s="883"/>
      <c r="M66" s="883"/>
      <c r="N66" s="883"/>
      <c r="O66" s="883"/>
      <c r="P66" s="907"/>
      <c r="Q66" s="898"/>
      <c r="R66" s="899"/>
      <c r="S66" s="899"/>
      <c r="T66" s="899"/>
      <c r="U66" s="899"/>
      <c r="V66" s="899"/>
      <c r="W66" s="899"/>
      <c r="X66" s="899"/>
      <c r="Y66" s="899"/>
      <c r="Z66" s="899"/>
      <c r="AA66" s="899"/>
      <c r="AB66" s="899"/>
      <c r="AC66" s="899"/>
      <c r="AD66" s="899"/>
      <c r="AE66" s="899"/>
      <c r="AF66" s="899"/>
      <c r="AG66" s="899"/>
      <c r="AH66" s="899"/>
      <c r="AI66" s="899"/>
      <c r="AJ66" s="899"/>
      <c r="AK66" s="899"/>
      <c r="AL66" s="899"/>
      <c r="AM66" s="899"/>
      <c r="AN66" s="899"/>
      <c r="AO66" s="899"/>
      <c r="AP66" s="899"/>
      <c r="AQ66" s="899"/>
      <c r="AR66" s="899"/>
      <c r="AS66" s="899"/>
      <c r="AT66" s="899"/>
      <c r="AU66" s="899"/>
      <c r="AV66" s="899"/>
      <c r="AW66" s="899"/>
      <c r="AX66" s="899"/>
      <c r="AY66" s="899"/>
      <c r="AZ66" s="899"/>
      <c r="BA66" s="899"/>
      <c r="BB66" s="899"/>
      <c r="BC66" s="900"/>
    </row>
    <row r="67" spans="3:55" ht="9" customHeight="1">
      <c r="C67" s="868"/>
      <c r="D67" s="869"/>
      <c r="E67" s="870"/>
      <c r="F67" s="878"/>
      <c r="G67" s="879"/>
      <c r="H67" s="879"/>
      <c r="I67" s="887"/>
      <c r="J67" s="888"/>
      <c r="K67" s="888"/>
      <c r="L67" s="888"/>
      <c r="M67" s="888"/>
      <c r="N67" s="888"/>
      <c r="O67" s="888"/>
      <c r="P67" s="891"/>
      <c r="Q67" s="904"/>
      <c r="R67" s="905"/>
      <c r="S67" s="905"/>
      <c r="T67" s="905"/>
      <c r="U67" s="905"/>
      <c r="V67" s="905"/>
      <c r="W67" s="905"/>
      <c r="X67" s="905"/>
      <c r="Y67" s="905"/>
      <c r="Z67" s="905"/>
      <c r="AA67" s="905"/>
      <c r="AB67" s="905"/>
      <c r="AC67" s="905"/>
      <c r="AD67" s="905"/>
      <c r="AE67" s="905"/>
      <c r="AF67" s="905"/>
      <c r="AG67" s="905"/>
      <c r="AH67" s="905"/>
      <c r="AI67" s="905"/>
      <c r="AJ67" s="905"/>
      <c r="AK67" s="905"/>
      <c r="AL67" s="905"/>
      <c r="AM67" s="905"/>
      <c r="AN67" s="905"/>
      <c r="AO67" s="905"/>
      <c r="AP67" s="905"/>
      <c r="AQ67" s="905"/>
      <c r="AR67" s="905"/>
      <c r="AS67" s="905"/>
      <c r="AT67" s="905"/>
      <c r="AU67" s="905"/>
      <c r="AV67" s="905"/>
      <c r="AW67" s="905"/>
      <c r="AX67" s="905"/>
      <c r="AY67" s="905"/>
      <c r="AZ67" s="905"/>
      <c r="BA67" s="905"/>
      <c r="BB67" s="905"/>
      <c r="BC67" s="906"/>
    </row>
    <row r="68" spans="3:55" ht="9" customHeight="1">
      <c r="C68" s="868"/>
      <c r="D68" s="869"/>
      <c r="E68" s="870"/>
      <c r="F68" s="878"/>
      <c r="G68" s="879"/>
      <c r="H68" s="879"/>
      <c r="I68" s="887"/>
      <c r="J68" s="888"/>
      <c r="K68" s="888"/>
      <c r="L68" s="888"/>
      <c r="M68" s="888"/>
      <c r="N68" s="888"/>
      <c r="O68" s="888"/>
      <c r="P68" s="891"/>
      <c r="Q68" s="901"/>
      <c r="R68" s="902"/>
      <c r="S68" s="902"/>
      <c r="T68" s="902"/>
      <c r="U68" s="902"/>
      <c r="V68" s="902"/>
      <c r="W68" s="902"/>
      <c r="X68" s="902"/>
      <c r="Y68" s="902"/>
      <c r="Z68" s="902"/>
      <c r="AA68" s="902"/>
      <c r="AB68" s="902"/>
      <c r="AC68" s="902"/>
      <c r="AD68" s="902"/>
      <c r="AE68" s="902"/>
      <c r="AF68" s="902"/>
      <c r="AG68" s="902"/>
      <c r="AH68" s="902"/>
      <c r="AI68" s="902"/>
      <c r="AJ68" s="902"/>
      <c r="AK68" s="902"/>
      <c r="AL68" s="902"/>
      <c r="AM68" s="902"/>
      <c r="AN68" s="902"/>
      <c r="AO68" s="902"/>
      <c r="AP68" s="902"/>
      <c r="AQ68" s="902"/>
      <c r="AR68" s="902"/>
      <c r="AS68" s="902"/>
      <c r="AT68" s="902"/>
      <c r="AU68" s="902"/>
      <c r="AV68" s="902"/>
      <c r="AW68" s="902"/>
      <c r="AX68" s="902"/>
      <c r="AY68" s="902"/>
      <c r="AZ68" s="902"/>
      <c r="BA68" s="902"/>
      <c r="BB68" s="902"/>
      <c r="BC68" s="903"/>
    </row>
    <row r="69" spans="3:55" ht="9" customHeight="1">
      <c r="C69" s="868"/>
      <c r="D69" s="869"/>
      <c r="E69" s="870"/>
      <c r="F69" s="878"/>
      <c r="G69" s="879"/>
      <c r="H69" s="879"/>
      <c r="I69" s="887"/>
      <c r="J69" s="888"/>
      <c r="K69" s="888"/>
      <c r="L69" s="888"/>
      <c r="M69" s="888"/>
      <c r="N69" s="888"/>
      <c r="O69" s="888"/>
      <c r="P69" s="891"/>
      <c r="Q69" s="911"/>
      <c r="R69" s="899"/>
      <c r="S69" s="899"/>
      <c r="T69" s="899"/>
      <c r="U69" s="899"/>
      <c r="V69" s="899"/>
      <c r="W69" s="899"/>
      <c r="X69" s="899"/>
      <c r="Y69" s="899"/>
      <c r="Z69" s="899"/>
      <c r="AA69" s="899"/>
      <c r="AB69" s="899"/>
      <c r="AC69" s="899"/>
      <c r="AD69" s="899"/>
      <c r="AE69" s="899"/>
      <c r="AF69" s="899"/>
      <c r="AG69" s="899"/>
      <c r="AH69" s="899"/>
      <c r="AI69" s="899"/>
      <c r="AJ69" s="899"/>
      <c r="AK69" s="899"/>
      <c r="AL69" s="899"/>
      <c r="AM69" s="899"/>
      <c r="AN69" s="899"/>
      <c r="AO69" s="899"/>
      <c r="AP69" s="899"/>
      <c r="AQ69" s="899"/>
      <c r="AR69" s="899"/>
      <c r="AS69" s="899"/>
      <c r="AT69" s="899"/>
      <c r="AU69" s="899"/>
      <c r="AV69" s="899"/>
      <c r="AW69" s="899"/>
      <c r="AX69" s="899"/>
      <c r="AY69" s="899"/>
      <c r="AZ69" s="899"/>
      <c r="BA69" s="899"/>
      <c r="BB69" s="899"/>
      <c r="BC69" s="900"/>
    </row>
    <row r="70" spans="3:55" ht="9" customHeight="1">
      <c r="C70" s="868"/>
      <c r="D70" s="869"/>
      <c r="E70" s="870"/>
      <c r="F70" s="878"/>
      <c r="G70" s="879"/>
      <c r="H70" s="879"/>
      <c r="I70" s="887"/>
      <c r="J70" s="888"/>
      <c r="K70" s="888"/>
      <c r="L70" s="888"/>
      <c r="M70" s="888"/>
      <c r="N70" s="888"/>
      <c r="O70" s="888"/>
      <c r="P70" s="891"/>
      <c r="Q70" s="912"/>
      <c r="R70" s="905"/>
      <c r="S70" s="905"/>
      <c r="T70" s="905"/>
      <c r="U70" s="905"/>
      <c r="V70" s="905"/>
      <c r="W70" s="905"/>
      <c r="X70" s="905"/>
      <c r="Y70" s="905"/>
      <c r="Z70" s="905"/>
      <c r="AA70" s="905"/>
      <c r="AB70" s="905"/>
      <c r="AC70" s="905"/>
      <c r="AD70" s="905"/>
      <c r="AE70" s="905"/>
      <c r="AF70" s="905"/>
      <c r="AG70" s="905"/>
      <c r="AH70" s="905"/>
      <c r="AI70" s="905"/>
      <c r="AJ70" s="905"/>
      <c r="AK70" s="905"/>
      <c r="AL70" s="905"/>
      <c r="AM70" s="905"/>
      <c r="AN70" s="905"/>
      <c r="AO70" s="905"/>
      <c r="AP70" s="905"/>
      <c r="AQ70" s="905"/>
      <c r="AR70" s="905"/>
      <c r="AS70" s="905"/>
      <c r="AT70" s="905"/>
      <c r="AU70" s="905"/>
      <c r="AV70" s="905"/>
      <c r="AW70" s="905"/>
      <c r="AX70" s="905"/>
      <c r="AY70" s="905"/>
      <c r="AZ70" s="905"/>
      <c r="BA70" s="905"/>
      <c r="BB70" s="905"/>
      <c r="BC70" s="906"/>
    </row>
    <row r="71" spans="3:55" ht="9" customHeight="1">
      <c r="C71" s="868"/>
      <c r="D71" s="869"/>
      <c r="E71" s="870"/>
      <c r="F71" s="878"/>
      <c r="G71" s="879"/>
      <c r="H71" s="879"/>
      <c r="I71" s="892"/>
      <c r="J71" s="893"/>
      <c r="K71" s="893"/>
      <c r="L71" s="893"/>
      <c r="M71" s="893"/>
      <c r="N71" s="893"/>
      <c r="O71" s="893"/>
      <c r="P71" s="894"/>
      <c r="Q71" s="913"/>
      <c r="R71" s="902"/>
      <c r="S71" s="902"/>
      <c r="T71" s="902"/>
      <c r="U71" s="902"/>
      <c r="V71" s="902"/>
      <c r="W71" s="902"/>
      <c r="X71" s="902"/>
      <c r="Y71" s="902"/>
      <c r="Z71" s="902"/>
      <c r="AA71" s="902"/>
      <c r="AB71" s="902"/>
      <c r="AC71" s="902"/>
      <c r="AD71" s="902"/>
      <c r="AE71" s="902"/>
      <c r="AF71" s="902"/>
      <c r="AG71" s="902"/>
      <c r="AH71" s="902"/>
      <c r="AI71" s="902"/>
      <c r="AJ71" s="902"/>
      <c r="AK71" s="902"/>
      <c r="AL71" s="902"/>
      <c r="AM71" s="902"/>
      <c r="AN71" s="902"/>
      <c r="AO71" s="902"/>
      <c r="AP71" s="902"/>
      <c r="AQ71" s="902"/>
      <c r="AR71" s="902"/>
      <c r="AS71" s="902"/>
      <c r="AT71" s="902"/>
      <c r="AU71" s="902"/>
      <c r="AV71" s="902"/>
      <c r="AW71" s="902"/>
      <c r="AX71" s="902"/>
      <c r="AY71" s="902"/>
      <c r="AZ71" s="902"/>
      <c r="BA71" s="902"/>
      <c r="BB71" s="902"/>
      <c r="BC71" s="903"/>
    </row>
    <row r="72" spans="3:55" ht="9" customHeight="1">
      <c r="C72" s="868"/>
      <c r="D72" s="869"/>
      <c r="E72" s="870"/>
      <c r="F72" s="878"/>
      <c r="G72" s="879"/>
      <c r="H72" s="879"/>
      <c r="I72" s="914" t="s">
        <v>729</v>
      </c>
      <c r="J72" s="889"/>
      <c r="K72" s="889"/>
      <c r="L72" s="889"/>
      <c r="M72" s="889"/>
      <c r="N72" s="889"/>
      <c r="O72" s="889"/>
      <c r="P72" s="890"/>
      <c r="Q72" s="908"/>
      <c r="R72" s="909"/>
      <c r="S72" s="909"/>
      <c r="T72" s="909"/>
      <c r="U72" s="909"/>
      <c r="V72" s="909"/>
      <c r="W72" s="909"/>
      <c r="X72" s="909"/>
      <c r="Y72" s="909"/>
      <c r="Z72" s="909"/>
      <c r="AA72" s="909"/>
      <c r="AB72" s="909"/>
      <c r="AC72" s="909"/>
      <c r="AD72" s="909"/>
      <c r="AE72" s="909"/>
      <c r="AF72" s="909"/>
      <c r="AG72" s="909"/>
      <c r="AH72" s="909"/>
      <c r="AI72" s="909"/>
      <c r="AJ72" s="909"/>
      <c r="AK72" s="909"/>
      <c r="AL72" s="909"/>
      <c r="AM72" s="909"/>
      <c r="AN72" s="909"/>
      <c r="AO72" s="909"/>
      <c r="AP72" s="909"/>
      <c r="AQ72" s="909"/>
      <c r="AR72" s="909"/>
      <c r="AS72" s="909"/>
      <c r="AT72" s="909"/>
      <c r="AU72" s="909"/>
      <c r="AV72" s="909"/>
      <c r="AW72" s="909"/>
      <c r="AX72" s="909"/>
      <c r="AY72" s="909"/>
      <c r="AZ72" s="909"/>
      <c r="BA72" s="909"/>
      <c r="BB72" s="909"/>
      <c r="BC72" s="910"/>
    </row>
    <row r="73" spans="3:55" ht="9" customHeight="1">
      <c r="C73" s="868"/>
      <c r="D73" s="869"/>
      <c r="E73" s="870"/>
      <c r="F73" s="878"/>
      <c r="G73" s="879"/>
      <c r="H73" s="879"/>
      <c r="I73" s="887"/>
      <c r="J73" s="888"/>
      <c r="K73" s="888"/>
      <c r="L73" s="888"/>
      <c r="M73" s="888"/>
      <c r="N73" s="888"/>
      <c r="O73" s="888"/>
      <c r="P73" s="891"/>
      <c r="Q73" s="904"/>
      <c r="R73" s="905"/>
      <c r="S73" s="905"/>
      <c r="T73" s="905"/>
      <c r="U73" s="905"/>
      <c r="V73" s="905"/>
      <c r="W73" s="905"/>
      <c r="X73" s="905"/>
      <c r="Y73" s="905"/>
      <c r="Z73" s="905"/>
      <c r="AA73" s="905"/>
      <c r="AB73" s="905"/>
      <c r="AC73" s="905"/>
      <c r="AD73" s="905"/>
      <c r="AE73" s="905"/>
      <c r="AF73" s="905"/>
      <c r="AG73" s="905"/>
      <c r="AH73" s="905"/>
      <c r="AI73" s="905"/>
      <c r="AJ73" s="905"/>
      <c r="AK73" s="905"/>
      <c r="AL73" s="905"/>
      <c r="AM73" s="905"/>
      <c r="AN73" s="905"/>
      <c r="AO73" s="905"/>
      <c r="AP73" s="905"/>
      <c r="AQ73" s="905"/>
      <c r="AR73" s="905"/>
      <c r="AS73" s="905"/>
      <c r="AT73" s="905"/>
      <c r="AU73" s="905"/>
      <c r="AV73" s="905"/>
      <c r="AW73" s="905"/>
      <c r="AX73" s="905"/>
      <c r="AY73" s="905"/>
      <c r="AZ73" s="905"/>
      <c r="BA73" s="905"/>
      <c r="BB73" s="905"/>
      <c r="BC73" s="906"/>
    </row>
    <row r="74" spans="3:55" ht="9" customHeight="1">
      <c r="C74" s="868"/>
      <c r="D74" s="869"/>
      <c r="E74" s="870"/>
      <c r="F74" s="878"/>
      <c r="G74" s="879"/>
      <c r="H74" s="879"/>
      <c r="I74" s="887"/>
      <c r="J74" s="888"/>
      <c r="K74" s="888"/>
      <c r="L74" s="888"/>
      <c r="M74" s="888"/>
      <c r="N74" s="888"/>
      <c r="O74" s="888"/>
      <c r="P74" s="891"/>
      <c r="Q74" s="901"/>
      <c r="R74" s="902"/>
      <c r="S74" s="902"/>
      <c r="T74" s="902"/>
      <c r="U74" s="902"/>
      <c r="V74" s="902"/>
      <c r="W74" s="902"/>
      <c r="X74" s="902"/>
      <c r="Y74" s="902"/>
      <c r="Z74" s="902"/>
      <c r="AA74" s="902"/>
      <c r="AB74" s="902"/>
      <c r="AC74" s="902"/>
      <c r="AD74" s="902"/>
      <c r="AE74" s="902"/>
      <c r="AF74" s="902"/>
      <c r="AG74" s="902"/>
      <c r="AH74" s="902"/>
      <c r="AI74" s="902"/>
      <c r="AJ74" s="902"/>
      <c r="AK74" s="902"/>
      <c r="AL74" s="902"/>
      <c r="AM74" s="902"/>
      <c r="AN74" s="902"/>
      <c r="AO74" s="902"/>
      <c r="AP74" s="902"/>
      <c r="AQ74" s="902"/>
      <c r="AR74" s="902"/>
      <c r="AS74" s="902"/>
      <c r="AT74" s="902"/>
      <c r="AU74" s="902"/>
      <c r="AV74" s="902"/>
      <c r="AW74" s="902"/>
      <c r="AX74" s="902"/>
      <c r="AY74" s="902"/>
      <c r="AZ74" s="902"/>
      <c r="BA74" s="902"/>
      <c r="BB74" s="902"/>
      <c r="BC74" s="903"/>
    </row>
    <row r="75" spans="3:55" ht="9" customHeight="1">
      <c r="C75" s="868"/>
      <c r="D75" s="869"/>
      <c r="E75" s="870"/>
      <c r="F75" s="878"/>
      <c r="G75" s="879"/>
      <c r="H75" s="879"/>
      <c r="I75" s="887"/>
      <c r="J75" s="888"/>
      <c r="K75" s="888"/>
      <c r="L75" s="888"/>
      <c r="M75" s="888"/>
      <c r="N75" s="888"/>
      <c r="O75" s="888"/>
      <c r="P75" s="891"/>
      <c r="Q75" s="911"/>
      <c r="R75" s="899"/>
      <c r="S75" s="899"/>
      <c r="T75" s="899"/>
      <c r="U75" s="899"/>
      <c r="V75" s="899"/>
      <c r="W75" s="899"/>
      <c r="X75" s="899"/>
      <c r="Y75" s="899"/>
      <c r="Z75" s="899"/>
      <c r="AA75" s="899"/>
      <c r="AB75" s="899"/>
      <c r="AC75" s="899"/>
      <c r="AD75" s="899"/>
      <c r="AE75" s="899"/>
      <c r="AF75" s="899"/>
      <c r="AG75" s="899"/>
      <c r="AH75" s="899"/>
      <c r="AI75" s="899"/>
      <c r="AJ75" s="899"/>
      <c r="AK75" s="899"/>
      <c r="AL75" s="899"/>
      <c r="AM75" s="899"/>
      <c r="AN75" s="899"/>
      <c r="AO75" s="899"/>
      <c r="AP75" s="899"/>
      <c r="AQ75" s="899"/>
      <c r="AR75" s="899"/>
      <c r="AS75" s="899"/>
      <c r="AT75" s="899"/>
      <c r="AU75" s="899"/>
      <c r="AV75" s="899"/>
      <c r="AW75" s="899"/>
      <c r="AX75" s="899"/>
      <c r="AY75" s="899"/>
      <c r="AZ75" s="899"/>
      <c r="BA75" s="899"/>
      <c r="BB75" s="899"/>
      <c r="BC75" s="900"/>
    </row>
    <row r="76" spans="3:55" ht="9" customHeight="1">
      <c r="C76" s="868"/>
      <c r="D76" s="869"/>
      <c r="E76" s="870"/>
      <c r="F76" s="878"/>
      <c r="G76" s="879"/>
      <c r="H76" s="879"/>
      <c r="I76" s="887"/>
      <c r="J76" s="888"/>
      <c r="K76" s="888"/>
      <c r="L76" s="888"/>
      <c r="M76" s="888"/>
      <c r="N76" s="888"/>
      <c r="O76" s="888"/>
      <c r="P76" s="891"/>
      <c r="Q76" s="912"/>
      <c r="R76" s="905"/>
      <c r="S76" s="905"/>
      <c r="T76" s="905"/>
      <c r="U76" s="905"/>
      <c r="V76" s="905"/>
      <c r="W76" s="905"/>
      <c r="X76" s="905"/>
      <c r="Y76" s="905"/>
      <c r="Z76" s="905"/>
      <c r="AA76" s="905"/>
      <c r="AB76" s="905"/>
      <c r="AC76" s="905"/>
      <c r="AD76" s="905"/>
      <c r="AE76" s="905"/>
      <c r="AF76" s="905"/>
      <c r="AG76" s="905"/>
      <c r="AH76" s="905"/>
      <c r="AI76" s="905"/>
      <c r="AJ76" s="905"/>
      <c r="AK76" s="905"/>
      <c r="AL76" s="905"/>
      <c r="AM76" s="905"/>
      <c r="AN76" s="905"/>
      <c r="AO76" s="905"/>
      <c r="AP76" s="905"/>
      <c r="AQ76" s="905"/>
      <c r="AR76" s="905"/>
      <c r="AS76" s="905"/>
      <c r="AT76" s="905"/>
      <c r="AU76" s="905"/>
      <c r="AV76" s="905"/>
      <c r="AW76" s="905"/>
      <c r="AX76" s="905"/>
      <c r="AY76" s="905"/>
      <c r="AZ76" s="905"/>
      <c r="BA76" s="905"/>
      <c r="BB76" s="905"/>
      <c r="BC76" s="906"/>
    </row>
    <row r="77" spans="3:55" ht="9" customHeight="1">
      <c r="C77" s="871"/>
      <c r="D77" s="872"/>
      <c r="E77" s="873"/>
      <c r="F77" s="880"/>
      <c r="G77" s="881"/>
      <c r="H77" s="881"/>
      <c r="I77" s="892"/>
      <c r="J77" s="893"/>
      <c r="K77" s="893"/>
      <c r="L77" s="893"/>
      <c r="M77" s="893"/>
      <c r="N77" s="893"/>
      <c r="O77" s="893"/>
      <c r="P77" s="894"/>
      <c r="Q77" s="913"/>
      <c r="R77" s="902"/>
      <c r="S77" s="902"/>
      <c r="T77" s="902"/>
      <c r="U77" s="902"/>
      <c r="V77" s="902"/>
      <c r="W77" s="902"/>
      <c r="X77" s="902"/>
      <c r="Y77" s="902"/>
      <c r="Z77" s="902"/>
      <c r="AA77" s="902"/>
      <c r="AB77" s="902"/>
      <c r="AC77" s="902"/>
      <c r="AD77" s="902"/>
      <c r="AE77" s="902"/>
      <c r="AF77" s="902"/>
      <c r="AG77" s="902"/>
      <c r="AH77" s="902"/>
      <c r="AI77" s="902"/>
      <c r="AJ77" s="902"/>
      <c r="AK77" s="902"/>
      <c r="AL77" s="902"/>
      <c r="AM77" s="902"/>
      <c r="AN77" s="902"/>
      <c r="AO77" s="902"/>
      <c r="AP77" s="902"/>
      <c r="AQ77" s="902"/>
      <c r="AR77" s="902"/>
      <c r="AS77" s="902"/>
      <c r="AT77" s="902"/>
      <c r="AU77" s="902"/>
      <c r="AV77" s="902"/>
      <c r="AW77" s="902"/>
      <c r="AX77" s="902"/>
      <c r="AY77" s="902"/>
      <c r="AZ77" s="902"/>
      <c r="BA77" s="902"/>
      <c r="BB77" s="902"/>
      <c r="BC77" s="903"/>
    </row>
    <row r="78" spans="3:55" ht="9.75" customHeight="1">
      <c r="D78" s="864" t="s">
        <v>730</v>
      </c>
      <c r="E78" s="864"/>
      <c r="F78" s="864"/>
      <c r="G78" s="864"/>
      <c r="H78" s="864"/>
      <c r="I78" s="864"/>
      <c r="J78" s="864"/>
      <c r="K78" s="864"/>
      <c r="L78" s="864"/>
      <c r="M78" s="864"/>
      <c r="N78" s="864"/>
      <c r="O78" s="864"/>
      <c r="P78" s="864"/>
      <c r="Q78" s="864"/>
    </row>
    <row r="79" spans="3:55" ht="9.75" customHeight="1"/>
    <row r="80" spans="3:55" ht="9.75" customHeight="1"/>
    <row r="81" ht="9.75" customHeight="1"/>
    <row r="82" ht="9.75" customHeight="1"/>
    <row r="83" ht="9.75" customHeight="1"/>
    <row r="84" ht="9.75" customHeight="1"/>
    <row r="85" ht="9.75" customHeight="1"/>
    <row r="86" ht="9.75" customHeight="1"/>
    <row r="87" ht="9.75" customHeight="1"/>
    <row r="88" ht="9.75" customHeight="1"/>
    <row r="89" ht="9.75" customHeight="1"/>
    <row r="90" ht="9.75" customHeight="1"/>
    <row r="91" ht="9.75" customHeight="1"/>
    <row r="92" ht="9.75" customHeight="1"/>
    <row r="93" ht="9.75" customHeight="1"/>
    <row r="94" ht="9.75" customHeight="1"/>
    <row r="95" ht="9.75" customHeight="1"/>
    <row r="96" ht="9.75" customHeight="1"/>
    <row r="97" ht="9.75" customHeight="1"/>
    <row r="98" ht="9.75" customHeight="1"/>
    <row r="99" ht="9.75" customHeight="1"/>
    <row r="100" ht="9.75" customHeight="1"/>
    <row r="101" ht="9.75" customHeight="1"/>
    <row r="102" ht="9.75" customHeight="1"/>
    <row r="103" ht="9.75" customHeight="1"/>
    <row r="104" ht="9.75" customHeight="1"/>
    <row r="105" ht="9.75" customHeight="1"/>
    <row r="106" ht="9.75" customHeight="1"/>
    <row r="107" ht="9.75" customHeight="1"/>
    <row r="108" ht="9.75" customHeight="1"/>
    <row r="109" ht="9.75" customHeight="1"/>
    <row r="110" ht="9.75" customHeight="1"/>
    <row r="111" ht="9.75" customHeight="1"/>
    <row r="112" ht="9.75" customHeight="1"/>
    <row r="113" ht="9.75" customHeight="1"/>
    <row r="114" ht="9.75" customHeight="1"/>
    <row r="115" ht="9.75" customHeight="1"/>
    <row r="116" ht="9.75" customHeight="1"/>
    <row r="117" ht="9.75" customHeight="1"/>
    <row r="118" ht="9.75" customHeight="1"/>
    <row r="119" ht="9.75" customHeight="1"/>
    <row r="120" ht="9.75" customHeight="1"/>
    <row r="121" ht="9.75" customHeight="1"/>
    <row r="122" ht="9.75" customHeight="1"/>
    <row r="123" ht="9.75" customHeight="1"/>
    <row r="124" ht="9.75" customHeight="1"/>
    <row r="125" ht="9.75" customHeight="1"/>
    <row r="126" ht="9.75" customHeight="1"/>
    <row r="127" ht="9.75" customHeight="1"/>
    <row r="128" ht="9.75" customHeight="1"/>
    <row r="129" ht="9.75" customHeight="1"/>
    <row r="130" ht="9.75" customHeight="1"/>
    <row r="131" ht="9.75" customHeight="1"/>
    <row r="132" ht="9.75" customHeight="1"/>
    <row r="133" ht="9.75" customHeight="1"/>
    <row r="134" ht="9.75" customHeight="1"/>
    <row r="135" ht="9.75" customHeight="1"/>
    <row r="136" ht="9.75" customHeight="1"/>
    <row r="137" ht="9.75" customHeight="1"/>
    <row r="138" ht="9.75" customHeight="1"/>
    <row r="139" ht="9.75" customHeight="1"/>
    <row r="140" ht="9.75" customHeight="1"/>
    <row r="141" ht="9.75" customHeight="1"/>
    <row r="142" ht="9.75" customHeight="1"/>
    <row r="143" ht="9.75" customHeight="1"/>
    <row r="144" ht="9.75" customHeight="1"/>
    <row r="145" ht="9.75" customHeight="1"/>
    <row r="146" ht="9.75" customHeight="1"/>
    <row r="147" ht="9.75" customHeight="1"/>
    <row r="148" ht="9.75" customHeight="1"/>
    <row r="149" ht="9.75" customHeight="1"/>
    <row r="150" ht="9.75" customHeight="1"/>
    <row r="151" ht="9.75" customHeight="1"/>
    <row r="152" ht="9.75" customHeight="1"/>
    <row r="153" ht="9.75" customHeight="1"/>
    <row r="154" ht="9.75" customHeight="1"/>
    <row r="155" ht="9.75" customHeight="1"/>
    <row r="156" ht="9.75" customHeight="1"/>
    <row r="157" ht="9.75" customHeight="1"/>
    <row r="158" ht="9.75" customHeight="1"/>
    <row r="159" ht="9.75" customHeight="1"/>
    <row r="160" ht="9.75" customHeight="1"/>
    <row r="161" ht="9.75" customHeight="1"/>
    <row r="162" ht="9.75" customHeight="1"/>
    <row r="163" ht="9.75" customHeight="1"/>
    <row r="164" ht="9.75" customHeight="1"/>
    <row r="165" ht="9.75" customHeight="1"/>
    <row r="166" ht="9.75" customHeight="1"/>
    <row r="167" ht="9.75" customHeight="1"/>
    <row r="168" ht="9.75" customHeight="1"/>
    <row r="169" ht="9.75" customHeight="1"/>
    <row r="170" ht="9.75" customHeight="1"/>
    <row r="171" ht="9.75" customHeight="1"/>
    <row r="172" ht="9.75" customHeight="1"/>
    <row r="173" ht="9.75" customHeight="1"/>
    <row r="174" ht="9.75" customHeight="1"/>
    <row r="175" ht="9.75" customHeight="1"/>
    <row r="176" ht="9.75" customHeight="1"/>
    <row r="177" ht="9.75" customHeight="1"/>
    <row r="178" ht="9.75" customHeight="1"/>
    <row r="179" ht="9.75" customHeight="1"/>
    <row r="180" ht="9.75" customHeight="1"/>
    <row r="181" ht="9.75" customHeight="1"/>
    <row r="182" ht="9.75" customHeight="1"/>
    <row r="183" ht="9.75" customHeight="1"/>
    <row r="184" ht="9.75" customHeight="1"/>
    <row r="185" ht="9.75" customHeight="1"/>
    <row r="186" ht="9.75" customHeight="1"/>
    <row r="187" ht="9.75" customHeight="1"/>
    <row r="188" ht="9.75" customHeight="1"/>
    <row r="189" ht="9.75" customHeight="1"/>
    <row r="190" ht="9.75" customHeight="1"/>
    <row r="191" ht="9.75" customHeight="1"/>
    <row r="192" ht="9.75" customHeight="1"/>
    <row r="193" ht="9.75" customHeight="1"/>
    <row r="194" ht="9.75" customHeight="1"/>
    <row r="195" ht="9.75" customHeight="1"/>
    <row r="196" ht="9.75" customHeight="1"/>
    <row r="197" ht="9.75" customHeight="1"/>
    <row r="198" ht="9.75" customHeight="1"/>
    <row r="199" ht="9.75" customHeight="1"/>
    <row r="200" ht="9.75" customHeight="1"/>
    <row r="201" ht="9.75" customHeight="1"/>
    <row r="202" ht="9.75" customHeight="1"/>
    <row r="203" ht="9.75" customHeight="1"/>
    <row r="204" ht="9.75" customHeight="1"/>
    <row r="205" ht="9.75" customHeight="1"/>
    <row r="206" ht="9.75" customHeight="1"/>
    <row r="207" ht="9.75" customHeight="1"/>
    <row r="208" ht="9.75" customHeight="1"/>
    <row r="209" ht="9.75" customHeight="1"/>
    <row r="210" ht="9.75" customHeight="1"/>
    <row r="211" ht="9.75" customHeight="1"/>
    <row r="212" ht="9.75" customHeight="1"/>
    <row r="213" ht="9.75" customHeight="1"/>
    <row r="214" ht="9.75" customHeight="1"/>
    <row r="215" ht="9.75" customHeight="1"/>
    <row r="216" ht="9.75" customHeight="1"/>
    <row r="217" ht="9.75" customHeight="1"/>
    <row r="218" ht="9.75" customHeight="1"/>
    <row r="219" ht="9.75" customHeight="1"/>
    <row r="220" ht="9.75" customHeight="1"/>
    <row r="221" ht="9.75" customHeight="1"/>
    <row r="222" ht="9.75" customHeight="1"/>
    <row r="223" ht="9.75" customHeight="1"/>
    <row r="224" ht="9.75" customHeight="1"/>
    <row r="225" ht="9.75" customHeight="1"/>
    <row r="226" ht="9.75" customHeight="1"/>
    <row r="227" ht="9.75" customHeight="1"/>
    <row r="228" ht="9.75" customHeight="1"/>
    <row r="229" ht="9.75" customHeight="1"/>
    <row r="230" ht="9.75" customHeight="1"/>
    <row r="231" ht="9.75" customHeight="1"/>
    <row r="232" ht="9.75" customHeight="1"/>
    <row r="233" ht="9.75" customHeight="1"/>
    <row r="234" ht="9.75" customHeight="1"/>
    <row r="235" ht="9.75" customHeight="1"/>
    <row r="236" ht="9.75" customHeight="1"/>
    <row r="237" ht="9.75" customHeight="1"/>
    <row r="238" ht="9.75" customHeight="1"/>
    <row r="239" ht="9.75" customHeight="1"/>
    <row r="240" ht="9.75" customHeight="1"/>
    <row r="241" ht="9.75" customHeight="1"/>
    <row r="242" ht="9.75" customHeight="1"/>
    <row r="243" ht="9.75" customHeight="1"/>
    <row r="244" ht="9.75" customHeight="1"/>
    <row r="245" ht="9.75" customHeight="1"/>
    <row r="246" ht="9.75" customHeight="1"/>
    <row r="247" ht="9.75" customHeight="1"/>
    <row r="248" ht="9.75" customHeight="1"/>
    <row r="249" ht="9.75" customHeight="1"/>
    <row r="250" ht="9.75" customHeight="1"/>
    <row r="251" ht="9.75" customHeight="1"/>
    <row r="252" ht="9.75" customHeight="1"/>
    <row r="253" ht="9.75" customHeight="1"/>
    <row r="254" ht="9.75" customHeight="1"/>
    <row r="255" ht="9.75" customHeight="1"/>
    <row r="256" ht="9.75" customHeight="1"/>
    <row r="257" ht="9.75" customHeight="1"/>
    <row r="258" ht="9.75" customHeight="1"/>
    <row r="259" ht="9.75" customHeight="1"/>
    <row r="260" ht="9.75" customHeight="1"/>
    <row r="261" ht="9.75" customHeight="1"/>
    <row r="262" ht="9.75" customHeight="1"/>
    <row r="263" ht="9.75" customHeight="1"/>
    <row r="264" ht="9.75" customHeight="1"/>
    <row r="265" ht="9.75" customHeight="1"/>
    <row r="266" ht="9.75" customHeight="1"/>
    <row r="267" ht="9.75" customHeight="1"/>
    <row r="268" ht="9.75" customHeight="1"/>
    <row r="269" ht="9.75" customHeight="1"/>
    <row r="270" ht="9.75" customHeight="1"/>
    <row r="271" ht="9.75" customHeight="1"/>
    <row r="272" ht="9.75" customHeight="1"/>
    <row r="273" ht="9.75" customHeight="1"/>
    <row r="274" ht="9.75" customHeight="1"/>
    <row r="275" ht="9.75" customHeight="1"/>
    <row r="276" ht="9.75" customHeight="1"/>
    <row r="277" ht="9.75" customHeight="1"/>
    <row r="278" ht="9.75" customHeight="1"/>
    <row r="279" ht="9.75" customHeight="1"/>
    <row r="280" ht="9.75" customHeight="1"/>
    <row r="281" ht="9.75" customHeight="1"/>
    <row r="282" ht="9.75" customHeight="1"/>
    <row r="283" ht="9.75" customHeight="1"/>
    <row r="284" ht="9.75" customHeight="1"/>
    <row r="285" ht="9.75" customHeight="1"/>
    <row r="286" ht="9.75" customHeight="1"/>
    <row r="287" ht="9.75" customHeight="1"/>
    <row r="288" ht="9.75" customHeight="1"/>
    <row r="289" ht="9.75" customHeight="1"/>
    <row r="290" ht="9.75" customHeight="1"/>
    <row r="291" ht="9.75" customHeight="1"/>
    <row r="292" ht="9.75" customHeight="1"/>
    <row r="293" ht="9.75" customHeight="1"/>
    <row r="294" ht="9.75" customHeight="1"/>
    <row r="295" ht="9.75" customHeight="1"/>
    <row r="296" ht="9.75" customHeight="1"/>
    <row r="297" ht="9.75" customHeight="1"/>
    <row r="298" ht="9.75" customHeight="1"/>
    <row r="299" ht="9.75" customHeight="1"/>
    <row r="300" ht="9.75" customHeight="1"/>
    <row r="301" ht="9.75" customHeight="1"/>
    <row r="302" ht="9.75" customHeight="1"/>
    <row r="303" ht="9.75" customHeight="1"/>
    <row r="304" ht="9.75" customHeight="1"/>
    <row r="305" ht="9.75" customHeight="1"/>
    <row r="306" ht="9.75" customHeight="1"/>
    <row r="307" ht="9.75" customHeight="1"/>
    <row r="308" ht="9.75" customHeight="1"/>
    <row r="309" ht="9.75" customHeight="1"/>
    <row r="310" ht="9.75" customHeight="1"/>
    <row r="311" ht="9.75" customHeight="1"/>
    <row r="312" ht="9.75" customHeight="1"/>
    <row r="313" ht="9.75" customHeight="1"/>
    <row r="314" ht="9.75" customHeight="1"/>
    <row r="315" ht="9.75" customHeight="1"/>
    <row r="316" ht="9.75" customHeight="1"/>
    <row r="317" ht="9.75" customHeight="1"/>
    <row r="318" ht="9.75" customHeight="1"/>
    <row r="319" ht="9.75" customHeight="1"/>
    <row r="320" ht="9.75" customHeight="1"/>
    <row r="321" ht="9.75" customHeight="1"/>
    <row r="322" ht="9.75" customHeight="1"/>
    <row r="323" ht="9.75" customHeight="1"/>
    <row r="324" ht="9.75" customHeight="1"/>
    <row r="325" ht="9.75" customHeight="1"/>
    <row r="326" ht="9.75" customHeight="1"/>
    <row r="327" ht="9.75" customHeight="1"/>
    <row r="328" ht="9.75" customHeight="1"/>
    <row r="329" ht="9.75" customHeight="1"/>
    <row r="330" ht="9.75" customHeight="1"/>
    <row r="331" ht="9.75" customHeight="1"/>
    <row r="332" ht="9.75" customHeight="1"/>
    <row r="333" ht="9.75" customHeight="1"/>
    <row r="334" ht="9.75" customHeight="1"/>
    <row r="335" ht="9.75" customHeight="1"/>
    <row r="336" ht="9.75" customHeight="1"/>
    <row r="337" ht="9.75" customHeight="1"/>
    <row r="338" ht="9.75" customHeight="1"/>
    <row r="339" ht="9.75" customHeight="1"/>
    <row r="340" ht="9.75" customHeight="1"/>
    <row r="341" ht="9.75" customHeight="1"/>
    <row r="342" ht="9.75" customHeight="1"/>
    <row r="343" ht="9.75" customHeight="1"/>
    <row r="344" ht="9.75" customHeight="1"/>
    <row r="345" ht="9.75" customHeight="1"/>
    <row r="346" ht="9.75" customHeight="1"/>
    <row r="347" ht="9.75" customHeight="1"/>
    <row r="348" ht="9.75" customHeight="1"/>
    <row r="349" ht="9.75" customHeight="1"/>
    <row r="350" ht="9.75" customHeight="1"/>
    <row r="351" ht="9.75" customHeight="1"/>
    <row r="352" ht="9.75" customHeight="1"/>
    <row r="353" ht="9.75" customHeight="1"/>
    <row r="354" ht="9.75" customHeight="1"/>
    <row r="355" ht="9.75" customHeight="1"/>
    <row r="356" ht="9.75" customHeight="1"/>
    <row r="357" ht="9.75" customHeight="1"/>
    <row r="358" ht="9.75" customHeight="1"/>
    <row r="359" ht="9.75" customHeight="1"/>
    <row r="360" ht="9.75" customHeight="1"/>
    <row r="361" ht="9.75" customHeight="1"/>
    <row r="362" ht="9.75" customHeight="1"/>
    <row r="363" ht="9.75" customHeight="1"/>
    <row r="364" ht="9.75" customHeight="1"/>
    <row r="365" ht="9.75" customHeight="1"/>
    <row r="366" ht="9.75" customHeight="1"/>
    <row r="367" ht="9.75" customHeight="1"/>
    <row r="368" ht="9.75" customHeight="1"/>
    <row r="369" ht="9.75" customHeight="1"/>
    <row r="370" ht="9.75" customHeight="1"/>
    <row r="371" ht="9.75" customHeight="1"/>
    <row r="372" ht="9.75" customHeight="1"/>
    <row r="373" ht="9.75" customHeight="1"/>
    <row r="374" ht="9.75" customHeight="1"/>
    <row r="375" ht="9.75" customHeight="1"/>
    <row r="376" ht="9.75" customHeight="1"/>
    <row r="377" ht="9.75" customHeight="1"/>
    <row r="378" ht="9.75" customHeight="1"/>
    <row r="379" ht="9.75" customHeight="1"/>
    <row r="380" ht="9.75" customHeight="1"/>
    <row r="381" ht="9.75" customHeight="1"/>
    <row r="382" ht="9.75" customHeight="1"/>
    <row r="383" ht="9.75" customHeight="1"/>
    <row r="384" ht="9.75" customHeight="1"/>
    <row r="385" ht="9.75" customHeight="1"/>
    <row r="386" ht="9.75" customHeight="1"/>
    <row r="387" ht="9.75" customHeight="1"/>
    <row r="388" ht="9.75" customHeight="1"/>
    <row r="389" ht="9.75" customHeight="1"/>
    <row r="390" ht="9.75" customHeight="1"/>
    <row r="391" ht="9.75" customHeight="1"/>
    <row r="392" ht="9.75" customHeight="1"/>
    <row r="393" ht="9.75" customHeight="1"/>
    <row r="394" ht="9.75" customHeight="1"/>
    <row r="395" ht="9.75" customHeight="1"/>
    <row r="396" ht="9.75" customHeight="1"/>
    <row r="397" ht="9.75" customHeight="1"/>
    <row r="398" ht="9.75" customHeight="1"/>
    <row r="399" ht="9.75" customHeight="1"/>
    <row r="400" ht="9.75" customHeight="1"/>
    <row r="401" ht="9.75" customHeight="1"/>
    <row r="402" ht="9.75" customHeight="1"/>
    <row r="403" ht="9.75" customHeight="1"/>
    <row r="404" ht="9.75" customHeight="1"/>
    <row r="405" ht="9.75" customHeight="1"/>
    <row r="406" ht="9.75" customHeight="1"/>
    <row r="407" ht="9.75" customHeight="1"/>
    <row r="408" ht="9.75" customHeight="1"/>
    <row r="409" ht="9.75" customHeight="1"/>
    <row r="410" ht="9.75" customHeight="1"/>
    <row r="411" ht="9.75" customHeight="1"/>
    <row r="412" ht="9.75" customHeight="1"/>
    <row r="413" ht="9.75" customHeight="1"/>
    <row r="414" ht="9.75" customHeight="1"/>
    <row r="415" ht="9.75" customHeight="1"/>
    <row r="416" ht="9.75" customHeight="1"/>
    <row r="417" ht="9.75" customHeight="1"/>
  </sheetData>
  <mergeCells count="99">
    <mergeCell ref="BG13:DC14"/>
    <mergeCell ref="AT14:BC15"/>
    <mergeCell ref="C56:M56"/>
    <mergeCell ref="N56:BC56"/>
    <mergeCell ref="O40:AA42"/>
    <mergeCell ref="AM52:BC54"/>
    <mergeCell ref="AT49:BC51"/>
    <mergeCell ref="C49:M51"/>
    <mergeCell ref="N49:N51"/>
    <mergeCell ref="O49:U51"/>
    <mergeCell ref="V49:AO51"/>
    <mergeCell ref="AP49:AS51"/>
    <mergeCell ref="AP40:AS42"/>
    <mergeCell ref="AT40:BC42"/>
    <mergeCell ref="C40:M42"/>
    <mergeCell ref="N40:N42"/>
    <mergeCell ref="D78:Q78"/>
    <mergeCell ref="C57:BC57"/>
    <mergeCell ref="C58:BC58"/>
    <mergeCell ref="C59:E77"/>
    <mergeCell ref="F59:P59"/>
    <mergeCell ref="Q59:BC59"/>
    <mergeCell ref="F60:H77"/>
    <mergeCell ref="I60:P65"/>
    <mergeCell ref="Q60:BC62"/>
    <mergeCell ref="Q63:BC65"/>
    <mergeCell ref="I66:P71"/>
    <mergeCell ref="Q66:BC68"/>
    <mergeCell ref="Q72:BC74"/>
    <mergeCell ref="Q75:BC77"/>
    <mergeCell ref="Q69:BC71"/>
    <mergeCell ref="I72:P77"/>
    <mergeCell ref="O52:AE54"/>
    <mergeCell ref="AF52:AL54"/>
    <mergeCell ref="N46:V48"/>
    <mergeCell ref="W46:BC48"/>
    <mergeCell ref="C43:M45"/>
    <mergeCell ref="C55:BC55"/>
    <mergeCell ref="C34:M36"/>
    <mergeCell ref="N34:N36"/>
    <mergeCell ref="O34:BC36"/>
    <mergeCell ref="C37:M39"/>
    <mergeCell ref="N37:N39"/>
    <mergeCell ref="O37:U39"/>
    <mergeCell ref="V37:V39"/>
    <mergeCell ref="W37:AD39"/>
    <mergeCell ref="AE37:BC37"/>
    <mergeCell ref="AE38:BC38"/>
    <mergeCell ref="AE39:BC39"/>
    <mergeCell ref="AB40:AO42"/>
    <mergeCell ref="N43:BC45"/>
    <mergeCell ref="C46:M48"/>
    <mergeCell ref="C52:M54"/>
    <mergeCell ref="C28:M30"/>
    <mergeCell ref="N28:N30"/>
    <mergeCell ref="O28:AO30"/>
    <mergeCell ref="AP28:AS30"/>
    <mergeCell ref="AT28:BC30"/>
    <mergeCell ref="C31:M33"/>
    <mergeCell ref="N31:N33"/>
    <mergeCell ref="O31:AM33"/>
    <mergeCell ref="AN31:AT33"/>
    <mergeCell ref="AU31:BC33"/>
    <mergeCell ref="AM20:BC21"/>
    <mergeCell ref="C18:M19"/>
    <mergeCell ref="N18:T19"/>
    <mergeCell ref="U18:X19"/>
    <mergeCell ref="Y18:AD19"/>
    <mergeCell ref="AE18:AL19"/>
    <mergeCell ref="AM18:BC19"/>
    <mergeCell ref="C20:M21"/>
    <mergeCell ref="N20:T21"/>
    <mergeCell ref="U20:X21"/>
    <mergeCell ref="Y20:AD21"/>
    <mergeCell ref="AE20:AL21"/>
    <mergeCell ref="C22:M24"/>
    <mergeCell ref="N22:N24"/>
    <mergeCell ref="O22:BC24"/>
    <mergeCell ref="C25:M27"/>
    <mergeCell ref="N25:N27"/>
    <mergeCell ref="O25:AI27"/>
    <mergeCell ref="AJ25:AP27"/>
    <mergeCell ref="AQ25:BC27"/>
    <mergeCell ref="C9:I9"/>
    <mergeCell ref="O3:AM5"/>
    <mergeCell ref="AM16:BC17"/>
    <mergeCell ref="C10:BC10"/>
    <mergeCell ref="C11:M13"/>
    <mergeCell ref="N11:N13"/>
    <mergeCell ref="O11:BC13"/>
    <mergeCell ref="C14:M15"/>
    <mergeCell ref="O14:X15"/>
    <mergeCell ref="C16:M17"/>
    <mergeCell ref="N16:T17"/>
    <mergeCell ref="U16:X17"/>
    <mergeCell ref="Y16:AD17"/>
    <mergeCell ref="AE16:AL17"/>
    <mergeCell ref="AY4:BD4"/>
    <mergeCell ref="Y14:AS15"/>
  </mergeCells>
  <phoneticPr fontId="1"/>
  <conditionalFormatting sqref="W37:AD39">
    <cfRule type="cellIs" dxfId="23" priority="1" operator="lessThan">
      <formula>$O$37</formula>
    </cfRule>
  </conditionalFormatting>
  <pageMargins left="0.51181102362204722" right="3.937007874015748E-2" top="0.47244094488188981" bottom="0.27559055118110237" header="0.35433070866141736" footer="7.874015748031496E-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4">
              <controlPr defaultSize="0" print="0" autoFill="0" autoPict="0" macro="[0]!ImpressionHakenSakiDaicho">
                <anchor moveWithCells="1" sizeWithCells="1">
                  <from>
                    <xdr:col>39</xdr:col>
                    <xdr:colOff>85725</xdr:colOff>
                    <xdr:row>1</xdr:row>
                    <xdr:rowOff>47625</xdr:rowOff>
                  </from>
                  <to>
                    <xdr:col>45</xdr:col>
                    <xdr:colOff>76200</xdr:colOff>
                    <xdr:row>3</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6E2C-6B4E-4FE1-BC44-A13238D220F2}">
  <sheetPr codeName="Hoja4">
    <tabColor rgb="FF00B050"/>
  </sheetPr>
  <dimension ref="A1:AQ72"/>
  <sheetViews>
    <sheetView workbookViewId="0">
      <selection activeCell="B28" sqref="B28:AA28"/>
    </sheetView>
  </sheetViews>
  <sheetFormatPr defaultColWidth="2.6875" defaultRowHeight="12.95" customHeight="1"/>
  <cols>
    <col min="1" max="1" width="1.74609375" style="93" customWidth="1"/>
    <col min="2" max="26" width="3.359375" style="93" customWidth="1"/>
    <col min="27" max="27" width="5.109375" style="93" customWidth="1"/>
    <col min="28" max="28" width="0.8046875" style="93" customWidth="1"/>
    <col min="29" max="29" width="0.94140625" style="93" customWidth="1"/>
    <col min="30" max="30" width="16.27734375" style="93" customWidth="1"/>
    <col min="31" max="16384" width="2.6875" style="93"/>
  </cols>
  <sheetData>
    <row r="1" spans="1:30" s="90" customFormat="1" ht="14.25">
      <c r="A1" s="161">
        <v>1</v>
      </c>
      <c r="B1" s="161" t="str">
        <f ca="1">_xlfn.XLOOKUP(G6,TablaTransfor[カナ],TablaTransfor[ライン])</f>
        <v>Fライン</v>
      </c>
      <c r="C1" s="161"/>
      <c r="D1" s="161"/>
      <c r="E1" s="161"/>
      <c r="F1" s="161"/>
      <c r="G1" s="161"/>
      <c r="H1" s="161"/>
      <c r="I1" s="161"/>
      <c r="J1" s="161"/>
      <c r="K1" s="161"/>
      <c r="L1" s="161"/>
      <c r="M1" s="161"/>
      <c r="N1" s="161"/>
      <c r="O1" s="161"/>
      <c r="P1" s="161"/>
      <c r="Q1" s="161"/>
      <c r="R1" s="161"/>
      <c r="S1" s="161"/>
      <c r="T1" s="161"/>
      <c r="U1" s="161">
        <f ca="1">_xlfn.XLOOKUP($G$6,DBGenzai[カナ],DBGenzai[年齢],"",0,-1)</f>
        <v>30</v>
      </c>
      <c r="V1" s="335">
        <f ca="1">_xlfn.XLOOKUP($G$6,DBGenzai[カナ],DBGenzai[現入社],"",0,-1)</f>
        <v>44690</v>
      </c>
      <c r="W1" s="993" t="e">
        <f ca="1">WORKDAY(_xlfn.XLOOKUP(G6,TablaTransfor[カナ],TablaTransfor[unicosC],"",0,1),0)</f>
        <v>#VALUE!</v>
      </c>
      <c r="X1" s="993"/>
      <c r="Y1" s="993"/>
      <c r="Z1" s="993"/>
      <c r="AA1" s="993"/>
      <c r="AD1" s="153"/>
    </row>
    <row r="2" spans="1:30" s="90" customFormat="1" ht="3.75" hidden="1" customHeight="1"/>
    <row r="3" spans="1:30" ht="8.25" customHeight="1">
      <c r="A3" s="90"/>
      <c r="B3" s="91"/>
      <c r="C3" s="92"/>
      <c r="D3" s="92"/>
      <c r="E3" s="92"/>
      <c r="F3" s="92"/>
      <c r="G3" s="92"/>
      <c r="H3" s="92"/>
      <c r="I3" s="92"/>
      <c r="J3" s="996" t="s">
        <v>1655</v>
      </c>
      <c r="K3" s="996"/>
      <c r="L3" s="996"/>
      <c r="M3" s="996"/>
      <c r="N3" s="996"/>
      <c r="O3" s="996"/>
      <c r="P3" s="996"/>
      <c r="Q3" s="996"/>
      <c r="R3" s="996"/>
      <c r="S3" s="996"/>
      <c r="T3" s="92"/>
      <c r="U3" s="92"/>
      <c r="V3" s="92"/>
      <c r="W3" s="92"/>
      <c r="X3" s="92"/>
      <c r="Y3" s="92"/>
      <c r="Z3" s="92"/>
      <c r="AA3" s="92"/>
      <c r="AB3" s="90"/>
    </row>
    <row r="4" spans="1:30" ht="12.95" customHeight="1">
      <c r="A4" s="90"/>
      <c r="B4" s="92"/>
      <c r="C4" s="92"/>
      <c r="D4" s="92"/>
      <c r="E4" s="92"/>
      <c r="F4" s="92"/>
      <c r="G4" s="92"/>
      <c r="H4" s="92"/>
      <c r="I4" s="92"/>
      <c r="J4" s="996"/>
      <c r="K4" s="996"/>
      <c r="L4" s="996"/>
      <c r="M4" s="996"/>
      <c r="N4" s="996"/>
      <c r="O4" s="996"/>
      <c r="P4" s="996"/>
      <c r="Q4" s="996"/>
      <c r="R4" s="996"/>
      <c r="S4" s="996"/>
      <c r="T4" s="92"/>
      <c r="U4" s="92"/>
      <c r="V4" s="92"/>
      <c r="W4" s="92"/>
      <c r="X4" s="92"/>
      <c r="Y4" s="92"/>
      <c r="Z4" s="92"/>
      <c r="AA4" s="92"/>
      <c r="AB4" s="90"/>
    </row>
    <row r="5" spans="1:30" ht="6.75" customHeight="1">
      <c r="A5" s="90"/>
      <c r="B5" s="94"/>
      <c r="C5" s="94"/>
      <c r="D5" s="94"/>
      <c r="E5" s="94"/>
      <c r="F5" s="94"/>
      <c r="G5" s="94"/>
      <c r="H5" s="95"/>
      <c r="I5" s="95"/>
      <c r="J5" s="95"/>
      <c r="K5" s="95"/>
      <c r="L5" s="95"/>
      <c r="M5" s="95"/>
      <c r="N5" s="95"/>
      <c r="O5" s="95"/>
      <c r="P5" s="95"/>
      <c r="Q5" s="95"/>
      <c r="R5" s="95"/>
      <c r="S5" s="95"/>
      <c r="T5" s="94"/>
      <c r="U5" s="96"/>
      <c r="V5" s="94"/>
      <c r="W5" s="97"/>
      <c r="X5" s="97"/>
      <c r="Y5" s="97"/>
      <c r="Z5" s="97"/>
      <c r="AA5" s="97"/>
      <c r="AB5" s="90"/>
    </row>
    <row r="6" spans="1:30" ht="12.6" customHeight="1">
      <c r="A6" s="90"/>
      <c r="B6" s="933" t="s">
        <v>1656</v>
      </c>
      <c r="C6" s="934"/>
      <c r="D6" s="934"/>
      <c r="E6" s="934"/>
      <c r="F6" s="98"/>
      <c r="G6" s="997" t="str">
        <f ca="1">VLOOKUP(A1,通知書Genzai!I9:Q66,2,TRUE)</f>
        <v>ハー　ヴィエット　トウイ</v>
      </c>
      <c r="H6" s="997"/>
      <c r="I6" s="997"/>
      <c r="J6" s="997"/>
      <c r="K6" s="997"/>
      <c r="L6" s="997"/>
      <c r="M6" s="997"/>
      <c r="N6" s="997"/>
      <c r="O6" s="997"/>
      <c r="P6" s="997"/>
      <c r="Q6" s="997"/>
      <c r="R6" s="997"/>
      <c r="S6" s="997"/>
      <c r="T6" s="997"/>
      <c r="U6" s="997"/>
      <c r="V6" s="997"/>
      <c r="W6" s="997"/>
      <c r="X6" s="934" t="s">
        <v>1657</v>
      </c>
      <c r="Y6" s="934"/>
      <c r="Z6" s="987" t="str">
        <f ca="1">_xlfn.XLOOKUP(G6,TablaTransfor[カナ],TablaTransfor[性別])</f>
        <v>男</v>
      </c>
      <c r="AA6" s="999"/>
      <c r="AB6" s="90"/>
    </row>
    <row r="7" spans="1:30" ht="14.1" customHeight="1">
      <c r="A7" s="90"/>
      <c r="B7" s="978"/>
      <c r="C7" s="936"/>
      <c r="D7" s="936"/>
      <c r="E7" s="936"/>
      <c r="F7" s="100"/>
      <c r="G7" s="998"/>
      <c r="H7" s="998"/>
      <c r="I7" s="998"/>
      <c r="J7" s="998"/>
      <c r="K7" s="998"/>
      <c r="L7" s="998"/>
      <c r="M7" s="998"/>
      <c r="N7" s="998"/>
      <c r="O7" s="998"/>
      <c r="P7" s="998"/>
      <c r="Q7" s="998"/>
      <c r="R7" s="998"/>
      <c r="S7" s="998"/>
      <c r="T7" s="998"/>
      <c r="U7" s="998"/>
      <c r="V7" s="998"/>
      <c r="W7" s="998"/>
      <c r="X7" s="936"/>
      <c r="Y7" s="936"/>
      <c r="Z7" s="1000"/>
      <c r="AA7" s="1001"/>
      <c r="AB7" s="90"/>
    </row>
    <row r="8" spans="1:30" ht="14.1" customHeight="1">
      <c r="A8" s="90"/>
      <c r="B8" s="994" t="s">
        <v>1658</v>
      </c>
      <c r="C8" s="995"/>
      <c r="D8" s="995"/>
      <c r="E8" s="995"/>
      <c r="F8" s="995"/>
      <c r="G8" s="995"/>
      <c r="H8" s="995"/>
      <c r="I8" s="995"/>
      <c r="J8" s="995" t="s">
        <v>1695</v>
      </c>
      <c r="K8" s="995"/>
      <c r="L8" s="995"/>
      <c r="M8" s="995"/>
      <c r="N8" s="995"/>
      <c r="O8" s="995"/>
      <c r="P8" s="995"/>
      <c r="Q8" s="995"/>
      <c r="R8" s="995"/>
      <c r="S8" s="995"/>
      <c r="T8" s="995"/>
      <c r="U8" s="995"/>
      <c r="V8" s="90"/>
      <c r="W8" s="90"/>
      <c r="X8" s="90"/>
      <c r="Y8" s="90"/>
      <c r="Z8" s="90"/>
      <c r="AA8" s="101"/>
      <c r="AB8" s="90"/>
      <c r="AC8" s="90"/>
    </row>
    <row r="9" spans="1:30" ht="18" customHeight="1">
      <c r="A9" s="90"/>
      <c r="B9" s="963" t="str">
        <f ca="1">_xlfn.XLOOKUP($B$1,TBKaishaInfo[ライン],TBKaishaInfo[派遣先])</f>
        <v>高雄工業株式会社</v>
      </c>
      <c r="C9" s="964"/>
      <c r="D9" s="964"/>
      <c r="E9" s="964"/>
      <c r="F9" s="964"/>
      <c r="G9" s="964"/>
      <c r="H9" s="964"/>
      <c r="I9" s="964"/>
      <c r="J9" s="969" t="str" cm="1">
        <f t="array" aca="1" ref="J9" ca="1">_xlfn.XLOOKUP($B$1,TBKaishaInfo[ライン],TBKaishaInfo[派遣先]&amp;" "&amp;TBKaishaInfo[工場名])</f>
        <v>高雄工業株式会社 本社工場</v>
      </c>
      <c r="K9" s="969"/>
      <c r="L9" s="969"/>
      <c r="M9" s="969"/>
      <c r="N9" s="969"/>
      <c r="O9" s="969"/>
      <c r="P9" s="969"/>
      <c r="Q9" s="969"/>
      <c r="R9" s="969"/>
      <c r="S9" s="969"/>
      <c r="T9" s="969"/>
      <c r="U9" s="969"/>
      <c r="V9" s="137"/>
      <c r="W9" s="137"/>
      <c r="X9" s="137"/>
      <c r="Y9" s="137"/>
      <c r="Z9" s="137"/>
      <c r="AA9" s="138"/>
      <c r="AB9" s="90"/>
      <c r="AC9" s="90"/>
    </row>
    <row r="10" spans="1:30" ht="14.1" customHeight="1">
      <c r="A10" s="90"/>
      <c r="B10" s="144" t="s">
        <v>1659</v>
      </c>
      <c r="C10" s="98"/>
      <c r="D10" s="98"/>
      <c r="E10" s="98"/>
      <c r="F10" s="98"/>
      <c r="G10" s="98"/>
      <c r="H10" s="98"/>
      <c r="I10" s="98"/>
      <c r="J10" s="98"/>
      <c r="K10" s="98"/>
      <c r="L10" s="98"/>
      <c r="M10" s="98"/>
      <c r="N10" s="98"/>
      <c r="O10" s="98"/>
      <c r="P10" s="98"/>
      <c r="Q10" s="98"/>
      <c r="R10" s="98"/>
      <c r="S10" s="98"/>
      <c r="T10" s="98"/>
      <c r="U10" s="98"/>
      <c r="V10" s="933" t="s">
        <v>1904</v>
      </c>
      <c r="W10" s="934"/>
      <c r="X10" s="934"/>
      <c r="Y10" s="934"/>
      <c r="Z10" s="934"/>
      <c r="AA10" s="982"/>
    </row>
    <row r="11" spans="1:30" ht="10.7" customHeight="1">
      <c r="A11" s="90"/>
      <c r="B11" s="1006" t="s">
        <v>1660</v>
      </c>
      <c r="C11" s="941"/>
      <c r="D11" s="941"/>
      <c r="E11" s="90"/>
      <c r="F11" s="90"/>
      <c r="G11" s="103"/>
      <c r="H11" s="90"/>
      <c r="I11" s="90"/>
      <c r="J11" s="145" t="s">
        <v>1661</v>
      </c>
      <c r="K11" s="145"/>
      <c r="L11" s="90"/>
      <c r="M11" s="104"/>
      <c r="N11" s="90"/>
      <c r="O11" s="90"/>
      <c r="P11" s="104"/>
      <c r="Q11" s="104" t="s">
        <v>1662</v>
      </c>
      <c r="R11" s="90"/>
      <c r="S11" s="90"/>
      <c r="T11" s="90"/>
      <c r="U11" s="90"/>
      <c r="V11" s="1003"/>
      <c r="W11" s="1004"/>
      <c r="X11" s="1004"/>
      <c r="Y11" s="1004"/>
      <c r="Z11" s="1004"/>
      <c r="AA11" s="1005"/>
    </row>
    <row r="12" spans="1:30" ht="17.45" customHeight="1">
      <c r="A12" s="90"/>
      <c r="B12" s="968" t="str">
        <f ca="1">_xlfn.XLOOKUP($B$1,TBKaishaInfo[ライン],TBKaishaInfo[工場住所])</f>
        <v>愛知県弥富市楠三丁目13番地2</v>
      </c>
      <c r="C12" s="969"/>
      <c r="D12" s="969"/>
      <c r="E12" s="969"/>
      <c r="F12" s="969"/>
      <c r="G12" s="969"/>
      <c r="H12" s="969"/>
      <c r="I12" s="969"/>
      <c r="J12" s="964" t="str" cm="1">
        <f t="array" aca="1" ref="J12" ca="1">_xlfn.XLOOKUP($B$1,TBKaishaInfo[ライン],TBKaishaInfo[工場名]&amp;" "&amp;TBKaishaInfo[配属先]&amp;" "&amp;TBKaishaInfo[指示命令者部署])</f>
        <v xml:space="preserve">本社工場 製作課 </v>
      </c>
      <c r="K12" s="964"/>
      <c r="L12" s="964"/>
      <c r="M12" s="964"/>
      <c r="N12" s="964"/>
      <c r="O12" s="964"/>
      <c r="P12" s="964"/>
      <c r="Q12" s="964" t="str">
        <f ca="1">_xlfn.XLOOKUP($B$1,TBKaishaInfo[ライン],TBKaishaInfo[工場電話])</f>
        <v>0567-68-8110</v>
      </c>
      <c r="R12" s="964"/>
      <c r="S12" s="964"/>
      <c r="T12" s="964"/>
      <c r="U12" s="964"/>
      <c r="V12" s="972" t="str" cm="1">
        <f t="array" aca="1" ref="V12" ca="1">_xlfn.XLOOKUP($B$1,TBKaishaInfo[ライン],TBKaishaInfo[配属先]&amp;" "&amp;TBKaishaInfo[指示命令者部署])</f>
        <v xml:space="preserve">製作課 </v>
      </c>
      <c r="W12" s="973"/>
      <c r="X12" s="973"/>
      <c r="Y12" s="973"/>
      <c r="Z12" s="973"/>
      <c r="AA12" s="974"/>
    </row>
    <row r="13" spans="1:30" ht="14.1" customHeight="1">
      <c r="A13" s="90"/>
      <c r="B13" s="144" t="s">
        <v>1663</v>
      </c>
      <c r="C13" s="98"/>
      <c r="D13" s="103"/>
      <c r="E13" s="90"/>
      <c r="F13" s="90"/>
      <c r="G13" s="103"/>
      <c r="H13" s="105"/>
      <c r="I13" s="105"/>
      <c r="J13" s="105"/>
      <c r="K13" s="105"/>
      <c r="L13" s="105"/>
      <c r="M13" s="105"/>
      <c r="N13" s="105"/>
      <c r="O13" s="90"/>
      <c r="P13" s="90"/>
      <c r="Q13" s="90"/>
      <c r="R13" s="90"/>
      <c r="S13" s="90"/>
      <c r="T13" s="90"/>
      <c r="U13" s="105"/>
      <c r="V13" s="933" t="s">
        <v>1664</v>
      </c>
      <c r="W13" s="934"/>
      <c r="X13" s="934"/>
      <c r="Y13" s="934"/>
      <c r="Z13" s="934"/>
      <c r="AA13" s="982"/>
      <c r="AB13" s="90"/>
    </row>
    <row r="14" spans="1:30" ht="17.45" customHeight="1">
      <c r="A14" s="90"/>
      <c r="B14" s="978" t="str">
        <f ca="1">IF($A1="","",IF(V1+1095&gt;HakenKikanE,"□無期雇用  ☑有期雇用","☑無期雇用  □有期雇用"))</f>
        <v>☑無期雇用  □有期雇用</v>
      </c>
      <c r="C14" s="936"/>
      <c r="D14" s="936"/>
      <c r="E14" s="936"/>
      <c r="F14" s="936"/>
      <c r="G14" s="936"/>
      <c r="H14" s="936"/>
      <c r="I14" s="936" t="s">
        <v>1696</v>
      </c>
      <c r="J14" s="936"/>
      <c r="K14" s="936"/>
      <c r="L14" s="936"/>
      <c r="M14" s="979" t="str">
        <f ca="1">_xlfn.XLOOKUP($G$6,TablaTransfor[カナ],TablaTransfor[unicosC],"Check",0,1)</f>
        <v>noHayCholo</v>
      </c>
      <c r="N14" s="979"/>
      <c r="O14" s="979"/>
      <c r="P14" s="979"/>
      <c r="Q14" s="102" t="s">
        <v>1665</v>
      </c>
      <c r="R14" s="980">
        <f ca="1">_xlfn.XLOOKUP($G$6,TablaTransfor[カナ],TablaTransfor[unicosF],"Check",0,1)</f>
        <v>46295</v>
      </c>
      <c r="S14" s="980"/>
      <c r="T14" s="980"/>
      <c r="U14" s="981"/>
      <c r="V14" s="975" t="str">
        <f ca="1">IF(U1&lt;60,"□60才以上       ☑ 60才未満","☑60才以上        □ 60才未満")</f>
        <v>□60才以上       ☑ 60才未満</v>
      </c>
      <c r="W14" s="976"/>
      <c r="X14" s="976"/>
      <c r="Y14" s="976"/>
      <c r="Z14" s="976"/>
      <c r="AA14" s="977"/>
      <c r="AB14" s="90"/>
    </row>
    <row r="15" spans="1:30" ht="17.45" customHeight="1">
      <c r="A15" s="90"/>
      <c r="B15" s="930" t="s">
        <v>2070</v>
      </c>
      <c r="C15" s="931"/>
      <c r="D15" s="931"/>
      <c r="E15" s="931"/>
      <c r="F15" s="931"/>
      <c r="G15" s="931"/>
      <c r="H15" s="931"/>
      <c r="I15" s="931"/>
      <c r="J15" s="931"/>
      <c r="K15" s="931"/>
      <c r="L15" s="931"/>
      <c r="M15" s="931"/>
      <c r="N15" s="931"/>
      <c r="O15" s="931" t="s">
        <v>2069</v>
      </c>
      <c r="P15" s="931"/>
      <c r="Q15" s="931"/>
      <c r="R15" s="931"/>
      <c r="S15" s="931"/>
      <c r="T15" s="931"/>
      <c r="U15" s="931"/>
      <c r="V15" s="931"/>
      <c r="W15" s="931"/>
      <c r="X15" s="931"/>
      <c r="Y15" s="931"/>
      <c r="Z15" s="931"/>
      <c r="AA15" s="932"/>
      <c r="AB15" s="90"/>
    </row>
    <row r="16" spans="1:30" ht="17.45" customHeight="1">
      <c r="A16" s="90"/>
      <c r="B16" s="938" t="s">
        <v>2066</v>
      </c>
      <c r="C16" s="939"/>
      <c r="D16" s="939"/>
      <c r="E16" s="939"/>
      <c r="F16" s="939"/>
      <c r="G16" s="939"/>
      <c r="H16" s="940" t="s">
        <v>1842</v>
      </c>
      <c r="I16" s="940"/>
      <c r="J16" s="940"/>
      <c r="K16" s="940"/>
      <c r="L16" s="940"/>
      <c r="M16" s="940"/>
      <c r="N16" s="940"/>
      <c r="O16" s="940"/>
      <c r="P16" s="396"/>
      <c r="Q16" s="396"/>
      <c r="R16" s="396"/>
      <c r="S16" s="396"/>
      <c r="T16" s="396"/>
      <c r="U16" s="396"/>
      <c r="V16" s="396"/>
      <c r="W16" s="396"/>
      <c r="X16" s="396"/>
      <c r="Y16" s="396"/>
      <c r="Z16" s="396"/>
      <c r="AA16" s="397"/>
      <c r="AB16" s="90"/>
    </row>
    <row r="17" spans="1:28" ht="17.45" customHeight="1">
      <c r="A17" s="90"/>
      <c r="B17" s="933" t="s">
        <v>2063</v>
      </c>
      <c r="C17" s="934"/>
      <c r="D17" s="934"/>
      <c r="E17" s="934"/>
      <c r="F17" s="934"/>
      <c r="G17" s="934"/>
      <c r="H17" s="934"/>
      <c r="I17" s="934"/>
      <c r="J17" s="934"/>
      <c r="K17" s="384"/>
      <c r="L17" s="384"/>
      <c r="M17" s="393"/>
      <c r="N17" s="393"/>
      <c r="O17" s="393"/>
      <c r="P17" s="393"/>
      <c r="Q17" s="384"/>
      <c r="R17" s="389"/>
      <c r="S17" s="389"/>
      <c r="T17" s="389"/>
      <c r="U17" s="389"/>
      <c r="V17" s="390"/>
      <c r="W17" s="390"/>
      <c r="X17" s="390"/>
      <c r="Y17" s="390"/>
      <c r="Z17" s="390"/>
      <c r="AA17" s="391"/>
      <c r="AB17" s="90"/>
    </row>
    <row r="18" spans="1:28" ht="17.45" customHeight="1">
      <c r="A18" s="90"/>
      <c r="B18" s="392" t="s">
        <v>2064</v>
      </c>
      <c r="C18" s="137"/>
      <c r="D18" s="137"/>
      <c r="E18" s="137"/>
      <c r="F18" s="137"/>
      <c r="G18" s="137"/>
      <c r="H18" s="137"/>
      <c r="I18" s="137"/>
      <c r="J18" s="394"/>
      <c r="K18" s="394"/>
      <c r="L18" s="394"/>
      <c r="M18" s="394"/>
      <c r="N18" s="394"/>
      <c r="O18" s="394"/>
      <c r="P18" s="935">
        <f ca="1">_xlfn.XLOOKUP($B$1,TBKaishaInfo[ライン],TBKaishaInfo[当該協定期間],0,0,1)</f>
        <v>45747</v>
      </c>
      <c r="Q18" s="935"/>
      <c r="R18" s="935"/>
      <c r="S18" s="935"/>
      <c r="T18" s="936" t="s">
        <v>1888</v>
      </c>
      <c r="U18" s="936"/>
      <c r="V18" s="936"/>
      <c r="W18" s="936"/>
      <c r="X18" s="936"/>
      <c r="Y18" s="936"/>
      <c r="Z18" s="936"/>
      <c r="AA18" s="937"/>
      <c r="AB18" s="90"/>
    </row>
    <row r="19" spans="1:28" ht="14.1" customHeight="1">
      <c r="A19" s="90"/>
      <c r="B19" s="142" t="s">
        <v>1666</v>
      </c>
      <c r="C19" s="90"/>
      <c r="D19" s="90"/>
      <c r="E19" s="961"/>
      <c r="F19" s="961"/>
      <c r="G19" s="961"/>
      <c r="H19" s="961"/>
      <c r="I19" s="961"/>
      <c r="J19" s="961"/>
      <c r="K19" s="961"/>
      <c r="L19" s="961"/>
      <c r="M19" s="961"/>
      <c r="N19" s="961"/>
      <c r="O19" s="961"/>
      <c r="P19" s="961"/>
      <c r="Q19" s="961"/>
      <c r="R19" s="961"/>
      <c r="S19" s="961"/>
      <c r="T19" s="961"/>
      <c r="U19" s="961"/>
      <c r="V19" s="961"/>
      <c r="W19" s="961"/>
      <c r="X19" s="961"/>
      <c r="Y19" s="961"/>
      <c r="Z19" s="961"/>
      <c r="AA19" s="962"/>
      <c r="AB19" s="90"/>
    </row>
    <row r="20" spans="1:28" ht="17.45" customHeight="1">
      <c r="A20" s="90"/>
      <c r="B20" s="968" t="str">
        <f ca="1">_xlfn.XLOOKUP($G$6,DBGenzai[カナ],DBGenzai[仕事内容],"",0,1)</f>
        <v>CVJ部品短軸品の施削加工、NCプログラム修正</v>
      </c>
      <c r="C20" s="969"/>
      <c r="D20" s="969"/>
      <c r="E20" s="969"/>
      <c r="F20" s="969"/>
      <c r="G20" s="969"/>
      <c r="H20" s="969"/>
      <c r="I20" s="969"/>
      <c r="J20" s="969"/>
      <c r="K20" s="969"/>
      <c r="L20" s="969"/>
      <c r="M20" s="969"/>
      <c r="N20" s="969"/>
      <c r="O20" s="969"/>
      <c r="P20" s="969"/>
      <c r="Q20" s="969"/>
      <c r="R20" s="969"/>
      <c r="S20" s="969"/>
      <c r="T20" s="969"/>
      <c r="U20" s="969"/>
      <c r="V20" s="969"/>
      <c r="W20" s="969"/>
      <c r="X20" s="969"/>
      <c r="Y20" s="969"/>
      <c r="Z20" s="969"/>
      <c r="AA20" s="1002"/>
      <c r="AB20" s="90"/>
    </row>
    <row r="21" spans="1:28" ht="14.1" customHeight="1">
      <c r="A21" s="90"/>
      <c r="B21" s="144" t="s">
        <v>1667</v>
      </c>
      <c r="C21" s="98"/>
      <c r="D21" s="98"/>
      <c r="E21" s="98"/>
      <c r="F21" s="98"/>
      <c r="G21" s="98"/>
      <c r="H21" s="98"/>
      <c r="I21" s="98"/>
      <c r="J21" s="98"/>
      <c r="K21" s="98"/>
      <c r="L21" s="98"/>
      <c r="M21" s="144" t="s">
        <v>1668</v>
      </c>
      <c r="N21" s="98"/>
      <c r="O21" s="988" t="str">
        <f ca="1">_xlfn.XLOOKUP($B$1,TBKaishaInfo[ライン],TBKaishaInfo[カレンダー])</f>
        <v>月～金　(シフトに準ずる）休日は、土曜日・日曜日・年末年始（12月27日～1月4日)・GW(4月29日～5月5日)・夏季休暇（8月8日～8月16日)</v>
      </c>
      <c r="P21" s="989"/>
      <c r="Q21" s="989"/>
      <c r="R21" s="989"/>
      <c r="S21" s="989"/>
      <c r="T21" s="989"/>
      <c r="U21" s="989"/>
      <c r="V21" s="989"/>
      <c r="W21" s="989"/>
      <c r="X21" s="989"/>
      <c r="Y21" s="989"/>
      <c r="Z21" s="989"/>
      <c r="AA21" s="990"/>
      <c r="AB21" s="90"/>
    </row>
    <row r="22" spans="1:28" ht="17.45" customHeight="1">
      <c r="A22" s="90"/>
      <c r="B22" s="983" t="str">
        <f ca="1">_xlfn.XLOOKUP($G$6,TablaTransfor[カナ],TablaTransfor[unicosC],"Check",0,1)</f>
        <v>noHayCholo</v>
      </c>
      <c r="C22" s="936"/>
      <c r="D22" s="936"/>
      <c r="E22" s="936"/>
      <c r="F22" s="936"/>
      <c r="G22" s="106" t="s">
        <v>1697</v>
      </c>
      <c r="H22" s="980">
        <f ca="1">_xlfn.XLOOKUP($G$6,TablaTransfor[カナ],TablaTransfor[unicosF],"Check",0,1)</f>
        <v>46295</v>
      </c>
      <c r="I22" s="936"/>
      <c r="J22" s="936"/>
      <c r="K22" s="936"/>
      <c r="L22" s="937"/>
      <c r="M22" s="398"/>
      <c r="N22" s="399"/>
      <c r="O22" s="991"/>
      <c r="P22" s="991"/>
      <c r="Q22" s="991"/>
      <c r="R22" s="991"/>
      <c r="S22" s="991"/>
      <c r="T22" s="991"/>
      <c r="U22" s="991"/>
      <c r="V22" s="991"/>
      <c r="W22" s="991"/>
      <c r="X22" s="991"/>
      <c r="Y22" s="991"/>
      <c r="Z22" s="991"/>
      <c r="AA22" s="992"/>
      <c r="AB22" s="90"/>
    </row>
    <row r="23" spans="1:28" ht="14.1" customHeight="1">
      <c r="A23" s="90"/>
      <c r="B23" s="144" t="s">
        <v>1669</v>
      </c>
      <c r="C23" s="98"/>
      <c r="D23" s="98"/>
      <c r="E23" s="98"/>
      <c r="F23" s="98"/>
      <c r="G23" s="98"/>
      <c r="H23" s="987"/>
      <c r="I23" s="987"/>
      <c r="J23" s="987"/>
      <c r="K23" s="987"/>
      <c r="L23" s="987"/>
      <c r="M23" s="987"/>
      <c r="N23" s="987"/>
      <c r="O23" s="987"/>
      <c r="P23" s="987"/>
      <c r="Q23" s="987"/>
      <c r="R23" s="987"/>
      <c r="S23" s="987"/>
      <c r="T23" s="987"/>
      <c r="U23" s="987"/>
      <c r="V23" s="987"/>
      <c r="W23" s="987"/>
      <c r="X23" s="98"/>
      <c r="Y23" s="98"/>
      <c r="Z23" s="98"/>
      <c r="AA23" s="108"/>
      <c r="AB23" s="90"/>
    </row>
    <row r="24" spans="1:28" ht="17.45" customHeight="1">
      <c r="A24" s="90"/>
      <c r="B24" s="984" t="str">
        <f ca="1">_xlfn.XLOOKUP($B$1,TBKaishaInfo[ライン],TBKaishaInfo[就業時間])</f>
        <v>昼勤：7時00分～15時30分　夜勤：19時00分～3時30分</v>
      </c>
      <c r="C24" s="985"/>
      <c r="D24" s="985"/>
      <c r="E24" s="985"/>
      <c r="F24" s="985"/>
      <c r="G24" s="985"/>
      <c r="H24" s="985"/>
      <c r="I24" s="985"/>
      <c r="J24" s="985"/>
      <c r="K24" s="985"/>
      <c r="L24" s="985"/>
      <c r="M24" s="985"/>
      <c r="N24" s="985"/>
      <c r="O24" s="985"/>
      <c r="P24" s="985"/>
      <c r="Q24" s="985"/>
      <c r="R24" s="985"/>
      <c r="S24" s="985"/>
      <c r="T24" s="985"/>
      <c r="U24" s="985"/>
      <c r="V24" s="985"/>
      <c r="W24" s="985"/>
      <c r="X24" s="985"/>
      <c r="Y24" s="985"/>
      <c r="Z24" s="985"/>
      <c r="AA24" s="986"/>
      <c r="AB24" s="90"/>
    </row>
    <row r="25" spans="1:28" ht="17.45" customHeight="1">
      <c r="A25" s="90"/>
      <c r="B25" s="963" t="str">
        <f ca="1">_xlfn.XLOOKUP($B$1,TBKaishaInfo[ライン],TBKaishaInfo[休憩時間])</f>
        <v>昼勤：11時00分～11時45分 まで    夜勤：23時00分～23時45分　まで　（45分）</v>
      </c>
      <c r="C25" s="964"/>
      <c r="D25" s="964"/>
      <c r="E25" s="964"/>
      <c r="F25" s="964"/>
      <c r="G25" s="964"/>
      <c r="H25" s="964"/>
      <c r="I25" s="964"/>
      <c r="J25" s="964"/>
      <c r="K25" s="964"/>
      <c r="L25" s="964"/>
      <c r="M25" s="964"/>
      <c r="N25" s="964"/>
      <c r="O25" s="964"/>
      <c r="P25" s="964"/>
      <c r="Q25" s="964"/>
      <c r="R25" s="964"/>
      <c r="S25" s="964"/>
      <c r="T25" s="964"/>
      <c r="U25" s="964"/>
      <c r="V25" s="964"/>
      <c r="W25" s="964"/>
      <c r="X25" s="964"/>
      <c r="Y25" s="964"/>
      <c r="Z25" s="964"/>
      <c r="AA25" s="965"/>
      <c r="AB25" s="90"/>
    </row>
    <row r="26" spans="1:28" ht="14.1" customHeight="1">
      <c r="A26" s="90"/>
      <c r="B26" s="144" t="s">
        <v>1670</v>
      </c>
      <c r="C26" s="98"/>
      <c r="D26" s="98"/>
      <c r="E26" s="98"/>
      <c r="F26" s="98"/>
      <c r="G26" s="98"/>
      <c r="H26" s="98"/>
      <c r="I26" s="98"/>
      <c r="J26" s="98"/>
      <c r="K26" s="139"/>
      <c r="L26" s="139"/>
      <c r="M26" s="139"/>
      <c r="N26" s="139"/>
      <c r="O26" s="139"/>
      <c r="P26" s="139"/>
      <c r="Q26" s="139"/>
      <c r="R26" s="139"/>
      <c r="S26" s="139"/>
      <c r="T26" s="139"/>
      <c r="U26" s="139"/>
      <c r="V26" s="139"/>
      <c r="W26" s="139"/>
      <c r="X26" s="139"/>
      <c r="Y26" s="139"/>
      <c r="Z26" s="98"/>
      <c r="AA26" s="108"/>
      <c r="AB26" s="90"/>
    </row>
    <row r="27" spans="1:28" ht="14.1" customHeight="1">
      <c r="A27" s="90"/>
      <c r="B27" s="966" t="str">
        <f ca="1">_xlfn.XLOOKUP($B$1,TBKaishaInfo[ライン],TBKaishaInfo[就業日外労働])</f>
        <v>１ヶ月に２日の範囲内で命ずることができる。</v>
      </c>
      <c r="C27" s="967"/>
      <c r="D27" s="967"/>
      <c r="E27" s="967"/>
      <c r="F27" s="967"/>
      <c r="G27" s="967"/>
      <c r="H27" s="967"/>
      <c r="I27" s="967"/>
      <c r="J27" s="967"/>
      <c r="K27" s="967"/>
      <c r="L27" s="967"/>
      <c r="M27" s="967"/>
      <c r="N27" s="967"/>
      <c r="O27" s="967"/>
      <c r="P27" s="967"/>
      <c r="Q27" s="141"/>
      <c r="R27" s="141"/>
      <c r="S27" s="141"/>
      <c r="T27" s="141"/>
      <c r="U27" s="141"/>
      <c r="V27" s="141"/>
      <c r="W27" s="141"/>
      <c r="X27" s="141"/>
      <c r="Y27" s="141"/>
      <c r="Z27" s="90"/>
      <c r="AA27" s="101"/>
      <c r="AB27" s="90"/>
    </row>
    <row r="28" spans="1:28" ht="17.45" customHeight="1">
      <c r="A28" s="90"/>
      <c r="B28" s="963" t="str">
        <f ca="1">_xlfn.XLOOKUP($B$1,TBKaishaInfo[ライン],TBKaishaInfo[時間外労働])</f>
        <v>3時間/日、42時間/月、320時間/年迄とする。但し、特別条項の申請により、80時間/月、720時間/年迄延長できる。申請は6回/年迄とする。</v>
      </c>
      <c r="C28" s="964"/>
      <c r="D28" s="964"/>
      <c r="E28" s="964"/>
      <c r="F28" s="964"/>
      <c r="G28" s="964"/>
      <c r="H28" s="964"/>
      <c r="I28" s="964"/>
      <c r="J28" s="964"/>
      <c r="K28" s="964"/>
      <c r="L28" s="964"/>
      <c r="M28" s="964"/>
      <c r="N28" s="964"/>
      <c r="O28" s="964"/>
      <c r="P28" s="964"/>
      <c r="Q28" s="964"/>
      <c r="R28" s="964"/>
      <c r="S28" s="964"/>
      <c r="T28" s="964"/>
      <c r="U28" s="964"/>
      <c r="V28" s="964"/>
      <c r="W28" s="964"/>
      <c r="X28" s="964"/>
      <c r="Y28" s="964"/>
      <c r="Z28" s="964"/>
      <c r="AA28" s="965"/>
      <c r="AB28" s="90"/>
    </row>
    <row r="29" spans="1:28" ht="14.1" customHeight="1">
      <c r="A29" s="90"/>
      <c r="B29" s="144" t="s">
        <v>1671</v>
      </c>
      <c r="C29" s="98"/>
      <c r="D29" s="98"/>
      <c r="E29" s="98"/>
      <c r="F29" s="98"/>
      <c r="G29" s="98"/>
      <c r="H29" s="109"/>
      <c r="I29" s="98"/>
      <c r="J29" s="98"/>
      <c r="K29" s="140"/>
      <c r="L29" s="139"/>
      <c r="M29" s="139"/>
      <c r="N29" s="139"/>
      <c r="O29" s="139"/>
      <c r="P29" s="139"/>
      <c r="Q29" s="139"/>
      <c r="R29" s="139"/>
      <c r="S29" s="139"/>
      <c r="T29" s="139"/>
      <c r="U29" s="139"/>
      <c r="V29" s="139"/>
      <c r="W29" s="98"/>
      <c r="X29" s="98"/>
      <c r="Y29" s="98"/>
      <c r="Z29" s="98"/>
      <c r="AA29" s="108"/>
      <c r="AB29" s="90"/>
    </row>
    <row r="30" spans="1:28" ht="10.7" customHeight="1">
      <c r="A30" s="90"/>
      <c r="B30" s="970" t="s">
        <v>1672</v>
      </c>
      <c r="C30" s="971"/>
      <c r="D30" s="971"/>
      <c r="E30" s="971"/>
      <c r="F30" s="971"/>
      <c r="G30" s="971"/>
      <c r="H30" s="971"/>
      <c r="I30" s="971" t="s">
        <v>1698</v>
      </c>
      <c r="J30" s="971"/>
      <c r="K30" s="971"/>
      <c r="L30" s="971"/>
      <c r="M30" s="971"/>
      <c r="N30" s="971"/>
      <c r="O30" s="971"/>
      <c r="P30" s="971"/>
      <c r="Q30" s="971"/>
      <c r="R30" s="971"/>
      <c r="S30" s="971"/>
      <c r="T30" s="971"/>
      <c r="U30" s="971"/>
      <c r="W30" s="145" t="s">
        <v>1662</v>
      </c>
      <c r="X30" s="90"/>
      <c r="Y30" s="90"/>
      <c r="Z30" s="90"/>
      <c r="AA30" s="101"/>
      <c r="AB30" s="90"/>
    </row>
    <row r="31" spans="1:28" ht="17.45" customHeight="1">
      <c r="A31" s="90"/>
      <c r="B31" s="968" t="str">
        <f ca="1">IF(_xlfn.XLOOKUP($B$1,TBKaishaInfo[ライン],TBKaishaInfo[派遣先責任者部署])=0,"",_xlfn.XLOOKUP($B$1,TBKaishaInfo[ライン],TBKaishaInfo[派遣先責任者部署]))</f>
        <v>愛知事業所</v>
      </c>
      <c r="C31" s="969"/>
      <c r="D31" s="969"/>
      <c r="E31" s="969"/>
      <c r="F31" s="969"/>
      <c r="G31" s="969"/>
      <c r="H31" s="969"/>
      <c r="I31" s="969" t="str">
        <f ca="1">_xlfn.XLOOKUP($B$1,TBKaishaInfo[ライン],TBKaishaInfo[派遣先責任者名])</f>
        <v>副工場長　服部晃昌</v>
      </c>
      <c r="J31" s="969"/>
      <c r="K31" s="969"/>
      <c r="L31" s="969"/>
      <c r="M31" s="969"/>
      <c r="N31" s="969"/>
      <c r="O31" s="969"/>
      <c r="P31" s="969"/>
      <c r="Q31" s="969"/>
      <c r="R31" s="969"/>
      <c r="S31" s="969"/>
      <c r="T31" s="969"/>
      <c r="U31" s="969"/>
      <c r="V31" s="969"/>
      <c r="W31" s="936" t="str">
        <f ca="1">_xlfn.XLOOKUP($B$1,TBKaishaInfo[ライン],TBKaishaInfo[派遣先責任者電話])</f>
        <v>0567-68-8110</v>
      </c>
      <c r="X31" s="936"/>
      <c r="Y31" s="936"/>
      <c r="Z31" s="936"/>
      <c r="AA31" s="937"/>
      <c r="AB31" s="90"/>
    </row>
    <row r="32" spans="1:28" ht="14.1" customHeight="1">
      <c r="A32" s="90"/>
      <c r="B32" s="144" t="s">
        <v>1673</v>
      </c>
      <c r="C32" s="98"/>
      <c r="D32" s="98"/>
      <c r="E32" s="98"/>
      <c r="F32" s="98"/>
      <c r="G32" s="98"/>
      <c r="H32" s="109"/>
      <c r="I32" s="98"/>
      <c r="J32" s="98"/>
      <c r="K32" s="140"/>
      <c r="L32" s="139"/>
      <c r="M32" s="139"/>
      <c r="N32" s="139"/>
      <c r="O32" s="139"/>
      <c r="P32" s="139"/>
      <c r="Q32" s="139"/>
      <c r="R32" s="139"/>
      <c r="S32" s="139"/>
      <c r="T32" s="139"/>
      <c r="U32" s="139"/>
      <c r="V32" s="139"/>
      <c r="W32" s="98"/>
      <c r="X32" s="98"/>
      <c r="Y32" s="98"/>
      <c r="Z32" s="98"/>
      <c r="AA32" s="108"/>
      <c r="AB32" s="90"/>
    </row>
    <row r="33" spans="1:31" ht="10.7" customHeight="1">
      <c r="A33" s="90"/>
      <c r="B33" s="970" t="s">
        <v>1672</v>
      </c>
      <c r="C33" s="971"/>
      <c r="D33" s="971"/>
      <c r="E33" s="971"/>
      <c r="F33" s="971"/>
      <c r="G33" s="971"/>
      <c r="H33" s="971"/>
      <c r="I33" s="971" t="s">
        <v>1698</v>
      </c>
      <c r="J33" s="971"/>
      <c r="K33" s="971"/>
      <c r="L33" s="971"/>
      <c r="M33" s="971"/>
      <c r="N33" s="971"/>
      <c r="O33" s="971"/>
      <c r="P33" s="971"/>
      <c r="Q33" s="971"/>
      <c r="R33" s="971"/>
      <c r="S33" s="971"/>
      <c r="T33" s="971"/>
      <c r="U33" s="971"/>
      <c r="W33" s="145" t="s">
        <v>1662</v>
      </c>
      <c r="X33" s="90"/>
      <c r="Y33" s="90"/>
      <c r="Z33" s="90"/>
      <c r="AA33" s="101"/>
      <c r="AB33" s="90"/>
    </row>
    <row r="34" spans="1:31" ht="17.45" customHeight="1">
      <c r="A34" s="90"/>
      <c r="B34" s="968" t="str">
        <f ca="1">_xlfn.XLOOKUP(B1,TBKaishaInfo[ライン],TBKaishaInfo[派遣元責任者部署],"",0,1)</f>
        <v>営業部</v>
      </c>
      <c r="C34" s="969"/>
      <c r="D34" s="969"/>
      <c r="E34" s="969"/>
      <c r="F34" s="969"/>
      <c r="G34" s="969"/>
      <c r="H34" s="969"/>
      <c r="I34" s="969" t="str">
        <f ca="1">_xlfn.XLOOKUP(B1,TBKaishaInfo[ライン],TBKaishaInfo[派遣元責任者名],"",0,1)</f>
        <v>取締役 ブウ　ティ　サウ</v>
      </c>
      <c r="J34" s="969"/>
      <c r="K34" s="969"/>
      <c r="L34" s="969"/>
      <c r="M34" s="969"/>
      <c r="N34" s="969"/>
      <c r="O34" s="969"/>
      <c r="P34" s="969"/>
      <c r="Q34" s="969"/>
      <c r="R34" s="969"/>
      <c r="S34" s="969"/>
      <c r="T34" s="969"/>
      <c r="U34" s="969"/>
      <c r="V34" s="969"/>
      <c r="W34" s="936" t="str">
        <f ca="1">_xlfn.XLOOKUP(B1,TBKaishaInfo[ライン],TBKaishaInfo[派遣元：苦情処理：電話],"",0,1)</f>
        <v>052-938-8840</v>
      </c>
      <c r="X34" s="936"/>
      <c r="Y34" s="936"/>
      <c r="Z34" s="936"/>
      <c r="AA34" s="937"/>
      <c r="AB34" s="90"/>
    </row>
    <row r="35" spans="1:31" ht="19.5" customHeight="1">
      <c r="A35" s="90"/>
      <c r="B35" s="144" t="s">
        <v>1674</v>
      </c>
      <c r="C35" s="98"/>
      <c r="D35" s="98"/>
      <c r="E35" s="98"/>
      <c r="F35" s="109" t="s">
        <v>1675</v>
      </c>
      <c r="G35" s="98"/>
      <c r="H35" s="109"/>
      <c r="I35" s="98"/>
      <c r="J35" s="98"/>
      <c r="K35" s="98"/>
      <c r="L35" s="98"/>
      <c r="M35" s="98"/>
      <c r="N35" s="98"/>
      <c r="O35" s="98"/>
      <c r="P35" s="98"/>
      <c r="Q35" s="98"/>
      <c r="R35" s="98"/>
      <c r="S35" s="98"/>
      <c r="T35" s="98"/>
      <c r="U35" s="98"/>
      <c r="V35" s="98"/>
      <c r="W35" s="98"/>
      <c r="X35" s="98"/>
      <c r="Y35" s="98"/>
      <c r="Z35" s="98"/>
      <c r="AA35" s="108"/>
      <c r="AB35" s="90"/>
    </row>
    <row r="36" spans="1:31" ht="14.1" customHeight="1">
      <c r="A36" s="90"/>
      <c r="B36" s="144" t="s">
        <v>1676</v>
      </c>
      <c r="C36" s="98"/>
      <c r="D36" s="112"/>
      <c r="E36" s="98"/>
      <c r="F36" s="98"/>
      <c r="G36" s="112"/>
      <c r="H36" s="98"/>
      <c r="I36" s="98"/>
      <c r="J36" s="98"/>
      <c r="K36" s="112"/>
      <c r="L36" s="98"/>
      <c r="M36" s="112"/>
      <c r="N36" s="98"/>
      <c r="O36" s="98"/>
      <c r="P36" s="98"/>
      <c r="Q36" s="98"/>
      <c r="R36" s="98"/>
      <c r="S36" s="98"/>
      <c r="T36" s="98"/>
      <c r="U36" s="112"/>
      <c r="V36" s="98"/>
      <c r="W36" s="98"/>
      <c r="X36" s="98"/>
      <c r="Y36" s="98"/>
      <c r="Z36" s="98"/>
      <c r="AA36" s="108"/>
      <c r="AB36" s="90"/>
    </row>
    <row r="37" spans="1:31" ht="3.6" customHeight="1">
      <c r="A37" s="90"/>
      <c r="B37" s="113"/>
      <c r="C37" s="90"/>
      <c r="D37" s="90"/>
      <c r="E37" s="90"/>
      <c r="F37" s="90"/>
      <c r="G37" s="90"/>
      <c r="H37" s="90"/>
      <c r="I37" s="96"/>
      <c r="J37" s="96"/>
      <c r="K37" s="96"/>
      <c r="L37" s="96"/>
      <c r="M37" s="96"/>
      <c r="N37" s="96"/>
      <c r="O37" s="96"/>
      <c r="P37" s="96"/>
      <c r="Q37" s="96"/>
      <c r="R37" s="96"/>
      <c r="S37" s="96"/>
      <c r="T37" s="96"/>
      <c r="U37" s="96"/>
      <c r="V37" s="96"/>
      <c r="W37" s="96"/>
      <c r="X37" s="96"/>
      <c r="Y37" s="96"/>
      <c r="Z37" s="96"/>
      <c r="AA37" s="101"/>
      <c r="AB37" s="90"/>
    </row>
    <row r="38" spans="1:31" ht="10.7" customHeight="1">
      <c r="A38" s="90"/>
      <c r="B38" s="114" t="str">
        <f ca="1">IF(U1&lt;=65," 健康保険　☑有・□無"," 健康保険　□有・☑無")</f>
        <v xml:space="preserve"> 健康保険　☑有・□無</v>
      </c>
      <c r="C38" s="115"/>
      <c r="D38" s="96"/>
      <c r="E38" s="116"/>
      <c r="F38" s="116"/>
      <c r="G38" s="116"/>
      <c r="H38" s="96"/>
      <c r="I38" s="96"/>
      <c r="K38" s="104" t="str">
        <f ca="1">IF(U1&lt;=65,"厚生年金保険　☑有・□無　","厚生年金保険　□有・☑無　")</f>
        <v>厚生年金保険　☑有・□無　</v>
      </c>
      <c r="L38" s="115"/>
      <c r="M38" s="96"/>
      <c r="N38" s="116"/>
      <c r="O38" s="116"/>
      <c r="P38" s="116"/>
      <c r="Q38" s="96"/>
      <c r="S38" s="96"/>
      <c r="T38" s="104" t="str">
        <f ca="1">IF(U1&lt;=65,"雇用保険　☑有・□無"," 雇用保険　□有・☑無")</f>
        <v>雇用保険　☑有・□無</v>
      </c>
      <c r="U38" s="116"/>
      <c r="V38" s="116"/>
      <c r="W38" s="116"/>
      <c r="X38" s="90"/>
      <c r="Z38" s="90"/>
      <c r="AA38" s="101"/>
      <c r="AB38" s="90"/>
    </row>
    <row r="39" spans="1:31" s="90" customFormat="1" ht="17.45" customHeight="1">
      <c r="B39" s="949" t="s">
        <v>1699</v>
      </c>
      <c r="C39" s="950"/>
      <c r="D39" s="950"/>
      <c r="E39" s="950"/>
      <c r="F39" s="950"/>
      <c r="G39" s="950"/>
      <c r="H39" s="950"/>
      <c r="I39" s="950"/>
      <c r="J39" s="950"/>
      <c r="K39" s="950" t="s">
        <v>1699</v>
      </c>
      <c r="L39" s="950"/>
      <c r="M39" s="950"/>
      <c r="N39" s="950"/>
      <c r="O39" s="950"/>
      <c r="P39" s="950"/>
      <c r="Q39" s="950"/>
      <c r="R39" s="950"/>
      <c r="S39" s="950"/>
      <c r="T39" s="950" t="s">
        <v>1699</v>
      </c>
      <c r="U39" s="950"/>
      <c r="V39" s="950"/>
      <c r="W39" s="950"/>
      <c r="X39" s="950"/>
      <c r="Y39" s="950"/>
      <c r="Z39" s="950"/>
      <c r="AA39" s="951"/>
      <c r="AB39" s="110"/>
      <c r="AE39" s="90" t="s">
        <v>2052</v>
      </c>
    </row>
    <row r="40" spans="1:31" ht="14.1" customHeight="1">
      <c r="A40" s="90"/>
      <c r="B40" s="144" t="s">
        <v>1677</v>
      </c>
      <c r="C40" s="98"/>
      <c r="D40" s="98"/>
      <c r="E40" s="98"/>
      <c r="F40" s="98"/>
      <c r="G40" s="98"/>
      <c r="H40" s="98"/>
      <c r="I40" s="98"/>
      <c r="J40" s="98"/>
      <c r="K40" s="98"/>
      <c r="L40" s="98"/>
      <c r="M40" s="98"/>
      <c r="N40" s="98"/>
      <c r="O40" s="98"/>
      <c r="P40" s="98"/>
      <c r="Q40" s="98"/>
      <c r="R40" s="98"/>
      <c r="S40" s="98"/>
      <c r="T40" s="98"/>
      <c r="U40" s="98"/>
      <c r="V40" s="98"/>
      <c r="W40" s="98"/>
      <c r="X40" s="98"/>
      <c r="Y40" s="98"/>
      <c r="Z40" s="98"/>
      <c r="AA40" s="108"/>
      <c r="AB40" s="90"/>
    </row>
    <row r="41" spans="1:31" ht="3.6" customHeight="1">
      <c r="A41" s="90"/>
      <c r="B41" s="113"/>
      <c r="C41" s="90"/>
      <c r="D41" s="90"/>
      <c r="E41" s="90"/>
      <c r="F41" s="90"/>
      <c r="G41" s="90"/>
      <c r="H41" s="90"/>
      <c r="I41" s="90"/>
      <c r="J41" s="90"/>
      <c r="K41" s="90"/>
      <c r="L41" s="90"/>
      <c r="M41" s="90"/>
      <c r="N41" s="90"/>
      <c r="O41" s="90"/>
      <c r="P41" s="90"/>
      <c r="Q41" s="90"/>
      <c r="R41" s="90"/>
      <c r="S41" s="90"/>
      <c r="T41" s="90"/>
      <c r="U41" s="90"/>
      <c r="V41" s="90"/>
      <c r="W41" s="90"/>
      <c r="X41" s="90"/>
      <c r="Y41" s="90"/>
      <c r="Z41" s="90"/>
      <c r="AA41" s="101"/>
      <c r="AB41" s="90"/>
    </row>
    <row r="42" spans="1:31" ht="10.7" customHeight="1">
      <c r="A42" s="90"/>
      <c r="B42" s="117"/>
      <c r="C42" s="143" t="s">
        <v>1678</v>
      </c>
      <c r="D42" s="143"/>
      <c r="E42" s="104"/>
      <c r="F42" s="104"/>
      <c r="G42" s="104"/>
      <c r="H42" s="104"/>
      <c r="I42" s="104" t="s">
        <v>1679</v>
      </c>
      <c r="J42" s="104"/>
      <c r="K42" s="104"/>
      <c r="L42" s="104"/>
      <c r="M42" s="104"/>
      <c r="N42" s="104"/>
      <c r="O42" s="104"/>
      <c r="P42" s="90"/>
      <c r="Q42" s="90"/>
      <c r="R42" s="90"/>
      <c r="S42" s="90"/>
      <c r="T42" s="90"/>
      <c r="U42" s="90"/>
      <c r="V42" s="90"/>
      <c r="W42" s="90"/>
      <c r="X42" s="90"/>
      <c r="Y42" s="90"/>
      <c r="Z42" s="90"/>
      <c r="AA42" s="101"/>
      <c r="AB42" s="90"/>
      <c r="AE42" s="93" t="s">
        <v>2053</v>
      </c>
    </row>
    <row r="43" spans="1:31" ht="17.45" customHeight="1">
      <c r="A43" s="90"/>
      <c r="B43" s="113"/>
      <c r="C43" s="96"/>
      <c r="D43" s="103"/>
      <c r="E43" s="90"/>
      <c r="F43" s="90"/>
      <c r="G43" s="90"/>
      <c r="H43" s="103"/>
      <c r="I43" s="957"/>
      <c r="J43" s="957"/>
      <c r="K43" s="957"/>
      <c r="L43" s="957"/>
      <c r="M43" s="957"/>
      <c r="N43" s="957"/>
      <c r="O43" s="957"/>
      <c r="P43" s="957"/>
      <c r="Q43" s="957"/>
      <c r="R43" s="957"/>
      <c r="S43" s="957"/>
      <c r="T43" s="957"/>
      <c r="U43" s="957"/>
      <c r="V43" s="957"/>
      <c r="W43" s="957"/>
      <c r="X43" s="957"/>
      <c r="Y43" s="957"/>
      <c r="Z43" s="957"/>
      <c r="AA43" s="958"/>
      <c r="AB43" s="90"/>
    </row>
    <row r="44" spans="1:31" ht="17.45" hidden="1" customHeight="1">
      <c r="A44" s="90"/>
      <c r="B44" s="99"/>
      <c r="C44" s="100"/>
      <c r="D44" s="100"/>
      <c r="E44" s="100"/>
      <c r="F44" s="100"/>
      <c r="G44" s="100"/>
      <c r="H44" s="100"/>
      <c r="I44" s="959"/>
      <c r="J44" s="959"/>
      <c r="K44" s="959"/>
      <c r="L44" s="959"/>
      <c r="M44" s="959"/>
      <c r="N44" s="959"/>
      <c r="O44" s="959"/>
      <c r="P44" s="959"/>
      <c r="Q44" s="959"/>
      <c r="R44" s="959"/>
      <c r="S44" s="959"/>
      <c r="T44" s="959"/>
      <c r="U44" s="959"/>
      <c r="V44" s="959"/>
      <c r="W44" s="959"/>
      <c r="X44" s="959"/>
      <c r="Y44" s="959"/>
      <c r="Z44" s="959"/>
      <c r="AA44" s="960"/>
      <c r="AB44" s="90"/>
    </row>
    <row r="45" spans="1:31" ht="14.1" customHeight="1">
      <c r="A45" s="90"/>
      <c r="B45" s="142" t="s">
        <v>1680</v>
      </c>
      <c r="C45" s="90"/>
      <c r="D45" s="90"/>
      <c r="E45" s="90"/>
      <c r="F45" s="90"/>
      <c r="G45" s="90"/>
      <c r="H45" s="90"/>
      <c r="I45" s="96"/>
      <c r="J45" s="96"/>
      <c r="K45" s="96"/>
      <c r="L45" s="96"/>
      <c r="M45" s="96"/>
      <c r="N45" s="96"/>
      <c r="O45" s="96"/>
      <c r="P45" s="96"/>
      <c r="Q45" s="96"/>
      <c r="R45" s="96"/>
      <c r="S45" s="96"/>
      <c r="T45" s="96"/>
      <c r="U45" s="96"/>
      <c r="V45" s="96"/>
      <c r="W45" s="96"/>
      <c r="X45" s="96"/>
      <c r="Y45" s="96"/>
      <c r="Z45" s="96"/>
      <c r="AA45" s="101"/>
      <c r="AB45" s="90"/>
    </row>
    <row r="46" spans="1:31" ht="3.6" customHeight="1">
      <c r="A46" s="90"/>
      <c r="B46" s="113"/>
      <c r="C46" s="90"/>
      <c r="D46" s="90"/>
      <c r="E46" s="90"/>
      <c r="F46" s="90"/>
      <c r="G46" s="90"/>
      <c r="H46" s="90"/>
      <c r="I46" s="96"/>
      <c r="J46" s="96"/>
      <c r="K46" s="96"/>
      <c r="L46" s="96"/>
      <c r="M46" s="96"/>
      <c r="N46" s="96"/>
      <c r="O46" s="96"/>
      <c r="P46" s="96"/>
      <c r="Q46" s="96"/>
      <c r="R46" s="96"/>
      <c r="S46" s="96"/>
      <c r="T46" s="96"/>
      <c r="U46" s="96"/>
      <c r="V46" s="96"/>
      <c r="W46" s="96"/>
      <c r="X46" s="96"/>
      <c r="Y46" s="96"/>
      <c r="Z46" s="96"/>
      <c r="AA46" s="101"/>
      <c r="AB46" s="90"/>
    </row>
    <row r="47" spans="1:31" ht="10.7" customHeight="1">
      <c r="A47" s="90"/>
      <c r="B47" s="113"/>
      <c r="C47" s="143" t="s">
        <v>1681</v>
      </c>
      <c r="D47" s="143"/>
      <c r="E47" s="118"/>
      <c r="F47" s="118"/>
      <c r="G47" s="118"/>
      <c r="H47" s="118"/>
      <c r="I47" s="104" t="s">
        <v>1682</v>
      </c>
      <c r="J47" s="118"/>
      <c r="K47" s="118"/>
      <c r="L47" s="90"/>
      <c r="M47" s="90"/>
      <c r="N47" s="90"/>
      <c r="O47" s="90"/>
      <c r="P47" s="90"/>
      <c r="Q47" s="90"/>
      <c r="R47" s="90"/>
      <c r="S47" s="90"/>
      <c r="T47" s="90"/>
      <c r="U47" s="90"/>
      <c r="V47" s="90"/>
      <c r="W47" s="90"/>
      <c r="X47" s="90"/>
      <c r="Y47" s="90"/>
      <c r="Z47" s="90"/>
      <c r="AA47" s="101"/>
      <c r="AB47" s="90"/>
    </row>
    <row r="48" spans="1:31" ht="16.7" customHeight="1">
      <c r="A48" s="90"/>
      <c r="B48" s="113"/>
      <c r="C48" s="955">
        <f ca="1">_xlfn.XLOOKUP($G$6,DBGenzai[カナ],DBGenzai[現入社],"",0,-1)</f>
        <v>44690</v>
      </c>
      <c r="D48" s="955"/>
      <c r="E48" s="955"/>
      <c r="F48" s="955"/>
      <c r="G48" s="955"/>
      <c r="H48" s="955"/>
      <c r="I48" s="946" t="s">
        <v>1700</v>
      </c>
      <c r="J48" s="946"/>
      <c r="K48" s="946"/>
      <c r="L48" s="946"/>
      <c r="M48" s="946"/>
      <c r="N48" s="946"/>
      <c r="O48" s="946"/>
      <c r="P48" s="946"/>
      <c r="Q48" s="946"/>
      <c r="R48" s="946"/>
      <c r="S48" s="946"/>
      <c r="T48" s="946"/>
      <c r="U48" s="946"/>
      <c r="V48" s="946"/>
      <c r="W48" s="946"/>
      <c r="X48" s="946"/>
      <c r="Y48" s="946"/>
      <c r="Z48" s="946"/>
      <c r="AA48" s="956"/>
      <c r="AB48" s="90"/>
    </row>
    <row r="49" spans="1:43" ht="16.7" hidden="1" customHeight="1">
      <c r="A49" s="90"/>
      <c r="B49" s="113"/>
      <c r="C49" s="96"/>
      <c r="D49" s="103"/>
      <c r="E49" s="90"/>
      <c r="F49" s="90"/>
      <c r="G49" s="90"/>
      <c r="H49" s="90"/>
      <c r="I49" s="96"/>
      <c r="J49" s="90"/>
      <c r="K49" s="90"/>
      <c r="L49" s="90"/>
      <c r="M49" s="90"/>
      <c r="N49" s="90"/>
      <c r="O49" s="90"/>
      <c r="P49" s="90"/>
      <c r="Q49" s="90"/>
      <c r="R49" s="90"/>
      <c r="S49" s="90"/>
      <c r="T49" s="90"/>
      <c r="U49" s="90"/>
      <c r="V49" s="90"/>
      <c r="W49" s="90"/>
      <c r="X49" s="90"/>
      <c r="Y49" s="90"/>
      <c r="Z49" s="90"/>
      <c r="AA49" s="101"/>
      <c r="AB49" s="90"/>
    </row>
    <row r="50" spans="1:43" ht="14.1" customHeight="1">
      <c r="A50" s="90"/>
      <c r="B50" s="144" t="s">
        <v>1683</v>
      </c>
      <c r="C50" s="98"/>
      <c r="D50" s="98"/>
      <c r="E50" s="98"/>
      <c r="F50" s="98"/>
      <c r="G50" s="98"/>
      <c r="H50" s="98"/>
      <c r="I50" s="109"/>
      <c r="J50" s="109"/>
      <c r="K50" s="109"/>
      <c r="L50" s="109"/>
      <c r="M50" s="109"/>
      <c r="N50" s="109"/>
      <c r="O50" s="109"/>
      <c r="P50" s="109"/>
      <c r="Q50" s="109"/>
      <c r="R50" s="109"/>
      <c r="S50" s="109"/>
      <c r="T50" s="109"/>
      <c r="U50" s="109"/>
      <c r="V50" s="109"/>
      <c r="W50" s="109"/>
      <c r="X50" s="109"/>
      <c r="Y50" s="109"/>
      <c r="Z50" s="109"/>
      <c r="AA50" s="108"/>
      <c r="AB50" s="90"/>
      <c r="AD50" s="93" t="s">
        <v>1757</v>
      </c>
    </row>
    <row r="51" spans="1:43" ht="10.7" customHeight="1">
      <c r="A51" s="90"/>
      <c r="B51" s="113"/>
      <c r="C51" s="941" t="s">
        <v>1684</v>
      </c>
      <c r="D51" s="941"/>
      <c r="E51" s="941"/>
      <c r="F51" s="941"/>
      <c r="G51" s="941"/>
      <c r="H51" s="941"/>
      <c r="I51" s="104" t="s">
        <v>1685</v>
      </c>
      <c r="J51" s="104"/>
      <c r="K51" s="104"/>
      <c r="L51" s="104"/>
      <c r="M51" s="104"/>
      <c r="N51" s="104"/>
      <c r="O51" s="104"/>
      <c r="P51" s="104"/>
      <c r="Q51" s="104"/>
      <c r="R51" s="104"/>
      <c r="S51" s="104"/>
      <c r="T51" s="104"/>
      <c r="U51" s="104"/>
      <c r="V51" s="104"/>
      <c r="W51" s="104"/>
      <c r="X51" s="104"/>
      <c r="Y51" s="104"/>
      <c r="AA51" s="152" t="s">
        <v>1701</v>
      </c>
      <c r="AB51" s="90"/>
      <c r="AD51" s="383">
        <f ca="1">TODAY()</f>
        <v>45998</v>
      </c>
    </row>
    <row r="52" spans="1:43" ht="15" customHeight="1">
      <c r="A52" s="90"/>
      <c r="B52" s="381" t="str">
        <f>IF(AD52&gt;=0,"1年目","")</f>
        <v>1年目</v>
      </c>
      <c r="C52" s="952">
        <f ca="1">IF(B52="","",WORKDAY.INTL(C48,35))</f>
        <v>44739</v>
      </c>
      <c r="D52" s="953"/>
      <c r="E52" s="953"/>
      <c r="F52" s="953"/>
      <c r="G52" s="953"/>
      <c r="H52" s="953"/>
      <c r="I52" s="945" t="str">
        <f>IF(B52="","","新規採用者研修 　4時間")</f>
        <v>新規採用者研修 　4時間</v>
      </c>
      <c r="J52" s="945"/>
      <c r="K52" s="945"/>
      <c r="L52" s="945"/>
      <c r="M52" s="945"/>
      <c r="N52" s="945"/>
      <c r="O52" s="945"/>
      <c r="P52" s="945"/>
      <c r="Q52" s="945"/>
      <c r="R52" s="945"/>
      <c r="S52" s="945"/>
      <c r="T52" s="945"/>
      <c r="U52" s="945"/>
      <c r="V52" s="945"/>
      <c r="W52" s="945"/>
      <c r="X52" s="945"/>
      <c r="Y52" s="945"/>
      <c r="AA52" s="382">
        <f>IF(B52="","",4)</f>
        <v>4</v>
      </c>
      <c r="AB52" s="90"/>
      <c r="AD52" s="154">
        <v>1</v>
      </c>
      <c r="AF52" s="93" t="s">
        <v>1757</v>
      </c>
      <c r="AQ52" s="93" t="s">
        <v>1977</v>
      </c>
    </row>
    <row r="53" spans="1:43" ht="15" customHeight="1">
      <c r="A53" s="90"/>
      <c r="B53" s="148" t="str">
        <f ca="1">IF(AD51&lt;WORKDAY.INTL(DATE(YEAR(HakenkikanS)+1,MONTH(HakenkikanS),DAY(HakenkikanS)),65,1),"",IF(AD52&gt;=1,"2年目",""))</f>
        <v/>
      </c>
      <c r="C53" s="942" t="str">
        <f ca="1">IF(B53="","",IF(AD51&lt;WORKDAY.INTL(DATE(YEAR(HakenkikanS)+1,MONTH(HakenkikanS),DAY(HakenkikanS)),65,1),"",WORKDAY.INTL(DATE(YEAR(HakenkikanS)+1,MONTH(HakenkikanS),DAY(HakenkikanS)),65,1)))</f>
        <v/>
      </c>
      <c r="D53" s="942"/>
      <c r="E53" s="942"/>
      <c r="F53" s="942"/>
      <c r="G53" s="942"/>
      <c r="H53" s="942"/>
      <c r="I53" s="944" t="str">
        <f ca="1">IF(C53="","","製造設備継続研修　4時間、製造設備PC研修　4時間")</f>
        <v/>
      </c>
      <c r="J53" s="944"/>
      <c r="K53" s="944"/>
      <c r="L53" s="944"/>
      <c r="M53" s="944"/>
      <c r="N53" s="944"/>
      <c r="O53" s="944"/>
      <c r="P53" s="944"/>
      <c r="Q53" s="944"/>
      <c r="R53" s="944"/>
      <c r="S53" s="944"/>
      <c r="T53" s="944"/>
      <c r="U53" s="944"/>
      <c r="V53" s="944"/>
      <c r="W53" s="944"/>
      <c r="X53" s="944"/>
      <c r="Y53" s="944"/>
      <c r="Z53" s="90"/>
      <c r="AA53" s="151" t="str">
        <f ca="1">IF(B53="","",8)</f>
        <v/>
      </c>
      <c r="AB53" s="90"/>
      <c r="AD53" s="93" t="s">
        <v>1759</v>
      </c>
      <c r="AE53" s="93" t="s">
        <v>1758</v>
      </c>
    </row>
    <row r="54" spans="1:43" ht="15" customHeight="1">
      <c r="A54" s="90"/>
      <c r="B54" s="148" t="str">
        <f ca="1">IF(AD51&lt;WORKDAY.INTL(DATE(YEAR(HakenkikanS)+2,MONTH(HakenkikanS),DAY(HakenkikanS)),65,1),"",IF(AD52&gt;=1,"3年目",""))</f>
        <v/>
      </c>
      <c r="C54" s="942" t="str">
        <f ca="1">IF(B53="","",IF(AD51&lt;WORKDAY.INTL(DATE(YEAR(HakenkikanS)+2,MONTH(HakenkikanS),DAY(HakenkikanS)),65,1),"",WORKDAY.INTL(DATE(YEAR(HakenkikanS)+2,MONTH(HakenkikanS),DAY(HakenkikanS)),65,1)))</f>
        <v/>
      </c>
      <c r="D54" s="942"/>
      <c r="E54" s="942"/>
      <c r="F54" s="942"/>
      <c r="G54" s="942"/>
      <c r="H54" s="942"/>
      <c r="I54" s="944" t="str">
        <f ca="1">IF(C54="","","製造設備継続研修　4時間、製造設備PC研修　4時間")</f>
        <v/>
      </c>
      <c r="J54" s="944"/>
      <c r="K54" s="944"/>
      <c r="L54" s="944"/>
      <c r="M54" s="944"/>
      <c r="N54" s="944"/>
      <c r="O54" s="944"/>
      <c r="P54" s="944"/>
      <c r="Q54" s="944"/>
      <c r="R54" s="944"/>
      <c r="S54" s="944"/>
      <c r="T54" s="944"/>
      <c r="U54" s="944"/>
      <c r="V54" s="944"/>
      <c r="W54" s="944"/>
      <c r="X54" s="944"/>
      <c r="Y54" s="944"/>
      <c r="Z54" s="90"/>
      <c r="AA54" s="151" t="str">
        <f ca="1">IF(B54="","",8)</f>
        <v/>
      </c>
      <c r="AB54" s="90"/>
      <c r="AD54" s="93" t="s">
        <v>1953</v>
      </c>
    </row>
    <row r="55" spans="1:43" ht="15" customHeight="1">
      <c r="A55" s="90"/>
      <c r="B55" s="148" t="str">
        <f ca="1">IF(AD51&lt;WORKDAY.INTL(DATE(YEAR(HakenkikanS)+3,MONTH(HakenkikanS),DAY(HakenkikanS)),65,1),"",IF(AD52&gt;=1,"4年目",""))</f>
        <v/>
      </c>
      <c r="C55" s="942" t="str">
        <f ca="1">IF(B55="","",IF(AD51&lt;WORKDAY.INTL(DATE(YEAR(HakenkikanS)+3,MONTH(HakenkikanS),DAY(HakenkikanS)),45,1),"",WORKDAY.INTL(DATE(YEAR(HakenkikanS)+3,MONTH(HakenkikanS),DAY(HakenkikanS)),45,1)))</f>
        <v/>
      </c>
      <c r="D55" s="942"/>
      <c r="E55" s="942"/>
      <c r="F55" s="942" t="str">
        <f ca="1">IF(B55="","",IF(AD51&lt;WORKDAY.INTL(DATE(YEAR(HakenkikanS)+3,MONTH(HakenkikanS),DAY(HakenkikanS)),45,1),"",WORKDAY.INTL(DATE(YEAR(HakenkikanS)+3,MONTH(HakenkikanS),DAY(HakenkikanS)),45,1)))</f>
        <v/>
      </c>
      <c r="G55" s="942"/>
      <c r="H55" s="942"/>
      <c r="I55" s="943" t="str">
        <f ca="1">IF(C55="","","製造設備継続研修　4時間、製造設備PC研修　4時間")</f>
        <v/>
      </c>
      <c r="J55" s="943"/>
      <c r="K55" s="943"/>
      <c r="L55" s="943"/>
      <c r="M55" s="943"/>
      <c r="N55" s="943"/>
      <c r="O55" s="943"/>
      <c r="P55" s="943"/>
      <c r="Q55" s="943"/>
      <c r="R55" s="943" t="str">
        <f ca="1">IF(C55="","","担当変更研修　4時間、グループリーダー研修　4時間")</f>
        <v/>
      </c>
      <c r="S55" s="943"/>
      <c r="T55" s="943"/>
      <c r="U55" s="943"/>
      <c r="V55" s="943"/>
      <c r="W55" s="943"/>
      <c r="X55" s="943"/>
      <c r="Y55" s="943"/>
      <c r="Z55" s="943"/>
      <c r="AA55" s="151" t="str">
        <f ca="1">IF(B55="","",16)</f>
        <v/>
      </c>
      <c r="AB55" s="90"/>
      <c r="AD55" s="93" t="s">
        <v>2067</v>
      </c>
    </row>
    <row r="56" spans="1:43" ht="15" customHeight="1">
      <c r="A56" s="90"/>
      <c r="B56" s="148" t="str">
        <f ca="1">IF(AD51&lt;WORKDAY.INTL(DATE(YEAR(HakenkikanS)+4,MONTH(HakenkikanS),DAY(HakenkikanS)),65,1),"",IF(AD52&gt;=1,"5年目",""))</f>
        <v/>
      </c>
      <c r="C56" s="942" t="str">
        <f ca="1">IF(B56="","",IF(AD51&lt;WORKDAY.INTL(DATE(YEAR(HakenkikanS)+4,MONTH(HakenkikanS),DAY(HakenkikanS)),45,1),"",WORKDAY.INTL(DATE(YEAR(HakenkikanS)+4,MONTH(HakenkikanS),DAY(HakenkikanS)),45,1)))</f>
        <v/>
      </c>
      <c r="D56" s="942"/>
      <c r="E56" s="942"/>
      <c r="F56" s="942" t="str">
        <f ca="1">IF(B56="","",IF(AD51&lt;WORKDAY.INTL(DATE(YEAR(HakenkikanS)+4,MONTH(HakenkikanS),DAY(HakenkikanS)),45,1),"",WORKDAY.INTL(DATE(YEAR(HakenkikanS)+4,MONTH(HakenkikanS),DAY(HakenkikanS)),45,1)))</f>
        <v/>
      </c>
      <c r="G56" s="942"/>
      <c r="H56" s="942"/>
      <c r="I56" s="943" t="str">
        <f ca="1">IF(B56="","","製造設備継続研修　4時間、製造設備PC研修　4時間")</f>
        <v/>
      </c>
      <c r="J56" s="943"/>
      <c r="K56" s="943"/>
      <c r="L56" s="943"/>
      <c r="M56" s="943"/>
      <c r="N56" s="943"/>
      <c r="O56" s="943"/>
      <c r="P56" s="943"/>
      <c r="Q56" s="943"/>
      <c r="R56" s="943" t="str">
        <f ca="1">IF(B56="","","担当変更研修　4時間、グループリーダー研修　4時間")</f>
        <v/>
      </c>
      <c r="S56" s="943"/>
      <c r="T56" s="943"/>
      <c r="U56" s="943"/>
      <c r="V56" s="943"/>
      <c r="W56" s="943"/>
      <c r="X56" s="943"/>
      <c r="Y56" s="943"/>
      <c r="Z56" s="943"/>
      <c r="AA56" s="151" t="str">
        <f ca="1">IF(B56="","",16)</f>
        <v/>
      </c>
      <c r="AB56" s="90"/>
      <c r="AD56" s="93" t="s">
        <v>2068</v>
      </c>
    </row>
    <row r="57" spans="1:43" ht="15" customHeight="1">
      <c r="A57" s="90"/>
      <c r="B57" s="148"/>
      <c r="C57" s="954"/>
      <c r="D57" s="954"/>
      <c r="E57" s="954"/>
      <c r="F57" s="954"/>
      <c r="G57" s="954"/>
      <c r="H57" s="954"/>
      <c r="I57" s="149"/>
      <c r="J57" s="149"/>
      <c r="K57" s="149"/>
      <c r="L57" s="149"/>
      <c r="M57" s="149"/>
      <c r="N57" s="149"/>
      <c r="O57" s="149"/>
      <c r="P57" s="149"/>
      <c r="Q57" s="149"/>
      <c r="R57" s="149"/>
      <c r="S57" s="149"/>
      <c r="T57" s="149"/>
      <c r="U57" s="149"/>
      <c r="V57" s="149"/>
      <c r="W57" s="149"/>
      <c r="X57" s="149"/>
      <c r="Y57" s="149"/>
      <c r="Z57" s="149"/>
      <c r="AA57" s="150"/>
      <c r="AB57" s="90"/>
    </row>
    <row r="58" spans="1:43" ht="14.1" customHeight="1">
      <c r="A58" s="90"/>
      <c r="B58" s="142" t="s">
        <v>1686</v>
      </c>
      <c r="C58" s="90"/>
      <c r="D58" s="90"/>
      <c r="E58" s="90"/>
      <c r="F58" s="90"/>
      <c r="G58" s="90"/>
      <c r="H58" s="90"/>
      <c r="I58" s="96"/>
      <c r="J58" s="96"/>
      <c r="K58" s="96"/>
      <c r="L58" s="96"/>
      <c r="M58" s="96"/>
      <c r="N58" s="96"/>
      <c r="O58" s="96"/>
      <c r="P58" s="96"/>
      <c r="Q58" s="96"/>
      <c r="R58" s="96"/>
      <c r="S58" s="96"/>
      <c r="T58" s="96"/>
      <c r="U58" s="96"/>
      <c r="V58" s="96"/>
      <c r="W58" s="96"/>
      <c r="X58" s="96"/>
      <c r="Y58" s="96"/>
      <c r="Z58" s="96"/>
      <c r="AA58" s="101"/>
      <c r="AB58" s="90"/>
    </row>
    <row r="59" spans="1:43" ht="11.25" customHeight="1">
      <c r="A59" s="90"/>
      <c r="B59" s="119" t="s">
        <v>1687</v>
      </c>
      <c r="C59" s="115"/>
      <c r="D59" s="115"/>
      <c r="E59" s="96"/>
      <c r="F59" s="96"/>
      <c r="G59" s="96"/>
      <c r="H59" s="96"/>
      <c r="I59" s="96"/>
      <c r="J59" s="96"/>
      <c r="K59" s="96"/>
      <c r="L59" s="96"/>
      <c r="M59" s="96"/>
      <c r="N59" s="96"/>
      <c r="O59" s="96"/>
      <c r="P59" s="96"/>
      <c r="Q59" s="96"/>
      <c r="R59" s="96"/>
      <c r="S59" s="96"/>
      <c r="T59" s="96"/>
      <c r="U59" s="96"/>
      <c r="V59" s="96"/>
      <c r="W59" s="96"/>
      <c r="X59" s="96"/>
      <c r="Y59" s="96"/>
      <c r="Z59" s="96"/>
      <c r="AA59" s="120"/>
      <c r="AB59" s="90"/>
    </row>
    <row r="60" spans="1:43" s="90" customFormat="1" ht="16.7" customHeight="1">
      <c r="B60" s="119"/>
      <c r="C60" s="946" t="s">
        <v>1688</v>
      </c>
      <c r="D60" s="946"/>
      <c r="E60" s="946"/>
      <c r="F60" s="946"/>
      <c r="G60" s="946"/>
      <c r="H60" s="946"/>
      <c r="I60" s="946"/>
      <c r="L60" s="96"/>
      <c r="M60" s="96"/>
      <c r="N60" s="96"/>
      <c r="O60" s="96"/>
      <c r="P60" s="96"/>
      <c r="Q60" s="96"/>
      <c r="R60" s="96"/>
      <c r="S60" s="96"/>
      <c r="T60" s="96"/>
      <c r="U60" s="96"/>
      <c r="AA60" s="101"/>
    </row>
    <row r="61" spans="1:43" s="90" customFormat="1" ht="16.7" customHeight="1">
      <c r="B61" s="119"/>
      <c r="C61" s="946" t="s">
        <v>1689</v>
      </c>
      <c r="D61" s="946"/>
      <c r="E61" s="946"/>
      <c r="F61" s="946"/>
      <c r="G61" s="946"/>
      <c r="H61" s="946"/>
      <c r="I61" s="946"/>
      <c r="K61" s="96"/>
      <c r="L61" s="96"/>
      <c r="M61" s="96"/>
      <c r="N61" s="96"/>
      <c r="O61" s="96"/>
      <c r="P61" s="96"/>
      <c r="Q61" s="96"/>
      <c r="R61" s="96"/>
      <c r="S61" s="96"/>
      <c r="T61" s="96"/>
      <c r="U61" s="96"/>
      <c r="AA61" s="101"/>
    </row>
    <row r="62" spans="1:43" ht="16.7" customHeight="1">
      <c r="A62" s="90"/>
      <c r="B62" s="119" t="s">
        <v>1690</v>
      </c>
      <c r="C62" s="115"/>
      <c r="D62" s="115"/>
      <c r="E62" s="96"/>
      <c r="F62" s="96"/>
      <c r="G62" s="96"/>
      <c r="H62" s="96"/>
      <c r="I62" s="90"/>
      <c r="J62" s="96"/>
      <c r="K62" s="96"/>
      <c r="L62" s="96"/>
      <c r="M62" s="96"/>
      <c r="N62" s="96"/>
      <c r="O62" s="96"/>
      <c r="P62" s="96"/>
      <c r="Q62" s="96"/>
      <c r="R62" s="96"/>
      <c r="S62" s="96"/>
      <c r="T62" s="96"/>
      <c r="U62" s="96"/>
      <c r="V62" s="96"/>
      <c r="W62" s="96"/>
      <c r="X62" s="96"/>
      <c r="Y62" s="96"/>
      <c r="Z62" s="90"/>
      <c r="AA62" s="101"/>
      <c r="AB62" s="90"/>
    </row>
    <row r="63" spans="1:43" ht="16.7" customHeight="1">
      <c r="A63" s="90"/>
      <c r="B63" s="119" t="s">
        <v>1691</v>
      </c>
      <c r="C63" s="115"/>
      <c r="D63" s="115"/>
      <c r="E63" s="96"/>
      <c r="F63" s="96"/>
      <c r="G63" s="96"/>
      <c r="H63" s="96"/>
      <c r="I63" s="96"/>
      <c r="J63" s="96"/>
      <c r="K63" s="96"/>
      <c r="L63" s="96"/>
      <c r="M63" s="96"/>
      <c r="N63" s="96"/>
      <c r="O63" s="96"/>
      <c r="P63" s="96"/>
      <c r="Q63" s="96"/>
      <c r="R63" s="96"/>
      <c r="S63" s="96"/>
      <c r="T63" s="96"/>
      <c r="U63" s="96"/>
      <c r="V63" s="96"/>
      <c r="W63" s="96"/>
      <c r="X63" s="96"/>
      <c r="Y63" s="96"/>
      <c r="Z63" s="90"/>
      <c r="AA63" s="101"/>
      <c r="AB63" s="90"/>
    </row>
    <row r="64" spans="1:43" ht="16.7" customHeight="1">
      <c r="A64" s="90"/>
      <c r="B64" s="121" t="s">
        <v>1692</v>
      </c>
      <c r="C64" s="111"/>
      <c r="D64" s="111"/>
      <c r="E64" s="106"/>
      <c r="F64" s="106"/>
      <c r="G64" s="100"/>
      <c r="H64" s="106"/>
      <c r="I64" s="106"/>
      <c r="J64" s="106"/>
      <c r="K64" s="106"/>
      <c r="L64" s="106"/>
      <c r="M64" s="106"/>
      <c r="N64" s="106"/>
      <c r="O64" s="106"/>
      <c r="P64" s="106"/>
      <c r="Q64" s="106"/>
      <c r="R64" s="106"/>
      <c r="S64" s="106"/>
      <c r="T64" s="106"/>
      <c r="U64" s="106"/>
      <c r="V64" s="106"/>
      <c r="W64" s="106"/>
      <c r="X64" s="106"/>
      <c r="Y64" s="106"/>
      <c r="Z64" s="100"/>
      <c r="AA64" s="107"/>
      <c r="AB64" s="90"/>
    </row>
    <row r="65" spans="1:28" s="90" customFormat="1" ht="14.1" hidden="1" customHeight="1">
      <c r="B65" s="122"/>
      <c r="C65" s="123"/>
      <c r="D65" s="123"/>
      <c r="E65" s="123"/>
      <c r="F65" s="123"/>
      <c r="G65" s="123"/>
      <c r="H65" s="123"/>
      <c r="I65" s="123"/>
      <c r="J65" s="123"/>
      <c r="K65" s="123"/>
      <c r="L65" s="123"/>
      <c r="M65" s="123"/>
      <c r="N65" s="123"/>
      <c r="O65" s="123"/>
      <c r="P65" s="124"/>
      <c r="Q65" s="125"/>
      <c r="R65" s="124"/>
      <c r="S65" s="125"/>
      <c r="T65" s="125"/>
      <c r="U65" s="125"/>
      <c r="V65" s="125"/>
      <c r="W65" s="125"/>
      <c r="X65" s="125"/>
      <c r="Y65" s="125"/>
      <c r="Z65" s="125"/>
      <c r="AA65" s="126"/>
    </row>
    <row r="66" spans="1:28" s="90" customFormat="1" ht="9.9499999999999993" hidden="1" customHeight="1">
      <c r="B66" s="127"/>
      <c r="C66" s="128"/>
      <c r="D66" s="128"/>
      <c r="E66" s="128"/>
      <c r="F66" s="128"/>
      <c r="G66" s="128"/>
      <c r="H66" s="128"/>
      <c r="I66" s="128"/>
      <c r="J66" s="128"/>
      <c r="K66" s="128"/>
      <c r="L66" s="128"/>
      <c r="M66" s="128"/>
      <c r="N66" s="128"/>
      <c r="O66" s="128"/>
      <c r="P66" s="129"/>
      <c r="Q66" s="130"/>
      <c r="R66" s="129"/>
      <c r="S66" s="131"/>
      <c r="T66" s="131"/>
      <c r="U66" s="131"/>
      <c r="V66" s="131"/>
      <c r="W66" s="131"/>
      <c r="X66" s="131"/>
      <c r="Y66" s="131"/>
      <c r="Z66" s="131"/>
      <c r="AA66" s="132"/>
    </row>
    <row r="67" spans="1:28" s="90" customFormat="1" ht="12.95" hidden="1" customHeight="1">
      <c r="B67" s="133"/>
      <c r="C67" s="134"/>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6"/>
    </row>
    <row r="68" spans="1:28" ht="27.95" customHeight="1">
      <c r="A68" s="90"/>
      <c r="B68" s="146" t="s">
        <v>1693</v>
      </c>
      <c r="C68" s="147"/>
      <c r="D68" s="947"/>
      <c r="E68" s="947"/>
      <c r="F68" s="947"/>
      <c r="G68" s="947"/>
      <c r="H68" s="947"/>
      <c r="I68" s="947"/>
      <c r="J68" s="947"/>
      <c r="K68" s="947"/>
      <c r="L68" s="947"/>
      <c r="M68" s="947"/>
      <c r="N68" s="947"/>
      <c r="O68" s="947"/>
      <c r="P68" s="947"/>
      <c r="Q68" s="947"/>
      <c r="R68" s="947"/>
      <c r="S68" s="947"/>
      <c r="T68" s="947"/>
      <c r="U68" s="947"/>
      <c r="V68" s="947"/>
      <c r="W68" s="947"/>
      <c r="X68" s="947"/>
      <c r="Y68" s="947"/>
      <c r="Z68" s="947"/>
      <c r="AA68" s="948"/>
      <c r="AB68" s="90"/>
    </row>
    <row r="69" spans="1:28" ht="4.5" customHeight="1">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row>
    <row r="70" spans="1:28" ht="11.25" customHeight="1">
      <c r="A70" s="90"/>
      <c r="B70" s="96" t="s">
        <v>1694</v>
      </c>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row>
    <row r="71" spans="1:28" ht="12.95" customHeight="1">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row>
    <row r="72" spans="1:28" s="90" customFormat="1" ht="12.95" customHeight="1"/>
  </sheetData>
  <mergeCells count="76">
    <mergeCell ref="W1:AA1"/>
    <mergeCell ref="B6:E7"/>
    <mergeCell ref="B33:H33"/>
    <mergeCell ref="I33:O33"/>
    <mergeCell ref="P33:U33"/>
    <mergeCell ref="J9:U9"/>
    <mergeCell ref="B9:I9"/>
    <mergeCell ref="B8:I8"/>
    <mergeCell ref="J8:U8"/>
    <mergeCell ref="J3:S4"/>
    <mergeCell ref="G6:W7"/>
    <mergeCell ref="X6:Y7"/>
    <mergeCell ref="Z6:AA7"/>
    <mergeCell ref="B20:AA20"/>
    <mergeCell ref="V10:AA11"/>
    <mergeCell ref="B11:D11"/>
    <mergeCell ref="B34:H34"/>
    <mergeCell ref="B22:F22"/>
    <mergeCell ref="H22:L22"/>
    <mergeCell ref="B24:AA24"/>
    <mergeCell ref="H23:W23"/>
    <mergeCell ref="W34:AA34"/>
    <mergeCell ref="I34:V34"/>
    <mergeCell ref="O21:AA22"/>
    <mergeCell ref="B12:I12"/>
    <mergeCell ref="J12:P12"/>
    <mergeCell ref="Q12:U12"/>
    <mergeCell ref="V12:AA12"/>
    <mergeCell ref="V14:AA14"/>
    <mergeCell ref="B14:H14"/>
    <mergeCell ref="I14:L14"/>
    <mergeCell ref="M14:P14"/>
    <mergeCell ref="R14:U14"/>
    <mergeCell ref="V13:AA13"/>
    <mergeCell ref="E19:AA19"/>
    <mergeCell ref="B28:AA28"/>
    <mergeCell ref="B27:P27"/>
    <mergeCell ref="B31:H31"/>
    <mergeCell ref="W31:AA31"/>
    <mergeCell ref="B25:AA25"/>
    <mergeCell ref="B30:H30"/>
    <mergeCell ref="I30:O30"/>
    <mergeCell ref="P30:U30"/>
    <mergeCell ref="I31:V31"/>
    <mergeCell ref="C61:I61"/>
    <mergeCell ref="D68:AA68"/>
    <mergeCell ref="B39:J39"/>
    <mergeCell ref="K39:S39"/>
    <mergeCell ref="T39:AA39"/>
    <mergeCell ref="C52:H52"/>
    <mergeCell ref="C54:H54"/>
    <mergeCell ref="C57:H57"/>
    <mergeCell ref="F55:H55"/>
    <mergeCell ref="C56:E56"/>
    <mergeCell ref="F56:H56"/>
    <mergeCell ref="C48:H48"/>
    <mergeCell ref="I48:AA48"/>
    <mergeCell ref="I43:AA44"/>
    <mergeCell ref="C60:I60"/>
    <mergeCell ref="C53:H53"/>
    <mergeCell ref="C51:H51"/>
    <mergeCell ref="C55:E55"/>
    <mergeCell ref="I55:Q55"/>
    <mergeCell ref="I56:Q56"/>
    <mergeCell ref="I53:Y53"/>
    <mergeCell ref="I52:Y52"/>
    <mergeCell ref="I54:Y54"/>
    <mergeCell ref="R55:Z55"/>
    <mergeCell ref="R56:Z56"/>
    <mergeCell ref="B15:N15"/>
    <mergeCell ref="O15:AA15"/>
    <mergeCell ref="B17:J17"/>
    <mergeCell ref="P18:S18"/>
    <mergeCell ref="T18:AA18"/>
    <mergeCell ref="B16:G16"/>
    <mergeCell ref="H16:O16"/>
  </mergeCells>
  <phoneticPr fontId="1"/>
  <pageMargins left="0.59055118110236227" right="0.62992125984251968" top="0.39370078740157483" bottom="0.19685039370078741" header="0.51181102362204722" footer="0.51181102362204722"/>
  <pageSetup paperSize="9" scale="94"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HakenmotoDaicho">
                <anchor moveWithCells="1" sizeWithCells="1">
                  <from>
                    <xdr:col>18</xdr:col>
                    <xdr:colOff>171450</xdr:colOff>
                    <xdr:row>1</xdr:row>
                    <xdr:rowOff>123825</xdr:rowOff>
                  </from>
                  <to>
                    <xdr:col>21</xdr:col>
                    <xdr:colOff>57150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A0463-F0D4-4B51-85DA-381FAFE7C9C8}">
  <sheetPr codeName="Hoja6">
    <tabColor rgb="FF00B050"/>
  </sheetPr>
  <dimension ref="A1:AC57"/>
  <sheetViews>
    <sheetView workbookViewId="0">
      <selection activeCell="X1" sqref="X1:AA1"/>
    </sheetView>
  </sheetViews>
  <sheetFormatPr defaultColWidth="3.62890625" defaultRowHeight="12.95" customHeight="1"/>
  <cols>
    <col min="1" max="1" width="3.62890625" style="165" customWidth="1"/>
    <col min="2" max="2" width="5.78125" style="165" bestFit="1" customWidth="1"/>
    <col min="3" max="19" width="3.62890625" style="165"/>
    <col min="20" max="20" width="4.4375" style="165" customWidth="1"/>
    <col min="21" max="23" width="3.62890625" style="165"/>
    <col min="24" max="24" width="4.16796875" style="165" customWidth="1"/>
    <col min="25" max="16384" width="3.62890625" style="165"/>
  </cols>
  <sheetData>
    <row r="1" spans="1:27" ht="12.95" customHeight="1">
      <c r="A1" s="162">
        <v>1</v>
      </c>
      <c r="B1" s="162" t="str">
        <f ca="1">_xlfn.XLOOKUP(B6,TablaTransfor[カナ],TablaTransfor[ライン])</f>
        <v>Fライン</v>
      </c>
      <c r="C1" s="163"/>
      <c r="D1" s="163"/>
      <c r="E1" s="163"/>
      <c r="F1" s="163"/>
      <c r="G1" s="166"/>
      <c r="I1" s="1017"/>
      <c r="J1" s="1017"/>
      <c r="K1" s="1017"/>
      <c r="L1" s="1017"/>
      <c r="M1" s="1017"/>
      <c r="N1" s="1017"/>
      <c r="O1" s="1017"/>
      <c r="P1" s="1017"/>
      <c r="Q1" s="1017"/>
      <c r="R1" s="1017"/>
      <c r="S1" s="168"/>
      <c r="T1" s="166"/>
      <c r="U1" s="169"/>
      <c r="V1" s="166"/>
      <c r="W1" s="163"/>
      <c r="X1" s="1018" t="e">
        <f ca="1">WORKDAY(_xlfn.XLOOKUP(B6,TablaTransfor[カナ],TablaTransfor[unicosC],"",0,1),-3,)</f>
        <v>#VALUE!</v>
      </c>
      <c r="Y1" s="1018"/>
      <c r="Z1" s="1018"/>
      <c r="AA1" s="1018"/>
    </row>
    <row r="2" spans="1:27" ht="12.95" customHeight="1">
      <c r="B2" s="163"/>
      <c r="C2" s="163"/>
      <c r="D2" s="163"/>
      <c r="E2" s="163"/>
      <c r="F2" s="163"/>
      <c r="G2" s="166"/>
      <c r="I2" s="1017"/>
      <c r="J2" s="1017"/>
      <c r="K2" s="1017"/>
      <c r="L2" s="1017"/>
      <c r="M2" s="1017"/>
      <c r="N2" s="1017"/>
      <c r="O2" s="1017"/>
      <c r="P2" s="1017"/>
      <c r="Q2" s="1017"/>
      <c r="R2" s="1017"/>
      <c r="S2" s="168"/>
      <c r="T2" s="166"/>
      <c r="U2" s="169"/>
      <c r="V2" s="166"/>
      <c r="W2" s="163"/>
      <c r="X2" s="164"/>
      <c r="Y2" s="164"/>
      <c r="Z2" s="164"/>
      <c r="AA2" s="164"/>
    </row>
    <row r="3" spans="1:27" ht="12.95" customHeight="1">
      <c r="A3" s="163"/>
      <c r="C3" s="169"/>
      <c r="D3" s="169"/>
      <c r="E3" s="169"/>
      <c r="F3" s="166"/>
      <c r="G3" s="166"/>
      <c r="H3" s="168"/>
      <c r="I3" s="1017"/>
      <c r="J3" s="1017"/>
      <c r="K3" s="1017"/>
      <c r="L3" s="1017"/>
      <c r="M3" s="1017"/>
      <c r="N3" s="1017"/>
      <c r="O3" s="1017"/>
      <c r="P3" s="1017"/>
      <c r="Q3" s="1017"/>
      <c r="R3" s="1017"/>
      <c r="S3" s="168"/>
      <c r="T3" s="166"/>
      <c r="U3" s="169"/>
      <c r="V3" s="166"/>
      <c r="W3" s="163"/>
      <c r="X3" s="163"/>
      <c r="Y3" s="163"/>
      <c r="Z3" s="163"/>
      <c r="AA3" s="169"/>
    </row>
    <row r="4" spans="1:27" ht="21.75" customHeight="1">
      <c r="A4" s="1017" t="s">
        <v>1761</v>
      </c>
      <c r="B4" s="1017"/>
      <c r="C4" s="1017"/>
      <c r="D4" s="1017"/>
      <c r="E4" s="1017"/>
      <c r="F4" s="1017"/>
      <c r="G4" s="1017"/>
      <c r="H4" s="1017"/>
      <c r="I4" s="1017"/>
      <c r="J4" s="1017"/>
      <c r="K4" s="1017"/>
      <c r="L4" s="1017"/>
      <c r="M4" s="1017"/>
      <c r="N4" s="1017"/>
      <c r="O4" s="1017"/>
      <c r="P4" s="1017"/>
      <c r="Q4" s="1017"/>
      <c r="R4" s="1017"/>
      <c r="S4" s="1017"/>
      <c r="T4" s="1017"/>
      <c r="U4" s="1017"/>
      <c r="V4" s="1017"/>
      <c r="W4" s="1017"/>
      <c r="X4" s="1017"/>
      <c r="Y4" s="1017"/>
      <c r="Z4" s="1017"/>
      <c r="AA4" s="1017"/>
    </row>
    <row r="5" spans="1:27" ht="12.95" customHeight="1">
      <c r="A5" s="163"/>
      <c r="C5" s="169"/>
      <c r="D5" s="169"/>
      <c r="E5" s="169"/>
      <c r="F5" s="166"/>
      <c r="G5" s="166"/>
      <c r="H5" s="168"/>
      <c r="I5" s="167"/>
      <c r="J5" s="167"/>
      <c r="K5" s="167"/>
      <c r="L5" s="167"/>
      <c r="M5" s="167"/>
      <c r="N5" s="167"/>
      <c r="O5" s="167"/>
      <c r="P5" s="167"/>
      <c r="Q5" s="167"/>
      <c r="R5" s="167"/>
      <c r="S5" s="168"/>
      <c r="T5" s="166"/>
      <c r="U5" s="169"/>
      <c r="V5" s="166"/>
      <c r="W5" s="163"/>
      <c r="X5" s="163"/>
      <c r="Y5" s="163"/>
      <c r="Z5" s="163"/>
      <c r="AA5" s="169"/>
    </row>
    <row r="6" spans="1:27" ht="14.25" customHeight="1">
      <c r="A6" s="163"/>
      <c r="B6" s="1023" t="str">
        <f ca="1">VLOOKUP(A1,通知書Genzai!I9:Q66,2,TRUE)</f>
        <v>ハー　ヴィエット　トウイ</v>
      </c>
      <c r="C6" s="1023"/>
      <c r="D6" s="1023"/>
      <c r="E6" s="1023"/>
      <c r="F6" s="1023"/>
      <c r="G6" s="1023"/>
      <c r="H6" s="1023"/>
      <c r="I6" s="166" t="s">
        <v>1775</v>
      </c>
      <c r="J6" s="170"/>
      <c r="K6" s="170"/>
      <c r="L6" s="170"/>
      <c r="M6" s="170"/>
      <c r="N6" s="170"/>
      <c r="O6" s="170"/>
      <c r="P6" s="170"/>
      <c r="Q6" s="170"/>
      <c r="R6" s="170"/>
      <c r="S6" s="170"/>
      <c r="T6" s="166"/>
      <c r="U6" s="169"/>
      <c r="V6" s="166"/>
      <c r="W6" s="169"/>
      <c r="X6" s="169"/>
      <c r="Y6" s="166"/>
      <c r="Z6" s="163"/>
      <c r="AA6" s="163"/>
    </row>
    <row r="7" spans="1:27" ht="11.25" customHeight="1">
      <c r="A7" s="163"/>
      <c r="B7" s="166"/>
      <c r="C7" s="166"/>
      <c r="D7" s="166"/>
      <c r="E7" s="166"/>
      <c r="F7" s="166"/>
      <c r="G7" s="166"/>
      <c r="H7" s="166"/>
      <c r="I7" s="166"/>
      <c r="J7" s="170"/>
      <c r="K7" s="170"/>
      <c r="L7" s="170"/>
      <c r="M7" s="170"/>
      <c r="N7" s="170"/>
      <c r="O7" s="170"/>
      <c r="P7" s="183" t="s">
        <v>1762</v>
      </c>
      <c r="Q7" s="183"/>
      <c r="R7" s="172"/>
      <c r="S7" s="172" t="s">
        <v>14</v>
      </c>
      <c r="T7" s="166"/>
      <c r="U7" s="169"/>
      <c r="V7" s="166"/>
      <c r="W7" s="169"/>
      <c r="X7" s="169"/>
      <c r="Y7" s="166"/>
      <c r="Z7" s="163"/>
      <c r="AA7" s="163"/>
    </row>
    <row r="8" spans="1:27" ht="12.75" customHeight="1">
      <c r="A8" s="163"/>
      <c r="B8" s="173"/>
      <c r="C8" s="173"/>
      <c r="D8" s="173"/>
      <c r="E8" s="173"/>
      <c r="F8" s="173"/>
      <c r="G8" s="173"/>
      <c r="H8" s="173"/>
      <c r="I8" s="173"/>
      <c r="J8" s="170"/>
      <c r="K8" s="170"/>
      <c r="L8" s="170"/>
      <c r="M8" s="170"/>
      <c r="N8" s="170"/>
      <c r="O8" s="171"/>
      <c r="P8" s="183" t="s">
        <v>1763</v>
      </c>
      <c r="Q8" s="183"/>
      <c r="R8" s="172"/>
      <c r="S8" s="172" t="s">
        <v>1764</v>
      </c>
      <c r="T8" s="163"/>
      <c r="U8" s="163"/>
      <c r="V8" s="163"/>
      <c r="W8" s="163"/>
      <c r="X8" s="163"/>
      <c r="Y8" s="174"/>
      <c r="Z8" s="163"/>
      <c r="AA8" s="163"/>
    </row>
    <row r="9" spans="1:27" ht="12.75" customHeight="1">
      <c r="A9" s="163"/>
      <c r="B9" s="173"/>
      <c r="C9" s="173"/>
      <c r="D9" s="173"/>
      <c r="E9" s="173"/>
      <c r="F9" s="173"/>
      <c r="G9" s="173"/>
      <c r="H9" s="173"/>
      <c r="I9" s="173"/>
      <c r="J9" s="170"/>
      <c r="K9" s="170"/>
      <c r="L9" s="170"/>
      <c r="M9" s="170"/>
      <c r="N9" s="170"/>
      <c r="O9" s="171"/>
      <c r="P9" s="171"/>
      <c r="Q9" s="163"/>
      <c r="R9" s="172"/>
      <c r="S9" s="172"/>
      <c r="T9" s="163"/>
      <c r="U9" s="163"/>
      <c r="V9" s="163"/>
      <c r="W9" s="163"/>
      <c r="X9" s="163"/>
      <c r="Y9" s="174"/>
      <c r="Z9" s="163"/>
      <c r="AA9" s="163"/>
    </row>
    <row r="10" spans="1:27" ht="17.25" customHeight="1" thickBot="1">
      <c r="A10" s="163"/>
      <c r="B10" s="1019" t="s">
        <v>1765</v>
      </c>
      <c r="C10" s="1019"/>
      <c r="D10" s="1019"/>
      <c r="E10" s="1019"/>
      <c r="F10" s="1019"/>
      <c r="G10" s="1019"/>
      <c r="H10" s="1019"/>
      <c r="I10" s="1019"/>
      <c r="J10" s="1019"/>
      <c r="K10" s="1019"/>
      <c r="L10" s="1019"/>
      <c r="M10" s="1019"/>
      <c r="N10" s="1019"/>
      <c r="O10" s="1019"/>
      <c r="P10" s="1019"/>
      <c r="Q10" s="1019"/>
      <c r="R10" s="1019"/>
      <c r="S10" s="1019"/>
      <c r="T10" s="1019"/>
      <c r="U10" s="1019"/>
      <c r="V10" s="1019"/>
      <c r="W10" s="1019"/>
      <c r="X10" s="1019"/>
      <c r="Y10" s="1019"/>
      <c r="Z10" s="1019"/>
      <c r="AA10" s="163"/>
    </row>
    <row r="11" spans="1:27" ht="15.95" customHeight="1">
      <c r="A11" s="163"/>
      <c r="B11" s="193" t="s">
        <v>1766</v>
      </c>
      <c r="C11" s="194"/>
      <c r="D11" s="194"/>
      <c r="E11" s="195"/>
      <c r="F11" s="195"/>
      <c r="G11" s="195"/>
      <c r="H11" s="195"/>
      <c r="I11" s="195"/>
      <c r="J11" s="195"/>
      <c r="K11" s="195"/>
      <c r="L11" s="195"/>
      <c r="M11" s="195"/>
      <c r="N11" s="195"/>
      <c r="O11" s="195"/>
      <c r="P11" s="195"/>
      <c r="Q11" s="195"/>
      <c r="R11" s="195"/>
      <c r="S11" s="195"/>
      <c r="T11" s="195"/>
      <c r="U11" s="195"/>
      <c r="V11" s="195"/>
      <c r="W11" s="195"/>
      <c r="X11" s="195"/>
      <c r="Y11" s="195"/>
      <c r="Z11" s="195"/>
      <c r="AA11" s="196"/>
    </row>
    <row r="12" spans="1:27" ht="15.95" customHeight="1">
      <c r="A12" s="163"/>
      <c r="B12" s="197"/>
      <c r="C12" s="330"/>
      <c r="D12" s="330"/>
      <c r="E12" s="175"/>
      <c r="F12" s="175"/>
      <c r="G12" s="175"/>
      <c r="H12" s="175"/>
      <c r="I12" s="175"/>
      <c r="J12" s="175"/>
      <c r="K12" s="175"/>
      <c r="L12" s="175"/>
      <c r="M12" s="175"/>
      <c r="N12" s="175"/>
      <c r="O12" s="175"/>
      <c r="P12" s="175"/>
      <c r="Q12" s="175"/>
      <c r="R12" s="175"/>
      <c r="S12" s="175"/>
      <c r="T12" s="175"/>
      <c r="U12" s="175"/>
      <c r="V12" s="175"/>
      <c r="W12" s="175"/>
      <c r="X12" s="175"/>
      <c r="Y12" s="175"/>
      <c r="Z12" s="175"/>
      <c r="AA12" s="198"/>
    </row>
    <row r="13" spans="1:27" ht="15.95" customHeight="1">
      <c r="A13" s="163"/>
      <c r="B13" s="197"/>
      <c r="C13" s="388" t="s">
        <v>1767</v>
      </c>
      <c r="D13" s="332" t="s">
        <v>1772</v>
      </c>
      <c r="E13" s="175"/>
      <c r="F13" s="175"/>
      <c r="G13" s="175"/>
      <c r="H13" s="175"/>
      <c r="I13" s="175"/>
      <c r="J13" s="332" t="s">
        <v>1773</v>
      </c>
      <c r="K13" s="175"/>
      <c r="L13" s="175"/>
      <c r="M13" s="175"/>
      <c r="N13" s="175"/>
      <c r="O13" s="175"/>
      <c r="P13" s="1024">
        <f ca="1">_xlfn.XLOOKUP($B$1,TBKaishaInfo[ライン],TBKaishaInfo[当該協定期間],0,0,1)</f>
        <v>45747</v>
      </c>
      <c r="Q13" s="1024"/>
      <c r="R13" s="1024"/>
      <c r="S13" s="1024"/>
      <c r="T13" s="332" t="s">
        <v>1774</v>
      </c>
      <c r="U13" s="332"/>
      <c r="V13" s="175"/>
      <c r="W13" s="175"/>
      <c r="X13" s="175"/>
      <c r="Y13" s="175"/>
      <c r="Z13" s="175"/>
      <c r="AA13" s="198"/>
    </row>
    <row r="14" spans="1:27" ht="15.95" customHeight="1">
      <c r="A14" s="163"/>
      <c r="B14" s="197"/>
      <c r="C14" s="331" t="s">
        <v>2062</v>
      </c>
      <c r="D14" s="332" t="s">
        <v>1768</v>
      </c>
      <c r="E14" s="175"/>
      <c r="F14" s="175"/>
      <c r="G14" s="175"/>
      <c r="H14" s="175"/>
      <c r="I14" s="175"/>
      <c r="J14" s="175"/>
      <c r="K14" s="175"/>
      <c r="L14" s="175"/>
      <c r="M14" s="175"/>
      <c r="N14" s="175"/>
      <c r="O14" s="175"/>
      <c r="P14" s="175"/>
      <c r="Q14" s="175"/>
      <c r="R14" s="175"/>
      <c r="S14" s="175"/>
      <c r="T14" s="175"/>
      <c r="U14" s="175"/>
      <c r="V14" s="175"/>
      <c r="W14" s="175"/>
      <c r="X14" s="175"/>
      <c r="Y14" s="175"/>
      <c r="Z14" s="175"/>
      <c r="AA14" s="198"/>
    </row>
    <row r="15" spans="1:27" ht="15.95" customHeight="1">
      <c r="A15" s="163"/>
      <c r="B15" s="199"/>
      <c r="C15" s="176"/>
      <c r="D15" s="177"/>
      <c r="E15" s="176"/>
      <c r="F15" s="176"/>
      <c r="G15" s="176"/>
      <c r="H15" s="176"/>
      <c r="I15" s="178"/>
      <c r="J15" s="176"/>
      <c r="K15" s="177"/>
      <c r="L15" s="176"/>
      <c r="M15" s="176"/>
      <c r="N15" s="176"/>
      <c r="O15" s="179"/>
      <c r="P15" s="180"/>
      <c r="Q15" s="180"/>
      <c r="R15" s="180"/>
      <c r="S15" s="180"/>
      <c r="T15" s="180"/>
      <c r="U15" s="180"/>
      <c r="V15" s="180"/>
      <c r="W15" s="180"/>
      <c r="X15" s="180"/>
      <c r="Y15" s="180"/>
      <c r="Z15" s="180"/>
      <c r="AA15" s="200"/>
    </row>
    <row r="16" spans="1:27" s="182" customFormat="1" ht="31.5" customHeight="1">
      <c r="A16" s="181"/>
      <c r="B16" s="1020" t="s">
        <v>1769</v>
      </c>
      <c r="C16" s="1021"/>
      <c r="D16" s="1021"/>
      <c r="E16" s="1021"/>
      <c r="F16" s="1021"/>
      <c r="G16" s="1021"/>
      <c r="H16" s="1021"/>
      <c r="I16" s="1021"/>
      <c r="J16" s="1021"/>
      <c r="K16" s="1021"/>
      <c r="L16" s="1021"/>
      <c r="M16" s="1021"/>
      <c r="N16" s="1021"/>
      <c r="O16" s="1021"/>
      <c r="P16" s="1021"/>
      <c r="Q16" s="1021"/>
      <c r="R16" s="1021"/>
      <c r="S16" s="1021"/>
      <c r="T16" s="1021"/>
      <c r="U16" s="1021"/>
      <c r="V16" s="1021"/>
      <c r="W16" s="1021"/>
      <c r="X16" s="1021"/>
      <c r="Y16" s="1021"/>
      <c r="Z16" s="1021"/>
      <c r="AA16" s="1022"/>
    </row>
    <row r="17" spans="1:29" ht="15.95" customHeight="1">
      <c r="A17" s="163"/>
      <c r="B17" s="1025" t="s">
        <v>1954</v>
      </c>
      <c r="C17" s="1026"/>
      <c r="D17" s="187" t="s">
        <v>2042</v>
      </c>
      <c r="E17" s="187"/>
      <c r="F17" s="187"/>
      <c r="G17" s="187"/>
      <c r="H17" s="187"/>
      <c r="I17" s="187"/>
      <c r="J17" s="187"/>
      <c r="K17" s="187"/>
      <c r="L17" s="187"/>
      <c r="M17" s="187"/>
      <c r="N17" s="187"/>
      <c r="O17" s="187"/>
      <c r="P17" s="187"/>
      <c r="Q17" s="187"/>
      <c r="R17" s="187"/>
      <c r="S17" s="187"/>
      <c r="T17" s="187"/>
      <c r="U17" s="187"/>
      <c r="V17" s="187"/>
      <c r="W17" s="187"/>
      <c r="X17" s="187"/>
      <c r="Y17" s="187"/>
      <c r="Z17" s="187"/>
      <c r="AA17" s="348"/>
      <c r="AC17" s="165" t="s">
        <v>2041</v>
      </c>
    </row>
    <row r="18" spans="1:29" ht="15.95" customHeight="1">
      <c r="A18" s="163"/>
      <c r="B18" s="349"/>
      <c r="C18" s="187"/>
      <c r="D18" s="1026" t="str">
        <f>"ハ　時間給"&amp;"　　(　　            円)"</f>
        <v>ハ　時間給　　(　　            円)</v>
      </c>
      <c r="E18" s="1026"/>
      <c r="F18" s="1026"/>
      <c r="G18" s="1026"/>
      <c r="H18" s="1026"/>
      <c r="I18" s="1026"/>
      <c r="J18" s="1026"/>
      <c r="K18" s="187"/>
      <c r="L18" s="187"/>
      <c r="M18" s="187"/>
      <c r="N18" s="187"/>
      <c r="O18" s="187"/>
      <c r="P18" s="187"/>
      <c r="Q18" s="187"/>
      <c r="R18" s="187"/>
      <c r="S18" s="187"/>
      <c r="AA18" s="350"/>
      <c r="AC18" s="165" t="s">
        <v>2040</v>
      </c>
    </row>
    <row r="19" spans="1:29" ht="15.95" customHeight="1">
      <c r="A19" s="163"/>
      <c r="B19" s="351"/>
      <c r="C19" s="352"/>
      <c r="D19" s="1027" t="s">
        <v>2044</v>
      </c>
      <c r="E19" s="1027"/>
      <c r="F19" s="1027"/>
      <c r="G19" s="1027"/>
      <c r="H19" s="1027"/>
      <c r="I19" s="1027"/>
      <c r="J19" s="1027"/>
      <c r="K19" s="1027"/>
      <c r="L19" s="1027"/>
      <c r="M19" s="1027"/>
      <c r="N19" s="1027"/>
      <c r="O19" s="1027"/>
      <c r="P19" s="1027"/>
      <c r="Q19" s="1027"/>
      <c r="R19" s="1027"/>
      <c r="S19" s="1027"/>
      <c r="T19" s="1027"/>
      <c r="U19" s="1027"/>
      <c r="V19" s="1027"/>
      <c r="W19" s="1027"/>
      <c r="X19" s="1027"/>
      <c r="Y19" s="1027"/>
      <c r="Z19" s="1027"/>
      <c r="AA19" s="1028"/>
      <c r="AC19" s="165" t="s">
        <v>2043</v>
      </c>
    </row>
    <row r="20" spans="1:29" ht="15.95" customHeight="1">
      <c r="A20" s="163"/>
      <c r="B20" s="351"/>
      <c r="C20" s="352"/>
      <c r="D20" s="1033" t="s">
        <v>1956</v>
      </c>
      <c r="E20" s="1033"/>
      <c r="F20" s="1033"/>
      <c r="G20" s="1033"/>
      <c r="H20" s="1033"/>
      <c r="I20" s="1033"/>
      <c r="J20" s="1033"/>
      <c r="K20" s="352"/>
      <c r="L20" s="352"/>
      <c r="M20" s="352"/>
      <c r="N20" s="352"/>
      <c r="O20" s="352"/>
      <c r="P20" s="352"/>
      <c r="Q20" s="352"/>
      <c r="R20" s="352"/>
      <c r="S20" s="352"/>
      <c r="T20" s="352"/>
      <c r="U20" s="352"/>
      <c r="V20" s="352"/>
      <c r="W20" s="352"/>
      <c r="X20" s="352"/>
      <c r="Y20" s="352"/>
      <c r="Z20" s="352"/>
      <c r="AA20" s="353"/>
    </row>
    <row r="21" spans="1:29" ht="15.95" customHeight="1">
      <c r="A21" s="163"/>
      <c r="B21" s="351"/>
      <c r="C21" s="352"/>
      <c r="D21" s="1027" t="s">
        <v>1955</v>
      </c>
      <c r="E21" s="1027"/>
      <c r="F21" s="1027"/>
      <c r="G21" s="1027"/>
      <c r="H21" s="1027"/>
      <c r="I21" s="1027"/>
      <c r="J21" s="1027"/>
      <c r="K21" s="1027"/>
      <c r="L21" s="1027"/>
      <c r="M21" s="1027"/>
      <c r="N21" s="1027"/>
      <c r="O21" s="1027"/>
      <c r="P21" s="1027"/>
      <c r="Q21" s="1027"/>
      <c r="R21" s="1027"/>
      <c r="S21" s="1027"/>
      <c r="T21" s="1027"/>
      <c r="U21" s="1027"/>
      <c r="V21" s="1027"/>
      <c r="W21" s="1027"/>
      <c r="X21" s="1027"/>
      <c r="Y21" s="1027"/>
      <c r="Z21" s="1027"/>
      <c r="AA21" s="1028"/>
    </row>
    <row r="22" spans="1:29" ht="15.95" customHeight="1">
      <c r="A22" s="163"/>
      <c r="B22" s="354"/>
      <c r="C22" s="355"/>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6"/>
    </row>
    <row r="23" spans="1:29" ht="15.95" customHeight="1">
      <c r="A23" s="163"/>
      <c r="B23" s="357" t="s">
        <v>1910</v>
      </c>
      <c r="C23" s="355"/>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6"/>
    </row>
    <row r="24" spans="1:29" ht="15.95" customHeight="1">
      <c r="A24" s="163"/>
      <c r="B24" s="1029" t="s">
        <v>1911</v>
      </c>
      <c r="C24" s="1030"/>
      <c r="D24" s="1030"/>
      <c r="E24" s="1030"/>
      <c r="F24" s="1030"/>
      <c r="G24" s="1030"/>
      <c r="H24" s="1030"/>
      <c r="I24" s="1030"/>
      <c r="J24" s="1030"/>
      <c r="K24" s="1030"/>
      <c r="L24" s="1030"/>
      <c r="M24" s="1030"/>
      <c r="N24" s="1030"/>
      <c r="O24" s="1030"/>
      <c r="P24" s="1030"/>
      <c r="Q24" s="355"/>
      <c r="R24" s="355"/>
      <c r="S24" s="355"/>
      <c r="T24" s="355"/>
      <c r="U24" s="355"/>
      <c r="V24" s="355"/>
      <c r="W24" s="355"/>
      <c r="X24" s="355"/>
      <c r="Y24" s="355"/>
      <c r="Z24" s="355"/>
      <c r="AA24" s="356"/>
    </row>
    <row r="25" spans="1:29" ht="15.95" customHeight="1">
      <c r="A25" s="163"/>
      <c r="B25" s="1029" t="s">
        <v>1912</v>
      </c>
      <c r="C25" s="1030"/>
      <c r="D25" s="1030"/>
      <c r="E25" s="1030"/>
      <c r="F25" s="1030"/>
      <c r="G25" s="1030"/>
      <c r="H25" s="1030"/>
      <c r="I25" s="1030"/>
      <c r="J25" s="1030"/>
      <c r="K25" s="1030"/>
      <c r="L25" s="1030"/>
      <c r="M25" s="1030"/>
      <c r="N25" s="1030"/>
      <c r="O25" s="1030"/>
      <c r="P25" s="1030"/>
      <c r="Q25" s="355"/>
      <c r="R25" s="355"/>
      <c r="S25" s="355"/>
      <c r="T25" s="355"/>
      <c r="U25" s="355"/>
      <c r="V25" s="355"/>
      <c r="W25" s="355"/>
      <c r="X25" s="355"/>
      <c r="Y25" s="355"/>
      <c r="Z25" s="355"/>
      <c r="AA25" s="356"/>
    </row>
    <row r="26" spans="1:29" ht="15.95" customHeight="1">
      <c r="A26" s="163"/>
      <c r="B26" s="1029" t="s">
        <v>1913</v>
      </c>
      <c r="C26" s="1030"/>
      <c r="D26" s="1030"/>
      <c r="E26" s="1030"/>
      <c r="F26" s="1030"/>
      <c r="G26" s="1030"/>
      <c r="H26" s="1030"/>
      <c r="I26" s="1030"/>
      <c r="J26" s="1030"/>
      <c r="K26" s="1030"/>
      <c r="L26" s="1030"/>
      <c r="M26" s="1030"/>
      <c r="N26" s="1030"/>
      <c r="O26" s="1030"/>
      <c r="P26" s="1030"/>
      <c r="Q26" s="355"/>
      <c r="R26" s="355"/>
      <c r="S26" s="355"/>
      <c r="T26" s="355"/>
      <c r="U26" s="355"/>
      <c r="V26" s="355"/>
      <c r="W26" s="355"/>
      <c r="X26" s="355"/>
      <c r="Y26" s="355"/>
      <c r="Z26" s="355"/>
      <c r="AA26" s="356"/>
    </row>
    <row r="27" spans="1:29" ht="15.95" customHeight="1">
      <c r="A27" s="163"/>
      <c r="B27" s="1029" t="s">
        <v>1914</v>
      </c>
      <c r="C27" s="1030"/>
      <c r="D27" s="1030"/>
      <c r="E27" s="1030"/>
      <c r="F27" s="1030"/>
      <c r="G27" s="1030"/>
      <c r="H27" s="1030"/>
      <c r="I27" s="1030"/>
      <c r="J27" s="1030"/>
      <c r="K27" s="1030"/>
      <c r="L27" s="1030"/>
      <c r="M27" s="1030"/>
      <c r="N27" s="1030"/>
      <c r="O27" s="1030"/>
      <c r="P27" s="1030"/>
      <c r="Q27" s="355"/>
      <c r="R27" s="355"/>
      <c r="S27" s="355"/>
      <c r="T27" s="355"/>
      <c r="U27" s="355"/>
      <c r="V27" s="355"/>
      <c r="W27" s="355"/>
      <c r="X27" s="355"/>
      <c r="Y27" s="355"/>
      <c r="Z27" s="355"/>
      <c r="AA27" s="356"/>
    </row>
    <row r="28" spans="1:29" ht="15.95" customHeight="1">
      <c r="A28" s="163"/>
      <c r="B28" s="357"/>
      <c r="C28" s="355"/>
      <c r="D28" s="355"/>
      <c r="E28" s="355"/>
      <c r="F28" s="355"/>
      <c r="G28" s="355"/>
      <c r="H28" s="355"/>
      <c r="I28" s="355"/>
      <c r="J28" s="355"/>
      <c r="K28" s="355"/>
      <c r="L28" s="355"/>
      <c r="M28" s="355"/>
      <c r="N28" s="355"/>
      <c r="O28" s="355"/>
      <c r="P28" s="355"/>
      <c r="Q28" s="355"/>
      <c r="R28" s="355"/>
      <c r="S28" s="355"/>
      <c r="T28" s="355"/>
      <c r="U28" s="355"/>
      <c r="V28" s="355"/>
      <c r="W28" s="355"/>
      <c r="X28" s="355"/>
      <c r="Y28" s="355"/>
      <c r="Z28" s="355"/>
      <c r="AA28" s="356"/>
    </row>
    <row r="29" spans="1:29" ht="15.95" customHeight="1">
      <c r="A29" s="163"/>
      <c r="B29" s="357" t="s">
        <v>1915</v>
      </c>
      <c r="C29" s="355"/>
      <c r="D29" s="355"/>
      <c r="E29" s="355"/>
      <c r="F29" s="355"/>
      <c r="G29" s="355"/>
      <c r="H29" s="355"/>
      <c r="I29" s="355"/>
      <c r="J29" s="355"/>
      <c r="K29" s="355"/>
      <c r="L29" s="355"/>
      <c r="M29" s="355"/>
      <c r="N29" s="355"/>
      <c r="O29" s="355"/>
      <c r="P29" s="355"/>
      <c r="Q29" s="355"/>
      <c r="R29" s="355"/>
      <c r="S29" s="355"/>
      <c r="T29" s="355"/>
      <c r="U29" s="355"/>
      <c r="V29" s="355"/>
      <c r="W29" s="355"/>
      <c r="X29" s="355"/>
      <c r="Y29" s="355"/>
      <c r="Z29" s="355"/>
      <c r="AA29" s="356"/>
    </row>
    <row r="30" spans="1:29" ht="15.95" customHeight="1">
      <c r="A30" s="163"/>
      <c r="B30" s="1029" t="s">
        <v>2054</v>
      </c>
      <c r="C30" s="1030"/>
      <c r="D30" s="1030"/>
      <c r="E30" s="1030"/>
      <c r="F30" s="1030"/>
      <c r="G30" s="1030"/>
      <c r="H30" s="1030"/>
      <c r="I30" s="1030"/>
      <c r="J30" s="1030"/>
      <c r="K30" s="1030"/>
      <c r="L30" s="1030"/>
      <c r="M30" s="187"/>
      <c r="N30" s="355"/>
      <c r="O30" s="355"/>
      <c r="P30" s="355"/>
      <c r="Q30" s="355"/>
      <c r="R30" s="355"/>
      <c r="S30" s="355"/>
      <c r="T30" s="355"/>
      <c r="U30" s="355"/>
      <c r="V30" s="355"/>
      <c r="W30" s="355"/>
      <c r="X30" s="355"/>
      <c r="Y30" s="355"/>
      <c r="Z30" s="355"/>
      <c r="AA30" s="356"/>
    </row>
    <row r="31" spans="1:29" ht="15.95" customHeight="1">
      <c r="A31" s="163"/>
      <c r="B31" s="1031" t="str">
        <f>IF(HakenkikanS&lt;DATE(2023,4,1),"","                                     月６０時間超　（     ）％")</f>
        <v xml:space="preserve">                                     月６０時間超　（     ）％</v>
      </c>
      <c r="C31" s="1032"/>
      <c r="D31" s="1032"/>
      <c r="E31" s="1032"/>
      <c r="F31" s="1032"/>
      <c r="G31" s="1032"/>
      <c r="H31" s="1032"/>
      <c r="I31" s="1032"/>
      <c r="J31" s="1032"/>
      <c r="K31" s="1032"/>
      <c r="L31" s="1032"/>
      <c r="M31" s="352"/>
      <c r="N31" s="355"/>
      <c r="O31" s="355"/>
      <c r="P31" s="355"/>
      <c r="Q31" s="355"/>
      <c r="R31" s="355"/>
      <c r="S31" s="355"/>
      <c r="T31" s="355"/>
      <c r="U31" s="355"/>
      <c r="V31" s="355"/>
      <c r="W31" s="355"/>
      <c r="X31" s="355"/>
      <c r="Y31" s="355"/>
      <c r="Z31" s="355"/>
      <c r="AA31" s="356"/>
    </row>
    <row r="32" spans="1:29" ht="15.95" customHeight="1">
      <c r="A32" s="163"/>
      <c r="B32" s="1029" t="s">
        <v>2055</v>
      </c>
      <c r="C32" s="1030"/>
      <c r="D32" s="1030"/>
      <c r="E32" s="1030"/>
      <c r="F32" s="1030"/>
      <c r="G32" s="1030"/>
      <c r="H32" s="1030"/>
      <c r="I32" s="1030"/>
      <c r="J32" s="1030"/>
      <c r="K32" s="1030"/>
      <c r="L32" s="1030"/>
      <c r="M32" s="355"/>
      <c r="N32" s="355"/>
      <c r="O32" s="355"/>
      <c r="P32" s="355"/>
      <c r="Q32" s="355"/>
      <c r="R32" s="355"/>
      <c r="S32" s="355"/>
      <c r="T32" s="355"/>
      <c r="U32" s="355"/>
      <c r="V32" s="355"/>
      <c r="W32" s="355"/>
      <c r="X32" s="355"/>
      <c r="Y32" s="355"/>
      <c r="Z32" s="355"/>
      <c r="AA32" s="356"/>
    </row>
    <row r="33" spans="1:27" ht="15.95" customHeight="1">
      <c r="A33" s="163"/>
      <c r="B33" s="1029" t="s">
        <v>2059</v>
      </c>
      <c r="C33" s="1030"/>
      <c r="D33" s="1030"/>
      <c r="E33" s="1030"/>
      <c r="F33" s="1030"/>
      <c r="G33" s="358"/>
      <c r="H33" s="358"/>
      <c r="I33" s="358"/>
      <c r="J33" s="358"/>
      <c r="K33" s="355"/>
      <c r="L33" s="355"/>
      <c r="M33" s="355"/>
      <c r="N33" s="355"/>
      <c r="O33" s="355"/>
      <c r="P33" s="355"/>
      <c r="Q33" s="355"/>
      <c r="R33" s="355"/>
      <c r="S33" s="355"/>
      <c r="T33" s="355"/>
      <c r="U33" s="355"/>
      <c r="V33" s="355"/>
      <c r="W33" s="355"/>
      <c r="X33" s="355"/>
      <c r="Y33" s="355"/>
      <c r="Z33" s="355"/>
      <c r="AA33" s="356"/>
    </row>
    <row r="34" spans="1:27" ht="15.95" customHeight="1">
      <c r="A34" s="163"/>
      <c r="B34" s="359"/>
      <c r="C34" s="355"/>
      <c r="D34" s="355"/>
      <c r="E34" s="355"/>
      <c r="F34" s="355"/>
      <c r="G34" s="355"/>
      <c r="H34" s="355"/>
      <c r="I34" s="355"/>
      <c r="J34" s="355"/>
      <c r="K34" s="355"/>
      <c r="L34" s="355"/>
      <c r="M34" s="355"/>
      <c r="N34" s="355"/>
      <c r="O34" s="355"/>
      <c r="P34" s="355"/>
      <c r="Q34" s="355"/>
      <c r="R34" s="355"/>
      <c r="S34" s="355"/>
      <c r="T34" s="355"/>
      <c r="U34" s="355"/>
      <c r="V34" s="355"/>
      <c r="W34" s="355"/>
      <c r="X34" s="355"/>
      <c r="Y34" s="355"/>
      <c r="Z34" s="355"/>
      <c r="AA34" s="356"/>
    </row>
    <row r="35" spans="1:27" ht="15.95" customHeight="1">
      <c r="A35" s="163"/>
      <c r="B35" s="360"/>
      <c r="C35" s="361"/>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2"/>
    </row>
    <row r="36" spans="1:27" s="184" customFormat="1" ht="15.95" customHeight="1">
      <c r="A36" s="183"/>
      <c r="B36" s="1013" t="s">
        <v>1770</v>
      </c>
      <c r="C36" s="1014"/>
      <c r="D36" s="1014"/>
      <c r="E36" s="1014"/>
      <c r="F36" s="1014"/>
      <c r="G36" s="1014"/>
      <c r="H36" s="1014"/>
      <c r="I36" s="1014"/>
      <c r="J36" s="1014"/>
      <c r="K36" s="1014"/>
      <c r="L36" s="1014"/>
      <c r="M36" s="1014"/>
      <c r="N36" s="1014"/>
      <c r="O36" s="1014"/>
      <c r="P36" s="1014"/>
      <c r="Q36" s="1014"/>
      <c r="R36" s="1014"/>
      <c r="S36" s="1014"/>
      <c r="T36" s="1014"/>
      <c r="U36" s="1014"/>
      <c r="V36" s="1014"/>
      <c r="W36" s="1014"/>
      <c r="X36" s="1014"/>
      <c r="Y36" s="1014"/>
      <c r="Z36" s="1014"/>
      <c r="AA36" s="1015"/>
    </row>
    <row r="37" spans="1:27" s="184" customFormat="1" ht="15.95" customHeight="1">
      <c r="A37" s="183"/>
      <c r="B37" s="366"/>
      <c r="C37" s="182"/>
      <c r="D37" s="182"/>
      <c r="E37" s="182"/>
      <c r="F37" s="182"/>
      <c r="G37" s="182"/>
      <c r="H37" s="182"/>
      <c r="I37" s="182"/>
      <c r="J37" s="182"/>
      <c r="K37" s="182"/>
      <c r="L37" s="182"/>
      <c r="M37" s="182"/>
      <c r="N37" s="182"/>
      <c r="O37" s="182"/>
      <c r="P37" s="182"/>
      <c r="Q37" s="182"/>
      <c r="R37" s="182"/>
      <c r="S37" s="182"/>
      <c r="T37" s="182"/>
      <c r="U37" s="182"/>
      <c r="V37" s="182"/>
      <c r="W37" s="182"/>
      <c r="X37" s="182"/>
      <c r="Y37" s="182"/>
      <c r="Z37" s="182"/>
      <c r="AA37" s="367"/>
    </row>
    <row r="38" spans="1:27" s="184" customFormat="1" ht="15.95" customHeight="1">
      <c r="A38" s="183"/>
      <c r="B38" s="366"/>
      <c r="C38" s="1016" t="s">
        <v>2056</v>
      </c>
      <c r="D38" s="1016"/>
      <c r="E38" s="1016"/>
      <c r="F38" s="1016"/>
      <c r="G38" s="1016"/>
      <c r="H38" s="1016"/>
      <c r="I38" s="1016"/>
      <c r="J38" s="1016"/>
      <c r="K38" s="1016"/>
      <c r="L38" s="1016"/>
      <c r="M38" s="1016"/>
      <c r="N38" s="1016"/>
      <c r="O38" s="1016"/>
      <c r="P38" s="1016"/>
      <c r="Q38" s="1016"/>
      <c r="R38" s="1016"/>
      <c r="S38" s="1016"/>
      <c r="T38" s="1016"/>
      <c r="U38" s="1016"/>
      <c r="V38" s="1016"/>
      <c r="W38" s="1016"/>
      <c r="X38" s="1016"/>
      <c r="Y38" s="1016"/>
      <c r="Z38" s="1016"/>
      <c r="AA38" s="367"/>
    </row>
    <row r="39" spans="1:27" s="184" customFormat="1" ht="15.95" customHeight="1">
      <c r="A39" s="183"/>
      <c r="B39" s="366"/>
      <c r="C39" s="1016" t="s">
        <v>2057</v>
      </c>
      <c r="D39" s="1016"/>
      <c r="E39" s="1016"/>
      <c r="F39" s="1016"/>
      <c r="G39" s="1016"/>
      <c r="H39" s="1016"/>
      <c r="I39" s="1016"/>
      <c r="J39" s="1016"/>
      <c r="K39" s="1016"/>
      <c r="L39" s="1016"/>
      <c r="M39" s="1016"/>
      <c r="N39" s="1016"/>
      <c r="O39" s="1016"/>
      <c r="P39" s="1016"/>
      <c r="Q39" s="1016"/>
      <c r="R39" s="1016"/>
      <c r="S39" s="1016"/>
      <c r="T39" s="1016"/>
      <c r="U39" s="1016"/>
      <c r="V39" s="1016"/>
      <c r="W39" s="1016"/>
      <c r="X39" s="1016"/>
      <c r="Y39" s="1016"/>
      <c r="Z39" s="1016"/>
      <c r="AA39" s="367"/>
    </row>
    <row r="40" spans="1:27" s="184" customFormat="1" ht="15.95" customHeight="1">
      <c r="A40" s="183"/>
      <c r="B40" s="366"/>
      <c r="C40" s="1016" t="s">
        <v>2058</v>
      </c>
      <c r="D40" s="1016"/>
      <c r="E40" s="1016"/>
      <c r="F40" s="1016"/>
      <c r="G40" s="1016"/>
      <c r="H40" s="1016"/>
      <c r="I40" s="1016"/>
      <c r="J40" s="1016"/>
      <c r="K40" s="1016"/>
      <c r="L40" s="1016"/>
      <c r="M40" s="1016"/>
      <c r="N40" s="1016"/>
      <c r="O40" s="1016"/>
      <c r="P40" s="1016"/>
      <c r="Q40" s="1016"/>
      <c r="R40" s="1016"/>
      <c r="S40" s="1016"/>
      <c r="T40" s="1016"/>
      <c r="U40" s="1016"/>
      <c r="V40" s="1016"/>
      <c r="W40" s="1016"/>
      <c r="X40" s="1016"/>
      <c r="Y40" s="1016"/>
      <c r="Z40" s="1016"/>
      <c r="AA40" s="367"/>
    </row>
    <row r="41" spans="1:27" s="184" customFormat="1" ht="15.95" customHeight="1">
      <c r="A41" s="183"/>
      <c r="B41" s="368"/>
      <c r="C41" s="369"/>
      <c r="D41" s="370"/>
      <c r="E41" s="370"/>
      <c r="F41" s="370"/>
      <c r="G41" s="370"/>
      <c r="H41" s="370"/>
      <c r="I41" s="370"/>
      <c r="J41" s="370"/>
      <c r="K41" s="370"/>
      <c r="L41" s="370"/>
      <c r="M41" s="370"/>
      <c r="N41" s="370"/>
      <c r="O41" s="370"/>
      <c r="P41" s="370"/>
      <c r="Q41" s="370"/>
      <c r="R41" s="370"/>
      <c r="S41" s="370"/>
      <c r="T41" s="370"/>
      <c r="U41" s="370"/>
      <c r="V41" s="370"/>
      <c r="W41" s="370"/>
      <c r="X41" s="370"/>
      <c r="Y41" s="370"/>
      <c r="Z41" s="370"/>
      <c r="AA41" s="371"/>
    </row>
    <row r="42" spans="1:27" ht="18" customHeight="1">
      <c r="A42" s="163"/>
      <c r="B42" s="363" t="s">
        <v>1771</v>
      </c>
      <c r="C42" s="347"/>
      <c r="D42" s="347"/>
      <c r="E42" s="347"/>
      <c r="F42" s="347"/>
      <c r="G42" s="347"/>
      <c r="H42" s="347"/>
      <c r="I42" s="347"/>
      <c r="J42" s="347"/>
      <c r="K42" s="347"/>
      <c r="L42" s="347"/>
      <c r="M42" s="347"/>
      <c r="N42" s="347"/>
      <c r="O42" s="364"/>
      <c r="P42" s="364"/>
      <c r="Q42" s="364"/>
      <c r="R42" s="364"/>
      <c r="S42" s="364"/>
      <c r="T42" s="364"/>
      <c r="U42" s="364"/>
      <c r="V42" s="364"/>
      <c r="W42" s="364"/>
      <c r="X42" s="364"/>
      <c r="Y42" s="364"/>
      <c r="Z42" s="364"/>
      <c r="AA42" s="365"/>
    </row>
    <row r="43" spans="1:27" ht="15.95" customHeight="1">
      <c r="A43" s="163"/>
      <c r="B43" s="1007" t="s">
        <v>2060</v>
      </c>
      <c r="C43" s="1008"/>
      <c r="D43" s="1008"/>
      <c r="E43" s="1008"/>
      <c r="F43" s="1008"/>
      <c r="G43" s="1008"/>
      <c r="H43" s="1008"/>
      <c r="I43" s="1008"/>
      <c r="J43" s="1008"/>
      <c r="K43" s="1008"/>
      <c r="L43" s="1008"/>
      <c r="M43" s="1008"/>
      <c r="N43" s="1008"/>
      <c r="O43" s="1008"/>
      <c r="P43" s="1008"/>
      <c r="Q43" s="1008"/>
      <c r="R43" s="1008"/>
      <c r="S43" s="1008"/>
      <c r="T43" s="1008"/>
      <c r="U43" s="1008"/>
      <c r="V43" s="1008"/>
      <c r="W43" s="1008"/>
      <c r="X43" s="1008"/>
      <c r="Y43" s="1008"/>
      <c r="Z43" s="1008"/>
      <c r="AA43" s="1009"/>
    </row>
    <row r="44" spans="1:27" ht="15.95" customHeight="1">
      <c r="A44" s="163"/>
      <c r="B44" s="1007"/>
      <c r="C44" s="1008"/>
      <c r="D44" s="1008"/>
      <c r="E44" s="1008"/>
      <c r="F44" s="1008"/>
      <c r="G44" s="1008"/>
      <c r="H44" s="1008"/>
      <c r="I44" s="1008"/>
      <c r="J44" s="1008"/>
      <c r="K44" s="1008"/>
      <c r="L44" s="1008"/>
      <c r="M44" s="1008"/>
      <c r="N44" s="1008"/>
      <c r="O44" s="1008"/>
      <c r="P44" s="1008"/>
      <c r="Q44" s="1008"/>
      <c r="R44" s="1008"/>
      <c r="S44" s="1008"/>
      <c r="T44" s="1008"/>
      <c r="U44" s="1008"/>
      <c r="V44" s="1008"/>
      <c r="W44" s="1008"/>
      <c r="X44" s="1008"/>
      <c r="Y44" s="1008"/>
      <c r="Z44" s="1008"/>
      <c r="AA44" s="1009"/>
    </row>
    <row r="45" spans="1:27" ht="15.95" customHeight="1">
      <c r="A45" s="163"/>
      <c r="B45" s="1007"/>
      <c r="C45" s="1008"/>
      <c r="D45" s="1008"/>
      <c r="E45" s="1008"/>
      <c r="F45" s="1008"/>
      <c r="G45" s="1008"/>
      <c r="H45" s="1008"/>
      <c r="I45" s="1008"/>
      <c r="J45" s="1008"/>
      <c r="K45" s="1008"/>
      <c r="L45" s="1008"/>
      <c r="M45" s="1008"/>
      <c r="N45" s="1008"/>
      <c r="O45" s="1008"/>
      <c r="P45" s="1008"/>
      <c r="Q45" s="1008"/>
      <c r="R45" s="1008"/>
      <c r="S45" s="1008"/>
      <c r="T45" s="1008"/>
      <c r="U45" s="1008"/>
      <c r="V45" s="1008"/>
      <c r="W45" s="1008"/>
      <c r="X45" s="1008"/>
      <c r="Y45" s="1008"/>
      <c r="Z45" s="1008"/>
      <c r="AA45" s="1009"/>
    </row>
    <row r="46" spans="1:27" ht="15.95" customHeight="1">
      <c r="A46" s="163"/>
      <c r="B46" s="1007"/>
      <c r="C46" s="1008"/>
      <c r="D46" s="1008"/>
      <c r="E46" s="1008"/>
      <c r="F46" s="1008"/>
      <c r="G46" s="1008"/>
      <c r="H46" s="1008"/>
      <c r="I46" s="1008"/>
      <c r="J46" s="1008"/>
      <c r="K46" s="1008"/>
      <c r="L46" s="1008"/>
      <c r="M46" s="1008"/>
      <c r="N46" s="1008"/>
      <c r="O46" s="1008"/>
      <c r="P46" s="1008"/>
      <c r="Q46" s="1008"/>
      <c r="R46" s="1008"/>
      <c r="S46" s="1008"/>
      <c r="T46" s="1008"/>
      <c r="U46" s="1008"/>
      <c r="V46" s="1008"/>
      <c r="W46" s="1008"/>
      <c r="X46" s="1008"/>
      <c r="Y46" s="1008"/>
      <c r="Z46" s="1008"/>
      <c r="AA46" s="1009"/>
    </row>
    <row r="47" spans="1:27" ht="15.95" customHeight="1">
      <c r="A47" s="163"/>
      <c r="B47" s="1007"/>
      <c r="C47" s="1008"/>
      <c r="D47" s="1008"/>
      <c r="E47" s="1008"/>
      <c r="F47" s="1008"/>
      <c r="G47" s="1008"/>
      <c r="H47" s="1008"/>
      <c r="I47" s="1008"/>
      <c r="J47" s="1008"/>
      <c r="K47" s="1008"/>
      <c r="L47" s="1008"/>
      <c r="M47" s="1008"/>
      <c r="N47" s="1008"/>
      <c r="O47" s="1008"/>
      <c r="P47" s="1008"/>
      <c r="Q47" s="1008"/>
      <c r="R47" s="1008"/>
      <c r="S47" s="1008"/>
      <c r="T47" s="1008"/>
      <c r="U47" s="1008"/>
      <c r="V47" s="1008"/>
      <c r="W47" s="1008"/>
      <c r="X47" s="1008"/>
      <c r="Y47" s="1008"/>
      <c r="Z47" s="1008"/>
      <c r="AA47" s="1009"/>
    </row>
    <row r="48" spans="1:27" s="186" customFormat="1" ht="15.95" customHeight="1">
      <c r="A48" s="185"/>
      <c r="B48" s="1007"/>
      <c r="C48" s="1008"/>
      <c r="D48" s="1008"/>
      <c r="E48" s="1008"/>
      <c r="F48" s="1008"/>
      <c r="G48" s="1008"/>
      <c r="H48" s="1008"/>
      <c r="I48" s="1008"/>
      <c r="J48" s="1008"/>
      <c r="K48" s="1008"/>
      <c r="L48" s="1008"/>
      <c r="M48" s="1008"/>
      <c r="N48" s="1008"/>
      <c r="O48" s="1008"/>
      <c r="P48" s="1008"/>
      <c r="Q48" s="1008"/>
      <c r="R48" s="1008"/>
      <c r="S48" s="1008"/>
      <c r="T48" s="1008"/>
      <c r="U48" s="1008"/>
      <c r="V48" s="1008"/>
      <c r="W48" s="1008"/>
      <c r="X48" s="1008"/>
      <c r="Y48" s="1008"/>
      <c r="Z48" s="1008"/>
      <c r="AA48" s="1009"/>
    </row>
    <row r="49" spans="1:27" s="184" customFormat="1" ht="15.95" customHeight="1">
      <c r="A49" s="183"/>
      <c r="B49" s="1007"/>
      <c r="C49" s="1008"/>
      <c r="D49" s="1008"/>
      <c r="E49" s="1008"/>
      <c r="F49" s="1008"/>
      <c r="G49" s="1008"/>
      <c r="H49" s="1008"/>
      <c r="I49" s="1008"/>
      <c r="J49" s="1008"/>
      <c r="K49" s="1008"/>
      <c r="L49" s="1008"/>
      <c r="M49" s="1008"/>
      <c r="N49" s="1008"/>
      <c r="O49" s="1008"/>
      <c r="P49" s="1008"/>
      <c r="Q49" s="1008"/>
      <c r="R49" s="1008"/>
      <c r="S49" s="1008"/>
      <c r="T49" s="1008"/>
      <c r="U49" s="1008"/>
      <c r="V49" s="1008"/>
      <c r="W49" s="1008"/>
      <c r="X49" s="1008"/>
      <c r="Y49" s="1008"/>
      <c r="Z49" s="1008"/>
      <c r="AA49" s="1009"/>
    </row>
    <row r="50" spans="1:27" s="184" customFormat="1" ht="15.95" customHeight="1">
      <c r="A50" s="183"/>
      <c r="B50" s="1007"/>
      <c r="C50" s="1008"/>
      <c r="D50" s="1008"/>
      <c r="E50" s="1008"/>
      <c r="F50" s="1008"/>
      <c r="G50" s="1008"/>
      <c r="H50" s="1008"/>
      <c r="I50" s="1008"/>
      <c r="J50" s="1008"/>
      <c r="K50" s="1008"/>
      <c r="L50" s="1008"/>
      <c r="M50" s="1008"/>
      <c r="N50" s="1008"/>
      <c r="O50" s="1008"/>
      <c r="P50" s="1008"/>
      <c r="Q50" s="1008"/>
      <c r="R50" s="1008"/>
      <c r="S50" s="1008"/>
      <c r="T50" s="1008"/>
      <c r="U50" s="1008"/>
      <c r="V50" s="1008"/>
      <c r="W50" s="1008"/>
      <c r="X50" s="1008"/>
      <c r="Y50" s="1008"/>
      <c r="Z50" s="1008"/>
      <c r="AA50" s="1009"/>
    </row>
    <row r="51" spans="1:27" s="184" customFormat="1" ht="15.95" customHeight="1" thickBot="1">
      <c r="B51" s="1010"/>
      <c r="C51" s="1011"/>
      <c r="D51" s="1011"/>
      <c r="E51" s="1011"/>
      <c r="F51" s="1011"/>
      <c r="G51" s="1011"/>
      <c r="H51" s="1011"/>
      <c r="I51" s="1011"/>
      <c r="J51" s="1011"/>
      <c r="K51" s="1011"/>
      <c r="L51" s="1011"/>
      <c r="M51" s="1011"/>
      <c r="N51" s="1011"/>
      <c r="O51" s="1011"/>
      <c r="P51" s="1011"/>
      <c r="Q51" s="1011"/>
      <c r="R51" s="1011"/>
      <c r="S51" s="1011"/>
      <c r="T51" s="1011"/>
      <c r="U51" s="1011"/>
      <c r="V51" s="1011"/>
      <c r="W51" s="1011"/>
      <c r="X51" s="1011"/>
      <c r="Y51" s="1011"/>
      <c r="Z51" s="1011"/>
      <c r="AA51" s="1012"/>
    </row>
    <row r="52" spans="1:27" s="184" customFormat="1" ht="15.95" customHeight="1">
      <c r="A52" s="187"/>
      <c r="C52" s="188"/>
      <c r="D52" s="188"/>
      <c r="E52" s="188"/>
      <c r="F52" s="188"/>
      <c r="G52" s="188"/>
      <c r="H52" s="188"/>
      <c r="I52" s="188"/>
      <c r="J52" s="189"/>
      <c r="K52" s="189"/>
      <c r="L52" s="189"/>
      <c r="M52" s="189"/>
      <c r="N52" s="189"/>
      <c r="O52" s="189"/>
      <c r="P52" s="189"/>
      <c r="Q52" s="189"/>
      <c r="R52" s="189"/>
      <c r="S52" s="189"/>
      <c r="T52" s="189"/>
      <c r="U52" s="189"/>
      <c r="V52" s="189"/>
      <c r="W52" s="189"/>
      <c r="X52" s="189"/>
      <c r="Y52" s="189"/>
      <c r="Z52" s="189"/>
      <c r="AA52" s="189"/>
    </row>
    <row r="53" spans="1:27" s="182" customFormat="1" ht="12.95" customHeight="1">
      <c r="A53" s="181"/>
      <c r="B53" s="190"/>
      <c r="C53" s="175"/>
      <c r="D53" s="175"/>
      <c r="E53" s="175"/>
      <c r="F53" s="175"/>
      <c r="G53" s="175"/>
      <c r="H53" s="175"/>
      <c r="I53" s="175"/>
      <c r="J53" s="175"/>
      <c r="K53" s="175"/>
      <c r="L53" s="175"/>
      <c r="M53" s="175"/>
      <c r="N53" s="175"/>
      <c r="O53" s="175"/>
      <c r="P53" s="175"/>
      <c r="Q53" s="175"/>
      <c r="R53" s="175"/>
      <c r="S53" s="175"/>
      <c r="T53" s="175"/>
      <c r="U53" s="175"/>
      <c r="V53" s="175"/>
      <c r="W53" s="175"/>
      <c r="X53" s="175"/>
      <c r="Y53" s="175"/>
      <c r="Z53" s="175"/>
      <c r="AA53" s="175"/>
    </row>
    <row r="54" spans="1:27" s="184" customFormat="1" ht="17.100000000000001" customHeight="1">
      <c r="A54" s="183"/>
      <c r="B54" s="191"/>
      <c r="C54" s="175"/>
      <c r="D54" s="175"/>
      <c r="E54" s="175"/>
      <c r="F54" s="175"/>
      <c r="G54" s="175"/>
      <c r="H54" s="175"/>
      <c r="I54" s="175"/>
      <c r="J54" s="175"/>
      <c r="K54" s="175"/>
      <c r="L54" s="175"/>
      <c r="M54" s="175"/>
      <c r="N54" s="175"/>
      <c r="O54" s="175"/>
      <c r="P54" s="175"/>
      <c r="Q54" s="175"/>
      <c r="R54" s="175"/>
      <c r="S54" s="175"/>
      <c r="T54" s="175"/>
      <c r="U54" s="175"/>
      <c r="V54" s="175"/>
      <c r="W54" s="175"/>
      <c r="X54" s="175"/>
      <c r="Y54" s="175"/>
      <c r="Z54" s="175"/>
      <c r="AA54" s="175"/>
    </row>
    <row r="55" spans="1:27" s="184" customFormat="1" ht="17.100000000000001" customHeight="1">
      <c r="A55" s="183"/>
      <c r="B55" s="191"/>
      <c r="C55" s="175"/>
      <c r="D55" s="175"/>
      <c r="E55" s="175"/>
      <c r="F55" s="175"/>
      <c r="G55" s="175"/>
      <c r="H55" s="175"/>
      <c r="I55" s="175"/>
      <c r="J55" s="175"/>
      <c r="K55" s="175"/>
      <c r="L55" s="175"/>
      <c r="M55" s="175"/>
      <c r="N55" s="175"/>
      <c r="O55" s="175"/>
      <c r="P55" s="175"/>
      <c r="Q55" s="175"/>
      <c r="R55" s="175"/>
      <c r="S55" s="175"/>
      <c r="T55" s="175"/>
      <c r="U55" s="175"/>
      <c r="V55" s="175"/>
      <c r="W55" s="175"/>
      <c r="X55" s="175"/>
      <c r="Y55" s="175"/>
      <c r="Z55" s="175"/>
      <c r="AA55" s="175"/>
    </row>
    <row r="56" spans="1:27" s="184" customFormat="1" ht="17.100000000000001" customHeight="1">
      <c r="A56" s="183"/>
      <c r="B56" s="191"/>
      <c r="C56" s="175"/>
      <c r="D56" s="175"/>
      <c r="E56" s="175"/>
      <c r="F56" s="175"/>
      <c r="G56" s="175"/>
      <c r="H56" s="175"/>
      <c r="I56" s="175"/>
      <c r="J56" s="175"/>
      <c r="K56" s="175"/>
      <c r="L56" s="175"/>
      <c r="M56" s="175"/>
      <c r="N56" s="175"/>
      <c r="O56" s="175"/>
      <c r="P56" s="175"/>
      <c r="Q56" s="175"/>
      <c r="R56" s="175"/>
      <c r="S56" s="175"/>
      <c r="T56" s="175"/>
      <c r="U56" s="175"/>
      <c r="V56" s="175"/>
      <c r="W56" s="175"/>
      <c r="X56" s="175"/>
      <c r="Y56" s="175"/>
      <c r="Z56" s="175"/>
      <c r="AA56" s="175"/>
    </row>
    <row r="57" spans="1:27" s="184" customFormat="1" ht="17.100000000000001" customHeight="1">
      <c r="A57" s="183"/>
      <c r="B57" s="191"/>
      <c r="C57" s="175"/>
      <c r="D57" s="175"/>
      <c r="E57" s="175"/>
      <c r="F57" s="175"/>
      <c r="G57" s="175"/>
      <c r="H57" s="175"/>
      <c r="I57" s="175"/>
      <c r="J57" s="175"/>
      <c r="K57" s="175"/>
      <c r="L57" s="175"/>
      <c r="M57" s="175"/>
      <c r="N57" s="175"/>
      <c r="O57" s="175"/>
      <c r="P57" s="175"/>
      <c r="Q57" s="175"/>
      <c r="R57" s="175"/>
      <c r="S57" s="175"/>
      <c r="T57" s="175"/>
      <c r="U57" s="175"/>
      <c r="V57" s="175"/>
      <c r="W57" s="175"/>
      <c r="X57" s="175"/>
      <c r="Y57" s="175"/>
      <c r="Z57" s="175"/>
      <c r="AA57" s="175"/>
    </row>
  </sheetData>
  <mergeCells count="25">
    <mergeCell ref="B30:L30"/>
    <mergeCell ref="B31:L31"/>
    <mergeCell ref="B32:L32"/>
    <mergeCell ref="B33:F33"/>
    <mergeCell ref="D20:J20"/>
    <mergeCell ref="B27:P27"/>
    <mergeCell ref="B17:C17"/>
    <mergeCell ref="D19:AA19"/>
    <mergeCell ref="B24:P24"/>
    <mergeCell ref="B25:P25"/>
    <mergeCell ref="B26:P26"/>
    <mergeCell ref="D18:J18"/>
    <mergeCell ref="D21:AA21"/>
    <mergeCell ref="I1:R3"/>
    <mergeCell ref="X1:AA1"/>
    <mergeCell ref="A4:AA4"/>
    <mergeCell ref="B10:Z10"/>
    <mergeCell ref="B16:AA16"/>
    <mergeCell ref="B6:H6"/>
    <mergeCell ref="P13:S13"/>
    <mergeCell ref="B43:AA51"/>
    <mergeCell ref="B36:AA36"/>
    <mergeCell ref="C38:Z38"/>
    <mergeCell ref="C39:Z39"/>
    <mergeCell ref="C40:Z40"/>
  </mergeCells>
  <phoneticPr fontId="1"/>
  <pageMargins left="0.39370078740157483" right="0" top="0.59055118110236227" bottom="0.19685039370078741" header="0.51181102362204722" footer="0.51181102362204722"/>
  <pageSetup paperSize="9" scale="95"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 2">
              <controlPr defaultSize="0" print="0" autoFill="0" autoPict="0" macro="[0]!HakenJiTaigujyouhou">
                <anchor moveWithCells="1" sizeWithCells="1">
                  <from>
                    <xdr:col>23</xdr:col>
                    <xdr:colOff>28575</xdr:colOff>
                    <xdr:row>4</xdr:row>
                    <xdr:rowOff>66675</xdr:rowOff>
                  </from>
                  <to>
                    <xdr:col>26</xdr:col>
                    <xdr:colOff>57150</xdr:colOff>
                    <xdr:row>5</xdr:row>
                    <xdr:rowOff>133350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43398-625D-4A6C-ADB4-0D2F7DF39F6C}">
  <sheetPr codeName="Hoja8">
    <tabColor rgb="FF00B050"/>
  </sheetPr>
  <dimension ref="A1:U67"/>
  <sheetViews>
    <sheetView view="pageBreakPreview" zoomScale="96" zoomScaleNormal="100" zoomScaleSheetLayoutView="96" workbookViewId="0">
      <selection activeCell="N12" sqref="N12:O13"/>
    </sheetView>
  </sheetViews>
  <sheetFormatPr defaultColWidth="11.02734375" defaultRowHeight="15"/>
  <cols>
    <col min="1" max="1" width="12.64453125" style="202" customWidth="1"/>
    <col min="2" max="2" width="6.1875" style="202" customWidth="1"/>
    <col min="3" max="3" width="2.6875" style="202" customWidth="1"/>
    <col min="4" max="4" width="7.93359375" style="202" customWidth="1"/>
    <col min="5" max="7" width="11.02734375" style="202"/>
    <col min="8" max="8" width="13.98828125" style="202" customWidth="1"/>
    <col min="9" max="9" width="24.34765625" style="202" customWidth="1"/>
    <col min="10" max="10" width="3.2265625" style="202" customWidth="1"/>
    <col min="11" max="11" width="5.109375" style="202" customWidth="1"/>
    <col min="12" max="12" width="10.35546875" style="202" customWidth="1"/>
    <col min="13" max="13" width="2.6875" style="202" customWidth="1"/>
    <col min="14" max="14" width="14.9296875" style="202" customWidth="1"/>
    <col min="15" max="15" width="14.390625" style="202" customWidth="1"/>
    <col min="16" max="16" width="15.6015625" style="202" customWidth="1"/>
    <col min="17" max="17" width="11.02734375" style="202"/>
    <col min="18" max="18" width="29.59375" style="202" customWidth="1"/>
    <col min="19" max="19" width="2.95703125" style="267" customWidth="1"/>
    <col min="20" max="16384" width="11.02734375" style="202"/>
  </cols>
  <sheetData>
    <row r="1" spans="1:20" ht="15.75" thickBot="1">
      <c r="A1" s="267">
        <v>1</v>
      </c>
      <c r="B1" s="267">
        <f ca="1">_xlfn.XLOOKUP(C4,DBGenzai[カナ],DBGenzai[現入社],"",0,1)</f>
        <v>44690</v>
      </c>
      <c r="S1" s="267">
        <v>3</v>
      </c>
    </row>
    <row r="2" spans="1:20">
      <c r="A2" s="461" t="s">
        <v>1850</v>
      </c>
      <c r="B2" s="462"/>
      <c r="C2" s="462"/>
      <c r="D2" s="462"/>
      <c r="E2" s="462"/>
      <c r="F2" s="462"/>
      <c r="G2" s="462"/>
      <c r="H2" s="462"/>
      <c r="I2" s="463"/>
      <c r="J2" s="201"/>
      <c r="K2" s="461" t="s">
        <v>1776</v>
      </c>
      <c r="L2" s="462"/>
      <c r="M2" s="462"/>
      <c r="N2" s="462"/>
      <c r="O2" s="462"/>
      <c r="P2" s="462"/>
      <c r="Q2" s="462"/>
      <c r="R2" s="463"/>
      <c r="S2" s="267">
        <v>4</v>
      </c>
    </row>
    <row r="3" spans="1:20" ht="15.75" thickBot="1">
      <c r="A3" s="464"/>
      <c r="B3" s="465"/>
      <c r="C3" s="466"/>
      <c r="D3" s="466"/>
      <c r="E3" s="466"/>
      <c r="F3" s="466"/>
      <c r="G3" s="466"/>
      <c r="H3" s="466"/>
      <c r="I3" s="467"/>
      <c r="J3" s="201"/>
      <c r="K3" s="464"/>
      <c r="L3" s="465"/>
      <c r="M3" s="465"/>
      <c r="N3" s="465"/>
      <c r="O3" s="465"/>
      <c r="P3" s="465"/>
      <c r="Q3" s="465"/>
      <c r="R3" s="468"/>
    </row>
    <row r="4" spans="1:20" ht="18.75" customHeight="1">
      <c r="A4" s="469" t="s">
        <v>1777</v>
      </c>
      <c r="B4" s="470"/>
      <c r="C4" s="471" t="str">
        <f ca="1">VLOOKUP(A1,通知書Genzai!I9:Q66,2,TRUE)</f>
        <v>ハー　ヴィエット　トウイ</v>
      </c>
      <c r="D4" s="471"/>
      <c r="E4" s="471"/>
      <c r="F4" s="471"/>
      <c r="G4" s="471"/>
      <c r="H4" s="471"/>
      <c r="I4" s="472"/>
      <c r="J4" s="203"/>
      <c r="K4" s="204"/>
      <c r="L4" s="205"/>
      <c r="M4" s="205"/>
      <c r="N4" s="205"/>
      <c r="O4" s="206"/>
      <c r="P4" s="206"/>
      <c r="R4" s="207"/>
    </row>
    <row r="5" spans="1:20" ht="18.75" customHeight="1" thickBot="1">
      <c r="A5" s="450" t="s">
        <v>1778</v>
      </c>
      <c r="B5" s="451"/>
      <c r="C5" s="452" t="str">
        <f ca="1">_xlfn.XLOOKUP(C4,DBGenzai[カナ],DBGenzai[氏名],"",0,-1)</f>
        <v>HA VIET THUY</v>
      </c>
      <c r="D5" s="452"/>
      <c r="E5" s="452"/>
      <c r="F5" s="452"/>
      <c r="G5" s="452"/>
      <c r="H5" s="452"/>
      <c r="I5" s="453"/>
      <c r="J5" s="208"/>
      <c r="K5" s="473" t="str">
        <f ca="1">_xlfn.XLOOKUP(C4,DBGenzai[カナ],DBGenzai[カナ],"",0,-1)</f>
        <v>ハー　ヴィエット　トウイ</v>
      </c>
      <c r="L5" s="474"/>
      <c r="M5" s="474"/>
      <c r="N5" s="474"/>
      <c r="O5" s="205" t="s">
        <v>1779</v>
      </c>
      <c r="P5" s="205"/>
      <c r="R5" s="207"/>
    </row>
    <row r="6" spans="1:20" ht="18.75" customHeight="1" thickTop="1" thickBot="1">
      <c r="A6" s="450" t="s">
        <v>1780</v>
      </c>
      <c r="B6" s="451"/>
      <c r="C6" s="452" t="str" cm="1">
        <f t="array" aca="1" ref="C6" ca="1">_xlfn.XLOOKUP(C4,DBGenzai[カナ],DBGenzai[住所]&amp;DBGenzai[ｱﾊﾟｰﾄ],"",0,-1)</f>
        <v>愛知県弥富市前ヶ須町西勘助207CASA弥冨B203</v>
      </c>
      <c r="D6" s="452"/>
      <c r="E6" s="452"/>
      <c r="F6" s="452"/>
      <c r="G6" s="452"/>
      <c r="H6" s="452"/>
      <c r="I6" s="453"/>
      <c r="J6" s="209"/>
      <c r="K6" s="268"/>
      <c r="L6" s="203"/>
      <c r="M6" s="212"/>
      <c r="N6" s="212"/>
      <c r="O6" s="212"/>
      <c r="P6" s="212"/>
      <c r="Q6" s="212"/>
      <c r="R6" s="269"/>
    </row>
    <row r="7" spans="1:20" ht="18.75" customHeight="1">
      <c r="A7" s="450" t="s">
        <v>1781</v>
      </c>
      <c r="B7" s="451"/>
      <c r="C7" s="454">
        <f ca="1">_xlfn.XLOOKUP(C4,DBGenzai[カナ],DBGenzai[生年月日],"",0,-1)</f>
        <v>34820</v>
      </c>
      <c r="D7" s="455"/>
      <c r="E7" s="455"/>
      <c r="F7" s="455"/>
      <c r="G7" s="210"/>
      <c r="H7" s="210"/>
      <c r="I7" s="211"/>
      <c r="J7" s="212"/>
      <c r="K7" s="456" t="s">
        <v>1846</v>
      </c>
      <c r="L7" s="457"/>
      <c r="M7" s="270"/>
      <c r="N7" s="460" t="s">
        <v>1888</v>
      </c>
      <c r="O7" s="460"/>
      <c r="P7" s="493"/>
      <c r="Q7" s="493"/>
      <c r="R7" s="271"/>
    </row>
    <row r="8" spans="1:20" ht="18.75" customHeight="1" thickBot="1">
      <c r="A8" s="494" t="s">
        <v>1783</v>
      </c>
      <c r="B8" s="495"/>
      <c r="C8" s="496" t="str">
        <f ca="1">_xlfn.XLOOKUP(C4,DBGenzai[カナ],DBGenzai[性別],"",0,-1)</f>
        <v>男</v>
      </c>
      <c r="D8" s="497"/>
      <c r="E8" s="497"/>
      <c r="F8" s="213"/>
      <c r="G8" s="214"/>
      <c r="H8" s="214"/>
      <c r="I8" s="215"/>
      <c r="J8" s="212"/>
      <c r="K8" s="458"/>
      <c r="L8" s="459"/>
      <c r="M8" s="428"/>
      <c r="N8" s="429" t="s">
        <v>2528</v>
      </c>
      <c r="O8" s="429"/>
      <c r="P8" s="430"/>
      <c r="Q8" s="498" cm="1">
        <f t="array" aca="1" ref="Q8" ca="1">_xlfn.XLOOKUP($I$12&amp;$G$12,TBKaishaInfo[ライン]&amp;TBKaishaInfo[工場名],TBKaishaInfo[当該協定期間],0,0,1)</f>
        <v>45747</v>
      </c>
      <c r="R8" s="499"/>
      <c r="T8" s="316" t="s">
        <v>2529</v>
      </c>
    </row>
    <row r="9" spans="1:20" ht="18.75" customHeight="1" thickBot="1">
      <c r="A9" s="216"/>
      <c r="B9" s="216"/>
      <c r="C9" s="217"/>
      <c r="D9" s="217"/>
      <c r="E9" s="217"/>
      <c r="F9" s="500" t="s">
        <v>1841</v>
      </c>
      <c r="G9" s="500"/>
      <c r="H9" s="500"/>
      <c r="I9" s="500"/>
      <c r="J9" s="212"/>
      <c r="K9" s="501" t="s">
        <v>1782</v>
      </c>
      <c r="L9" s="502"/>
      <c r="M9" s="373"/>
      <c r="N9" s="503">
        <f>C10</f>
        <v>45464</v>
      </c>
      <c r="O9" s="503"/>
      <c r="P9" s="504">
        <f>G10</f>
        <v>45646</v>
      </c>
      <c r="Q9" s="504"/>
      <c r="R9" s="374"/>
    </row>
    <row r="10" spans="1:20" ht="17.100000000000001" customHeight="1">
      <c r="A10" s="475" t="s">
        <v>1784</v>
      </c>
      <c r="B10" s="476"/>
      <c r="C10" s="1034">
        <v>45464</v>
      </c>
      <c r="D10" s="1035"/>
      <c r="E10" s="1035"/>
      <c r="F10" s="483" t="s">
        <v>733</v>
      </c>
      <c r="G10" s="1038">
        <v>45646</v>
      </c>
      <c r="H10" s="1038"/>
      <c r="I10" s="265"/>
      <c r="J10" s="219"/>
      <c r="K10" s="487" t="s">
        <v>2045</v>
      </c>
      <c r="L10" s="488"/>
      <c r="M10" s="375"/>
      <c r="N10" s="491">
        <f>個別契約書X!Q6+1</f>
        <v>46296</v>
      </c>
      <c r="O10" s="491"/>
      <c r="P10" s="376"/>
      <c r="Q10" s="377"/>
      <c r="R10" s="374"/>
      <c r="T10" s="316" t="s">
        <v>2530</v>
      </c>
    </row>
    <row r="11" spans="1:20" ht="17.100000000000001" customHeight="1">
      <c r="A11" s="477"/>
      <c r="B11" s="478"/>
      <c r="C11" s="1036"/>
      <c r="D11" s="1037"/>
      <c r="E11" s="1037"/>
      <c r="F11" s="484"/>
      <c r="G11" s="1039"/>
      <c r="H11" s="1039"/>
      <c r="I11" s="266"/>
      <c r="J11" s="219"/>
      <c r="K11" s="489"/>
      <c r="L11" s="490"/>
      <c r="M11" s="218"/>
      <c r="N11" s="492"/>
      <c r="O11" s="492"/>
      <c r="P11" s="378"/>
      <c r="Q11" s="379"/>
      <c r="R11" s="431"/>
      <c r="T11" s="316" t="s">
        <v>2531</v>
      </c>
    </row>
    <row r="12" spans="1:20" ht="17.100000000000001" customHeight="1">
      <c r="A12" s="521" t="s">
        <v>1786</v>
      </c>
      <c r="B12" s="528"/>
      <c r="C12" s="514" t="s">
        <v>1787</v>
      </c>
      <c r="D12" s="529"/>
      <c r="E12" s="525" t="str" cm="1">
        <f t="array" aca="1" ref="E12" ca="1">_xlfn.XLOOKUP(H12&amp;I12,TBKaishaInfo[配属先]&amp;TBKaishaInfo[ライン],TBKaishaInfo[派遣先])</f>
        <v>高雄工業株式会社</v>
      </c>
      <c r="F12" s="525"/>
      <c r="G12" s="222" t="str" cm="1">
        <f t="array" aca="1" ref="G12" ca="1">_xlfn.XLOOKUP(H12&amp;I12,TBKaishaInfo[配属先]&amp;TBKaishaInfo[ライン],TBKaishaInfo[工場名])</f>
        <v>本社工場</v>
      </c>
      <c r="H12" s="333" t="str">
        <f ca="1">_xlfn.XLOOKUP(I12,TBKaishaInfo[ライン],TBKaishaInfo[配属先])</f>
        <v>製作課</v>
      </c>
      <c r="I12" s="427" t="str">
        <f ca="1">_xlfn.XLOOKUP(C4,TablaTransfor[カナ],TablaTransfor[ライン],"",0,1)</f>
        <v>Fライン</v>
      </c>
      <c r="J12" s="223"/>
      <c r="K12" s="487" t="s">
        <v>2046</v>
      </c>
      <c r="L12" s="488"/>
      <c r="M12" s="373"/>
      <c r="N12" s="491" t="str" cm="1">
        <f t="array" aca="1" ref="N12" ca="1">IF(_xlfn.XLOOKUP(C4,DBGenzai[カナ],DATE(YEAR(DBGenzai[現入社])+3,MONTH(DBGenzai[現入社]),DAY(DBGenzai[現入社])-1),"",0,1)+1&gt;=NOW(),_xlfn.XLOOKUP(C4,DBGenzai[カナ],DATE(YEAR(DBGenzai[現入社])+3,MONTH(DBGenzai[現入社]),DAY(DBGenzai[現入社])-1),"",0,1)+1,"無期雇用")</f>
        <v>無期雇用</v>
      </c>
      <c r="O12" s="491"/>
      <c r="P12" s="530" t="s">
        <v>2047</v>
      </c>
      <c r="Q12" s="530"/>
      <c r="R12" s="531"/>
    </row>
    <row r="13" spans="1:20" ht="17.100000000000001" customHeight="1">
      <c r="A13" s="518"/>
      <c r="B13" s="508"/>
      <c r="C13" s="514" t="s">
        <v>1789</v>
      </c>
      <c r="D13" s="529"/>
      <c r="E13" s="534" t="str" cm="1">
        <f t="array" aca="1" ref="E13" ca="1">_xlfn.XLOOKUP(E12&amp;H12&amp;I12,TBKaishaInfo[派遣先]&amp;TBKaishaInfo[配属先]&amp;TBKaishaInfo[ライン],TBKaishaInfo[工場住所],"",0,1)</f>
        <v>愛知県弥富市楠三丁目13番地2</v>
      </c>
      <c r="F13" s="534"/>
      <c r="G13" s="534"/>
      <c r="H13" s="534"/>
      <c r="I13" s="535"/>
      <c r="J13" s="225"/>
      <c r="K13" s="489"/>
      <c r="L13" s="490"/>
      <c r="M13" s="372"/>
      <c r="N13" s="492"/>
      <c r="O13" s="492"/>
      <c r="P13" s="532"/>
      <c r="Q13" s="532"/>
      <c r="R13" s="533"/>
    </row>
    <row r="14" spans="1:20" ht="17.100000000000001" customHeight="1" thickBot="1">
      <c r="A14" s="523"/>
      <c r="B14" s="510"/>
      <c r="C14" s="514" t="s">
        <v>1790</v>
      </c>
      <c r="D14" s="529"/>
      <c r="E14" s="226" t="str" cm="1">
        <f t="array" aca="1" ref="E14" ca="1">_xlfn.XLOOKUP(E12&amp;H12&amp;I12,TBKaishaInfo[派遣先]&amp;TBKaishaInfo[配属先]&amp;TBKaishaInfo[ライン],TBKaishaInfo[工場電話],"",0,1)</f>
        <v>0567-68-8110</v>
      </c>
      <c r="F14" s="226"/>
      <c r="G14" s="226"/>
      <c r="H14" s="226"/>
      <c r="I14" s="227"/>
      <c r="J14" s="228"/>
      <c r="K14" s="521" t="s">
        <v>1785</v>
      </c>
      <c r="L14" s="522"/>
      <c r="M14" s="220"/>
      <c r="N14" s="505" t="str" cm="1">
        <f t="array" aca="1" ref="N14" ca="1">_xlfn.XLOOKUP(E12&amp;G12,TBKaishaInfo[派遣先]&amp;TBKaishaInfo[工場名],TBKaishaInfo[派遣元責任者部署]&amp;" "&amp;TBKaishaInfo[派遣元責任者名],"",0)</f>
        <v>営業部 取締役 ブウ　ティ　サウ</v>
      </c>
      <c r="O14" s="505"/>
      <c r="P14" s="505"/>
      <c r="Q14" s="507" t="str" cm="1">
        <f t="array" aca="1" ref="Q14" ca="1">"電話番号：　"&amp;_xlfn.XLOOKUP(E12&amp;G12,TBKaishaInfo[派遣先]&amp;TBKaishaInfo[工場名],TBKaishaInfo[派遣元責任者電話])</f>
        <v>電話番号：　052-938-8840</v>
      </c>
      <c r="R14" s="508"/>
    </row>
    <row r="15" spans="1:20" ht="17.100000000000001" customHeight="1">
      <c r="A15" s="511" t="s">
        <v>1844</v>
      </c>
      <c r="B15" s="512"/>
      <c r="C15" s="513"/>
      <c r="D15" s="516" t="str" cm="1">
        <f t="array" aca="1" ref="D15" ca="1">_xlfn.XLOOKUP($I$12,TBKaishaInfo[ライン],TBKaishaInfo[配属先]&amp;" "&amp;TBKaishaInfo[指示命令者部署],"",0,1)</f>
        <v xml:space="preserve">製作課 </v>
      </c>
      <c r="E15" s="516"/>
      <c r="F15" s="516"/>
      <c r="G15" s="516"/>
      <c r="H15" s="516"/>
      <c r="I15" s="517"/>
      <c r="J15" s="230"/>
      <c r="K15" s="523"/>
      <c r="L15" s="524"/>
      <c r="M15" s="221"/>
      <c r="N15" s="506"/>
      <c r="O15" s="506"/>
      <c r="P15" s="506"/>
      <c r="Q15" s="509"/>
      <c r="R15" s="510"/>
    </row>
    <row r="16" spans="1:20" ht="17.100000000000001" customHeight="1">
      <c r="A16" s="518" t="s">
        <v>709</v>
      </c>
      <c r="B16" s="508"/>
      <c r="C16" s="514"/>
      <c r="D16" s="519" t="s">
        <v>1842</v>
      </c>
      <c r="E16" s="519"/>
      <c r="F16" s="519"/>
      <c r="G16" s="519"/>
      <c r="H16" s="519"/>
      <c r="I16" s="520"/>
      <c r="J16" s="209"/>
      <c r="K16" s="521" t="s">
        <v>1788</v>
      </c>
      <c r="L16" s="522"/>
      <c r="M16" s="224"/>
      <c r="N16" s="525" t="str" cm="1">
        <f t="array" aca="1" ref="N16" ca="1">_xlfn.XLOOKUP(E12&amp;G12&amp;I12,TBKaishaInfo[派遣先]&amp;TBKaishaInfo[工場名]&amp;TBKaishaInfo[ライン],TBKaishaInfo[派遣先責任者部署]&amp;" "&amp;TBKaishaInfo[派遣先責任者名],"",0)</f>
        <v>愛知事業所 副工場長　服部晃昌</v>
      </c>
      <c r="O16" s="525"/>
      <c r="P16" s="525"/>
      <c r="Q16" s="527" t="str" cm="1">
        <f t="array" aca="1" ref="Q16" ca="1">"電話番号：　"&amp;_xlfn.XLOOKUP(E12&amp;G12,TBKaishaInfo[派遣先]&amp;TBKaishaInfo[工場名],TBKaishaInfo[派遣先責任者電話])</f>
        <v>電話番号：　0567-68-8110</v>
      </c>
      <c r="R16" s="528"/>
    </row>
    <row r="17" spans="1:21" ht="17.100000000000001" customHeight="1" thickBot="1">
      <c r="A17" s="523" t="s">
        <v>1843</v>
      </c>
      <c r="B17" s="510"/>
      <c r="C17" s="515"/>
      <c r="D17" s="543" t="str">
        <f ca="1">_xlfn.XLOOKUP(C4,TablaTransfor[カナ],TablaTransfor[仕事内容],"",0,1)</f>
        <v>CVJ部品短軸品の施削加工、NCプログラム修正</v>
      </c>
      <c r="E17" s="543"/>
      <c r="F17" s="543"/>
      <c r="G17" s="543"/>
      <c r="H17" s="543"/>
      <c r="I17" s="544"/>
      <c r="J17" s="209"/>
      <c r="K17" s="523"/>
      <c r="L17" s="524"/>
      <c r="M17" s="221"/>
      <c r="N17" s="526"/>
      <c r="O17" s="526"/>
      <c r="P17" s="526"/>
      <c r="Q17" s="509"/>
      <c r="R17" s="510"/>
    </row>
    <row r="18" spans="1:21" ht="15" customHeight="1">
      <c r="A18" s="545" t="s">
        <v>1792</v>
      </c>
      <c r="B18" s="546"/>
      <c r="C18" s="274"/>
      <c r="D18" s="307" t="s">
        <v>1793</v>
      </c>
      <c r="E18" s="550" t="str">
        <f>個別契約書X!H18</f>
        <v>昼勤：7時00分～15時30分　夜勤：19時00分～3時30分</v>
      </c>
      <c r="F18" s="550"/>
      <c r="G18" s="550"/>
      <c r="H18" s="550"/>
      <c r="I18" s="551"/>
      <c r="J18" s="234"/>
      <c r="K18" s="521" t="s">
        <v>1791</v>
      </c>
      <c r="L18" s="522"/>
      <c r="M18" s="229"/>
      <c r="N18" s="527" t="s">
        <v>1839</v>
      </c>
      <c r="O18" s="536" t="str" cm="1">
        <f t="array" aca="1" ref="O18" ca="1">_xlfn.XLOOKUP(E12&amp;G12,TBKaishaInfo[派遣先]&amp;TBKaishaInfo[工場名],TBKaishaInfo[派遣元責任者部署]&amp;" "&amp;TBKaishaInfo[派遣元：苦情処理：名],"",0)</f>
        <v>営業部 取締役部長 中山　欣英</v>
      </c>
      <c r="P18" s="536"/>
      <c r="Q18" s="527" t="str" cm="1">
        <f t="array" aca="1" ref="Q18" ca="1">"電話番号：　"&amp;_xlfn.XLOOKUP(E12&amp;G12,TBKaishaInfo[派遣先]&amp;TBKaishaInfo[工場名],TBKaishaInfo[派遣先：苦情処理：電話])</f>
        <v>電話番号：　0567-68-8110</v>
      </c>
      <c r="R18" s="528"/>
    </row>
    <row r="19" spans="1:21" ht="15" customHeight="1">
      <c r="A19" s="547"/>
      <c r="B19" s="548"/>
      <c r="C19" s="235"/>
      <c r="D19" s="334" t="s">
        <v>1795</v>
      </c>
      <c r="E19" s="538" t="str">
        <f>個別契約書X!H22</f>
        <v>昼勤：11時00分～11時45分 まで    夜勤：23時00分～23時45分　まで　（45分）</v>
      </c>
      <c r="F19" s="538"/>
      <c r="G19" s="538"/>
      <c r="H19" s="538"/>
      <c r="I19" s="539"/>
      <c r="J19" s="236"/>
      <c r="K19" s="518"/>
      <c r="L19" s="552"/>
      <c r="M19" s="221"/>
      <c r="N19" s="553"/>
      <c r="O19" s="537"/>
      <c r="P19" s="537"/>
      <c r="Q19" s="509"/>
      <c r="R19" s="510"/>
    </row>
    <row r="20" spans="1:21" ht="17.100000000000001" customHeight="1">
      <c r="A20" s="547"/>
      <c r="B20" s="548"/>
      <c r="C20" s="235"/>
      <c r="D20" s="334"/>
      <c r="E20" s="540"/>
      <c r="F20" s="540"/>
      <c r="G20" s="540"/>
      <c r="H20" s="540"/>
      <c r="I20" s="541"/>
      <c r="J20" s="236"/>
      <c r="K20" s="518"/>
      <c r="L20" s="552"/>
      <c r="M20" s="231"/>
      <c r="N20" s="542" t="s">
        <v>1840</v>
      </c>
      <c r="O20" s="542" t="str" cm="1">
        <f t="array" aca="1" ref="O20" ca="1">_xlfn.XLOOKUP(E12&amp;G12&amp;I12,TBKaishaInfo[派遣先]&amp;TBKaishaInfo[工場名]&amp;TBKaishaInfo[ライン],TBKaishaInfo[派遣先：苦情処理：部署]&amp;" "&amp;TBKaishaInfo[派遣先：苦情処理：名],"",0)</f>
        <v>人事広報管理部 部長　山田　茂</v>
      </c>
      <c r="P20" s="542"/>
      <c r="Q20" s="527" t="str" cm="1">
        <f t="array" aca="1" ref="Q20" ca="1">"電話番号：　"&amp;_xlfn.XLOOKUP(E12&amp;G12,TBKaishaInfo[派遣先]&amp;TBKaishaInfo[工場名],TBKaishaInfo[派遣元：苦情処理：電話])</f>
        <v>電話番号：　052-938-8840</v>
      </c>
      <c r="R20" s="528"/>
    </row>
    <row r="21" spans="1:21" ht="17.100000000000001" customHeight="1">
      <c r="A21" s="547"/>
      <c r="B21" s="548"/>
      <c r="C21" s="235"/>
      <c r="D21" s="334"/>
      <c r="E21" s="540"/>
      <c r="F21" s="540"/>
      <c r="G21" s="540"/>
      <c r="H21" s="540"/>
      <c r="I21" s="541"/>
      <c r="J21" s="236"/>
      <c r="K21" s="518"/>
      <c r="L21" s="552"/>
      <c r="M21" s="232"/>
      <c r="N21" s="509"/>
      <c r="O21" s="509"/>
      <c r="P21" s="509"/>
      <c r="Q21" s="509"/>
      <c r="R21" s="510"/>
    </row>
    <row r="22" spans="1:21" ht="17.100000000000001" customHeight="1">
      <c r="A22" s="547"/>
      <c r="B22" s="548"/>
      <c r="C22" s="235"/>
      <c r="I22" s="207"/>
      <c r="J22" s="236"/>
      <c r="K22" s="518"/>
      <c r="L22" s="552"/>
      <c r="M22" s="221"/>
      <c r="N22" s="554" t="s">
        <v>1794</v>
      </c>
      <c r="O22" s="554"/>
      <c r="P22" s="554"/>
      <c r="Q22" s="554"/>
      <c r="R22" s="555"/>
    </row>
    <row r="23" spans="1:21" ht="17.100000000000001" customHeight="1">
      <c r="A23" s="547"/>
      <c r="B23" s="548"/>
      <c r="C23" s="235"/>
      <c r="D23" s="540" t="s">
        <v>1796</v>
      </c>
      <c r="E23" s="540"/>
      <c r="F23" s="540"/>
      <c r="G23" s="540"/>
      <c r="H23" s="540"/>
      <c r="I23" s="541"/>
      <c r="J23" s="236"/>
      <c r="K23" s="518"/>
      <c r="L23" s="552"/>
      <c r="M23" s="221"/>
      <c r="N23" s="556"/>
      <c r="O23" s="556"/>
      <c r="P23" s="556"/>
      <c r="Q23" s="556"/>
      <c r="R23" s="557"/>
    </row>
    <row r="24" spans="1:21" ht="17.100000000000001" customHeight="1">
      <c r="A24" s="477"/>
      <c r="B24" s="549"/>
      <c r="C24" s="237"/>
      <c r="D24" s="505" t="s">
        <v>1797</v>
      </c>
      <c r="E24" s="505"/>
      <c r="F24" s="505"/>
      <c r="G24" s="505"/>
      <c r="H24" s="505"/>
      <c r="I24" s="560"/>
      <c r="J24" s="236"/>
      <c r="K24" s="518"/>
      <c r="L24" s="552"/>
      <c r="M24" s="221"/>
      <c r="N24" s="556"/>
      <c r="O24" s="556"/>
      <c r="P24" s="556"/>
      <c r="Q24" s="556"/>
      <c r="R24" s="557"/>
    </row>
    <row r="25" spans="1:21" ht="17.100000000000001" customHeight="1">
      <c r="A25" s="521" t="s">
        <v>2533</v>
      </c>
      <c r="B25" s="527"/>
      <c r="C25" s="239"/>
      <c r="D25" s="573" t="str">
        <f ca="1">_xlfn.XLOOKUP(I12,TBKaishaInfo[ライン],TBKaishaInfo[作業者カレンダー])</f>
        <v>土曜日・日曜日・年末年始（12月30日～1月7日)・GW(4月28日～5月5日)・夏季休暇（8月11日～8月18日)</v>
      </c>
      <c r="E25" s="573"/>
      <c r="F25" s="573"/>
      <c r="G25" s="573"/>
      <c r="H25" s="573"/>
      <c r="I25" s="574"/>
      <c r="J25" s="236"/>
      <c r="K25" s="518"/>
      <c r="L25" s="552"/>
      <c r="M25" s="221"/>
      <c r="N25" s="556"/>
      <c r="O25" s="556"/>
      <c r="P25" s="556"/>
      <c r="Q25" s="556"/>
      <c r="R25" s="557"/>
    </row>
    <row r="26" spans="1:21" ht="15" customHeight="1">
      <c r="A26" s="523"/>
      <c r="B26" s="509"/>
      <c r="C26" s="237"/>
      <c r="D26" s="506"/>
      <c r="E26" s="506"/>
      <c r="F26" s="506"/>
      <c r="G26" s="506"/>
      <c r="H26" s="506"/>
      <c r="I26" s="565"/>
      <c r="J26" s="223"/>
      <c r="K26" s="518"/>
      <c r="L26" s="552"/>
      <c r="M26" s="221"/>
      <c r="N26" s="556"/>
      <c r="O26" s="556"/>
      <c r="P26" s="556"/>
      <c r="Q26" s="556"/>
      <c r="R26" s="557"/>
    </row>
    <row r="27" spans="1:21" ht="17.25" customHeight="1">
      <c r="A27" s="545" t="s">
        <v>1799</v>
      </c>
      <c r="B27" s="546"/>
      <c r="C27" s="240"/>
      <c r="D27" s="575" t="s">
        <v>1800</v>
      </c>
      <c r="E27" s="575"/>
      <c r="F27" s="575"/>
      <c r="G27" s="575"/>
      <c r="H27" s="575"/>
      <c r="I27" s="576"/>
      <c r="J27" s="222"/>
      <c r="K27" s="518"/>
      <c r="L27" s="552"/>
      <c r="M27" s="221"/>
      <c r="N27" s="556"/>
      <c r="O27" s="556"/>
      <c r="P27" s="556"/>
      <c r="Q27" s="556"/>
      <c r="R27" s="557"/>
    </row>
    <row r="28" spans="1:21" ht="17.25" customHeight="1">
      <c r="A28" s="477"/>
      <c r="B28" s="549"/>
      <c r="C28" s="244"/>
      <c r="D28" s="577"/>
      <c r="E28" s="577"/>
      <c r="F28" s="577"/>
      <c r="G28" s="577"/>
      <c r="H28" s="577"/>
      <c r="I28" s="578"/>
      <c r="J28" s="222"/>
      <c r="K28" s="523"/>
      <c r="L28" s="524"/>
      <c r="M28" s="238"/>
      <c r="N28" s="558"/>
      <c r="O28" s="558"/>
      <c r="P28" s="558"/>
      <c r="Q28" s="558"/>
      <c r="R28" s="559"/>
      <c r="U28" s="316"/>
    </row>
    <row r="29" spans="1:21" ht="17.25" customHeight="1">
      <c r="A29" s="579" t="s">
        <v>1801</v>
      </c>
      <c r="B29" s="580"/>
      <c r="C29" s="245"/>
      <c r="D29" s="246" t="s">
        <v>1802</v>
      </c>
      <c r="E29" s="247" t="s">
        <v>1803</v>
      </c>
      <c r="F29" s="248">
        <f ca="1">_xlfn.XLOOKUP(C4,DBGenzai[カナ],DBGenzai[時給],"",0,-1)</f>
        <v>1310</v>
      </c>
      <c r="G29" s="249" t="s">
        <v>1804</v>
      </c>
      <c r="H29" s="241"/>
      <c r="I29" s="242"/>
      <c r="J29" s="228"/>
      <c r="K29" s="585" t="s">
        <v>323</v>
      </c>
      <c r="L29" s="586"/>
      <c r="M29" s="238"/>
      <c r="N29" s="587" t="str" cm="1">
        <f t="array" aca="1" ref="N29" ca="1">_xlfn.XLOOKUP($I$12,TBKaishaInfo[ライン],TBKaishaInfo[配属先]&amp;" "&amp;TBKaishaInfo[指示命令者部署]&amp;" "&amp;TBKaishaInfo[指示命令者名],"",0,1)</f>
        <v>製作課  係長　山本　絋平</v>
      </c>
      <c r="O29" s="587"/>
      <c r="P29" s="587"/>
      <c r="Q29" s="587"/>
      <c r="R29" s="588"/>
    </row>
    <row r="30" spans="1:21" ht="17.25" customHeight="1">
      <c r="A30" s="581"/>
      <c r="B30" s="582"/>
      <c r="C30" s="235"/>
      <c r="D30" s="505" t="s">
        <v>1805</v>
      </c>
      <c r="E30" s="505"/>
      <c r="F30" s="505"/>
      <c r="G30" s="505"/>
      <c r="H30" s="505"/>
      <c r="I30" s="560"/>
      <c r="J30" s="228"/>
      <c r="K30" s="521" t="s">
        <v>1798</v>
      </c>
      <c r="L30" s="522"/>
      <c r="M30" s="224"/>
      <c r="N30" s="589" t="s">
        <v>2074</v>
      </c>
      <c r="O30" s="590"/>
      <c r="P30" s="590"/>
      <c r="Q30" s="590"/>
      <c r="R30" s="591"/>
    </row>
    <row r="31" spans="1:21" ht="15" customHeight="1">
      <c r="A31" s="581"/>
      <c r="B31" s="582"/>
      <c r="C31" s="235"/>
      <c r="D31" s="505" t="s">
        <v>1808</v>
      </c>
      <c r="E31" s="505"/>
      <c r="F31" s="505"/>
      <c r="G31" s="505"/>
      <c r="H31" s="505"/>
      <c r="I31" s="560"/>
      <c r="J31" s="228"/>
      <c r="K31" s="518"/>
      <c r="L31" s="552"/>
      <c r="M31" s="243"/>
      <c r="N31" s="561" t="s">
        <v>2071</v>
      </c>
      <c r="O31" s="561"/>
      <c r="P31" s="561"/>
      <c r="Q31" s="561"/>
      <c r="R31" s="562"/>
    </row>
    <row r="32" spans="1:21" ht="15" customHeight="1">
      <c r="A32" s="581"/>
      <c r="B32" s="582"/>
      <c r="C32" s="235"/>
      <c r="D32" s="519" t="str" cm="1">
        <f t="array" aca="1" ref="D32" ca="1">"４．賃金締切及び支払日・・・・当月"&amp;_xlfn.XLOOKUP($I$12&amp;G12,TBKaishaInfo[ライン]&amp;TBKaishaInfo[工場名],TBKaishaInfo[作業者締め日],"",0,1)&amp;"締切　　翌月"&amp;_xlfn.XLOOKUP($I$12,TBKaishaInfo[ライン],TBKaishaInfo[作業者支払日],"",0,1)&amp;"支払日"</f>
        <v>４．賃金締切及び支払日・・・・当月１５日締切　　翌月１５日支払日</v>
      </c>
      <c r="E32" s="519"/>
      <c r="F32" s="519"/>
      <c r="G32" s="519"/>
      <c r="H32" s="519"/>
      <c r="I32" s="520"/>
      <c r="J32" s="222"/>
      <c r="K32" s="518"/>
      <c r="L32" s="552"/>
      <c r="M32" s="221"/>
      <c r="N32" s="563" t="s">
        <v>1889</v>
      </c>
      <c r="O32" s="563"/>
      <c r="P32" s="563"/>
      <c r="Q32" s="563"/>
      <c r="R32" s="564"/>
    </row>
    <row r="33" spans="1:18" ht="15" customHeight="1">
      <c r="A33" s="581"/>
      <c r="B33" s="582"/>
      <c r="C33" s="235"/>
      <c r="D33" s="505" t="s">
        <v>1809</v>
      </c>
      <c r="E33" s="505"/>
      <c r="F33" s="505"/>
      <c r="G33" s="505"/>
      <c r="H33" s="505"/>
      <c r="I33" s="560"/>
      <c r="J33" s="222"/>
      <c r="K33" s="523"/>
      <c r="L33" s="524"/>
      <c r="M33" s="232"/>
      <c r="N33" s="506"/>
      <c r="O33" s="506"/>
      <c r="P33" s="506"/>
      <c r="Q33" s="506"/>
      <c r="R33" s="565"/>
    </row>
    <row r="34" spans="1:18" ht="15" customHeight="1">
      <c r="A34" s="583"/>
      <c r="B34" s="584"/>
      <c r="C34" s="308"/>
      <c r="D34" s="526" t="str">
        <f>IF($C$10&lt;DATE(2023,4,1),"","６. 月６０時間以内（ ２５）％　　月６０時間超 （ ５０）％")</f>
        <v>６. 月６０時間以内（ ２５）％　　月６０時間超 （ ５０）％</v>
      </c>
      <c r="E34" s="526"/>
      <c r="F34" s="526"/>
      <c r="G34" s="526"/>
      <c r="H34" s="526"/>
      <c r="I34" s="566"/>
      <c r="J34" s="222"/>
      <c r="K34" s="521" t="s">
        <v>1806</v>
      </c>
      <c r="L34" s="522"/>
      <c r="M34" s="250"/>
      <c r="N34" s="567" t="s">
        <v>1807</v>
      </c>
      <c r="O34" s="567"/>
      <c r="P34" s="567"/>
      <c r="Q34" s="567"/>
      <c r="R34" s="568"/>
    </row>
    <row r="35" spans="1:18" ht="15" customHeight="1">
      <c r="A35" s="597" t="s">
        <v>1810</v>
      </c>
      <c r="B35" s="598"/>
      <c r="C35" s="252"/>
      <c r="D35" s="601" t="s">
        <v>1811</v>
      </c>
      <c r="E35" s="601"/>
      <c r="F35" s="601"/>
      <c r="G35" s="601"/>
      <c r="H35" s="601"/>
      <c r="I35" s="602"/>
      <c r="J35" s="222"/>
      <c r="K35" s="518"/>
      <c r="L35" s="552"/>
      <c r="M35" s="251"/>
      <c r="N35" s="569"/>
      <c r="O35" s="569"/>
      <c r="P35" s="569"/>
      <c r="Q35" s="569"/>
      <c r="R35" s="570"/>
    </row>
    <row r="36" spans="1:18" ht="15" customHeight="1">
      <c r="A36" s="599"/>
      <c r="B36" s="600"/>
      <c r="C36" s="252"/>
      <c r="D36" s="603" t="s">
        <v>1812</v>
      </c>
      <c r="E36" s="603"/>
      <c r="F36" s="603"/>
      <c r="G36" s="603"/>
      <c r="H36" s="603"/>
      <c r="I36" s="604"/>
      <c r="J36" s="222"/>
      <c r="K36" s="518"/>
      <c r="L36" s="552"/>
      <c r="M36" s="251"/>
      <c r="N36" s="569"/>
      <c r="O36" s="569"/>
      <c r="P36" s="569"/>
      <c r="Q36" s="569"/>
      <c r="R36" s="570"/>
    </row>
    <row r="37" spans="1:18" ht="15" customHeight="1">
      <c r="A37" s="599"/>
      <c r="B37" s="600"/>
      <c r="C37" s="252"/>
      <c r="D37" s="603" t="s">
        <v>1813</v>
      </c>
      <c r="E37" s="603"/>
      <c r="F37" s="603"/>
      <c r="G37" s="603"/>
      <c r="H37" s="603"/>
      <c r="I37" s="604"/>
      <c r="J37" s="212"/>
      <c r="K37" s="518"/>
      <c r="L37" s="552"/>
      <c r="M37" s="251"/>
      <c r="N37" s="569"/>
      <c r="O37" s="569"/>
      <c r="P37" s="569"/>
      <c r="Q37" s="569"/>
      <c r="R37" s="570"/>
    </row>
    <row r="38" spans="1:18" ht="15" customHeight="1">
      <c r="A38" s="599"/>
      <c r="B38" s="600"/>
      <c r="C38" s="252"/>
      <c r="D38" s="601" t="s">
        <v>1816</v>
      </c>
      <c r="E38" s="601"/>
      <c r="F38" s="601"/>
      <c r="G38" s="601"/>
      <c r="H38" s="601"/>
      <c r="I38" s="602"/>
      <c r="J38" s="228"/>
      <c r="K38" s="518"/>
      <c r="L38" s="552"/>
      <c r="M38" s="251"/>
      <c r="N38" s="569"/>
      <c r="O38" s="569"/>
      <c r="P38" s="569"/>
      <c r="Q38" s="569"/>
      <c r="R38" s="570"/>
    </row>
    <row r="39" spans="1:18" ht="15" customHeight="1">
      <c r="A39" s="521" t="s">
        <v>1817</v>
      </c>
      <c r="B39" s="527"/>
      <c r="C39" s="253"/>
      <c r="D39" s="605" t="s">
        <v>1837</v>
      </c>
      <c r="E39" s="605"/>
      <c r="F39" s="605"/>
      <c r="G39" s="605"/>
      <c r="H39" s="605"/>
      <c r="I39" s="606"/>
      <c r="J39" s="203"/>
      <c r="K39" s="518"/>
      <c r="L39" s="552"/>
      <c r="M39" s="251"/>
      <c r="N39" s="569"/>
      <c r="O39" s="569"/>
      <c r="P39" s="569"/>
      <c r="Q39" s="569"/>
      <c r="R39" s="570"/>
    </row>
    <row r="40" spans="1:18" ht="15" customHeight="1">
      <c r="A40" s="518"/>
      <c r="B40" s="507"/>
      <c r="C40" s="252"/>
      <c r="D40" s="601" t="s">
        <v>1838</v>
      </c>
      <c r="E40" s="601"/>
      <c r="F40" s="601"/>
      <c r="G40" s="601"/>
      <c r="H40" s="601"/>
      <c r="I40" s="602"/>
      <c r="J40" s="203"/>
      <c r="K40" s="523"/>
      <c r="L40" s="524"/>
      <c r="M40" s="251"/>
      <c r="N40" s="571"/>
      <c r="O40" s="571"/>
      <c r="P40" s="571"/>
      <c r="Q40" s="571"/>
      <c r="R40" s="572"/>
    </row>
    <row r="41" spans="1:18" ht="12.95" customHeight="1">
      <c r="A41" s="518"/>
      <c r="B41" s="507"/>
      <c r="C41" s="252"/>
      <c r="D41" s="540" t="s">
        <v>1819</v>
      </c>
      <c r="E41" s="540"/>
      <c r="F41" s="540"/>
      <c r="G41" s="540"/>
      <c r="H41" s="540"/>
      <c r="I41" s="541"/>
      <c r="J41" s="203"/>
      <c r="K41" s="521" t="s">
        <v>1814</v>
      </c>
      <c r="L41" s="522"/>
      <c r="M41" s="224"/>
      <c r="N41" s="611" t="s">
        <v>1815</v>
      </c>
      <c r="O41" s="611"/>
      <c r="P41" s="611"/>
      <c r="Q41" s="611"/>
      <c r="R41" s="612"/>
    </row>
    <row r="42" spans="1:18" ht="12.95" customHeight="1">
      <c r="A42" s="518"/>
      <c r="B42" s="507"/>
      <c r="C42" s="252"/>
      <c r="D42" s="540"/>
      <c r="E42" s="540"/>
      <c r="F42" s="540"/>
      <c r="G42" s="540"/>
      <c r="H42" s="540"/>
      <c r="I42" s="541"/>
      <c r="J42" s="203"/>
      <c r="K42" s="523"/>
      <c r="L42" s="524"/>
      <c r="M42" s="232"/>
      <c r="N42" s="613"/>
      <c r="O42" s="613"/>
      <c r="P42" s="613"/>
      <c r="Q42" s="613"/>
      <c r="R42" s="614"/>
    </row>
    <row r="43" spans="1:18" ht="12.95" customHeight="1">
      <c r="A43" s="518"/>
      <c r="B43" s="507"/>
      <c r="C43" s="252"/>
      <c r="D43" s="540"/>
      <c r="E43" s="540"/>
      <c r="F43" s="540"/>
      <c r="G43" s="540"/>
      <c r="H43" s="540"/>
      <c r="I43" s="541"/>
      <c r="J43" s="226"/>
      <c r="K43" s="521" t="s">
        <v>1818</v>
      </c>
      <c r="L43" s="522"/>
      <c r="M43" s="224"/>
      <c r="N43" s="573" t="s">
        <v>1978</v>
      </c>
      <c r="O43" s="573"/>
      <c r="P43" s="573"/>
      <c r="Q43" s="573"/>
      <c r="R43" s="574"/>
    </row>
    <row r="44" spans="1:18" ht="15" customHeight="1">
      <c r="A44" s="523"/>
      <c r="B44" s="509"/>
      <c r="C44" s="256"/>
      <c r="D44" s="577" t="s">
        <v>1822</v>
      </c>
      <c r="E44" s="577"/>
      <c r="F44" s="577"/>
      <c r="G44" s="577"/>
      <c r="H44" s="577"/>
      <c r="I44" s="578"/>
      <c r="J44" s="226"/>
      <c r="K44" s="523"/>
      <c r="L44" s="524"/>
      <c r="M44" s="221"/>
      <c r="N44" s="506"/>
      <c r="O44" s="506"/>
      <c r="P44" s="506"/>
      <c r="Q44" s="506"/>
      <c r="R44" s="565"/>
    </row>
    <row r="45" spans="1:18" ht="15" customHeight="1">
      <c r="A45" s="518" t="s">
        <v>1824</v>
      </c>
      <c r="B45" s="507"/>
      <c r="C45" s="252"/>
      <c r="D45" s="505" t="s">
        <v>1825</v>
      </c>
      <c r="E45" s="505"/>
      <c r="F45" s="505"/>
      <c r="G45" s="505"/>
      <c r="H45" s="505"/>
      <c r="I45" s="560"/>
      <c r="J45" s="226"/>
      <c r="K45" s="545" t="s">
        <v>1820</v>
      </c>
      <c r="L45" s="594"/>
      <c r="M45" s="254"/>
      <c r="N45" s="575" t="s">
        <v>1821</v>
      </c>
      <c r="O45" s="575"/>
      <c r="P45" s="575"/>
      <c r="Q45" s="575"/>
      <c r="R45" s="576"/>
    </row>
    <row r="46" spans="1:18" ht="15" customHeight="1">
      <c r="A46" s="518"/>
      <c r="B46" s="507"/>
      <c r="C46" s="257"/>
      <c r="D46" s="505" t="s">
        <v>1890</v>
      </c>
      <c r="E46" s="505"/>
      <c r="F46" s="505"/>
      <c r="G46" s="505"/>
      <c r="H46" s="505"/>
      <c r="I46" s="560"/>
      <c r="J46" s="212"/>
      <c r="K46" s="547"/>
      <c r="L46" s="595"/>
      <c r="M46" s="255"/>
      <c r="N46" s="540"/>
      <c r="O46" s="540"/>
      <c r="P46" s="540"/>
      <c r="Q46" s="540"/>
      <c r="R46" s="541"/>
    </row>
    <row r="47" spans="1:18" ht="15" customHeight="1">
      <c r="A47" s="518"/>
      <c r="B47" s="507"/>
      <c r="C47" s="252"/>
      <c r="D47" s="505" t="s">
        <v>1826</v>
      </c>
      <c r="E47" s="505"/>
      <c r="F47" s="505"/>
      <c r="G47" s="505"/>
      <c r="H47" s="505"/>
      <c r="I47" s="560"/>
      <c r="J47" s="212"/>
      <c r="K47" s="477"/>
      <c r="L47" s="596"/>
      <c r="M47" s="273"/>
      <c r="N47" s="577"/>
      <c r="O47" s="577"/>
      <c r="P47" s="577"/>
      <c r="Q47" s="577"/>
      <c r="R47" s="578"/>
    </row>
    <row r="48" spans="1:18" ht="15" customHeight="1">
      <c r="A48" s="518"/>
      <c r="B48" s="507"/>
      <c r="C48" s="258"/>
      <c r="D48" s="505" t="s">
        <v>1827</v>
      </c>
      <c r="E48" s="505"/>
      <c r="F48" s="505"/>
      <c r="G48" s="505"/>
      <c r="H48" s="505"/>
      <c r="I48" s="560"/>
      <c r="J48" s="212"/>
      <c r="K48" s="585" t="s">
        <v>1823</v>
      </c>
      <c r="L48" s="586"/>
      <c r="M48" s="272"/>
      <c r="N48" s="607" t="s">
        <v>1848</v>
      </c>
      <c r="O48" s="607"/>
      <c r="P48" s="607"/>
      <c r="Q48" s="607"/>
      <c r="R48" s="608"/>
    </row>
    <row r="49" spans="1:18" ht="15" customHeight="1">
      <c r="A49" s="518"/>
      <c r="B49" s="507"/>
      <c r="C49" s="258"/>
      <c r="D49" s="505" t="s">
        <v>1830</v>
      </c>
      <c r="E49" s="505"/>
      <c r="F49" s="505"/>
      <c r="G49" s="505"/>
      <c r="H49" s="505"/>
      <c r="I49" s="560"/>
      <c r="J49" s="203"/>
      <c r="K49" s="258"/>
      <c r="L49" s="609">
        <f>C10</f>
        <v>45464</v>
      </c>
      <c r="M49" s="610"/>
      <c r="N49" s="610"/>
      <c r="O49" s="228"/>
      <c r="P49" s="228"/>
      <c r="Q49" s="228"/>
      <c r="R49" s="233"/>
    </row>
    <row r="50" spans="1:18" ht="15" customHeight="1">
      <c r="A50" s="518"/>
      <c r="B50" s="507"/>
      <c r="C50" s="258"/>
      <c r="D50" s="505" t="s">
        <v>1832</v>
      </c>
      <c r="E50" s="505"/>
      <c r="F50" s="505"/>
      <c r="G50" s="505"/>
      <c r="H50" s="505"/>
      <c r="I50" s="560"/>
      <c r="J50" s="223"/>
      <c r="K50" s="258"/>
      <c r="L50" s="228" t="s">
        <v>1828</v>
      </c>
      <c r="M50" s="228"/>
      <c r="N50" s="228"/>
      <c r="O50" s="228"/>
      <c r="P50" s="228" t="s">
        <v>1829</v>
      </c>
      <c r="Q50" s="228"/>
      <c r="R50" s="233"/>
    </row>
    <row r="51" spans="1:18" ht="15" customHeight="1">
      <c r="A51" s="518"/>
      <c r="B51" s="507"/>
      <c r="C51" s="258"/>
      <c r="D51" s="505" t="s">
        <v>1833</v>
      </c>
      <c r="E51" s="505"/>
      <c r="F51" s="505"/>
      <c r="G51" s="505"/>
      <c r="H51" s="505"/>
      <c r="I51" s="560"/>
      <c r="J51" s="203"/>
      <c r="K51" s="258"/>
      <c r="L51" s="620" t="str">
        <f>IF($L$49&lt;=DATE(2023,8,1),"愛知県名古屋市北区西味鋺1丁目５１１水野ビル201","愛知県名古屋市東区徳川2-18-18")</f>
        <v>愛知県名古屋市東区徳川2-18-18</v>
      </c>
      <c r="M51" s="620"/>
      <c r="N51" s="620"/>
      <c r="O51" s="620"/>
      <c r="P51" s="259" t="s">
        <v>1831</v>
      </c>
      <c r="Q51" s="260"/>
      <c r="R51" s="261"/>
    </row>
    <row r="52" spans="1:18" ht="15" customHeight="1">
      <c r="A52" s="518"/>
      <c r="B52" s="507"/>
      <c r="C52" s="258"/>
      <c r="D52" s="534" t="s">
        <v>1835</v>
      </c>
      <c r="E52" s="534"/>
      <c r="F52" s="534"/>
      <c r="G52" s="534"/>
      <c r="H52" s="534"/>
      <c r="I52" s="535"/>
      <c r="J52" s="228"/>
      <c r="K52" s="258"/>
      <c r="L52" s="540" t="s">
        <v>1834</v>
      </c>
      <c r="M52" s="540"/>
      <c r="N52" s="540"/>
      <c r="O52" s="228"/>
      <c r="R52" s="207"/>
    </row>
    <row r="53" spans="1:18" ht="15" customHeight="1">
      <c r="A53" s="518"/>
      <c r="B53" s="507"/>
      <c r="C53" s="258"/>
      <c r="D53" s="534" t="s">
        <v>1836</v>
      </c>
      <c r="E53" s="534"/>
      <c r="F53" s="534"/>
      <c r="G53" s="534"/>
      <c r="H53" s="534"/>
      <c r="I53" s="535"/>
      <c r="J53" s="236"/>
      <c r="K53" s="258"/>
      <c r="L53" s="430" t="s">
        <v>1847</v>
      </c>
      <c r="O53" s="228"/>
      <c r="P53" s="228"/>
      <c r="Q53" s="228"/>
      <c r="R53" s="233"/>
    </row>
    <row r="54" spans="1:18" ht="15" customHeight="1" thickBot="1">
      <c r="A54" s="592"/>
      <c r="B54" s="593"/>
      <c r="C54" s="263"/>
      <c r="D54" s="615" t="s">
        <v>1891</v>
      </c>
      <c r="E54" s="615"/>
      <c r="F54" s="615"/>
      <c r="G54" s="615"/>
      <c r="H54" s="615"/>
      <c r="I54" s="616"/>
      <c r="J54" s="262"/>
      <c r="K54" s="263"/>
      <c r="L54" s="617"/>
      <c r="M54" s="617"/>
      <c r="N54" s="617"/>
      <c r="O54" s="264"/>
      <c r="P54" s="618" t="str" cm="1">
        <f t="array" aca="1" ref="P54" ca="1">"説明者："&amp; _xlfn.XLOOKUP(E12&amp;I12,TBKaishaInfo[派遣先]&amp;TBKaishaInfo[ライン],TBKaishaInfo[説明者],"",0,1)</f>
        <v>説明者：</v>
      </c>
      <c r="Q54" s="618"/>
      <c r="R54" s="619"/>
    </row>
    <row r="59" spans="1:18" ht="15" customHeight="1"/>
    <row r="60" spans="1:18">
      <c r="C60" s="203"/>
      <c r="D60" s="203"/>
      <c r="E60" s="203"/>
      <c r="F60" s="203"/>
      <c r="G60" s="203"/>
      <c r="H60" s="203"/>
      <c r="I60" s="203"/>
    </row>
    <row r="62" spans="1:18" ht="15" customHeight="1"/>
    <row r="64" spans="1:18">
      <c r="J64" s="203"/>
    </row>
    <row r="65" ht="15" customHeight="1"/>
    <row r="67" ht="15" customHeight="1"/>
  </sheetData>
  <mergeCells count="116">
    <mergeCell ref="N10:O11"/>
    <mergeCell ref="K12:L13"/>
    <mergeCell ref="K10:L11"/>
    <mergeCell ref="Q16:R17"/>
    <mergeCell ref="N22:R28"/>
    <mergeCell ref="O18:P19"/>
    <mergeCell ref="N18:N19"/>
    <mergeCell ref="N20:N21"/>
    <mergeCell ref="Q18:R19"/>
    <mergeCell ref="K18:L28"/>
    <mergeCell ref="O20:P21"/>
    <mergeCell ref="Q20:R21"/>
    <mergeCell ref="N16:P17"/>
    <mergeCell ref="K16:L17"/>
    <mergeCell ref="Q14:R15"/>
    <mergeCell ref="N14:P15"/>
    <mergeCell ref="K14:L15"/>
    <mergeCell ref="P12:R13"/>
    <mergeCell ref="N12:O13"/>
    <mergeCell ref="A2:I3"/>
    <mergeCell ref="K2:R3"/>
    <mergeCell ref="A4:B4"/>
    <mergeCell ref="C4:I4"/>
    <mergeCell ref="A5:B5"/>
    <mergeCell ref="C5:I5"/>
    <mergeCell ref="K5:N5"/>
    <mergeCell ref="N9:O9"/>
    <mergeCell ref="P9:Q9"/>
    <mergeCell ref="K9:L9"/>
    <mergeCell ref="K7:L8"/>
    <mergeCell ref="P7:Q7"/>
    <mergeCell ref="N7:O7"/>
    <mergeCell ref="Q8:R8"/>
    <mergeCell ref="A10:B11"/>
    <mergeCell ref="A12:B14"/>
    <mergeCell ref="C12:D12"/>
    <mergeCell ref="A6:B6"/>
    <mergeCell ref="C6:I6"/>
    <mergeCell ref="A7:B7"/>
    <mergeCell ref="C7:F7"/>
    <mergeCell ref="A8:B8"/>
    <mergeCell ref="C8:E8"/>
    <mergeCell ref="F9:I9"/>
    <mergeCell ref="C10:E11"/>
    <mergeCell ref="G10:H11"/>
    <mergeCell ref="F10:F11"/>
    <mergeCell ref="E12:F12"/>
    <mergeCell ref="C13:D13"/>
    <mergeCell ref="E13:I13"/>
    <mergeCell ref="C14:D14"/>
    <mergeCell ref="C15:C17"/>
    <mergeCell ref="D15:I15"/>
    <mergeCell ref="D16:I16"/>
    <mergeCell ref="D17:I17"/>
    <mergeCell ref="A15:B15"/>
    <mergeCell ref="A17:B17"/>
    <mergeCell ref="A16:B16"/>
    <mergeCell ref="A25:B26"/>
    <mergeCell ref="D25:I26"/>
    <mergeCell ref="A18:B24"/>
    <mergeCell ref="E18:I18"/>
    <mergeCell ref="E19:I19"/>
    <mergeCell ref="E20:I20"/>
    <mergeCell ref="E21:I21"/>
    <mergeCell ref="D23:I23"/>
    <mergeCell ref="D24:I24"/>
    <mergeCell ref="K29:L29"/>
    <mergeCell ref="A39:B44"/>
    <mergeCell ref="D39:I39"/>
    <mergeCell ref="N29:R29"/>
    <mergeCell ref="K30:L33"/>
    <mergeCell ref="K43:L44"/>
    <mergeCell ref="N43:R44"/>
    <mergeCell ref="D40:I40"/>
    <mergeCell ref="D41:I43"/>
    <mergeCell ref="N32:R33"/>
    <mergeCell ref="A35:B38"/>
    <mergeCell ref="D35:I35"/>
    <mergeCell ref="D36:I36"/>
    <mergeCell ref="D37:I37"/>
    <mergeCell ref="A29:B34"/>
    <mergeCell ref="N31:R31"/>
    <mergeCell ref="N30:R30"/>
    <mergeCell ref="K45:L47"/>
    <mergeCell ref="N45:R47"/>
    <mergeCell ref="D44:I44"/>
    <mergeCell ref="K41:L42"/>
    <mergeCell ref="N41:R42"/>
    <mergeCell ref="A27:B28"/>
    <mergeCell ref="D27:I28"/>
    <mergeCell ref="D34:I34"/>
    <mergeCell ref="P54:R54"/>
    <mergeCell ref="D53:I53"/>
    <mergeCell ref="N48:R48"/>
    <mergeCell ref="D38:I38"/>
    <mergeCell ref="D30:I30"/>
    <mergeCell ref="K34:L40"/>
    <mergeCell ref="N34:R40"/>
    <mergeCell ref="D31:I31"/>
    <mergeCell ref="D32:I32"/>
    <mergeCell ref="D33:I33"/>
    <mergeCell ref="K48:L48"/>
    <mergeCell ref="A45:B54"/>
    <mergeCell ref="D45:I45"/>
    <mergeCell ref="D46:I46"/>
    <mergeCell ref="L49:N49"/>
    <mergeCell ref="D47:I47"/>
    <mergeCell ref="D48:I48"/>
    <mergeCell ref="D49:I49"/>
    <mergeCell ref="D50:I50"/>
    <mergeCell ref="L51:O51"/>
    <mergeCell ref="D54:I54"/>
    <mergeCell ref="D51:I51"/>
    <mergeCell ref="L52:N52"/>
    <mergeCell ref="D52:I52"/>
    <mergeCell ref="L54:N54"/>
  </mergeCells>
  <phoneticPr fontId="1"/>
  <pageMargins left="0.19685039370078741" right="0" top="0.39370078740157483" bottom="0" header="0.31496062992125984" footer="0.31496062992125984"/>
  <pageSetup paperSize="9" scale="7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Keiyakusho">
                <anchor moveWithCells="1" sizeWithCells="1">
                  <from>
                    <xdr:col>15</xdr:col>
                    <xdr:colOff>971550</xdr:colOff>
                    <xdr:row>3</xdr:row>
                    <xdr:rowOff>123825</xdr:rowOff>
                  </from>
                  <to>
                    <xdr:col>16</xdr:col>
                    <xdr:colOff>828675</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B757F-A73F-46A4-9582-A7648D876BD2}">
  <sheetPr codeName="Hoja15">
    <tabColor theme="6" tint="-0.249977111117893"/>
  </sheetPr>
  <dimension ref="A1:W48"/>
  <sheetViews>
    <sheetView view="pageBreakPreview" zoomScale="110" zoomScaleNormal="100" zoomScaleSheetLayoutView="110" workbookViewId="0">
      <selection activeCell="G4" sqref="G4:Q4"/>
    </sheetView>
  </sheetViews>
  <sheetFormatPr defaultColWidth="11.02734375" defaultRowHeight="14.25"/>
  <cols>
    <col min="1" max="32" width="3.765625" style="81" customWidth="1"/>
    <col min="33" max="16384" width="11.02734375" style="81"/>
  </cols>
  <sheetData>
    <row r="1" spans="1:23">
      <c r="A1" s="343">
        <v>1</v>
      </c>
      <c r="B1" s="386" t="e">
        <f ca="1">WORKDAY(_xlfn.XLOOKUP(B9,TablaTransfor[カナ],TablaTransfor[unicosC],"",0,1),-3)</f>
        <v>#VALUE!</v>
      </c>
      <c r="C1" s="387" t="str" cm="1">
        <f t="array" aca="1" ref="C1" ca="1">_xlfn.XLOOKUP(D1&amp;F1,TBKaishaInfo[工場名]&amp;TBKaishaInfo[ライン],TBKaishaInfo[派遣先])</f>
        <v>高雄工業株式会社</v>
      </c>
      <c r="D1" s="387" t="str" cm="1">
        <f t="array" aca="1" ref="D1" ca="1">_xlfn.XLOOKUP(E1&amp;F1,TBKaishaInfo[配属先]&amp;TBKaishaInfo[ライン],TBKaishaInfo[工場名])</f>
        <v>本社工場</v>
      </c>
      <c r="E1" s="387" t="str">
        <f ca="1">_xlfn.XLOOKUP(F1,TBKaishaInfo[ライン],TBKaishaInfo[配属先])</f>
        <v>製作課</v>
      </c>
      <c r="F1" s="343" t="str">
        <f ca="1">_xlfn.XLOOKUP(B9,TablaTransfor[カナ],TablaTransfor[ライン],"",0,1)</f>
        <v>Fライン</v>
      </c>
      <c r="R1" s="1084">
        <v>45231</v>
      </c>
      <c r="S1" s="1084"/>
      <c r="T1" s="1084"/>
      <c r="U1" s="1084"/>
      <c r="V1" s="1084"/>
      <c r="W1" s="1084"/>
    </row>
    <row r="3" spans="1:23" ht="36.75" customHeight="1">
      <c r="E3" s="1087" t="s">
        <v>1957</v>
      </c>
      <c r="F3" s="1087"/>
      <c r="G3" s="1087"/>
      <c r="H3" s="1087"/>
      <c r="I3" s="1087"/>
      <c r="J3" s="1087"/>
      <c r="K3" s="1087"/>
      <c r="L3" s="1087"/>
      <c r="M3" s="1087"/>
      <c r="N3" s="1087"/>
      <c r="O3" s="1087"/>
      <c r="P3" s="1087"/>
      <c r="Q3" s="1087"/>
      <c r="R3" s="1087"/>
      <c r="S3" s="1087"/>
    </row>
    <row r="4" spans="1:23" ht="21" customHeight="1">
      <c r="G4" s="1086" t="s">
        <v>1958</v>
      </c>
      <c r="H4" s="1086"/>
      <c r="I4" s="1086"/>
      <c r="J4" s="1086"/>
      <c r="K4" s="1086"/>
      <c r="L4" s="1086"/>
      <c r="M4" s="1086"/>
      <c r="N4" s="1086"/>
      <c r="O4" s="1086"/>
      <c r="P4" s="1086"/>
      <c r="Q4" s="1086"/>
    </row>
    <row r="5" spans="1:23">
      <c r="G5" s="336"/>
      <c r="H5" s="336"/>
      <c r="I5" s="336"/>
      <c r="J5" s="336"/>
      <c r="K5" s="336"/>
      <c r="L5" s="336"/>
      <c r="M5" s="336"/>
      <c r="N5" s="336"/>
      <c r="O5" s="336"/>
      <c r="P5" s="336"/>
      <c r="Q5" s="336"/>
    </row>
    <row r="6" spans="1:23">
      <c r="G6" s="336"/>
      <c r="H6" s="336"/>
      <c r="I6" s="336"/>
      <c r="J6" s="336"/>
      <c r="K6" s="336"/>
      <c r="L6" s="336"/>
      <c r="M6" s="336"/>
      <c r="N6" s="336"/>
      <c r="O6" s="336"/>
      <c r="P6" s="336"/>
      <c r="Q6" s="336"/>
    </row>
    <row r="7" spans="1:23" ht="15" thickBot="1"/>
    <row r="8" spans="1:23">
      <c r="A8" s="337"/>
      <c r="B8" s="338"/>
      <c r="C8" s="338"/>
      <c r="D8" s="338"/>
      <c r="E8" s="338"/>
      <c r="F8" s="338"/>
      <c r="G8" s="338"/>
      <c r="H8" s="338"/>
      <c r="I8" s="338"/>
      <c r="J8" s="338"/>
      <c r="K8" s="338"/>
      <c r="L8" s="338"/>
      <c r="M8" s="338"/>
      <c r="N8" s="338"/>
      <c r="O8" s="338"/>
      <c r="P8" s="338"/>
      <c r="Q8" s="1089" t="e">
        <f ca="1">WORKDAY(_xlfn.XLOOKUP(B9,TablaTransfor[カナ],TablaTransfor[unicosC],"",0,1),-3)</f>
        <v>#VALUE!</v>
      </c>
      <c r="R8" s="1089"/>
      <c r="S8" s="1089"/>
      <c r="T8" s="1089"/>
      <c r="U8" s="1089"/>
      <c r="V8" s="1089"/>
      <c r="W8" s="1090"/>
    </row>
    <row r="9" spans="1:23" ht="20.25" customHeight="1">
      <c r="A9" s="340"/>
      <c r="B9" s="1088" t="str">
        <f ca="1">VLOOKUP(A1,通知書Genzai!I9:Q66,2,TRUE)</f>
        <v>ハー　ヴィエット　トウイ</v>
      </c>
      <c r="C9" s="1088"/>
      <c r="D9" s="1088"/>
      <c r="E9" s="1088"/>
      <c r="F9" s="1088"/>
      <c r="G9" s="1088"/>
      <c r="H9" s="1088"/>
      <c r="I9" s="344" t="s">
        <v>1959</v>
      </c>
      <c r="W9" s="339"/>
    </row>
    <row r="10" spans="1:23">
      <c r="A10" s="340"/>
      <c r="W10" s="339"/>
    </row>
    <row r="11" spans="1:23">
      <c r="A11" s="340"/>
      <c r="K11" s="1086" t="s">
        <v>1960</v>
      </c>
      <c r="L11" s="1086"/>
      <c r="M11" s="1086"/>
      <c r="N11" s="1085" t="s">
        <v>1971</v>
      </c>
      <c r="O11" s="1085"/>
      <c r="P11" s="1085"/>
      <c r="Q11" s="1085"/>
      <c r="R11" s="1085"/>
      <c r="S11" s="1085"/>
      <c r="T11" s="1085"/>
      <c r="U11" s="1085"/>
      <c r="W11" s="339"/>
    </row>
    <row r="12" spans="1:23">
      <c r="A12" s="340"/>
      <c r="K12" s="1086" t="s">
        <v>1961</v>
      </c>
      <c r="L12" s="1086"/>
      <c r="M12" s="1086"/>
      <c r="N12" s="1085" t="s">
        <v>1973</v>
      </c>
      <c r="O12" s="1085"/>
      <c r="P12" s="1085"/>
      <c r="Q12" s="1085"/>
      <c r="R12" s="1085"/>
      <c r="S12" s="1085"/>
      <c r="T12" s="1085"/>
      <c r="U12" s="1085"/>
      <c r="W12" s="339"/>
    </row>
    <row r="13" spans="1:23">
      <c r="A13" s="340"/>
      <c r="W13" s="339"/>
    </row>
    <row r="14" spans="1:23" ht="13.5" customHeight="1">
      <c r="A14" s="1044" t="s">
        <v>1962</v>
      </c>
      <c r="B14" s="1045"/>
      <c r="C14" s="1045"/>
      <c r="D14" s="1046"/>
      <c r="E14" s="1063" t="s">
        <v>1974</v>
      </c>
      <c r="F14" s="1064"/>
      <c r="G14" s="1064"/>
      <c r="H14" s="1064"/>
      <c r="I14" s="1064"/>
      <c r="J14" s="1064"/>
      <c r="K14" s="1064"/>
      <c r="L14" s="1064"/>
      <c r="M14" s="1064"/>
      <c r="N14" s="1064"/>
      <c r="O14" s="1064"/>
      <c r="P14" s="1064"/>
      <c r="Q14" s="1064"/>
      <c r="R14" s="1064"/>
      <c r="S14" s="1040">
        <f ca="1">_xlfn.XLOOKUP($F$1,TBKaishaInfo[ライン],TBKaishaInfo[当該協定期間],0,0,1)</f>
        <v>45747</v>
      </c>
      <c r="T14" s="1040"/>
      <c r="U14" s="1040"/>
      <c r="V14" s="1040"/>
      <c r="W14" s="1041"/>
    </row>
    <row r="15" spans="1:23">
      <c r="A15" s="1047"/>
      <c r="B15" s="1048"/>
      <c r="C15" s="1048"/>
      <c r="D15" s="1049"/>
      <c r="E15" s="1065"/>
      <c r="F15" s="1066"/>
      <c r="G15" s="1066"/>
      <c r="H15" s="1066"/>
      <c r="I15" s="1066"/>
      <c r="J15" s="1066"/>
      <c r="K15" s="1066"/>
      <c r="L15" s="1066"/>
      <c r="M15" s="1066"/>
      <c r="N15" s="1066"/>
      <c r="O15" s="1066"/>
      <c r="P15" s="1066"/>
      <c r="Q15" s="1066"/>
      <c r="R15" s="1066"/>
      <c r="S15" s="1042"/>
      <c r="T15" s="1042"/>
      <c r="U15" s="1042"/>
      <c r="V15" s="1042"/>
      <c r="W15" s="1043"/>
    </row>
    <row r="16" spans="1:23">
      <c r="A16" s="1047"/>
      <c r="B16" s="1048"/>
      <c r="C16" s="1048"/>
      <c r="D16" s="1049"/>
      <c r="E16" s="1065"/>
      <c r="F16" s="1066"/>
      <c r="G16" s="1066"/>
      <c r="H16" s="1066"/>
      <c r="I16" s="1066"/>
      <c r="J16" s="1066"/>
      <c r="K16" s="1066"/>
      <c r="L16" s="1066"/>
      <c r="M16" s="1066"/>
      <c r="N16" s="1066"/>
      <c r="O16" s="1066"/>
      <c r="P16" s="1066"/>
      <c r="Q16" s="1066"/>
      <c r="R16" s="1066"/>
      <c r="S16" s="1042"/>
      <c r="T16" s="1042"/>
      <c r="U16" s="1042"/>
      <c r="V16" s="1042"/>
      <c r="W16" s="1043"/>
    </row>
    <row r="17" spans="1:23" ht="13.5" customHeight="1">
      <c r="A17" s="1047"/>
      <c r="B17" s="1048"/>
      <c r="C17" s="1048"/>
      <c r="D17" s="1049"/>
      <c r="E17" s="1059" t="s">
        <v>2065</v>
      </c>
      <c r="F17" s="1060"/>
      <c r="G17" s="1060"/>
      <c r="H17" s="1060"/>
      <c r="I17" s="1060"/>
      <c r="J17" s="1060"/>
      <c r="K17" s="1060"/>
      <c r="L17" s="1060"/>
      <c r="M17" s="1060"/>
      <c r="N17" s="1060"/>
      <c r="O17" s="1060"/>
      <c r="P17" s="1060"/>
      <c r="Q17" s="1060"/>
      <c r="R17" s="1060"/>
      <c r="S17" s="341"/>
      <c r="T17" s="341"/>
      <c r="U17" s="341"/>
      <c r="V17" s="341"/>
      <c r="W17" s="342"/>
    </row>
    <row r="18" spans="1:23">
      <c r="A18" s="1047"/>
      <c r="B18" s="1048"/>
      <c r="C18" s="1048"/>
      <c r="D18" s="1049"/>
      <c r="E18" s="1059"/>
      <c r="F18" s="1060"/>
      <c r="G18" s="1060"/>
      <c r="H18" s="1060"/>
      <c r="I18" s="1060"/>
      <c r="J18" s="1060"/>
      <c r="K18" s="1060"/>
      <c r="L18" s="1060"/>
      <c r="M18" s="1060"/>
      <c r="N18" s="1060"/>
      <c r="O18" s="1060"/>
      <c r="P18" s="1060"/>
      <c r="Q18" s="1060"/>
      <c r="R18" s="1060"/>
      <c r="S18" s="341"/>
      <c r="T18" s="341"/>
      <c r="U18" s="341"/>
      <c r="V18" s="341"/>
      <c r="W18" s="342"/>
    </row>
    <row r="19" spans="1:23">
      <c r="A19" s="1050"/>
      <c r="B19" s="1051"/>
      <c r="C19" s="1051"/>
      <c r="D19" s="1052"/>
      <c r="E19" s="1061"/>
      <c r="F19" s="1062"/>
      <c r="G19" s="1062"/>
      <c r="H19" s="1062"/>
      <c r="I19" s="1062"/>
      <c r="J19" s="1062"/>
      <c r="K19" s="1062"/>
      <c r="L19" s="1062"/>
      <c r="M19" s="1062"/>
      <c r="N19" s="1062"/>
      <c r="O19" s="1062"/>
      <c r="P19" s="1062"/>
      <c r="Q19" s="1062"/>
      <c r="R19" s="1062"/>
      <c r="S19" s="345"/>
      <c r="T19" s="345"/>
      <c r="U19" s="345"/>
      <c r="V19" s="345"/>
      <c r="W19" s="346"/>
    </row>
    <row r="20" spans="1:23" ht="13.5" customHeight="1">
      <c r="A20" s="1044" t="s">
        <v>1963</v>
      </c>
      <c r="B20" s="1045"/>
      <c r="C20" s="1045"/>
      <c r="D20" s="1046"/>
      <c r="E20" s="1053" t="s">
        <v>2049</v>
      </c>
      <c r="F20" s="1053"/>
      <c r="G20" s="1053"/>
      <c r="H20" s="1053"/>
      <c r="I20" s="1053"/>
      <c r="J20" s="1053"/>
      <c r="K20" s="1053"/>
      <c r="L20" s="1053"/>
      <c r="M20" s="1053"/>
      <c r="N20" s="1053"/>
      <c r="O20" s="1053"/>
      <c r="P20" s="1053"/>
      <c r="Q20" s="1053"/>
      <c r="R20" s="1053"/>
      <c r="S20" s="1053"/>
      <c r="T20" s="1053"/>
      <c r="U20" s="1053"/>
      <c r="V20" s="1053"/>
      <c r="W20" s="1054"/>
    </row>
    <row r="21" spans="1:23">
      <c r="A21" s="1047"/>
      <c r="B21" s="1048"/>
      <c r="C21" s="1048"/>
      <c r="D21" s="1049"/>
      <c r="E21" s="1055"/>
      <c r="F21" s="1055"/>
      <c r="G21" s="1055"/>
      <c r="H21" s="1055"/>
      <c r="I21" s="1055"/>
      <c r="J21" s="1055"/>
      <c r="K21" s="1055"/>
      <c r="L21" s="1055"/>
      <c r="M21" s="1055"/>
      <c r="N21" s="1055"/>
      <c r="O21" s="1055"/>
      <c r="P21" s="1055"/>
      <c r="Q21" s="1055"/>
      <c r="R21" s="1055"/>
      <c r="S21" s="1055"/>
      <c r="T21" s="1055"/>
      <c r="U21" s="1055"/>
      <c r="V21" s="1055"/>
      <c r="W21" s="1056"/>
    </row>
    <row r="22" spans="1:23">
      <c r="A22" s="1047"/>
      <c r="B22" s="1048"/>
      <c r="C22" s="1048"/>
      <c r="D22" s="1049"/>
      <c r="E22" s="1055"/>
      <c r="F22" s="1055"/>
      <c r="G22" s="1055"/>
      <c r="H22" s="1055"/>
      <c r="I22" s="1055"/>
      <c r="J22" s="1055"/>
      <c r="K22" s="1055"/>
      <c r="L22" s="1055"/>
      <c r="M22" s="1055"/>
      <c r="N22" s="1055"/>
      <c r="O22" s="1055"/>
      <c r="P22" s="1055"/>
      <c r="Q22" s="1055"/>
      <c r="R22" s="1055"/>
      <c r="S22" s="1055"/>
      <c r="T22" s="1055"/>
      <c r="U22" s="1055"/>
      <c r="V22" s="1055"/>
      <c r="W22" s="1056"/>
    </row>
    <row r="23" spans="1:23">
      <c r="A23" s="1047"/>
      <c r="B23" s="1048"/>
      <c r="C23" s="1048"/>
      <c r="D23" s="1049"/>
      <c r="E23" s="1055"/>
      <c r="F23" s="1055"/>
      <c r="G23" s="1055"/>
      <c r="H23" s="1055"/>
      <c r="I23" s="1055"/>
      <c r="J23" s="1055"/>
      <c r="K23" s="1055"/>
      <c r="L23" s="1055"/>
      <c r="M23" s="1055"/>
      <c r="N23" s="1055"/>
      <c r="O23" s="1055"/>
      <c r="P23" s="1055"/>
      <c r="Q23" s="1055"/>
      <c r="R23" s="1055"/>
      <c r="S23" s="1055"/>
      <c r="T23" s="1055"/>
      <c r="U23" s="1055"/>
      <c r="V23" s="1055"/>
      <c r="W23" s="1056"/>
    </row>
    <row r="24" spans="1:23">
      <c r="A24" s="1047"/>
      <c r="B24" s="1048"/>
      <c r="C24" s="1048"/>
      <c r="D24" s="1049"/>
      <c r="E24" s="1055"/>
      <c r="F24" s="1055"/>
      <c r="G24" s="1055"/>
      <c r="H24" s="1055"/>
      <c r="I24" s="1055"/>
      <c r="J24" s="1055"/>
      <c r="K24" s="1055"/>
      <c r="L24" s="1055"/>
      <c r="M24" s="1055"/>
      <c r="N24" s="1055"/>
      <c r="O24" s="1055"/>
      <c r="P24" s="1055"/>
      <c r="Q24" s="1055"/>
      <c r="R24" s="1055"/>
      <c r="S24" s="1055"/>
      <c r="T24" s="1055"/>
      <c r="U24" s="1055"/>
      <c r="V24" s="1055"/>
      <c r="W24" s="1056"/>
    </row>
    <row r="25" spans="1:23">
      <c r="A25" s="1047"/>
      <c r="B25" s="1048"/>
      <c r="C25" s="1048"/>
      <c r="D25" s="1049"/>
      <c r="E25" s="1055"/>
      <c r="F25" s="1055"/>
      <c r="G25" s="1055"/>
      <c r="H25" s="1055"/>
      <c r="I25" s="1055"/>
      <c r="J25" s="1055"/>
      <c r="K25" s="1055"/>
      <c r="L25" s="1055"/>
      <c r="M25" s="1055"/>
      <c r="N25" s="1055"/>
      <c r="O25" s="1055"/>
      <c r="P25" s="1055"/>
      <c r="Q25" s="1055"/>
      <c r="R25" s="1055"/>
      <c r="S25" s="1055"/>
      <c r="T25" s="1055"/>
      <c r="U25" s="1055"/>
      <c r="V25" s="1055"/>
      <c r="W25" s="1056"/>
    </row>
    <row r="26" spans="1:23">
      <c r="A26" s="1047"/>
      <c r="B26" s="1048"/>
      <c r="C26" s="1048"/>
      <c r="D26" s="1049"/>
      <c r="E26" s="1055"/>
      <c r="F26" s="1055"/>
      <c r="G26" s="1055"/>
      <c r="H26" s="1055"/>
      <c r="I26" s="1055"/>
      <c r="J26" s="1055"/>
      <c r="K26" s="1055"/>
      <c r="L26" s="1055"/>
      <c r="M26" s="1055"/>
      <c r="N26" s="1055"/>
      <c r="O26" s="1055"/>
      <c r="P26" s="1055"/>
      <c r="Q26" s="1055"/>
      <c r="R26" s="1055"/>
      <c r="S26" s="1055"/>
      <c r="T26" s="1055"/>
      <c r="U26" s="1055"/>
      <c r="V26" s="1055"/>
      <c r="W26" s="1056"/>
    </row>
    <row r="27" spans="1:23">
      <c r="A27" s="1050"/>
      <c r="B27" s="1051"/>
      <c r="C27" s="1051"/>
      <c r="D27" s="1052"/>
      <c r="E27" s="1057"/>
      <c r="F27" s="1057"/>
      <c r="G27" s="1057"/>
      <c r="H27" s="1057"/>
      <c r="I27" s="1057"/>
      <c r="J27" s="1057"/>
      <c r="K27" s="1057"/>
      <c r="L27" s="1057"/>
      <c r="M27" s="1057"/>
      <c r="N27" s="1057"/>
      <c r="O27" s="1057"/>
      <c r="P27" s="1057"/>
      <c r="Q27" s="1057"/>
      <c r="R27" s="1057"/>
      <c r="S27" s="1057"/>
      <c r="T27" s="1057"/>
      <c r="U27" s="1057"/>
      <c r="V27" s="1057"/>
      <c r="W27" s="1058"/>
    </row>
    <row r="28" spans="1:23" ht="13.5" customHeight="1">
      <c r="A28" s="1044" t="s">
        <v>1964</v>
      </c>
      <c r="B28" s="1045"/>
      <c r="C28" s="1045"/>
      <c r="D28" s="1046"/>
      <c r="E28" s="1070" t="s">
        <v>1965</v>
      </c>
      <c r="F28" s="1070"/>
      <c r="G28" s="1070"/>
      <c r="H28" s="1070"/>
      <c r="I28" s="1070"/>
      <c r="J28" s="1070"/>
      <c r="K28" s="1070"/>
      <c r="L28" s="1070"/>
      <c r="M28" s="1070"/>
      <c r="N28" s="1070"/>
      <c r="O28" s="1070"/>
      <c r="P28" s="1070"/>
      <c r="Q28" s="1070"/>
      <c r="R28" s="1070"/>
      <c r="S28" s="1070"/>
      <c r="T28" s="1070"/>
      <c r="U28" s="1070"/>
      <c r="V28" s="1070"/>
      <c r="W28" s="1071"/>
    </row>
    <row r="29" spans="1:23">
      <c r="A29" s="1047"/>
      <c r="B29" s="1048"/>
      <c r="C29" s="1048"/>
      <c r="D29" s="1049"/>
      <c r="E29" s="1072"/>
      <c r="F29" s="1072"/>
      <c r="G29" s="1072"/>
      <c r="H29" s="1072"/>
      <c r="I29" s="1072"/>
      <c r="J29" s="1072"/>
      <c r="K29" s="1072"/>
      <c r="L29" s="1072"/>
      <c r="M29" s="1072"/>
      <c r="N29" s="1072"/>
      <c r="O29" s="1072"/>
      <c r="P29" s="1072"/>
      <c r="Q29" s="1072"/>
      <c r="R29" s="1072"/>
      <c r="S29" s="1072"/>
      <c r="T29" s="1072"/>
      <c r="U29" s="1072"/>
      <c r="V29" s="1072"/>
      <c r="W29" s="1073"/>
    </row>
    <row r="30" spans="1:23" ht="16.5" customHeight="1">
      <c r="A30" s="1047"/>
      <c r="B30" s="1048"/>
      <c r="C30" s="1048"/>
      <c r="D30" s="1049"/>
      <c r="E30" s="1072"/>
      <c r="F30" s="1072"/>
      <c r="G30" s="1072"/>
      <c r="H30" s="1072"/>
      <c r="I30" s="1072"/>
      <c r="J30" s="1072"/>
      <c r="K30" s="1072"/>
      <c r="L30" s="1072"/>
      <c r="M30" s="1072"/>
      <c r="N30" s="1072"/>
      <c r="O30" s="1072"/>
      <c r="P30" s="1072"/>
      <c r="Q30" s="1072"/>
      <c r="R30" s="1072"/>
      <c r="S30" s="1072"/>
      <c r="T30" s="1072"/>
      <c r="U30" s="1072"/>
      <c r="V30" s="1072"/>
      <c r="W30" s="1073"/>
    </row>
    <row r="31" spans="1:23" ht="23.25" customHeight="1">
      <c r="A31" s="1047"/>
      <c r="B31" s="1048"/>
      <c r="C31" s="1048"/>
      <c r="D31" s="1049"/>
      <c r="E31" s="1082" t="s">
        <v>1968</v>
      </c>
      <c r="F31" s="1082"/>
      <c r="G31" s="1082"/>
      <c r="H31" s="1082"/>
      <c r="I31" s="1082" t="str" cm="1">
        <f t="array" aca="1" ref="I31" ca="1">IF(_xlfn.XLOOKUP($C$1&amp;$D$1&amp;$E$1&amp;$F$1,TBKaishaInfo[派遣先]&amp;TBKaishaInfo[工場名]&amp;TBKaishaInfo[配属先]&amp;TBKaishaInfo[ライン],TBKaishaInfo[派遣先：苦情処理：部署],"",0,1)="","",_xlfn.XLOOKUP($C$1&amp;$D$1&amp;$E$1&amp;$F$1,TBKaishaInfo[派遣先]&amp;TBKaishaInfo[工場名]&amp;TBKaishaInfo[配属先]&amp;TBKaishaInfo[ライン],TBKaishaInfo[派遣先：苦情処理：部署],"",0,1))</f>
        <v>人事広報管理部</v>
      </c>
      <c r="J31" s="1082"/>
      <c r="K31" s="1082" t="str" cm="1">
        <f t="array" aca="1" ref="K31" ca="1">IF(B9="","",_xlfn.XLOOKUP($C$1&amp;$D$1&amp;$E$1&amp;$F$1,TBKaishaInfo[派遣先]&amp;TBKaishaInfo[工場名]&amp;TBKaishaInfo[配属先]&amp;TBKaishaInfo[ライン],TBKaishaInfo[派遣先：苦情処理：名],"",0,1))</f>
        <v>部長　山田　茂</v>
      </c>
      <c r="L31" s="1082"/>
      <c r="M31" s="1082"/>
      <c r="N31" s="1082"/>
      <c r="O31" s="1082"/>
      <c r="P31" s="1082"/>
      <c r="Q31" s="1082"/>
      <c r="R31" s="1082"/>
      <c r="S31" s="385" t="s">
        <v>1976</v>
      </c>
      <c r="T31" s="1080" t="str" cm="1">
        <f t="array" aca="1" ref="T31" ca="1">IF(B9="","",_xlfn.XLOOKUP($C$1&amp;$D$1&amp;$E$1&amp;$F$1,TBKaishaInfo[派遣先]&amp;TBKaishaInfo[工場名]&amp;TBKaishaInfo[配属先]&amp;TBKaishaInfo[ライン],TBKaishaInfo[派遣先：苦情処理：電話],"",0,1))</f>
        <v>0567-68-8110</v>
      </c>
      <c r="U31" s="1080"/>
      <c r="V31" s="1080"/>
      <c r="W31" s="1081"/>
    </row>
    <row r="32" spans="1:23" ht="23.25" customHeight="1">
      <c r="A32" s="1047"/>
      <c r="B32" s="1048"/>
      <c r="C32" s="1048"/>
      <c r="D32" s="1049"/>
      <c r="E32" s="1082" t="s">
        <v>1969</v>
      </c>
      <c r="F32" s="1082"/>
      <c r="G32" s="1082"/>
      <c r="H32" s="1082"/>
      <c r="I32" s="1083" t="str" cm="1">
        <f t="array" aca="1" ref="I32" ca="1">IF(_xlfn.XLOOKUP($C$1&amp;$D$1&amp;$E$1&amp;$F$1,TBKaishaInfo[派遣先]&amp;TBKaishaInfo[工場名]&amp;TBKaishaInfo[配属先]&amp;TBKaishaInfo[ライン],TBKaishaInfo[派遣元：苦情処理：部署],"",0,1)="","",_xlfn.XLOOKUP($C$1&amp;$D$1&amp;$E$1&amp;$F$1,TBKaishaInfo[派遣先]&amp;TBKaishaInfo[工場名]&amp;TBKaishaInfo[配属先]&amp;TBKaishaInfo[ライン],TBKaishaInfo[派遣元：苦情処理：部署],"",0,1))</f>
        <v>営業部</v>
      </c>
      <c r="J32" s="1083"/>
      <c r="K32" s="1082" t="str" cm="1">
        <f t="array" aca="1" ref="K32" ca="1">IF(B9="","",_xlfn.XLOOKUP($C$1&amp;$D$1&amp;$E$1&amp;$F$1,TBKaishaInfo[派遣先]&amp;TBKaishaInfo[工場名]&amp;TBKaishaInfo[配属先]&amp;TBKaishaInfo[ライン],TBKaishaInfo[派遣元責任者名],"",0,1))</f>
        <v>取締役 ブウ　ティ　サウ</v>
      </c>
      <c r="L32" s="1082"/>
      <c r="M32" s="1082"/>
      <c r="N32" s="1082"/>
      <c r="O32" s="1082"/>
      <c r="P32" s="1082"/>
      <c r="Q32" s="1082"/>
      <c r="R32" s="1082"/>
      <c r="S32" s="385" t="s">
        <v>1976</v>
      </c>
      <c r="T32" s="1080" t="str" cm="1">
        <f t="array" aca="1" ref="T32" ca="1">IF(B9="","",_xlfn.XLOOKUP($C$1&amp;$D$1&amp;$E$1&amp;$F$1,TBKaishaInfo[派遣先]&amp;TBKaishaInfo[工場名]&amp;TBKaishaInfo[配属先]&amp;TBKaishaInfo[ライン],TBKaishaInfo[派遣元：苦情処理：電話],"",0,1))</f>
        <v>052-938-8840</v>
      </c>
      <c r="U32" s="1080"/>
      <c r="V32" s="1080"/>
      <c r="W32" s="1081"/>
    </row>
    <row r="33" spans="1:23">
      <c r="A33" s="1047"/>
      <c r="B33" s="1048"/>
      <c r="C33" s="1048"/>
      <c r="D33" s="1049"/>
      <c r="E33" s="1074" t="s">
        <v>1966</v>
      </c>
      <c r="F33" s="1074"/>
      <c r="G33" s="1074"/>
      <c r="H33" s="1074"/>
      <c r="I33" s="1074"/>
      <c r="J33" s="1074"/>
      <c r="K33" s="1074"/>
      <c r="L33" s="1074"/>
      <c r="M33" s="1074"/>
      <c r="N33" s="1074"/>
      <c r="O33" s="1074"/>
      <c r="P33" s="1074"/>
      <c r="Q33" s="1074"/>
      <c r="R33" s="1074"/>
      <c r="S33" s="1074"/>
      <c r="T33" s="1074"/>
      <c r="U33" s="1074"/>
      <c r="V33" s="1074"/>
      <c r="W33" s="1075"/>
    </row>
    <row r="34" spans="1:23">
      <c r="A34" s="1047"/>
      <c r="B34" s="1048"/>
      <c r="C34" s="1048"/>
      <c r="D34" s="1049"/>
      <c r="E34" s="1074"/>
      <c r="F34" s="1074"/>
      <c r="G34" s="1074"/>
      <c r="H34" s="1074"/>
      <c r="I34" s="1074"/>
      <c r="J34" s="1074"/>
      <c r="K34" s="1074"/>
      <c r="L34" s="1074"/>
      <c r="M34" s="1074"/>
      <c r="N34" s="1074"/>
      <c r="O34" s="1074"/>
      <c r="P34" s="1074"/>
      <c r="Q34" s="1074"/>
      <c r="R34" s="1074"/>
      <c r="S34" s="1074"/>
      <c r="T34" s="1074"/>
      <c r="U34" s="1074"/>
      <c r="V34" s="1074"/>
      <c r="W34" s="1075"/>
    </row>
    <row r="35" spans="1:23" ht="15.75" customHeight="1">
      <c r="A35" s="1047"/>
      <c r="B35" s="1048"/>
      <c r="C35" s="1048"/>
      <c r="D35" s="1049"/>
      <c r="E35" s="1076" t="s">
        <v>1967</v>
      </c>
      <c r="F35" s="1076"/>
      <c r="G35" s="1076"/>
      <c r="H35" s="1076"/>
      <c r="I35" s="1076"/>
      <c r="J35" s="1076"/>
      <c r="K35" s="1076"/>
      <c r="L35" s="1076"/>
      <c r="M35" s="1076"/>
      <c r="N35" s="1076"/>
      <c r="O35" s="1076"/>
      <c r="P35" s="1076"/>
      <c r="Q35" s="1076"/>
      <c r="R35" s="1076"/>
      <c r="S35" s="1076"/>
      <c r="T35" s="1076"/>
      <c r="U35" s="1076"/>
      <c r="V35" s="1076"/>
      <c r="W35" s="1077"/>
    </row>
    <row r="36" spans="1:23">
      <c r="A36" s="1047"/>
      <c r="B36" s="1048"/>
      <c r="C36" s="1048"/>
      <c r="D36" s="1049"/>
      <c r="E36" s="1076"/>
      <c r="F36" s="1076"/>
      <c r="G36" s="1076"/>
      <c r="H36" s="1076"/>
      <c r="I36" s="1076"/>
      <c r="J36" s="1076"/>
      <c r="K36" s="1076"/>
      <c r="L36" s="1076"/>
      <c r="M36" s="1076"/>
      <c r="N36" s="1076"/>
      <c r="O36" s="1076"/>
      <c r="P36" s="1076"/>
      <c r="Q36" s="1076"/>
      <c r="R36" s="1076"/>
      <c r="S36" s="1076"/>
      <c r="T36" s="1076"/>
      <c r="U36" s="1076"/>
      <c r="V36" s="1076"/>
      <c r="W36" s="1077"/>
    </row>
    <row r="37" spans="1:23">
      <c r="A37" s="1047"/>
      <c r="B37" s="1048"/>
      <c r="C37" s="1048"/>
      <c r="D37" s="1049"/>
      <c r="E37" s="1076"/>
      <c r="F37" s="1076"/>
      <c r="G37" s="1076"/>
      <c r="H37" s="1076"/>
      <c r="I37" s="1076"/>
      <c r="J37" s="1076"/>
      <c r="K37" s="1076"/>
      <c r="L37" s="1076"/>
      <c r="M37" s="1076"/>
      <c r="N37" s="1076"/>
      <c r="O37" s="1076"/>
      <c r="P37" s="1076"/>
      <c r="Q37" s="1076"/>
      <c r="R37" s="1076"/>
      <c r="S37" s="1076"/>
      <c r="T37" s="1076"/>
      <c r="U37" s="1076"/>
      <c r="V37" s="1076"/>
      <c r="W37" s="1077"/>
    </row>
    <row r="38" spans="1:23">
      <c r="A38" s="1047"/>
      <c r="B38" s="1048"/>
      <c r="C38" s="1048"/>
      <c r="D38" s="1049"/>
      <c r="E38" s="1076"/>
      <c r="F38" s="1076"/>
      <c r="G38" s="1076"/>
      <c r="H38" s="1076"/>
      <c r="I38" s="1076"/>
      <c r="J38" s="1076"/>
      <c r="K38" s="1076"/>
      <c r="L38" s="1076"/>
      <c r="M38" s="1076"/>
      <c r="N38" s="1076"/>
      <c r="O38" s="1076"/>
      <c r="P38" s="1076"/>
      <c r="Q38" s="1076"/>
      <c r="R38" s="1076"/>
      <c r="S38" s="1076"/>
      <c r="T38" s="1076"/>
      <c r="U38" s="1076"/>
      <c r="V38" s="1076"/>
      <c r="W38" s="1077"/>
    </row>
    <row r="39" spans="1:23">
      <c r="A39" s="1047"/>
      <c r="B39" s="1048"/>
      <c r="C39" s="1048"/>
      <c r="D39" s="1049"/>
      <c r="E39" s="1076"/>
      <c r="F39" s="1076"/>
      <c r="G39" s="1076"/>
      <c r="H39" s="1076"/>
      <c r="I39" s="1076"/>
      <c r="J39" s="1076"/>
      <c r="K39" s="1076"/>
      <c r="L39" s="1076"/>
      <c r="M39" s="1076"/>
      <c r="N39" s="1076"/>
      <c r="O39" s="1076"/>
      <c r="P39" s="1076"/>
      <c r="Q39" s="1076"/>
      <c r="R39" s="1076"/>
      <c r="S39" s="1076"/>
      <c r="T39" s="1076"/>
      <c r="U39" s="1076"/>
      <c r="V39" s="1076"/>
      <c r="W39" s="1077"/>
    </row>
    <row r="40" spans="1:23">
      <c r="A40" s="1047"/>
      <c r="B40" s="1048"/>
      <c r="C40" s="1048"/>
      <c r="D40" s="1049"/>
      <c r="E40" s="1076"/>
      <c r="F40" s="1076"/>
      <c r="G40" s="1076"/>
      <c r="H40" s="1076"/>
      <c r="I40" s="1076"/>
      <c r="J40" s="1076"/>
      <c r="K40" s="1076"/>
      <c r="L40" s="1076"/>
      <c r="M40" s="1076"/>
      <c r="N40" s="1076"/>
      <c r="O40" s="1076"/>
      <c r="P40" s="1076"/>
      <c r="Q40" s="1076"/>
      <c r="R40" s="1076"/>
      <c r="S40" s="1076"/>
      <c r="T40" s="1076"/>
      <c r="U40" s="1076"/>
      <c r="V40" s="1076"/>
      <c r="W40" s="1077"/>
    </row>
    <row r="41" spans="1:23">
      <c r="A41" s="1047"/>
      <c r="B41" s="1048"/>
      <c r="C41" s="1048"/>
      <c r="D41" s="1049"/>
      <c r="E41" s="1076"/>
      <c r="F41" s="1076"/>
      <c r="G41" s="1076"/>
      <c r="H41" s="1076"/>
      <c r="I41" s="1076"/>
      <c r="J41" s="1076"/>
      <c r="K41" s="1076"/>
      <c r="L41" s="1076"/>
      <c r="M41" s="1076"/>
      <c r="N41" s="1076"/>
      <c r="O41" s="1076"/>
      <c r="P41" s="1076"/>
      <c r="Q41" s="1076"/>
      <c r="R41" s="1076"/>
      <c r="S41" s="1076"/>
      <c r="T41" s="1076"/>
      <c r="U41" s="1076"/>
      <c r="V41" s="1076"/>
      <c r="W41" s="1077"/>
    </row>
    <row r="42" spans="1:23">
      <c r="A42" s="1047"/>
      <c r="B42" s="1048"/>
      <c r="C42" s="1048"/>
      <c r="D42" s="1049"/>
      <c r="E42" s="1076"/>
      <c r="F42" s="1076"/>
      <c r="G42" s="1076"/>
      <c r="H42" s="1076"/>
      <c r="I42" s="1076"/>
      <c r="J42" s="1076"/>
      <c r="K42" s="1076"/>
      <c r="L42" s="1076"/>
      <c r="M42" s="1076"/>
      <c r="N42" s="1076"/>
      <c r="O42" s="1076"/>
      <c r="P42" s="1076"/>
      <c r="Q42" s="1076"/>
      <c r="R42" s="1076"/>
      <c r="S42" s="1076"/>
      <c r="T42" s="1076"/>
      <c r="U42" s="1076"/>
      <c r="V42" s="1076"/>
      <c r="W42" s="1077"/>
    </row>
    <row r="43" spans="1:23">
      <c r="A43" s="1047"/>
      <c r="B43" s="1048"/>
      <c r="C43" s="1048"/>
      <c r="D43" s="1049"/>
      <c r="E43" s="1076"/>
      <c r="F43" s="1076"/>
      <c r="G43" s="1076"/>
      <c r="H43" s="1076"/>
      <c r="I43" s="1076"/>
      <c r="J43" s="1076"/>
      <c r="K43" s="1076"/>
      <c r="L43" s="1076"/>
      <c r="M43" s="1076"/>
      <c r="N43" s="1076"/>
      <c r="O43" s="1076"/>
      <c r="P43" s="1076"/>
      <c r="Q43" s="1076"/>
      <c r="R43" s="1076"/>
      <c r="S43" s="1076"/>
      <c r="T43" s="1076"/>
      <c r="U43" s="1076"/>
      <c r="V43" s="1076"/>
      <c r="W43" s="1077"/>
    </row>
    <row r="44" spans="1:23">
      <c r="A44" s="1047"/>
      <c r="B44" s="1048"/>
      <c r="C44" s="1048"/>
      <c r="D44" s="1049"/>
      <c r="E44" s="1076"/>
      <c r="F44" s="1076"/>
      <c r="G44" s="1076"/>
      <c r="H44" s="1076"/>
      <c r="I44" s="1076"/>
      <c r="J44" s="1076"/>
      <c r="K44" s="1076"/>
      <c r="L44" s="1076"/>
      <c r="M44" s="1076"/>
      <c r="N44" s="1076"/>
      <c r="O44" s="1076"/>
      <c r="P44" s="1076"/>
      <c r="Q44" s="1076"/>
      <c r="R44" s="1076"/>
      <c r="S44" s="1076"/>
      <c r="T44" s="1076"/>
      <c r="U44" s="1076"/>
      <c r="V44" s="1076"/>
      <c r="W44" s="1077"/>
    </row>
    <row r="45" spans="1:23">
      <c r="A45" s="1047"/>
      <c r="B45" s="1048"/>
      <c r="C45" s="1048"/>
      <c r="D45" s="1049"/>
      <c r="E45" s="1076"/>
      <c r="F45" s="1076"/>
      <c r="G45" s="1076"/>
      <c r="H45" s="1076"/>
      <c r="I45" s="1076"/>
      <c r="J45" s="1076"/>
      <c r="K45" s="1076"/>
      <c r="L45" s="1076"/>
      <c r="M45" s="1076"/>
      <c r="N45" s="1076"/>
      <c r="O45" s="1076"/>
      <c r="P45" s="1076"/>
      <c r="Q45" s="1076"/>
      <c r="R45" s="1076"/>
      <c r="S45" s="1076"/>
      <c r="T45" s="1076"/>
      <c r="U45" s="1076"/>
      <c r="V45" s="1076"/>
      <c r="W45" s="1077"/>
    </row>
    <row r="46" spans="1:23">
      <c r="A46" s="1047"/>
      <c r="B46" s="1048"/>
      <c r="C46" s="1048"/>
      <c r="D46" s="1049"/>
      <c r="E46" s="1076"/>
      <c r="F46" s="1076"/>
      <c r="G46" s="1076"/>
      <c r="H46" s="1076"/>
      <c r="I46" s="1076"/>
      <c r="J46" s="1076"/>
      <c r="K46" s="1076"/>
      <c r="L46" s="1076"/>
      <c r="M46" s="1076"/>
      <c r="N46" s="1076"/>
      <c r="O46" s="1076"/>
      <c r="P46" s="1076"/>
      <c r="Q46" s="1076"/>
      <c r="R46" s="1076"/>
      <c r="S46" s="1076"/>
      <c r="T46" s="1076"/>
      <c r="U46" s="1076"/>
      <c r="V46" s="1076"/>
      <c r="W46" s="1077"/>
    </row>
    <row r="47" spans="1:23">
      <c r="A47" s="1047"/>
      <c r="B47" s="1048"/>
      <c r="C47" s="1048"/>
      <c r="D47" s="1049"/>
      <c r="E47" s="1076"/>
      <c r="F47" s="1076"/>
      <c r="G47" s="1076"/>
      <c r="H47" s="1076"/>
      <c r="I47" s="1076"/>
      <c r="J47" s="1076"/>
      <c r="K47" s="1076"/>
      <c r="L47" s="1076"/>
      <c r="M47" s="1076"/>
      <c r="N47" s="1076"/>
      <c r="O47" s="1076"/>
      <c r="P47" s="1076"/>
      <c r="Q47" s="1076"/>
      <c r="R47" s="1076"/>
      <c r="S47" s="1076"/>
      <c r="T47" s="1076"/>
      <c r="U47" s="1076"/>
      <c r="V47" s="1076"/>
      <c r="W47" s="1077"/>
    </row>
    <row r="48" spans="1:23" ht="15" thickBot="1">
      <c r="A48" s="1067"/>
      <c r="B48" s="1068"/>
      <c r="C48" s="1068"/>
      <c r="D48" s="1069"/>
      <c r="E48" s="1078"/>
      <c r="F48" s="1078"/>
      <c r="G48" s="1078"/>
      <c r="H48" s="1078"/>
      <c r="I48" s="1078"/>
      <c r="J48" s="1078"/>
      <c r="K48" s="1078"/>
      <c r="L48" s="1078"/>
      <c r="M48" s="1078"/>
      <c r="N48" s="1078"/>
      <c r="O48" s="1078"/>
      <c r="P48" s="1078"/>
      <c r="Q48" s="1078"/>
      <c r="R48" s="1078"/>
      <c r="S48" s="1078"/>
      <c r="T48" s="1078"/>
      <c r="U48" s="1078"/>
      <c r="V48" s="1078"/>
      <c r="W48" s="1079"/>
    </row>
  </sheetData>
  <mergeCells count="27">
    <mergeCell ref="R1:W1"/>
    <mergeCell ref="N12:U12"/>
    <mergeCell ref="K11:M11"/>
    <mergeCell ref="K12:M12"/>
    <mergeCell ref="E3:S3"/>
    <mergeCell ref="G4:Q4"/>
    <mergeCell ref="B9:H9"/>
    <mergeCell ref="N11:U11"/>
    <mergeCell ref="Q8:W8"/>
    <mergeCell ref="A28:D48"/>
    <mergeCell ref="E28:W30"/>
    <mergeCell ref="E33:W34"/>
    <mergeCell ref="E35:W48"/>
    <mergeCell ref="T31:W31"/>
    <mergeCell ref="T32:W32"/>
    <mergeCell ref="I31:J31"/>
    <mergeCell ref="I32:J32"/>
    <mergeCell ref="K31:R31"/>
    <mergeCell ref="K32:R32"/>
    <mergeCell ref="E31:H31"/>
    <mergeCell ref="E32:H32"/>
    <mergeCell ref="S14:W16"/>
    <mergeCell ref="A14:D19"/>
    <mergeCell ref="A20:D27"/>
    <mergeCell ref="E20:W27"/>
    <mergeCell ref="E17:R19"/>
    <mergeCell ref="E14:R16"/>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YatoireJiTaigujyouhou">
                <anchor moveWithCells="1" sizeWithCells="1">
                  <from>
                    <xdr:col>18</xdr:col>
                    <xdr:colOff>85725</xdr:colOff>
                    <xdr:row>2</xdr:row>
                    <xdr:rowOff>390525</xdr:rowOff>
                  </from>
                  <to>
                    <xdr:col>21</xdr:col>
                    <xdr:colOff>209550</xdr:colOff>
                    <xdr:row>3</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5ABF4-58C9-4142-919D-535352F27EE9}">
  <sheetPr codeName="Hoja13">
    <tabColor rgb="FFFF0000"/>
    <pageSetUpPr fitToPage="1"/>
  </sheetPr>
  <dimension ref="A1:L193"/>
  <sheetViews>
    <sheetView view="pageBreakPreview" zoomScaleNormal="100" zoomScaleSheetLayoutView="100" workbookViewId="0">
      <selection activeCell="M17" sqref="M17"/>
    </sheetView>
  </sheetViews>
  <sheetFormatPr defaultColWidth="11.02734375" defaultRowHeight="13.5"/>
  <cols>
    <col min="1" max="1" width="6.1875" style="289" customWidth="1"/>
    <col min="2" max="2" width="4.5703125" style="289" customWidth="1"/>
    <col min="3" max="5" width="8.7421875" style="290" customWidth="1"/>
    <col min="6" max="6" width="8.7421875" style="289" customWidth="1"/>
    <col min="7" max="7" width="11.02734375" style="289" customWidth="1"/>
    <col min="8" max="11" width="11.02734375" style="289"/>
    <col min="12" max="12" width="12.23828125" style="289" bestFit="1" customWidth="1"/>
    <col min="13" max="16384" width="11.02734375" style="289"/>
  </cols>
  <sheetData>
    <row r="1" spans="1:10" s="305" customFormat="1">
      <c r="A1" s="305">
        <v>1</v>
      </c>
      <c r="C1" s="306"/>
      <c r="D1" s="306"/>
      <c r="E1" s="306"/>
    </row>
    <row r="3" spans="1:10" ht="51.75" customHeight="1">
      <c r="A3" s="1091" t="s">
        <v>1851</v>
      </c>
      <c r="B3" s="1091"/>
      <c r="C3" s="1091"/>
      <c r="D3" s="1091"/>
      <c r="E3" s="1091"/>
      <c r="F3" s="1091"/>
      <c r="G3" s="1091"/>
      <c r="H3" s="1091"/>
      <c r="I3" s="1091"/>
      <c r="J3" s="1091"/>
    </row>
    <row r="4" spans="1:10" ht="18.75">
      <c r="A4" s="276" t="s">
        <v>1852</v>
      </c>
      <c r="B4" s="276"/>
      <c r="C4" s="299"/>
      <c r="D4" s="299"/>
      <c r="E4" s="287"/>
      <c r="F4" s="275"/>
      <c r="G4" s="275"/>
      <c r="H4" s="275"/>
      <c r="I4" s="275"/>
      <c r="J4" s="275"/>
    </row>
    <row r="5" spans="1:10" ht="18.75">
      <c r="A5" s="275"/>
      <c r="B5" s="275"/>
      <c r="C5" s="291"/>
      <c r="D5" s="291"/>
      <c r="E5" s="275"/>
      <c r="F5" s="275"/>
      <c r="G5" s="292"/>
      <c r="H5" s="292"/>
      <c r="I5" s="311" t="s">
        <v>1745</v>
      </c>
      <c r="J5" s="275"/>
    </row>
    <row r="6" spans="1:10">
      <c r="A6" s="293" t="s">
        <v>1853</v>
      </c>
      <c r="B6" s="294"/>
      <c r="C6" s="295"/>
      <c r="D6" s="295"/>
      <c r="E6" s="295"/>
      <c r="F6" s="294"/>
      <c r="G6" s="296"/>
      <c r="H6" s="296"/>
      <c r="I6" s="296"/>
      <c r="J6" s="297"/>
    </row>
    <row r="7" spans="1:10" ht="55.5">
      <c r="A7" s="1092" t="str">
        <f ca="1">_xlfn.XLOOKUP(A1,TablaTransfor[№],TablaTransfor[カナ],"",0,1)</f>
        <v>加藤　佑樹</v>
      </c>
      <c r="B7" s="1093"/>
      <c r="C7" s="1093"/>
      <c r="D7" s="1093"/>
      <c r="E7" s="299"/>
      <c r="F7" s="298"/>
      <c r="G7" s="300"/>
      <c r="H7" s="300"/>
      <c r="I7" s="300"/>
      <c r="J7" s="317" t="str" cm="1">
        <f t="array" aca="1" ref="J7" ca="1">_xlfn.XLOOKUP(A7,TablaTransfor[カナ],TablaTransfor[配属先]&amp;TablaTransfor[ライン],"",0,1)</f>
        <v>高雄工業株式会社 愛知事業所本社工場製作課0</v>
      </c>
    </row>
    <row r="8" spans="1:10">
      <c r="A8" s="301" t="s">
        <v>1854</v>
      </c>
      <c r="B8" s="277"/>
      <c r="C8" s="295"/>
      <c r="D8" s="295"/>
      <c r="E8" s="295"/>
      <c r="F8" s="277"/>
      <c r="G8" s="277"/>
      <c r="H8" s="277"/>
      <c r="I8" s="277"/>
      <c r="J8" s="278"/>
    </row>
    <row r="9" spans="1:10">
      <c r="A9" s="1094" t="s">
        <v>1855</v>
      </c>
      <c r="B9" s="1095"/>
      <c r="C9" s="1118" t="e" cm="1">
        <f t="array" aca="1" ref="C9" ca="1">_xlfn.XLOOKUP(J7,TBKaishaInfo[配属先]&amp;TBKaishaInfo[ライン],TBKaishaInfo[派遣先])</f>
        <v>#N/A</v>
      </c>
      <c r="D9" s="1118"/>
      <c r="E9" s="1118"/>
      <c r="F9" s="1118"/>
      <c r="G9" s="1118"/>
      <c r="H9" s="318" t="s">
        <v>1916</v>
      </c>
      <c r="I9" s="1118" t="e" cm="1">
        <f t="array" aca="1" ref="I9" ca="1">_xlfn.XLOOKUP(J7,TBKaishaInfo[配属先]&amp;TBKaishaInfo[ライン],TBKaishaInfo[工場名]&amp;" "&amp;TBKaishaInfo[配属先])</f>
        <v>#N/A</v>
      </c>
      <c r="J9" s="1121"/>
    </row>
    <row r="10" spans="1:10">
      <c r="A10" s="1097" t="s">
        <v>1856</v>
      </c>
      <c r="B10" s="1098"/>
      <c r="C10" s="1119" t="e" cm="1">
        <f t="array" aca="1" ref="C10" ca="1">_xlfn.XLOOKUP(J7,TBKaishaInfo[配属先]&amp;TBKaishaInfo[ライン],TBKaishaInfo[工場住所])</f>
        <v>#N/A</v>
      </c>
      <c r="D10" s="1119"/>
      <c r="E10" s="1119"/>
      <c r="F10" s="1119"/>
      <c r="G10" s="1119"/>
      <c r="H10" s="319" t="s">
        <v>1917</v>
      </c>
      <c r="I10" s="1119" t="e" cm="1">
        <f t="array" aca="1" ref="I10" ca="1">_xlfn.XLOOKUP(J7,TBKaishaInfo[配属先]&amp;TBKaishaInfo[ライン],TBKaishaInfo[工場名]&amp;" "&amp;TBKaishaInfo[配属先]&amp;" "&amp;TBKaishaInfo[指示命令者部署])</f>
        <v>#N/A</v>
      </c>
      <c r="J10" s="1120"/>
    </row>
    <row r="11" spans="1:10">
      <c r="A11" s="1103" t="s">
        <v>1857</v>
      </c>
      <c r="B11" s="1104"/>
      <c r="C11" s="1104"/>
      <c r="D11" s="1104"/>
      <c r="E11" s="1105"/>
      <c r="F11" s="1104" t="s">
        <v>1858</v>
      </c>
      <c r="G11" s="1104"/>
      <c r="H11" s="1104"/>
      <c r="I11" s="1104"/>
      <c r="J11" s="1105"/>
    </row>
    <row r="12" spans="1:10">
      <c r="A12" s="1097" t="s">
        <v>1867</v>
      </c>
      <c r="B12" s="1098"/>
      <c r="C12" s="1098"/>
      <c r="D12" s="1098"/>
      <c r="E12" s="1106"/>
      <c r="F12" s="1107">
        <f ca="1">_xlfn.XLOOKUP(A7,TablaTransfor[カナ],TablaTransfor[仕事内容],"",0,1)</f>
        <v>0</v>
      </c>
      <c r="G12" s="1107"/>
      <c r="H12" s="1107"/>
      <c r="I12" s="1107"/>
      <c r="J12" s="1108"/>
    </row>
    <row r="13" spans="1:10" ht="14.25">
      <c r="A13" s="1099" t="s">
        <v>1868</v>
      </c>
      <c r="B13" s="1100"/>
      <c r="C13" s="1100"/>
      <c r="D13" s="303"/>
      <c r="E13" s="303"/>
      <c r="F13" s="302"/>
      <c r="G13" s="302"/>
      <c r="H13" s="302"/>
      <c r="I13" s="302"/>
      <c r="J13" s="304"/>
    </row>
    <row r="14" spans="1:10">
      <c r="A14" s="1101" t="s">
        <v>1859</v>
      </c>
      <c r="B14" s="1101" t="s">
        <v>1860</v>
      </c>
      <c r="C14" s="1115" t="s">
        <v>1861</v>
      </c>
      <c r="D14" s="1116"/>
      <c r="E14" s="1116"/>
      <c r="F14" s="1117"/>
      <c r="G14" s="1112" t="s">
        <v>1862</v>
      </c>
      <c r="H14" s="1113"/>
      <c r="I14" s="1113"/>
      <c r="J14" s="1114"/>
    </row>
    <row r="15" spans="1:10">
      <c r="A15" s="1102"/>
      <c r="B15" s="1102"/>
      <c r="C15" s="324" t="s">
        <v>1863</v>
      </c>
      <c r="D15" s="324" t="s">
        <v>1864</v>
      </c>
      <c r="E15" s="326" t="s">
        <v>1952</v>
      </c>
      <c r="F15" s="325" t="s">
        <v>1865</v>
      </c>
      <c r="G15" s="1109" t="s">
        <v>1866</v>
      </c>
      <c r="H15" s="1110"/>
      <c r="I15" s="1110"/>
      <c r="J15" s="1111"/>
    </row>
    <row r="16" spans="1:10" ht="17.25">
      <c r="A16" s="309">
        <v>45261</v>
      </c>
      <c r="B16" s="310">
        <f>A16</f>
        <v>45261</v>
      </c>
      <c r="C16" s="284" t="s">
        <v>1936</v>
      </c>
      <c r="D16" s="284" t="s">
        <v>1940</v>
      </c>
      <c r="E16" s="323" t="str">
        <f>IF(D16="","",IF(D16&lt;="17:15","",IF(AND(D16&gt;"17:10",D16&lt;="18:10"),"1:00",IF(AND(D16&gt;"18:00",D16&lt;="19:10"),"2:00",IF(AND(D16&gt;"19:00",D16&lt;="20:10"),"3:00")))))</f>
        <v/>
      </c>
      <c r="F16" s="321" t="str">
        <f>IF(D16="","",IF(E16="","60分","70分"))</f>
        <v>60分</v>
      </c>
      <c r="G16" s="279"/>
      <c r="H16" s="279"/>
      <c r="I16" s="279"/>
      <c r="J16" s="280"/>
    </row>
    <row r="17" spans="1:12" ht="17.25">
      <c r="A17" s="309">
        <v>45262</v>
      </c>
      <c r="B17" s="310">
        <f t="shared" ref="B17:B46" si="0">A17</f>
        <v>45262</v>
      </c>
      <c r="C17" s="284"/>
      <c r="D17" s="284"/>
      <c r="E17" s="323" t="str">
        <f t="shared" ref="E17:E46" si="1">IF(D17="","",IF(D17&lt;="17:15","",IF(AND(D17&gt;"17:10",D17&lt;="18:10"),"1:00",IF(AND(D17&gt;"18:00",D17&lt;="19:10"),"2:00",IF(AND(D17&gt;"19:00",D17&lt;="20:10"),"3:00")))))</f>
        <v/>
      </c>
      <c r="F17" s="321" t="str">
        <f t="shared" ref="F17:F46" si="2">IF(D17="","",IF(E17="","60分","70分"))</f>
        <v/>
      </c>
      <c r="G17" s="279"/>
      <c r="H17" s="279"/>
      <c r="I17" s="279"/>
      <c r="J17" s="280"/>
    </row>
    <row r="18" spans="1:12" ht="17.25">
      <c r="A18" s="309">
        <v>45263</v>
      </c>
      <c r="B18" s="310">
        <f t="shared" si="0"/>
        <v>45263</v>
      </c>
      <c r="C18" s="284"/>
      <c r="D18" s="284"/>
      <c r="E18" s="323" t="str">
        <f t="shared" si="1"/>
        <v/>
      </c>
      <c r="F18" s="321" t="str">
        <f t="shared" si="2"/>
        <v/>
      </c>
      <c r="G18" s="279"/>
      <c r="H18" s="279"/>
      <c r="I18" s="279"/>
      <c r="J18" s="280"/>
    </row>
    <row r="19" spans="1:12" ht="17.25">
      <c r="A19" s="309">
        <v>45264</v>
      </c>
      <c r="B19" s="310">
        <f t="shared" si="0"/>
        <v>45264</v>
      </c>
      <c r="C19" s="312">
        <v>0.32222222222222224</v>
      </c>
      <c r="D19" s="285" t="s">
        <v>1892</v>
      </c>
      <c r="E19" s="323" t="str">
        <f t="shared" si="1"/>
        <v>2:00</v>
      </c>
      <c r="F19" s="321" t="str">
        <f t="shared" si="2"/>
        <v>70分</v>
      </c>
      <c r="G19" s="281"/>
      <c r="H19" s="281"/>
      <c r="I19" s="281"/>
      <c r="J19" s="282"/>
    </row>
    <row r="20" spans="1:12" ht="17.25">
      <c r="A20" s="309">
        <v>45265</v>
      </c>
      <c r="B20" s="310">
        <f t="shared" si="0"/>
        <v>45265</v>
      </c>
      <c r="C20" s="284" t="s">
        <v>1893</v>
      </c>
      <c r="D20" s="285" t="s">
        <v>1892</v>
      </c>
      <c r="E20" s="323" t="str">
        <f t="shared" si="1"/>
        <v>2:00</v>
      </c>
      <c r="F20" s="321" t="str">
        <f t="shared" si="2"/>
        <v>70分</v>
      </c>
      <c r="G20" s="279"/>
      <c r="H20" s="279"/>
      <c r="I20" s="279"/>
      <c r="J20" s="280"/>
    </row>
    <row r="21" spans="1:12" ht="17.25">
      <c r="A21" s="309">
        <v>45266</v>
      </c>
      <c r="B21" s="310">
        <f t="shared" si="0"/>
        <v>45266</v>
      </c>
      <c r="C21" s="285" t="s">
        <v>1937</v>
      </c>
      <c r="D21" s="285" t="s">
        <v>1892</v>
      </c>
      <c r="E21" s="323" t="str">
        <f t="shared" si="1"/>
        <v>2:00</v>
      </c>
      <c r="F21" s="321" t="str">
        <f t="shared" si="2"/>
        <v>70分</v>
      </c>
      <c r="G21" s="279"/>
      <c r="H21" s="279"/>
      <c r="I21" s="279"/>
      <c r="J21" s="280"/>
      <c r="L21" s="327"/>
    </row>
    <row r="22" spans="1:12" ht="17.25">
      <c r="A22" s="309">
        <v>45267</v>
      </c>
      <c r="B22" s="310">
        <f t="shared" si="0"/>
        <v>45267</v>
      </c>
      <c r="C22" s="284" t="s">
        <v>1897</v>
      </c>
      <c r="D22" s="285" t="s">
        <v>1892</v>
      </c>
      <c r="E22" s="323" t="str">
        <f t="shared" si="1"/>
        <v>2:00</v>
      </c>
      <c r="F22" s="321" t="str">
        <f t="shared" si="2"/>
        <v>70分</v>
      </c>
      <c r="G22" s="279"/>
      <c r="H22" s="279"/>
      <c r="I22" s="279"/>
      <c r="J22" s="280"/>
    </row>
    <row r="23" spans="1:12" ht="17.25">
      <c r="A23" s="309">
        <v>45268</v>
      </c>
      <c r="B23" s="310">
        <f t="shared" si="0"/>
        <v>45268</v>
      </c>
      <c r="C23" s="284" t="s">
        <v>1896</v>
      </c>
      <c r="D23" s="285" t="s">
        <v>1892</v>
      </c>
      <c r="E23" s="323" t="str">
        <f t="shared" si="1"/>
        <v>2:00</v>
      </c>
      <c r="F23" s="321" t="str">
        <f t="shared" si="2"/>
        <v>70分</v>
      </c>
      <c r="G23" s="279"/>
      <c r="H23" s="279"/>
      <c r="I23" s="279"/>
      <c r="J23" s="280"/>
    </row>
    <row r="24" spans="1:12" ht="17.25">
      <c r="A24" s="309">
        <v>45269</v>
      </c>
      <c r="B24" s="310">
        <f t="shared" si="0"/>
        <v>45269</v>
      </c>
      <c r="C24" s="284"/>
      <c r="D24" s="284"/>
      <c r="E24" s="323" t="str">
        <f t="shared" si="1"/>
        <v/>
      </c>
      <c r="F24" s="321" t="str">
        <f t="shared" si="2"/>
        <v/>
      </c>
      <c r="G24" s="279"/>
      <c r="H24" s="279"/>
      <c r="I24" s="279"/>
      <c r="J24" s="280"/>
    </row>
    <row r="25" spans="1:12" ht="17.25">
      <c r="A25" s="309">
        <v>45270</v>
      </c>
      <c r="B25" s="310">
        <f t="shared" si="0"/>
        <v>45270</v>
      </c>
      <c r="C25" s="284"/>
      <c r="D25" s="284"/>
      <c r="E25" s="323" t="str">
        <f t="shared" si="1"/>
        <v/>
      </c>
      <c r="F25" s="321" t="str">
        <f t="shared" si="2"/>
        <v/>
      </c>
      <c r="G25" s="279"/>
      <c r="H25" s="279"/>
      <c r="I25" s="279"/>
      <c r="J25" s="280"/>
    </row>
    <row r="26" spans="1:12" ht="17.25">
      <c r="A26" s="309">
        <v>45271</v>
      </c>
      <c r="B26" s="310">
        <f t="shared" si="0"/>
        <v>45271</v>
      </c>
      <c r="C26" s="284" t="s">
        <v>1938</v>
      </c>
      <c r="D26" s="284" t="s">
        <v>1898</v>
      </c>
      <c r="E26" s="323" t="str">
        <f t="shared" si="1"/>
        <v>3:00</v>
      </c>
      <c r="F26" s="321" t="str">
        <f t="shared" si="2"/>
        <v>70分</v>
      </c>
      <c r="G26" s="279"/>
      <c r="H26" s="279"/>
      <c r="I26" s="279"/>
      <c r="J26" s="280"/>
    </row>
    <row r="27" spans="1:12" ht="17.25">
      <c r="A27" s="309">
        <v>45272</v>
      </c>
      <c r="B27" s="310">
        <f t="shared" si="0"/>
        <v>45272</v>
      </c>
      <c r="C27" s="284" t="s">
        <v>1937</v>
      </c>
      <c r="D27" s="284" t="s">
        <v>1892</v>
      </c>
      <c r="E27" s="323" t="str">
        <f t="shared" si="1"/>
        <v>2:00</v>
      </c>
      <c r="F27" s="321" t="str">
        <f t="shared" si="2"/>
        <v>70分</v>
      </c>
      <c r="G27" s="279"/>
      <c r="H27" s="279"/>
      <c r="I27" s="279"/>
      <c r="J27" s="280"/>
    </row>
    <row r="28" spans="1:12" ht="17.25">
      <c r="A28" s="309">
        <v>45273</v>
      </c>
      <c r="B28" s="310">
        <f t="shared" si="0"/>
        <v>45273</v>
      </c>
      <c r="C28" s="284" t="s">
        <v>1900</v>
      </c>
      <c r="D28" s="284" t="s">
        <v>1892</v>
      </c>
      <c r="E28" s="323" t="str">
        <f t="shared" si="1"/>
        <v>2:00</v>
      </c>
      <c r="F28" s="321" t="str">
        <f t="shared" si="2"/>
        <v>70分</v>
      </c>
      <c r="G28" s="279"/>
      <c r="H28" s="279"/>
      <c r="I28" s="279"/>
      <c r="J28" s="280"/>
    </row>
    <row r="29" spans="1:12" ht="17.25">
      <c r="A29" s="309">
        <v>45274</v>
      </c>
      <c r="B29" s="310">
        <f t="shared" si="0"/>
        <v>45274</v>
      </c>
      <c r="C29" s="284" t="s">
        <v>1900</v>
      </c>
      <c r="D29" s="284" t="s">
        <v>1892</v>
      </c>
      <c r="E29" s="323" t="str">
        <f t="shared" si="1"/>
        <v>2:00</v>
      </c>
      <c r="F29" s="321" t="str">
        <f t="shared" si="2"/>
        <v>70分</v>
      </c>
      <c r="G29" s="279"/>
      <c r="H29" s="279"/>
      <c r="I29" s="279"/>
      <c r="J29" s="280"/>
    </row>
    <row r="30" spans="1:12" ht="17.25">
      <c r="A30" s="309">
        <v>45275</v>
      </c>
      <c r="B30" s="310">
        <f t="shared" si="0"/>
        <v>45275</v>
      </c>
      <c r="C30" s="284" t="s">
        <v>1899</v>
      </c>
      <c r="D30" s="284" t="s">
        <v>1892</v>
      </c>
      <c r="E30" s="323" t="str">
        <f t="shared" si="1"/>
        <v>2:00</v>
      </c>
      <c r="F30" s="321" t="str">
        <f t="shared" si="2"/>
        <v>70分</v>
      </c>
      <c r="G30" s="279"/>
      <c r="H30" s="279"/>
      <c r="I30" s="279"/>
      <c r="J30" s="280"/>
    </row>
    <row r="31" spans="1:12" ht="17.25">
      <c r="A31" s="309">
        <v>45276</v>
      </c>
      <c r="B31" s="310">
        <f t="shared" si="0"/>
        <v>45276</v>
      </c>
      <c r="C31" s="284"/>
      <c r="D31" s="284"/>
      <c r="E31" s="323" t="str">
        <f t="shared" si="1"/>
        <v/>
      </c>
      <c r="F31" s="321" t="str">
        <f t="shared" si="2"/>
        <v/>
      </c>
      <c r="G31" s="279"/>
      <c r="H31" s="279"/>
      <c r="I31" s="279"/>
      <c r="J31" s="280"/>
    </row>
    <row r="32" spans="1:12" ht="17.25">
      <c r="A32" s="309">
        <v>45277</v>
      </c>
      <c r="B32" s="310">
        <f t="shared" si="0"/>
        <v>45277</v>
      </c>
      <c r="C32" s="284"/>
      <c r="D32" s="284"/>
      <c r="E32" s="323" t="str">
        <f t="shared" si="1"/>
        <v/>
      </c>
      <c r="F32" s="321" t="str">
        <f t="shared" si="2"/>
        <v/>
      </c>
      <c r="G32" s="279"/>
      <c r="H32" s="279"/>
      <c r="I32" s="279"/>
      <c r="J32" s="280"/>
    </row>
    <row r="33" spans="1:10" ht="17.25">
      <c r="A33" s="309">
        <v>45278</v>
      </c>
      <c r="B33" s="310">
        <f t="shared" si="0"/>
        <v>45278</v>
      </c>
      <c r="C33" s="284" t="s">
        <v>1939</v>
      </c>
      <c r="D33" s="284" t="s">
        <v>1892</v>
      </c>
      <c r="E33" s="323" t="str">
        <f t="shared" si="1"/>
        <v>2:00</v>
      </c>
      <c r="F33" s="321" t="str">
        <f t="shared" si="2"/>
        <v>70分</v>
      </c>
      <c r="G33" s="279"/>
      <c r="H33" s="279"/>
      <c r="I33" s="279"/>
      <c r="J33" s="280"/>
    </row>
    <row r="34" spans="1:10" ht="17.25">
      <c r="A34" s="309">
        <v>45279</v>
      </c>
      <c r="B34" s="310">
        <f t="shared" si="0"/>
        <v>45279</v>
      </c>
      <c r="C34" s="284" t="s">
        <v>1900</v>
      </c>
      <c r="D34" s="284" t="s">
        <v>1892</v>
      </c>
      <c r="E34" s="323" t="str">
        <f t="shared" si="1"/>
        <v>2:00</v>
      </c>
      <c r="F34" s="321" t="str">
        <f t="shared" si="2"/>
        <v>70分</v>
      </c>
      <c r="G34" s="279"/>
      <c r="H34" s="279"/>
      <c r="I34" s="279"/>
      <c r="J34" s="280"/>
    </row>
    <row r="35" spans="1:10" ht="17.25">
      <c r="A35" s="309">
        <v>45280</v>
      </c>
      <c r="B35" s="310">
        <f t="shared" si="0"/>
        <v>45280</v>
      </c>
      <c r="C35" s="284" t="s">
        <v>1895</v>
      </c>
      <c r="D35" s="284" t="s">
        <v>1941</v>
      </c>
      <c r="E35" s="323" t="str">
        <f t="shared" si="1"/>
        <v>1:00</v>
      </c>
      <c r="F35" s="321" t="str">
        <f t="shared" si="2"/>
        <v>70分</v>
      </c>
      <c r="G35" s="279"/>
      <c r="H35" s="279"/>
      <c r="I35" s="279"/>
      <c r="J35" s="280"/>
    </row>
    <row r="36" spans="1:10" ht="17.25">
      <c r="A36" s="309">
        <v>45281</v>
      </c>
      <c r="B36" s="310">
        <f t="shared" si="0"/>
        <v>45281</v>
      </c>
      <c r="C36" s="284" t="s">
        <v>1895</v>
      </c>
      <c r="D36" s="284" t="s">
        <v>1894</v>
      </c>
      <c r="E36" s="323" t="str">
        <f t="shared" si="1"/>
        <v>2:00</v>
      </c>
      <c r="F36" s="321" t="str">
        <f t="shared" si="2"/>
        <v>70分</v>
      </c>
      <c r="G36" s="279"/>
      <c r="H36" s="279"/>
      <c r="I36" s="279"/>
      <c r="J36" s="280"/>
    </row>
    <row r="37" spans="1:10" ht="17.25">
      <c r="A37" s="309">
        <v>45282</v>
      </c>
      <c r="B37" s="310">
        <f t="shared" si="0"/>
        <v>45282</v>
      </c>
      <c r="C37" s="284" t="s">
        <v>1895</v>
      </c>
      <c r="D37" s="284" t="s">
        <v>1901</v>
      </c>
      <c r="E37" s="323" t="str">
        <f t="shared" si="1"/>
        <v/>
      </c>
      <c r="F37" s="321" t="str">
        <f t="shared" si="2"/>
        <v>60分</v>
      </c>
      <c r="G37" s="279"/>
      <c r="H37" s="279"/>
      <c r="I37" s="279"/>
      <c r="J37" s="280"/>
    </row>
    <row r="38" spans="1:10" ht="17.25">
      <c r="A38" s="309">
        <v>45283</v>
      </c>
      <c r="B38" s="310">
        <f t="shared" si="0"/>
        <v>45283</v>
      </c>
      <c r="C38" s="286"/>
      <c r="D38" s="286"/>
      <c r="E38" s="323" t="str">
        <f t="shared" si="1"/>
        <v/>
      </c>
      <c r="F38" s="321" t="str">
        <f t="shared" si="2"/>
        <v/>
      </c>
      <c r="G38" s="279"/>
      <c r="H38" s="279"/>
      <c r="I38" s="279"/>
      <c r="J38" s="280"/>
    </row>
    <row r="39" spans="1:10" ht="17.25">
      <c r="A39" s="309">
        <v>45284</v>
      </c>
      <c r="B39" s="310">
        <f t="shared" si="0"/>
        <v>45284</v>
      </c>
      <c r="C39" s="284"/>
      <c r="D39" s="284"/>
      <c r="E39" s="323" t="str">
        <f t="shared" si="1"/>
        <v/>
      </c>
      <c r="F39" s="321" t="str">
        <f t="shared" si="2"/>
        <v/>
      </c>
      <c r="G39" s="279"/>
      <c r="H39" s="279"/>
      <c r="I39" s="279"/>
      <c r="J39" s="280"/>
    </row>
    <row r="40" spans="1:10" ht="17.25">
      <c r="A40" s="309">
        <v>45285</v>
      </c>
      <c r="B40" s="310">
        <f t="shared" si="0"/>
        <v>45285</v>
      </c>
      <c r="C40" s="284" t="s">
        <v>1893</v>
      </c>
      <c r="D40" s="284" t="s">
        <v>1941</v>
      </c>
      <c r="E40" s="323" t="str">
        <f t="shared" si="1"/>
        <v>1:00</v>
      </c>
      <c r="F40" s="321" t="str">
        <f t="shared" si="2"/>
        <v>70分</v>
      </c>
      <c r="G40" s="279"/>
      <c r="H40" s="279"/>
      <c r="I40" s="279"/>
      <c r="J40" s="280"/>
    </row>
    <row r="41" spans="1:10" ht="17.25">
      <c r="A41" s="309">
        <v>45286</v>
      </c>
      <c r="B41" s="310">
        <f t="shared" si="0"/>
        <v>45286</v>
      </c>
      <c r="C41" s="284" t="s">
        <v>1895</v>
      </c>
      <c r="D41" s="284" t="s">
        <v>1941</v>
      </c>
      <c r="E41" s="323" t="str">
        <f t="shared" si="1"/>
        <v>1:00</v>
      </c>
      <c r="F41" s="321" t="str">
        <f t="shared" si="2"/>
        <v>70分</v>
      </c>
      <c r="G41" s="279"/>
      <c r="H41" s="279"/>
      <c r="I41" s="279"/>
      <c r="J41" s="280"/>
    </row>
    <row r="42" spans="1:10" ht="17.25">
      <c r="A42" s="309">
        <v>45287</v>
      </c>
      <c r="B42" s="310">
        <f t="shared" si="0"/>
        <v>45287</v>
      </c>
      <c r="C42" s="284" t="s">
        <v>1899</v>
      </c>
      <c r="D42" s="284" t="s">
        <v>1894</v>
      </c>
      <c r="E42" s="323" t="str">
        <f t="shared" si="1"/>
        <v>2:00</v>
      </c>
      <c r="F42" s="321" t="str">
        <f t="shared" si="2"/>
        <v>70分</v>
      </c>
      <c r="G42" s="279"/>
      <c r="H42" s="279"/>
      <c r="I42" s="279"/>
      <c r="J42" s="280"/>
    </row>
    <row r="43" spans="1:10" ht="17.25">
      <c r="A43" s="309">
        <v>45288</v>
      </c>
      <c r="B43" s="310">
        <f t="shared" si="0"/>
        <v>45288</v>
      </c>
      <c r="C43" s="284" t="s">
        <v>1895</v>
      </c>
      <c r="D43" s="284" t="s">
        <v>1901</v>
      </c>
      <c r="E43" s="323" t="str">
        <f t="shared" si="1"/>
        <v/>
      </c>
      <c r="F43" s="321" t="str">
        <f t="shared" si="2"/>
        <v>60分</v>
      </c>
      <c r="G43" s="279"/>
      <c r="H43" s="279"/>
      <c r="I43" s="279"/>
      <c r="J43" s="280"/>
    </row>
    <row r="44" spans="1:10" ht="17.25">
      <c r="A44" s="313">
        <v>45289</v>
      </c>
      <c r="B44" s="314">
        <f t="shared" si="0"/>
        <v>45289</v>
      </c>
      <c r="C44" s="315"/>
      <c r="D44" s="315"/>
      <c r="E44" s="329" t="str">
        <f t="shared" si="1"/>
        <v/>
      </c>
      <c r="F44" s="322" t="str">
        <f t="shared" si="2"/>
        <v/>
      </c>
      <c r="G44" s="279"/>
      <c r="H44" s="279"/>
      <c r="I44" s="279"/>
      <c r="J44" s="280"/>
    </row>
    <row r="45" spans="1:10" ht="17.25">
      <c r="A45" s="309">
        <v>45290</v>
      </c>
      <c r="B45" s="310">
        <f t="shared" si="0"/>
        <v>45290</v>
      </c>
      <c r="C45" s="284"/>
      <c r="D45" s="284"/>
      <c r="E45" s="323" t="str">
        <f t="shared" si="1"/>
        <v/>
      </c>
      <c r="F45" s="321" t="str">
        <f t="shared" si="2"/>
        <v/>
      </c>
      <c r="G45" s="279"/>
      <c r="H45" s="279"/>
      <c r="I45" s="279"/>
      <c r="J45" s="280"/>
    </row>
    <row r="46" spans="1:10" ht="17.25">
      <c r="A46" s="309">
        <v>45291</v>
      </c>
      <c r="B46" s="310">
        <f t="shared" si="0"/>
        <v>45291</v>
      </c>
      <c r="C46" s="284"/>
      <c r="D46" s="284"/>
      <c r="E46" s="323" t="str">
        <f t="shared" si="1"/>
        <v/>
      </c>
      <c r="F46" s="321" t="str">
        <f t="shared" si="2"/>
        <v/>
      </c>
      <c r="G46" s="279"/>
      <c r="H46" s="279"/>
      <c r="I46" s="279"/>
      <c r="J46" s="280"/>
    </row>
    <row r="47" spans="1:10">
      <c r="A47" s="283"/>
      <c r="B47" s="283"/>
      <c r="C47" s="288"/>
      <c r="D47" s="288"/>
      <c r="E47" s="288"/>
      <c r="F47" s="283"/>
      <c r="G47" s="283"/>
      <c r="H47" s="283"/>
      <c r="I47" s="283"/>
      <c r="J47" s="283"/>
    </row>
    <row r="48" spans="1:10">
      <c r="A48" s="1096"/>
      <c r="B48" s="1096"/>
      <c r="C48" s="1096"/>
      <c r="D48" s="1096"/>
      <c r="E48" s="1096"/>
      <c r="F48" s="1096"/>
      <c r="G48" s="1096"/>
      <c r="H48" s="1096"/>
      <c r="I48" s="1096"/>
      <c r="J48" s="1096"/>
    </row>
    <row r="49" spans="1:10">
      <c r="A49" s="283"/>
      <c r="B49" s="283"/>
      <c r="C49" s="288"/>
      <c r="D49" s="288"/>
      <c r="E49" s="288"/>
      <c r="F49" s="283"/>
      <c r="G49" s="283"/>
      <c r="H49" s="283"/>
      <c r="I49" s="283"/>
      <c r="J49" s="283"/>
    </row>
    <row r="50" spans="1:10" s="305" customFormat="1">
      <c r="A50" s="305">
        <v>2</v>
      </c>
      <c r="C50" s="306"/>
      <c r="D50" s="306"/>
      <c r="E50" s="306"/>
    </row>
    <row r="51" spans="1:10" ht="45.75" customHeight="1">
      <c r="A51" s="1091" t="s">
        <v>1851</v>
      </c>
      <c r="B51" s="1091"/>
      <c r="C51" s="1091"/>
      <c r="D51" s="1091"/>
      <c r="E51" s="1091"/>
      <c r="F51" s="1091"/>
      <c r="G51" s="1091"/>
      <c r="H51" s="1091"/>
      <c r="I51" s="1091"/>
      <c r="J51" s="1091"/>
    </row>
    <row r="52" spans="1:10" ht="18.75">
      <c r="A52" s="276" t="s">
        <v>1852</v>
      </c>
      <c r="B52" s="276"/>
      <c r="C52" s="299"/>
      <c r="D52" s="299"/>
      <c r="E52" s="287"/>
      <c r="F52" s="275"/>
      <c r="G52" s="275"/>
      <c r="H52" s="275"/>
      <c r="I52" s="275"/>
      <c r="J52" s="275"/>
    </row>
    <row r="53" spans="1:10" ht="18.75">
      <c r="A53" s="275"/>
      <c r="B53" s="275"/>
      <c r="C53" s="291"/>
      <c r="D53" s="291"/>
      <c r="E53" s="275"/>
      <c r="F53" s="275"/>
      <c r="G53" s="292"/>
      <c r="H53" s="292"/>
      <c r="I53" s="311" t="s">
        <v>1745</v>
      </c>
      <c r="J53" s="275"/>
    </row>
    <row r="54" spans="1:10">
      <c r="A54" s="293" t="s">
        <v>1853</v>
      </c>
      <c r="B54" s="294"/>
      <c r="C54" s="295"/>
      <c r="D54" s="295"/>
      <c r="E54" s="295"/>
      <c r="F54" s="294"/>
      <c r="G54" s="296"/>
      <c r="H54" s="296"/>
      <c r="I54" s="296"/>
      <c r="J54" s="297"/>
    </row>
    <row r="55" spans="1:10" ht="55.5">
      <c r="A55" s="1092" t="str">
        <f ca="1">_xlfn.XLOOKUP(A50,TablaTransfor[№],TablaTransfor[カナ],"",0,1)</f>
        <v>ロック　チュン　ティエン</v>
      </c>
      <c r="B55" s="1093"/>
      <c r="C55" s="1093"/>
      <c r="D55" s="1093"/>
      <c r="E55" s="299"/>
      <c r="F55" s="298"/>
      <c r="G55" s="300"/>
      <c r="H55" s="300"/>
      <c r="I55" s="300"/>
      <c r="J55" s="317" t="str" cm="1">
        <f t="array" aca="1" ref="J55" ca="1">_xlfn.XLOOKUP(A55,TablaTransfor[カナ],TablaTransfor[配属先]&amp;TablaTransfor[ライン],"",0,1)</f>
        <v>高雄工業株式会社 愛知事業所本社工場製作課Aライン</v>
      </c>
    </row>
    <row r="56" spans="1:10">
      <c r="A56" s="301" t="s">
        <v>1854</v>
      </c>
      <c r="B56" s="277"/>
      <c r="C56" s="295"/>
      <c r="D56" s="295"/>
      <c r="E56" s="295"/>
      <c r="F56" s="277"/>
      <c r="G56" s="277"/>
      <c r="H56" s="277"/>
      <c r="I56" s="277"/>
      <c r="J56" s="278"/>
    </row>
    <row r="57" spans="1:10">
      <c r="A57" s="1094" t="s">
        <v>1855</v>
      </c>
      <c r="B57" s="1095"/>
      <c r="C57" s="1118" t="e" cm="1">
        <f t="array" aca="1" ref="C57" ca="1">_xlfn.XLOOKUP(J55,TBKaishaInfo[配属先]&amp;TBKaishaInfo[ライン],TBKaishaInfo[派遣先])</f>
        <v>#N/A</v>
      </c>
      <c r="D57" s="1118"/>
      <c r="E57" s="1118"/>
      <c r="F57" s="1118"/>
      <c r="G57" s="1118"/>
      <c r="H57" s="318" t="s">
        <v>1916</v>
      </c>
      <c r="I57" s="1118" t="e" cm="1">
        <f t="array" aca="1" ref="I57" ca="1">_xlfn.XLOOKUP(J55,TBKaishaInfo[配属先]&amp;TBKaishaInfo[ライン],TBKaishaInfo[工場名]&amp;" "&amp;TBKaishaInfo[配属先])</f>
        <v>#N/A</v>
      </c>
      <c r="J57" s="1121"/>
    </row>
    <row r="58" spans="1:10">
      <c r="A58" s="1097" t="s">
        <v>1856</v>
      </c>
      <c r="B58" s="1098"/>
      <c r="C58" s="1119" t="e" cm="1">
        <f t="array" aca="1" ref="C58" ca="1">_xlfn.XLOOKUP(J55,TBKaishaInfo[配属先]&amp;TBKaishaInfo[ライン],TBKaishaInfo[工場住所])</f>
        <v>#N/A</v>
      </c>
      <c r="D58" s="1119"/>
      <c r="E58" s="1119"/>
      <c r="F58" s="1119"/>
      <c r="G58" s="1119"/>
      <c r="H58" s="319" t="s">
        <v>1917</v>
      </c>
      <c r="I58" s="1119" t="e" cm="1">
        <f t="array" aca="1" ref="I58" ca="1">_xlfn.XLOOKUP(J55,TBKaishaInfo[配属先]&amp;TBKaishaInfo[ライン],TBKaishaInfo[工場名]&amp;" "&amp;TBKaishaInfo[配属先]&amp;" "&amp;TBKaishaInfo[指示命令者部署])</f>
        <v>#N/A</v>
      </c>
      <c r="J58" s="1120"/>
    </row>
    <row r="59" spans="1:10">
      <c r="A59" s="1103" t="s">
        <v>1857</v>
      </c>
      <c r="B59" s="1104"/>
      <c r="C59" s="1104"/>
      <c r="D59" s="1104"/>
      <c r="E59" s="1105"/>
      <c r="F59" s="1104" t="s">
        <v>1858</v>
      </c>
      <c r="G59" s="1104"/>
      <c r="H59" s="1104"/>
      <c r="I59" s="1104"/>
      <c r="J59" s="1105"/>
    </row>
    <row r="60" spans="1:10">
      <c r="A60" s="1097" t="s">
        <v>1867</v>
      </c>
      <c r="B60" s="1098"/>
      <c r="C60" s="1098"/>
      <c r="D60" s="1098"/>
      <c r="E60" s="1106"/>
      <c r="F60" s="1107" t="str">
        <f ca="1">_xlfn.XLOOKUP(A55,TablaTransfor[カナ],TablaTransfor[仕事内容],"",0,1)</f>
        <v>CVJ部品長軸品と短軸品の転造加工。</v>
      </c>
      <c r="G60" s="1107"/>
      <c r="H60" s="1107"/>
      <c r="I60" s="1107"/>
      <c r="J60" s="1108"/>
    </row>
    <row r="61" spans="1:10" ht="14.25">
      <c r="A61" s="1099" t="s">
        <v>1868</v>
      </c>
      <c r="B61" s="1100"/>
      <c r="C61" s="1100"/>
      <c r="D61" s="303"/>
      <c r="E61" s="303"/>
      <c r="F61" s="302"/>
      <c r="G61" s="302"/>
      <c r="H61" s="302"/>
      <c r="I61" s="302"/>
      <c r="J61" s="304"/>
    </row>
    <row r="62" spans="1:10">
      <c r="A62" s="1101" t="s">
        <v>1859</v>
      </c>
      <c r="B62" s="1101" t="s">
        <v>1860</v>
      </c>
      <c r="C62" s="1115" t="s">
        <v>1861</v>
      </c>
      <c r="D62" s="1116"/>
      <c r="E62" s="1116"/>
      <c r="F62" s="1117"/>
      <c r="G62" s="1112" t="s">
        <v>1862</v>
      </c>
      <c r="H62" s="1113"/>
      <c r="I62" s="1113"/>
      <c r="J62" s="1114"/>
    </row>
    <row r="63" spans="1:10">
      <c r="A63" s="1102"/>
      <c r="B63" s="1102"/>
      <c r="C63" s="324" t="s">
        <v>1863</v>
      </c>
      <c r="D63" s="324" t="s">
        <v>1864</v>
      </c>
      <c r="E63" s="326" t="s">
        <v>1952</v>
      </c>
      <c r="F63" s="325" t="s">
        <v>1865</v>
      </c>
      <c r="G63" s="1109" t="s">
        <v>1866</v>
      </c>
      <c r="H63" s="1110"/>
      <c r="I63" s="1110"/>
      <c r="J63" s="1111"/>
    </row>
    <row r="64" spans="1:10" ht="17.25">
      <c r="A64" s="309">
        <v>45261</v>
      </c>
      <c r="B64" s="310">
        <f>A64</f>
        <v>45261</v>
      </c>
      <c r="C64" s="284" t="s">
        <v>1918</v>
      </c>
      <c r="D64" s="284" t="s">
        <v>1919</v>
      </c>
      <c r="E64" s="323" t="str">
        <f>IF(D64="","",IF(D64&lt;="17:15","",IF(AND(D64&gt;"17:10",D64&lt;="18:10"),"1:00",IF(AND(D64&gt;"18:00",D64&lt;="19:10"),"2:00",IF(AND(D64&gt;"19:00",D64&lt;="20:10"),"3:00")))))</f>
        <v>2:00</v>
      </c>
      <c r="F64" s="321" t="str">
        <f>IF(D64="","",IF(E64="","60分","70分"))</f>
        <v>70分</v>
      </c>
      <c r="G64" s="279"/>
      <c r="H64" s="279"/>
      <c r="I64" s="279"/>
      <c r="J64" s="280"/>
    </row>
    <row r="65" spans="1:10" ht="17.25">
      <c r="A65" s="309">
        <v>45262</v>
      </c>
      <c r="B65" s="310">
        <f t="shared" ref="B65:B94" si="3">A65</f>
        <v>45262</v>
      </c>
      <c r="C65" s="284"/>
      <c r="D65" s="284"/>
      <c r="E65" s="323" t="str">
        <f t="shared" ref="E65:E94" si="4">IF(D65="","",IF(D65&lt;="17:15","",IF(AND(D65&gt;"17:10",D65&lt;="18:10"),"1:00",IF(AND(D65&gt;"18:00",D65&lt;="19:10"),"2:00",IF(AND(D65&gt;"19:00",D65&lt;="20:10"),"3:00")))))</f>
        <v/>
      </c>
      <c r="F65" s="321" t="str">
        <f t="shared" ref="F65:F94" si="5">IF(D65="","",IF(E65="","60分","70分"))</f>
        <v/>
      </c>
      <c r="G65" s="279"/>
      <c r="H65" s="279"/>
      <c r="I65" s="279"/>
      <c r="J65" s="280"/>
    </row>
    <row r="66" spans="1:10" ht="17.25">
      <c r="A66" s="309">
        <v>45263</v>
      </c>
      <c r="B66" s="310">
        <f t="shared" si="3"/>
        <v>45263</v>
      </c>
      <c r="C66" s="284"/>
      <c r="D66" s="284"/>
      <c r="E66" s="323" t="str">
        <f t="shared" si="4"/>
        <v/>
      </c>
      <c r="F66" s="321" t="str">
        <f t="shared" si="5"/>
        <v/>
      </c>
      <c r="G66" s="279"/>
      <c r="H66" s="279"/>
      <c r="I66" s="279"/>
      <c r="J66" s="280"/>
    </row>
    <row r="67" spans="1:10" ht="17.25">
      <c r="A67" s="309">
        <v>45264</v>
      </c>
      <c r="B67" s="310">
        <f t="shared" si="3"/>
        <v>45264</v>
      </c>
      <c r="C67" s="312">
        <v>0.3298611111111111</v>
      </c>
      <c r="D67" s="312">
        <v>0.79166666666666663</v>
      </c>
      <c r="E67" s="323" t="str">
        <f t="shared" si="4"/>
        <v/>
      </c>
      <c r="F67" s="321" t="str">
        <f t="shared" si="5"/>
        <v>60分</v>
      </c>
      <c r="G67" s="281"/>
      <c r="H67" s="281"/>
      <c r="I67" s="281"/>
      <c r="J67" s="282"/>
    </row>
    <row r="68" spans="1:10" ht="17.25">
      <c r="A68" s="309">
        <v>45265</v>
      </c>
      <c r="B68" s="310">
        <f t="shared" si="3"/>
        <v>45265</v>
      </c>
      <c r="C68" s="284" t="s">
        <v>1920</v>
      </c>
      <c r="D68" s="284" t="s">
        <v>1921</v>
      </c>
      <c r="E68" s="323" t="str">
        <f t="shared" si="4"/>
        <v>2:00</v>
      </c>
      <c r="F68" s="321" t="str">
        <f t="shared" si="5"/>
        <v>70分</v>
      </c>
      <c r="G68" s="279"/>
      <c r="H68" s="279"/>
      <c r="I68" s="279"/>
      <c r="J68" s="280"/>
    </row>
    <row r="69" spans="1:10" ht="17.25">
      <c r="A69" s="309">
        <v>45266</v>
      </c>
      <c r="B69" s="310">
        <f t="shared" si="3"/>
        <v>45266</v>
      </c>
      <c r="C69" s="285" t="s">
        <v>1922</v>
      </c>
      <c r="D69" s="285" t="s">
        <v>1919</v>
      </c>
      <c r="E69" s="323" t="str">
        <f t="shared" si="4"/>
        <v>2:00</v>
      </c>
      <c r="F69" s="321" t="str">
        <f t="shared" si="5"/>
        <v>70分</v>
      </c>
      <c r="G69" s="279"/>
      <c r="H69" s="279"/>
      <c r="I69" s="279"/>
      <c r="J69" s="280"/>
    </row>
    <row r="70" spans="1:10" ht="17.25">
      <c r="A70" s="309">
        <v>45267</v>
      </c>
      <c r="B70" s="310">
        <f t="shared" si="3"/>
        <v>45267</v>
      </c>
      <c r="C70" s="284" t="s">
        <v>1923</v>
      </c>
      <c r="D70" s="284" t="s">
        <v>1924</v>
      </c>
      <c r="E70" s="323" t="str">
        <f t="shared" si="4"/>
        <v>3:00</v>
      </c>
      <c r="F70" s="321" t="str">
        <f t="shared" si="5"/>
        <v>70分</v>
      </c>
      <c r="G70" s="279"/>
      <c r="H70" s="279"/>
      <c r="I70" s="279"/>
      <c r="J70" s="280"/>
    </row>
    <row r="71" spans="1:10" ht="17.25">
      <c r="A71" s="309">
        <v>45268</v>
      </c>
      <c r="B71" s="310">
        <f t="shared" si="3"/>
        <v>45268</v>
      </c>
      <c r="C71" s="284" t="s">
        <v>1920</v>
      </c>
      <c r="D71" s="284" t="s">
        <v>1925</v>
      </c>
      <c r="E71" s="323" t="str">
        <f t="shared" si="4"/>
        <v>3:00</v>
      </c>
      <c r="F71" s="321" t="str">
        <f t="shared" si="5"/>
        <v>70分</v>
      </c>
      <c r="G71" s="279"/>
      <c r="H71" s="279"/>
      <c r="I71" s="279"/>
      <c r="J71" s="280"/>
    </row>
    <row r="72" spans="1:10" ht="17.25">
      <c r="A72" s="309">
        <v>45269</v>
      </c>
      <c r="B72" s="310">
        <f t="shared" si="3"/>
        <v>45269</v>
      </c>
      <c r="C72" s="284"/>
      <c r="D72" s="284"/>
      <c r="E72" s="323" t="str">
        <f t="shared" si="4"/>
        <v/>
      </c>
      <c r="F72" s="321" t="str">
        <f t="shared" si="5"/>
        <v/>
      </c>
      <c r="G72" s="279"/>
      <c r="H72" s="279"/>
      <c r="I72" s="279"/>
      <c r="J72" s="280"/>
    </row>
    <row r="73" spans="1:10" ht="17.25">
      <c r="A73" s="309">
        <v>45270</v>
      </c>
      <c r="B73" s="310">
        <f t="shared" si="3"/>
        <v>45270</v>
      </c>
      <c r="C73" s="284"/>
      <c r="D73" s="284"/>
      <c r="E73" s="323" t="str">
        <f t="shared" si="4"/>
        <v/>
      </c>
      <c r="F73" s="321" t="str">
        <f t="shared" si="5"/>
        <v/>
      </c>
      <c r="G73" s="279"/>
      <c r="H73" s="279"/>
      <c r="I73" s="279"/>
      <c r="J73" s="280"/>
    </row>
    <row r="74" spans="1:10" ht="17.25">
      <c r="A74" s="309">
        <v>45271</v>
      </c>
      <c r="B74" s="310">
        <f t="shared" si="3"/>
        <v>45271</v>
      </c>
      <c r="C74" s="284" t="s">
        <v>1926</v>
      </c>
      <c r="D74" s="284" t="s">
        <v>1927</v>
      </c>
      <c r="E74" s="323" t="str">
        <f t="shared" si="4"/>
        <v>3:00</v>
      </c>
      <c r="F74" s="321" t="str">
        <f t="shared" si="5"/>
        <v>70分</v>
      </c>
      <c r="G74" s="279"/>
      <c r="H74" s="279"/>
      <c r="I74" s="279"/>
      <c r="J74" s="280"/>
    </row>
    <row r="75" spans="1:10" ht="17.25">
      <c r="A75" s="309">
        <v>45272</v>
      </c>
      <c r="B75" s="310">
        <f t="shared" si="3"/>
        <v>45272</v>
      </c>
      <c r="C75" s="284" t="s">
        <v>1928</v>
      </c>
      <c r="D75" s="284" t="s">
        <v>1925</v>
      </c>
      <c r="E75" s="323" t="str">
        <f t="shared" si="4"/>
        <v>3:00</v>
      </c>
      <c r="F75" s="321" t="str">
        <f t="shared" si="5"/>
        <v>70分</v>
      </c>
      <c r="G75" s="279"/>
      <c r="H75" s="279"/>
      <c r="I75" s="279"/>
      <c r="J75" s="280"/>
    </row>
    <row r="76" spans="1:10" ht="17.25">
      <c r="A76" s="309">
        <v>45273</v>
      </c>
      <c r="B76" s="310">
        <f t="shared" si="3"/>
        <v>45273</v>
      </c>
      <c r="C76" s="284" t="s">
        <v>1926</v>
      </c>
      <c r="D76" s="284" t="s">
        <v>1925</v>
      </c>
      <c r="E76" s="323" t="str">
        <f t="shared" si="4"/>
        <v>3:00</v>
      </c>
      <c r="F76" s="321" t="str">
        <f t="shared" si="5"/>
        <v>70分</v>
      </c>
      <c r="G76" s="279"/>
      <c r="H76" s="279"/>
      <c r="I76" s="279"/>
      <c r="J76" s="280"/>
    </row>
    <row r="77" spans="1:10" ht="17.25">
      <c r="A77" s="309">
        <v>45274</v>
      </c>
      <c r="B77" s="310">
        <f t="shared" si="3"/>
        <v>45274</v>
      </c>
      <c r="C77" s="284" t="s">
        <v>1926</v>
      </c>
      <c r="D77" s="284" t="s">
        <v>1925</v>
      </c>
      <c r="E77" s="323" t="str">
        <f t="shared" si="4"/>
        <v>3:00</v>
      </c>
      <c r="F77" s="321" t="str">
        <f t="shared" si="5"/>
        <v>70分</v>
      </c>
      <c r="G77" s="279"/>
      <c r="H77" s="279"/>
      <c r="I77" s="279"/>
      <c r="J77" s="280"/>
    </row>
    <row r="78" spans="1:10" ht="17.25">
      <c r="A78" s="309">
        <v>45275</v>
      </c>
      <c r="B78" s="310">
        <f t="shared" si="3"/>
        <v>45275</v>
      </c>
      <c r="C78" s="284" t="s">
        <v>1929</v>
      </c>
      <c r="D78" s="284" t="s">
        <v>1930</v>
      </c>
      <c r="E78" s="323" t="str">
        <f t="shared" si="4"/>
        <v>2:00</v>
      </c>
      <c r="F78" s="321" t="str">
        <f t="shared" si="5"/>
        <v>70分</v>
      </c>
      <c r="G78" s="279"/>
      <c r="H78" s="279"/>
      <c r="I78" s="279"/>
      <c r="J78" s="280"/>
    </row>
    <row r="79" spans="1:10" ht="17.25">
      <c r="A79" s="309">
        <v>45276</v>
      </c>
      <c r="B79" s="310">
        <f t="shared" si="3"/>
        <v>45276</v>
      </c>
      <c r="C79" s="284"/>
      <c r="D79" s="284"/>
      <c r="E79" s="323" t="str">
        <f t="shared" si="4"/>
        <v/>
      </c>
      <c r="F79" s="321" t="str">
        <f t="shared" si="5"/>
        <v/>
      </c>
      <c r="G79" s="279"/>
      <c r="H79" s="279"/>
      <c r="I79" s="279"/>
      <c r="J79" s="280"/>
    </row>
    <row r="80" spans="1:10" ht="17.25">
      <c r="A80" s="309">
        <v>45277</v>
      </c>
      <c r="B80" s="310">
        <f t="shared" si="3"/>
        <v>45277</v>
      </c>
      <c r="C80" s="284"/>
      <c r="D80" s="284"/>
      <c r="E80" s="323" t="str">
        <f t="shared" si="4"/>
        <v/>
      </c>
      <c r="F80" s="321" t="str">
        <f t="shared" si="5"/>
        <v/>
      </c>
      <c r="G80" s="279"/>
      <c r="H80" s="279"/>
      <c r="I80" s="279"/>
      <c r="J80" s="280"/>
    </row>
    <row r="81" spans="1:10" ht="17.25">
      <c r="A81" s="309">
        <v>45278</v>
      </c>
      <c r="B81" s="310">
        <f t="shared" si="3"/>
        <v>45278</v>
      </c>
      <c r="C81" s="284" t="s">
        <v>1920</v>
      </c>
      <c r="D81" s="284" t="s">
        <v>1925</v>
      </c>
      <c r="E81" s="323" t="str">
        <f t="shared" si="4"/>
        <v>3:00</v>
      </c>
      <c r="F81" s="321" t="str">
        <f t="shared" si="5"/>
        <v>70分</v>
      </c>
      <c r="G81" s="279"/>
      <c r="H81" s="279"/>
      <c r="I81" s="279"/>
      <c r="J81" s="280"/>
    </row>
    <row r="82" spans="1:10" ht="17.25">
      <c r="A82" s="309">
        <v>45279</v>
      </c>
      <c r="B82" s="310">
        <f t="shared" si="3"/>
        <v>45279</v>
      </c>
      <c r="C82" s="284" t="s">
        <v>1931</v>
      </c>
      <c r="D82" s="284" t="s">
        <v>1919</v>
      </c>
      <c r="E82" s="323" t="str">
        <f t="shared" si="4"/>
        <v>2:00</v>
      </c>
      <c r="F82" s="321" t="str">
        <f t="shared" si="5"/>
        <v>70分</v>
      </c>
      <c r="G82" s="279"/>
      <c r="H82" s="279"/>
      <c r="I82" s="279"/>
      <c r="J82" s="280"/>
    </row>
    <row r="83" spans="1:10" ht="17.25">
      <c r="A83" s="309">
        <v>45280</v>
      </c>
      <c r="B83" s="310">
        <f t="shared" si="3"/>
        <v>45280</v>
      </c>
      <c r="C83" s="284" t="s">
        <v>1926</v>
      </c>
      <c r="D83" s="284" t="s">
        <v>1932</v>
      </c>
      <c r="E83" s="323" t="str">
        <f t="shared" si="4"/>
        <v>2:00</v>
      </c>
      <c r="F83" s="321" t="str">
        <f t="shared" si="5"/>
        <v>70分</v>
      </c>
      <c r="G83" s="279"/>
      <c r="H83" s="279"/>
      <c r="I83" s="279"/>
      <c r="J83" s="280"/>
    </row>
    <row r="84" spans="1:10" ht="17.25">
      <c r="A84" s="309">
        <v>45281</v>
      </c>
      <c r="B84" s="310">
        <f t="shared" si="3"/>
        <v>45281</v>
      </c>
      <c r="C84" s="284" t="s">
        <v>1922</v>
      </c>
      <c r="D84" s="284" t="s">
        <v>1925</v>
      </c>
      <c r="E84" s="323" t="str">
        <f t="shared" si="4"/>
        <v>3:00</v>
      </c>
      <c r="F84" s="321" t="str">
        <f t="shared" si="5"/>
        <v>70分</v>
      </c>
      <c r="G84" s="279"/>
      <c r="H84" s="279"/>
      <c r="I84" s="279"/>
      <c r="J84" s="280"/>
    </row>
    <row r="85" spans="1:10" ht="17.25">
      <c r="A85" s="309">
        <v>45282</v>
      </c>
      <c r="B85" s="310">
        <f t="shared" si="3"/>
        <v>45282</v>
      </c>
      <c r="C85" s="284" t="s">
        <v>1933</v>
      </c>
      <c r="D85" s="284" t="s">
        <v>1927</v>
      </c>
      <c r="E85" s="323" t="str">
        <f t="shared" si="4"/>
        <v>3:00</v>
      </c>
      <c r="F85" s="321" t="str">
        <f t="shared" si="5"/>
        <v>70分</v>
      </c>
      <c r="G85" s="279"/>
      <c r="H85" s="279"/>
      <c r="I85" s="279"/>
      <c r="J85" s="280"/>
    </row>
    <row r="86" spans="1:10" ht="17.25">
      <c r="A86" s="309">
        <v>45283</v>
      </c>
      <c r="B86" s="310">
        <f t="shared" si="3"/>
        <v>45283</v>
      </c>
      <c r="C86" s="286"/>
      <c r="D86" s="286"/>
      <c r="E86" s="323" t="str">
        <f t="shared" si="4"/>
        <v/>
      </c>
      <c r="F86" s="321" t="str">
        <f t="shared" si="5"/>
        <v/>
      </c>
      <c r="G86" s="279"/>
      <c r="H86" s="279"/>
      <c r="I86" s="279"/>
      <c r="J86" s="280"/>
    </row>
    <row r="87" spans="1:10" ht="17.25">
      <c r="A87" s="309">
        <v>45284</v>
      </c>
      <c r="B87" s="310">
        <f t="shared" si="3"/>
        <v>45284</v>
      </c>
      <c r="C87" s="284"/>
      <c r="D87" s="284"/>
      <c r="E87" s="323" t="str">
        <f t="shared" si="4"/>
        <v/>
      </c>
      <c r="F87" s="321" t="str">
        <f t="shared" si="5"/>
        <v/>
      </c>
      <c r="G87" s="279"/>
      <c r="H87" s="279"/>
      <c r="I87" s="279"/>
      <c r="J87" s="280"/>
    </row>
    <row r="88" spans="1:10" ht="17.25">
      <c r="A88" s="309">
        <v>45285</v>
      </c>
      <c r="B88" s="310">
        <f t="shared" si="3"/>
        <v>45285</v>
      </c>
      <c r="C88" s="284" t="s">
        <v>1922</v>
      </c>
      <c r="D88" s="284" t="s">
        <v>1925</v>
      </c>
      <c r="E88" s="323" t="str">
        <f t="shared" si="4"/>
        <v>3:00</v>
      </c>
      <c r="F88" s="321" t="str">
        <f t="shared" si="5"/>
        <v>70分</v>
      </c>
      <c r="G88" s="279"/>
      <c r="H88" s="279"/>
      <c r="I88" s="279"/>
      <c r="J88" s="280"/>
    </row>
    <row r="89" spans="1:10" ht="17.25">
      <c r="A89" s="309">
        <v>45286</v>
      </c>
      <c r="B89" s="310">
        <f t="shared" si="3"/>
        <v>45286</v>
      </c>
      <c r="C89" s="284" t="s">
        <v>1922</v>
      </c>
      <c r="D89" s="284" t="s">
        <v>1924</v>
      </c>
      <c r="E89" s="323" t="str">
        <f t="shared" si="4"/>
        <v>3:00</v>
      </c>
      <c r="F89" s="321" t="str">
        <f t="shared" si="5"/>
        <v>70分</v>
      </c>
      <c r="G89" s="279"/>
      <c r="H89" s="279"/>
      <c r="I89" s="279"/>
      <c r="J89" s="280"/>
    </row>
    <row r="90" spans="1:10" ht="17.25">
      <c r="A90" s="309">
        <v>45287</v>
      </c>
      <c r="B90" s="310">
        <f t="shared" si="3"/>
        <v>45287</v>
      </c>
      <c r="C90" s="284" t="s">
        <v>1923</v>
      </c>
      <c r="D90" s="284" t="s">
        <v>1925</v>
      </c>
      <c r="E90" s="323" t="str">
        <f t="shared" si="4"/>
        <v>3:00</v>
      </c>
      <c r="F90" s="321" t="str">
        <f t="shared" si="5"/>
        <v>70分</v>
      </c>
      <c r="G90" s="279"/>
      <c r="H90" s="279"/>
      <c r="I90" s="279"/>
      <c r="J90" s="280"/>
    </row>
    <row r="91" spans="1:10" ht="17.25">
      <c r="A91" s="309">
        <v>45288</v>
      </c>
      <c r="B91" s="310">
        <f t="shared" si="3"/>
        <v>45288</v>
      </c>
      <c r="C91" s="284" t="s">
        <v>1934</v>
      </c>
      <c r="D91" s="284" t="s">
        <v>1935</v>
      </c>
      <c r="E91" s="323" t="str">
        <f t="shared" si="4"/>
        <v/>
      </c>
      <c r="F91" s="321" t="str">
        <f t="shared" si="5"/>
        <v>60分</v>
      </c>
      <c r="G91" s="279"/>
      <c r="H91" s="279"/>
      <c r="I91" s="279"/>
      <c r="J91" s="280"/>
    </row>
    <row r="92" spans="1:10" ht="17.25">
      <c r="A92" s="313">
        <v>45289</v>
      </c>
      <c r="B92" s="314">
        <f t="shared" si="3"/>
        <v>45289</v>
      </c>
      <c r="C92" s="315"/>
      <c r="D92" s="315"/>
      <c r="E92" s="329" t="str">
        <f t="shared" si="4"/>
        <v/>
      </c>
      <c r="F92" s="322" t="str">
        <f t="shared" si="5"/>
        <v/>
      </c>
      <c r="G92" s="279"/>
      <c r="H92" s="279"/>
      <c r="I92" s="279"/>
      <c r="J92" s="280"/>
    </row>
    <row r="93" spans="1:10" ht="17.25">
      <c r="A93" s="309">
        <v>45290</v>
      </c>
      <c r="B93" s="310">
        <f t="shared" si="3"/>
        <v>45290</v>
      </c>
      <c r="C93" s="284"/>
      <c r="D93" s="284"/>
      <c r="E93" s="323" t="str">
        <f t="shared" si="4"/>
        <v/>
      </c>
      <c r="F93" s="321" t="str">
        <f t="shared" si="5"/>
        <v/>
      </c>
      <c r="G93" s="279"/>
      <c r="H93" s="279"/>
      <c r="I93" s="279"/>
      <c r="J93" s="280"/>
    </row>
    <row r="94" spans="1:10" ht="17.25">
      <c r="A94" s="309">
        <v>45291</v>
      </c>
      <c r="B94" s="310">
        <f t="shared" si="3"/>
        <v>45291</v>
      </c>
      <c r="C94" s="284"/>
      <c r="D94" s="284"/>
      <c r="E94" s="323" t="str">
        <f t="shared" si="4"/>
        <v/>
      </c>
      <c r="F94" s="321" t="str">
        <f t="shared" si="5"/>
        <v/>
      </c>
      <c r="G94" s="279"/>
      <c r="H94" s="279"/>
      <c r="I94" s="279"/>
      <c r="J94" s="280"/>
    </row>
    <row r="95" spans="1:10">
      <c r="A95" s="283"/>
      <c r="B95" s="283"/>
      <c r="C95" s="288"/>
      <c r="D95" s="288"/>
      <c r="E95" s="288"/>
      <c r="F95" s="283"/>
      <c r="G95" s="283"/>
      <c r="H95" s="283"/>
      <c r="I95" s="283"/>
      <c r="J95" s="283"/>
    </row>
    <row r="96" spans="1:10">
      <c r="A96" s="1096"/>
      <c r="B96" s="1096"/>
      <c r="C96" s="1096"/>
      <c r="D96" s="1096"/>
      <c r="E96" s="1096"/>
      <c r="F96" s="1096"/>
      <c r="G96" s="1096"/>
      <c r="H96" s="1096"/>
      <c r="I96" s="1096"/>
      <c r="J96" s="1096"/>
    </row>
    <row r="98" spans="1:10" s="305" customFormat="1">
      <c r="A98" s="305">
        <v>3</v>
      </c>
      <c r="C98" s="306"/>
      <c r="D98" s="306"/>
      <c r="E98" s="306"/>
    </row>
    <row r="99" spans="1:10" ht="33.75" customHeight="1">
      <c r="A99" s="1091" t="s">
        <v>1851</v>
      </c>
      <c r="B99" s="1091"/>
      <c r="C99" s="1091"/>
      <c r="D99" s="1091"/>
      <c r="E99" s="1091"/>
      <c r="F99" s="1091"/>
      <c r="G99" s="1091"/>
      <c r="H99" s="1091"/>
      <c r="I99" s="1091"/>
      <c r="J99" s="1091"/>
    </row>
    <row r="100" spans="1:10" ht="18.75">
      <c r="A100" s="276" t="s">
        <v>1852</v>
      </c>
      <c r="B100" s="276"/>
      <c r="C100" s="299"/>
      <c r="D100" s="299"/>
      <c r="E100" s="287"/>
      <c r="F100" s="275"/>
      <c r="G100" s="275"/>
      <c r="H100" s="275"/>
      <c r="I100" s="275"/>
      <c r="J100" s="275"/>
    </row>
    <row r="101" spans="1:10" ht="18.75">
      <c r="A101" s="275"/>
      <c r="B101" s="275"/>
      <c r="C101" s="291"/>
      <c r="D101" s="291"/>
      <c r="E101" s="275"/>
      <c r="F101" s="275"/>
      <c r="G101" s="292"/>
      <c r="H101" s="292"/>
      <c r="I101" s="311" t="s">
        <v>1745</v>
      </c>
      <c r="J101" s="275"/>
    </row>
    <row r="102" spans="1:10">
      <c r="A102" s="293" t="s">
        <v>1853</v>
      </c>
      <c r="B102" s="294"/>
      <c r="C102" s="295"/>
      <c r="D102" s="295"/>
      <c r="E102" s="295"/>
      <c r="F102" s="294"/>
      <c r="G102" s="296"/>
      <c r="H102" s="296"/>
      <c r="I102" s="296"/>
      <c r="J102" s="297"/>
    </row>
    <row r="103" spans="1:10" ht="55.5">
      <c r="A103" s="1092" t="str">
        <f ca="1">_xlfn.XLOOKUP(A98,TablaTransfor[№],TablaTransfor[カナ],"",0,1)</f>
        <v>鈴木 マルシオ</v>
      </c>
      <c r="B103" s="1093"/>
      <c r="C103" s="1093"/>
      <c r="D103" s="1093"/>
      <c r="E103" s="299"/>
      <c r="F103" s="298"/>
      <c r="G103" s="300"/>
      <c r="H103" s="300"/>
      <c r="I103" s="300"/>
      <c r="J103" s="317" t="str" cm="1">
        <f t="array" aca="1" ref="J103" ca="1">_xlfn.XLOOKUP(A103,TablaTransfor[カナ],TablaTransfor[配属先]&amp;TablaTransfor[ライン],"",0,1)</f>
        <v>高雄工業株式会社 愛知事業所本社工場製作課0</v>
      </c>
    </row>
    <row r="104" spans="1:10">
      <c r="A104" s="301" t="s">
        <v>1854</v>
      </c>
      <c r="B104" s="277"/>
      <c r="C104" s="295"/>
      <c r="D104" s="295"/>
      <c r="E104" s="295"/>
      <c r="F104" s="277"/>
      <c r="G104" s="277"/>
      <c r="H104" s="277"/>
      <c r="I104" s="277"/>
      <c r="J104" s="278"/>
    </row>
    <row r="105" spans="1:10">
      <c r="A105" s="1094" t="s">
        <v>1855</v>
      </c>
      <c r="B105" s="1095"/>
      <c r="C105" s="1118" t="e" cm="1">
        <f t="array" aca="1" ref="C105" ca="1">_xlfn.XLOOKUP(J103,TBKaishaInfo[配属先]&amp;TBKaishaInfo[ライン],TBKaishaInfo[派遣先])</f>
        <v>#N/A</v>
      </c>
      <c r="D105" s="1118"/>
      <c r="E105" s="1118"/>
      <c r="F105" s="1118"/>
      <c r="G105" s="1118"/>
      <c r="H105" s="318" t="s">
        <v>1916</v>
      </c>
      <c r="I105" s="1118" t="e" cm="1">
        <f t="array" aca="1" ref="I105" ca="1">_xlfn.XLOOKUP(J103,TBKaishaInfo[配属先]&amp;TBKaishaInfo[ライン],TBKaishaInfo[工場名]&amp;" "&amp;TBKaishaInfo[配属先])</f>
        <v>#N/A</v>
      </c>
      <c r="J105" s="1121"/>
    </row>
    <row r="106" spans="1:10">
      <c r="A106" s="1097" t="s">
        <v>1856</v>
      </c>
      <c r="B106" s="1098"/>
      <c r="C106" s="1119" t="e" cm="1">
        <f t="array" aca="1" ref="C106" ca="1">_xlfn.XLOOKUP(J103,TBKaishaInfo[配属先]&amp;TBKaishaInfo[ライン],TBKaishaInfo[工場住所])</f>
        <v>#N/A</v>
      </c>
      <c r="D106" s="1119"/>
      <c r="E106" s="1119"/>
      <c r="F106" s="1119"/>
      <c r="G106" s="1119"/>
      <c r="H106" s="319" t="s">
        <v>1917</v>
      </c>
      <c r="I106" s="1119" t="e" cm="1">
        <f t="array" aca="1" ref="I106" ca="1">_xlfn.XLOOKUP(J103,TBKaishaInfo[配属先]&amp;TBKaishaInfo[ライン],TBKaishaInfo[工場名]&amp;" "&amp;TBKaishaInfo[配属先]&amp;" "&amp;TBKaishaInfo[指示命令者部署])</f>
        <v>#N/A</v>
      </c>
      <c r="J106" s="1120"/>
    </row>
    <row r="107" spans="1:10">
      <c r="A107" s="1103" t="s">
        <v>1857</v>
      </c>
      <c r="B107" s="1104"/>
      <c r="C107" s="1104"/>
      <c r="D107" s="1104"/>
      <c r="E107" s="1105"/>
      <c r="F107" s="1104" t="s">
        <v>1858</v>
      </c>
      <c r="G107" s="1104"/>
      <c r="H107" s="1104"/>
      <c r="I107" s="1104"/>
      <c r="J107" s="1105"/>
    </row>
    <row r="108" spans="1:10">
      <c r="A108" s="1097" t="s">
        <v>1867</v>
      </c>
      <c r="B108" s="1098"/>
      <c r="C108" s="1098"/>
      <c r="D108" s="1098"/>
      <c r="E108" s="1106"/>
      <c r="F108" s="1107">
        <f ca="1">_xlfn.XLOOKUP(A103,TablaTransfor[カナ],TablaTransfor[仕事内容],"",0,1)</f>
        <v>0</v>
      </c>
      <c r="G108" s="1107"/>
      <c r="H108" s="1107"/>
      <c r="I108" s="1107"/>
      <c r="J108" s="1108"/>
    </row>
    <row r="109" spans="1:10" ht="14.25">
      <c r="A109" s="1099" t="s">
        <v>1868</v>
      </c>
      <c r="B109" s="1100"/>
      <c r="C109" s="1100"/>
      <c r="D109" s="303"/>
      <c r="E109" s="303"/>
      <c r="F109" s="302"/>
      <c r="G109" s="302"/>
      <c r="H109" s="302"/>
      <c r="I109" s="302"/>
      <c r="J109" s="304"/>
    </row>
    <row r="110" spans="1:10">
      <c r="A110" s="1101" t="s">
        <v>1859</v>
      </c>
      <c r="B110" s="1101" t="s">
        <v>1860</v>
      </c>
      <c r="C110" s="1115" t="s">
        <v>1861</v>
      </c>
      <c r="D110" s="1116"/>
      <c r="E110" s="1116"/>
      <c r="F110" s="1117"/>
      <c r="G110" s="1112" t="s">
        <v>1862</v>
      </c>
      <c r="H110" s="1113"/>
      <c r="I110" s="1113"/>
      <c r="J110" s="1114"/>
    </row>
    <row r="111" spans="1:10">
      <c r="A111" s="1102"/>
      <c r="B111" s="1102"/>
      <c r="C111" s="324" t="s">
        <v>1863</v>
      </c>
      <c r="D111" s="324" t="s">
        <v>1864</v>
      </c>
      <c r="E111" s="326" t="s">
        <v>1952</v>
      </c>
      <c r="F111" s="325" t="s">
        <v>1865</v>
      </c>
      <c r="G111" s="1109" t="s">
        <v>1866</v>
      </c>
      <c r="H111" s="1110"/>
      <c r="I111" s="1110"/>
      <c r="J111" s="1111"/>
    </row>
    <row r="112" spans="1:10" ht="17.25">
      <c r="A112" s="309">
        <v>45261</v>
      </c>
      <c r="B112" s="310">
        <f>A112</f>
        <v>45261</v>
      </c>
      <c r="C112" s="284" t="s">
        <v>1942</v>
      </c>
      <c r="D112" s="284" t="s">
        <v>1940</v>
      </c>
      <c r="E112" s="323" t="str">
        <f>IF(D112="","",IF(D112&lt;="17:15","",IF(AND(D112&gt;"17:10",D112&lt;="18:10"),"1:00",IF(AND(D112&gt;"18:00",D112&lt;="19:10"),"2:00",IF(AND(D112&gt;"19:00",D112&lt;="20:10"),"3:00")))))</f>
        <v/>
      </c>
      <c r="F112" s="321" t="str">
        <f>IF(D112="","",IF(E112="","60分","70分"))</f>
        <v>60分</v>
      </c>
      <c r="G112" s="279"/>
      <c r="H112" s="279"/>
      <c r="I112" s="279"/>
      <c r="J112" s="280"/>
    </row>
    <row r="113" spans="1:10" ht="17.25">
      <c r="A113" s="309">
        <v>45262</v>
      </c>
      <c r="B113" s="310">
        <f t="shared" ref="B113:B142" si="6">A113</f>
        <v>45262</v>
      </c>
      <c r="C113" s="284"/>
      <c r="D113" s="284"/>
      <c r="E113" s="323" t="str">
        <f t="shared" ref="E113:E142" si="7">IF(D113="","",IF(D113&lt;="17:15","",IF(AND(D113&gt;"17:10",D113&lt;="18:10"),"1:00",IF(AND(D113&gt;"18:00",D113&lt;="19:10"),"2:00",IF(AND(D113&gt;"19:00",D113&lt;="20:10"),"3:00")))))</f>
        <v/>
      </c>
      <c r="F113" s="321" t="str">
        <f t="shared" ref="F113:F142" si="8">IF(D113="","",IF(E113="","60分","70分"))</f>
        <v/>
      </c>
      <c r="G113" s="279"/>
      <c r="H113" s="279"/>
      <c r="I113" s="279"/>
      <c r="J113" s="280"/>
    </row>
    <row r="114" spans="1:10" ht="17.25">
      <c r="A114" s="309">
        <v>45263</v>
      </c>
      <c r="B114" s="310">
        <f t="shared" si="6"/>
        <v>45263</v>
      </c>
      <c r="C114" s="284"/>
      <c r="D114" s="284"/>
      <c r="E114" s="323" t="str">
        <f t="shared" si="7"/>
        <v/>
      </c>
      <c r="F114" s="321" t="str">
        <f t="shared" si="8"/>
        <v/>
      </c>
      <c r="G114" s="279"/>
      <c r="H114" s="279"/>
      <c r="I114" s="279"/>
      <c r="J114" s="280"/>
    </row>
    <row r="115" spans="1:10" ht="17.25">
      <c r="A115" s="309">
        <v>45264</v>
      </c>
      <c r="B115" s="310">
        <f t="shared" si="6"/>
        <v>45264</v>
      </c>
      <c r="C115" s="312">
        <v>0.3215277777777778</v>
      </c>
      <c r="D115" s="312">
        <v>0.70833333333333337</v>
      </c>
      <c r="E115" s="323" t="str">
        <f t="shared" si="7"/>
        <v/>
      </c>
      <c r="F115" s="321" t="str">
        <f t="shared" si="8"/>
        <v>60分</v>
      </c>
      <c r="G115" s="281"/>
      <c r="H115" s="281"/>
      <c r="I115" s="281"/>
      <c r="J115" s="282"/>
    </row>
    <row r="116" spans="1:10" ht="17.25">
      <c r="A116" s="309">
        <v>45265</v>
      </c>
      <c r="B116" s="310">
        <f t="shared" si="6"/>
        <v>45265</v>
      </c>
      <c r="C116" s="284" t="s">
        <v>1943</v>
      </c>
      <c r="D116" s="284" t="s">
        <v>1921</v>
      </c>
      <c r="E116" s="323" t="str">
        <f t="shared" si="7"/>
        <v>2:00</v>
      </c>
      <c r="F116" s="321" t="str">
        <f t="shared" si="8"/>
        <v>70分</v>
      </c>
      <c r="G116" s="279"/>
      <c r="H116" s="279"/>
      <c r="I116" s="279"/>
      <c r="J116" s="280"/>
    </row>
    <row r="117" spans="1:10" ht="17.25">
      <c r="A117" s="309">
        <v>45266</v>
      </c>
      <c r="B117" s="310">
        <f t="shared" si="6"/>
        <v>45266</v>
      </c>
      <c r="C117" s="285" t="s">
        <v>1943</v>
      </c>
      <c r="D117" s="285" t="s">
        <v>1901</v>
      </c>
      <c r="E117" s="323" t="str">
        <f t="shared" si="7"/>
        <v/>
      </c>
      <c r="F117" s="321" t="str">
        <f t="shared" si="8"/>
        <v>60分</v>
      </c>
      <c r="G117" s="279"/>
      <c r="H117" s="279"/>
      <c r="I117" s="279"/>
      <c r="J117" s="280"/>
    </row>
    <row r="118" spans="1:10" ht="17.25">
      <c r="A118" s="309">
        <v>45267</v>
      </c>
      <c r="B118" s="310">
        <f t="shared" si="6"/>
        <v>45267</v>
      </c>
      <c r="C118" s="284" t="s">
        <v>1944</v>
      </c>
      <c r="D118" s="284" t="s">
        <v>1894</v>
      </c>
      <c r="E118" s="323" t="str">
        <f t="shared" si="7"/>
        <v>2:00</v>
      </c>
      <c r="F118" s="321" t="str">
        <f t="shared" si="8"/>
        <v>70分</v>
      </c>
      <c r="G118" s="279"/>
      <c r="H118" s="279"/>
      <c r="I118" s="279"/>
      <c r="J118" s="280"/>
    </row>
    <row r="119" spans="1:10" ht="17.25">
      <c r="A119" s="309">
        <v>45268</v>
      </c>
      <c r="B119" s="310">
        <f t="shared" si="6"/>
        <v>45268</v>
      </c>
      <c r="C119" s="284" t="s">
        <v>1945</v>
      </c>
      <c r="D119" s="284" t="s">
        <v>1946</v>
      </c>
      <c r="E119" s="323" t="str">
        <f t="shared" si="7"/>
        <v>1:00</v>
      </c>
      <c r="F119" s="321" t="str">
        <f t="shared" si="8"/>
        <v>70分</v>
      </c>
      <c r="G119" s="279"/>
      <c r="H119" s="279"/>
      <c r="I119" s="279"/>
      <c r="J119" s="280"/>
    </row>
    <row r="120" spans="1:10" ht="17.25">
      <c r="A120" s="309">
        <v>45269</v>
      </c>
      <c r="B120" s="310">
        <f t="shared" si="6"/>
        <v>45269</v>
      </c>
      <c r="C120" s="284"/>
      <c r="D120" s="284"/>
      <c r="E120" s="323" t="str">
        <f t="shared" si="7"/>
        <v/>
      </c>
      <c r="F120" s="321" t="str">
        <f t="shared" si="8"/>
        <v/>
      </c>
      <c r="G120" s="279"/>
      <c r="H120" s="279"/>
      <c r="I120" s="279"/>
      <c r="J120" s="280"/>
    </row>
    <row r="121" spans="1:10" ht="17.25">
      <c r="A121" s="309">
        <v>45270</v>
      </c>
      <c r="B121" s="310">
        <f t="shared" si="6"/>
        <v>45270</v>
      </c>
      <c r="C121" s="284"/>
      <c r="D121" s="284"/>
      <c r="E121" s="323" t="str">
        <f t="shared" si="7"/>
        <v/>
      </c>
      <c r="F121" s="321" t="str">
        <f t="shared" si="8"/>
        <v/>
      </c>
      <c r="G121" s="279"/>
      <c r="H121" s="279"/>
      <c r="I121" s="279"/>
      <c r="J121" s="280"/>
    </row>
    <row r="122" spans="1:10" ht="17.25">
      <c r="A122" s="309">
        <v>45271</v>
      </c>
      <c r="B122" s="310">
        <f t="shared" si="6"/>
        <v>45271</v>
      </c>
      <c r="C122" s="284" t="s">
        <v>1943</v>
      </c>
      <c r="D122" s="284" t="s">
        <v>1894</v>
      </c>
      <c r="E122" s="323" t="str">
        <f t="shared" si="7"/>
        <v>2:00</v>
      </c>
      <c r="F122" s="321" t="str">
        <f t="shared" si="8"/>
        <v>70分</v>
      </c>
      <c r="G122" s="279"/>
      <c r="H122" s="279"/>
      <c r="I122" s="279"/>
      <c r="J122" s="280"/>
    </row>
    <row r="123" spans="1:10" ht="17.25">
      <c r="A123" s="309">
        <v>45272</v>
      </c>
      <c r="B123" s="310">
        <f t="shared" si="6"/>
        <v>45272</v>
      </c>
      <c r="C123" s="284" t="s">
        <v>1944</v>
      </c>
      <c r="D123" s="284" t="s">
        <v>1941</v>
      </c>
      <c r="E123" s="323" t="str">
        <f t="shared" si="7"/>
        <v>1:00</v>
      </c>
      <c r="F123" s="321" t="str">
        <f t="shared" si="8"/>
        <v>70分</v>
      </c>
      <c r="G123" s="279"/>
      <c r="H123" s="279"/>
      <c r="I123" s="279"/>
      <c r="J123" s="280"/>
    </row>
    <row r="124" spans="1:10" ht="17.25">
      <c r="A124" s="309">
        <v>45273</v>
      </c>
      <c r="B124" s="310">
        <f t="shared" si="6"/>
        <v>45273</v>
      </c>
      <c r="C124" s="284" t="s">
        <v>1942</v>
      </c>
      <c r="D124" s="284" t="s">
        <v>1901</v>
      </c>
      <c r="E124" s="323" t="str">
        <f t="shared" si="7"/>
        <v/>
      </c>
      <c r="F124" s="321" t="str">
        <f t="shared" si="8"/>
        <v>60分</v>
      </c>
      <c r="G124" s="279"/>
      <c r="H124" s="279"/>
      <c r="I124" s="279"/>
      <c r="J124" s="280"/>
    </row>
    <row r="125" spans="1:10" ht="17.25">
      <c r="A125" s="309">
        <v>45274</v>
      </c>
      <c r="B125" s="310">
        <f t="shared" si="6"/>
        <v>45274</v>
      </c>
      <c r="C125" s="284" t="s">
        <v>1943</v>
      </c>
      <c r="D125" s="284" t="s">
        <v>1940</v>
      </c>
      <c r="E125" s="323" t="str">
        <f t="shared" si="7"/>
        <v/>
      </c>
      <c r="F125" s="321" t="str">
        <f t="shared" si="8"/>
        <v>60分</v>
      </c>
      <c r="G125" s="279"/>
      <c r="H125" s="279"/>
      <c r="I125" s="279"/>
      <c r="J125" s="280"/>
    </row>
    <row r="126" spans="1:10" ht="17.25">
      <c r="A126" s="309">
        <v>45275</v>
      </c>
      <c r="B126" s="310">
        <f t="shared" si="6"/>
        <v>45275</v>
      </c>
      <c r="C126" s="284" t="s">
        <v>1944</v>
      </c>
      <c r="D126" s="284" t="s">
        <v>1941</v>
      </c>
      <c r="E126" s="323" t="str">
        <f t="shared" si="7"/>
        <v>1:00</v>
      </c>
      <c r="F126" s="321" t="str">
        <f t="shared" si="8"/>
        <v>70分</v>
      </c>
      <c r="G126" s="279"/>
      <c r="H126" s="279"/>
      <c r="I126" s="279"/>
      <c r="J126" s="280"/>
    </row>
    <row r="127" spans="1:10" ht="17.25">
      <c r="A127" s="309">
        <v>45276</v>
      </c>
      <c r="B127" s="310">
        <f t="shared" si="6"/>
        <v>45276</v>
      </c>
      <c r="C127" s="284"/>
      <c r="D127" s="284"/>
      <c r="E127" s="323" t="str">
        <f t="shared" si="7"/>
        <v/>
      </c>
      <c r="F127" s="321" t="str">
        <f t="shared" si="8"/>
        <v/>
      </c>
      <c r="G127" s="279"/>
      <c r="H127" s="279"/>
      <c r="I127" s="279"/>
      <c r="J127" s="280"/>
    </row>
    <row r="128" spans="1:10" ht="17.25">
      <c r="A128" s="309">
        <v>45277</v>
      </c>
      <c r="B128" s="310">
        <f t="shared" si="6"/>
        <v>45277</v>
      </c>
      <c r="C128" s="284"/>
      <c r="D128" s="284"/>
      <c r="E128" s="323" t="str">
        <f t="shared" si="7"/>
        <v/>
      </c>
      <c r="F128" s="321" t="str">
        <f t="shared" si="8"/>
        <v/>
      </c>
      <c r="G128" s="279"/>
      <c r="H128" s="279"/>
      <c r="I128" s="279"/>
      <c r="J128" s="280"/>
    </row>
    <row r="129" spans="1:10" ht="17.25">
      <c r="A129" s="309">
        <v>45278</v>
      </c>
      <c r="B129" s="310">
        <f t="shared" si="6"/>
        <v>45278</v>
      </c>
      <c r="C129" s="284" t="s">
        <v>1945</v>
      </c>
      <c r="D129" s="284" t="s">
        <v>1894</v>
      </c>
      <c r="E129" s="323" t="str">
        <f t="shared" si="7"/>
        <v>2:00</v>
      </c>
      <c r="F129" s="321" t="str">
        <f t="shared" si="8"/>
        <v>70分</v>
      </c>
      <c r="G129" s="279"/>
      <c r="H129" s="279"/>
      <c r="I129" s="279"/>
      <c r="J129" s="280"/>
    </row>
    <row r="130" spans="1:10" ht="17.25">
      <c r="A130" s="309">
        <v>45279</v>
      </c>
      <c r="B130" s="310">
        <f t="shared" si="6"/>
        <v>45279</v>
      </c>
      <c r="C130" s="284" t="s">
        <v>1938</v>
      </c>
      <c r="D130" s="284" t="s">
        <v>1894</v>
      </c>
      <c r="E130" s="323" t="str">
        <f t="shared" si="7"/>
        <v>2:00</v>
      </c>
      <c r="F130" s="321" t="str">
        <f t="shared" si="8"/>
        <v>70分</v>
      </c>
      <c r="G130" s="279"/>
      <c r="H130" s="279"/>
      <c r="I130" s="279"/>
      <c r="J130" s="280"/>
    </row>
    <row r="131" spans="1:10" ht="17.25">
      <c r="A131" s="309">
        <v>45280</v>
      </c>
      <c r="B131" s="310">
        <f t="shared" si="6"/>
        <v>45280</v>
      </c>
      <c r="C131" s="284" t="s">
        <v>1938</v>
      </c>
      <c r="D131" s="284" t="s">
        <v>1901</v>
      </c>
      <c r="E131" s="323" t="str">
        <f t="shared" si="7"/>
        <v/>
      </c>
      <c r="F131" s="321" t="str">
        <f t="shared" si="8"/>
        <v>60分</v>
      </c>
      <c r="G131" s="279"/>
      <c r="H131" s="279"/>
      <c r="I131" s="279"/>
      <c r="J131" s="280"/>
    </row>
    <row r="132" spans="1:10" ht="17.25">
      <c r="A132" s="309">
        <v>45281</v>
      </c>
      <c r="B132" s="310">
        <f t="shared" si="6"/>
        <v>45281</v>
      </c>
      <c r="C132" s="284" t="s">
        <v>1943</v>
      </c>
      <c r="D132" s="284" t="s">
        <v>1892</v>
      </c>
      <c r="E132" s="323" t="str">
        <f t="shared" si="7"/>
        <v>2:00</v>
      </c>
      <c r="F132" s="321" t="str">
        <f t="shared" si="8"/>
        <v>70分</v>
      </c>
      <c r="G132" s="279"/>
      <c r="H132" s="279"/>
      <c r="I132" s="279"/>
      <c r="J132" s="280"/>
    </row>
    <row r="133" spans="1:10" ht="17.25">
      <c r="A133" s="309">
        <v>45282</v>
      </c>
      <c r="B133" s="310">
        <f t="shared" si="6"/>
        <v>45282</v>
      </c>
      <c r="C133" s="284" t="s">
        <v>1942</v>
      </c>
      <c r="D133" s="284" t="s">
        <v>1892</v>
      </c>
      <c r="E133" s="323" t="str">
        <f t="shared" si="7"/>
        <v>2:00</v>
      </c>
      <c r="F133" s="321" t="str">
        <f t="shared" si="8"/>
        <v>70分</v>
      </c>
      <c r="G133" s="279"/>
      <c r="H133" s="279"/>
      <c r="I133" s="279"/>
      <c r="J133" s="280"/>
    </row>
    <row r="134" spans="1:10" ht="17.25">
      <c r="A134" s="309">
        <v>45283</v>
      </c>
      <c r="B134" s="310">
        <f t="shared" si="6"/>
        <v>45283</v>
      </c>
      <c r="C134" s="286"/>
      <c r="D134" s="286"/>
      <c r="E134" s="323" t="str">
        <f t="shared" si="7"/>
        <v/>
      </c>
      <c r="F134" s="321" t="str">
        <f t="shared" si="8"/>
        <v/>
      </c>
      <c r="G134" s="279"/>
      <c r="H134" s="279"/>
      <c r="I134" s="279"/>
      <c r="J134" s="280"/>
    </row>
    <row r="135" spans="1:10" ht="17.25">
      <c r="A135" s="309">
        <v>45284</v>
      </c>
      <c r="B135" s="310">
        <f t="shared" si="6"/>
        <v>45284</v>
      </c>
      <c r="C135" s="284"/>
      <c r="D135" s="284"/>
      <c r="E135" s="323" t="str">
        <f t="shared" si="7"/>
        <v/>
      </c>
      <c r="F135" s="321" t="str">
        <f t="shared" si="8"/>
        <v/>
      </c>
      <c r="G135" s="279"/>
      <c r="H135" s="279"/>
      <c r="I135" s="279"/>
      <c r="J135" s="280"/>
    </row>
    <row r="136" spans="1:10" ht="17.25">
      <c r="A136" s="309">
        <v>45285</v>
      </c>
      <c r="B136" s="310">
        <f t="shared" si="6"/>
        <v>45285</v>
      </c>
      <c r="C136" s="284" t="s">
        <v>1938</v>
      </c>
      <c r="D136" s="284" t="s">
        <v>1940</v>
      </c>
      <c r="E136" s="323" t="str">
        <f t="shared" si="7"/>
        <v/>
      </c>
      <c r="F136" s="321" t="str">
        <f t="shared" si="8"/>
        <v>60分</v>
      </c>
      <c r="G136" s="279"/>
      <c r="H136" s="279"/>
      <c r="I136" s="279"/>
      <c r="J136" s="280"/>
    </row>
    <row r="137" spans="1:10" ht="17.25">
      <c r="A137" s="309">
        <v>45286</v>
      </c>
      <c r="B137" s="310">
        <f t="shared" si="6"/>
        <v>45286</v>
      </c>
      <c r="C137" s="284" t="s">
        <v>1938</v>
      </c>
      <c r="D137" s="284" t="s">
        <v>1901</v>
      </c>
      <c r="E137" s="323" t="str">
        <f t="shared" si="7"/>
        <v/>
      </c>
      <c r="F137" s="321" t="str">
        <f t="shared" si="8"/>
        <v>60分</v>
      </c>
      <c r="G137" s="279"/>
      <c r="H137" s="279"/>
      <c r="I137" s="279"/>
      <c r="J137" s="280"/>
    </row>
    <row r="138" spans="1:10" ht="17.25">
      <c r="A138" s="309">
        <v>45287</v>
      </c>
      <c r="B138" s="310">
        <f t="shared" si="6"/>
        <v>45287</v>
      </c>
      <c r="C138" s="284" t="s">
        <v>1943</v>
      </c>
      <c r="D138" s="284" t="s">
        <v>1940</v>
      </c>
      <c r="E138" s="323" t="str">
        <f t="shared" si="7"/>
        <v/>
      </c>
      <c r="F138" s="321" t="str">
        <f t="shared" si="8"/>
        <v>60分</v>
      </c>
      <c r="G138" s="279"/>
      <c r="H138" s="279"/>
      <c r="I138" s="279"/>
      <c r="J138" s="280"/>
    </row>
    <row r="139" spans="1:10" ht="17.25">
      <c r="A139" s="309">
        <v>45288</v>
      </c>
      <c r="B139" s="310">
        <f t="shared" si="6"/>
        <v>45288</v>
      </c>
      <c r="C139" s="284" t="s">
        <v>1943</v>
      </c>
      <c r="D139" s="284" t="s">
        <v>1940</v>
      </c>
      <c r="E139" s="323" t="str">
        <f t="shared" si="7"/>
        <v/>
      </c>
      <c r="F139" s="321" t="str">
        <f t="shared" si="8"/>
        <v>60分</v>
      </c>
      <c r="G139" s="279"/>
      <c r="H139" s="279"/>
      <c r="I139" s="279"/>
      <c r="J139" s="280"/>
    </row>
    <row r="140" spans="1:10" ht="17.25">
      <c r="A140" s="313">
        <v>45289</v>
      </c>
      <c r="B140" s="314">
        <f t="shared" si="6"/>
        <v>45289</v>
      </c>
      <c r="C140" s="315"/>
      <c r="D140" s="315"/>
      <c r="E140" s="329" t="str">
        <f t="shared" si="7"/>
        <v/>
      </c>
      <c r="F140" s="322" t="str">
        <f t="shared" si="8"/>
        <v/>
      </c>
      <c r="G140" s="279"/>
      <c r="H140" s="279"/>
      <c r="I140" s="279"/>
      <c r="J140" s="280"/>
    </row>
    <row r="141" spans="1:10" ht="17.25">
      <c r="A141" s="309">
        <v>45290</v>
      </c>
      <c r="B141" s="310">
        <f t="shared" si="6"/>
        <v>45290</v>
      </c>
      <c r="C141" s="284"/>
      <c r="D141" s="284"/>
      <c r="E141" s="323" t="str">
        <f t="shared" si="7"/>
        <v/>
      </c>
      <c r="F141" s="321" t="str">
        <f t="shared" si="8"/>
        <v/>
      </c>
      <c r="G141" s="279"/>
      <c r="H141" s="279"/>
      <c r="I141" s="279"/>
      <c r="J141" s="280"/>
    </row>
    <row r="142" spans="1:10" ht="17.25">
      <c r="A142" s="309">
        <v>45291</v>
      </c>
      <c r="B142" s="310">
        <f t="shared" si="6"/>
        <v>45291</v>
      </c>
      <c r="C142" s="284"/>
      <c r="D142" s="284"/>
      <c r="E142" s="323" t="str">
        <f t="shared" si="7"/>
        <v/>
      </c>
      <c r="F142" s="321" t="str">
        <f t="shared" si="8"/>
        <v/>
      </c>
      <c r="G142" s="279"/>
      <c r="H142" s="279"/>
      <c r="I142" s="279"/>
      <c r="J142" s="280"/>
    </row>
    <row r="143" spans="1:10">
      <c r="A143" s="283"/>
      <c r="B143" s="283"/>
      <c r="C143" s="288"/>
      <c r="D143" s="288"/>
      <c r="E143" s="288"/>
      <c r="F143" s="283"/>
      <c r="G143" s="283"/>
      <c r="H143" s="283"/>
      <c r="I143" s="283"/>
      <c r="J143" s="283"/>
    </row>
    <row r="144" spans="1:10">
      <c r="A144" s="1096"/>
      <c r="B144" s="1096"/>
      <c r="C144" s="1096"/>
      <c r="D144" s="1096"/>
      <c r="E144" s="1096"/>
      <c r="F144" s="1096"/>
      <c r="G144" s="1096"/>
      <c r="H144" s="1096"/>
      <c r="I144" s="1096"/>
      <c r="J144" s="1096"/>
    </row>
    <row r="145" spans="1:10">
      <c r="A145" s="283"/>
      <c r="B145" s="283"/>
      <c r="C145" s="288"/>
      <c r="D145" s="288"/>
      <c r="E145" s="288"/>
      <c r="F145" s="283"/>
      <c r="G145" s="283"/>
      <c r="H145" s="283"/>
      <c r="I145" s="283"/>
      <c r="J145" s="283"/>
    </row>
    <row r="146" spans="1:10" s="305" customFormat="1">
      <c r="A146" s="320">
        <v>4</v>
      </c>
      <c r="C146" s="306"/>
      <c r="D146" s="306"/>
      <c r="E146" s="306"/>
    </row>
    <row r="147" spans="1:10" ht="35.25" customHeight="1">
      <c r="A147" s="1091" t="s">
        <v>1851</v>
      </c>
      <c r="B147" s="1091"/>
      <c r="C147" s="1091"/>
      <c r="D147" s="1091"/>
      <c r="E147" s="1091"/>
      <c r="F147" s="1091"/>
      <c r="G147" s="1091"/>
      <c r="H147" s="1091"/>
      <c r="I147" s="1091"/>
      <c r="J147" s="1091"/>
    </row>
    <row r="148" spans="1:10" ht="18.75">
      <c r="A148" s="276" t="s">
        <v>1852</v>
      </c>
      <c r="B148" s="276"/>
      <c r="C148" s="299"/>
      <c r="D148" s="299"/>
      <c r="E148" s="287"/>
      <c r="F148" s="275"/>
      <c r="G148" s="275"/>
      <c r="H148" s="275"/>
      <c r="I148" s="275"/>
      <c r="J148" s="275"/>
    </row>
    <row r="149" spans="1:10" ht="18.75">
      <c r="A149" s="275"/>
      <c r="B149" s="275"/>
      <c r="C149" s="291"/>
      <c r="D149" s="291"/>
      <c r="E149" s="275"/>
      <c r="F149" s="275"/>
      <c r="G149" s="292"/>
      <c r="H149" s="292"/>
      <c r="I149" s="311" t="s">
        <v>1745</v>
      </c>
      <c r="J149" s="275"/>
    </row>
    <row r="150" spans="1:10">
      <c r="A150" s="293" t="s">
        <v>1853</v>
      </c>
      <c r="B150" s="294"/>
      <c r="C150" s="295"/>
      <c r="D150" s="295"/>
      <c r="E150" s="295"/>
      <c r="F150" s="294"/>
      <c r="G150" s="296"/>
      <c r="H150" s="296"/>
      <c r="I150" s="296"/>
      <c r="J150" s="297"/>
    </row>
    <row r="151" spans="1:10" ht="55.5">
      <c r="A151" s="1092" t="str">
        <f ca="1">_xlfn.XLOOKUP(A146,TablaTransfor[№],TablaTransfor[カナ],"",0,1)</f>
        <v>ダオ　ホアン　アン</v>
      </c>
      <c r="B151" s="1093"/>
      <c r="C151" s="1093"/>
      <c r="D151" s="1093"/>
      <c r="E151" s="299"/>
      <c r="F151" s="298"/>
      <c r="G151" s="300"/>
      <c r="H151" s="300"/>
      <c r="I151" s="300"/>
      <c r="J151" s="317" t="str" cm="1">
        <f t="array" aca="1" ref="J151" ca="1">_xlfn.XLOOKUP(A151,TablaTransfor[カナ],TablaTransfor[配属先]&amp;TablaTransfor[ライン],"",0,1)</f>
        <v>高雄工業株式会社 愛知事業所本社工場製作課0</v>
      </c>
    </row>
    <row r="152" spans="1:10">
      <c r="A152" s="301" t="s">
        <v>1854</v>
      </c>
      <c r="B152" s="277"/>
      <c r="C152" s="295"/>
      <c r="D152" s="295"/>
      <c r="E152" s="295"/>
      <c r="F152" s="277"/>
      <c r="G152" s="277"/>
      <c r="H152" s="277"/>
      <c r="I152" s="277"/>
      <c r="J152" s="278"/>
    </row>
    <row r="153" spans="1:10">
      <c r="A153" s="1094" t="s">
        <v>1855</v>
      </c>
      <c r="B153" s="1095"/>
      <c r="C153" s="1118" t="e" cm="1">
        <f t="array" aca="1" ref="C153" ca="1">_xlfn.XLOOKUP(J151,TBKaishaInfo[配属先]&amp;TBKaishaInfo[ライン],TBKaishaInfo[派遣先])</f>
        <v>#N/A</v>
      </c>
      <c r="D153" s="1118"/>
      <c r="E153" s="1118"/>
      <c r="F153" s="1118"/>
      <c r="G153" s="1118"/>
      <c r="H153" s="318" t="s">
        <v>1916</v>
      </c>
      <c r="I153" s="1118" t="e" cm="1">
        <f t="array" aca="1" ref="I153" ca="1">_xlfn.XLOOKUP(J151,TBKaishaInfo[配属先]&amp;TBKaishaInfo[ライン],TBKaishaInfo[工場名]&amp;" "&amp;TBKaishaInfo[配属先])</f>
        <v>#N/A</v>
      </c>
      <c r="J153" s="1121"/>
    </row>
    <row r="154" spans="1:10">
      <c r="A154" s="1097" t="s">
        <v>1856</v>
      </c>
      <c r="B154" s="1098"/>
      <c r="C154" s="1119" t="e" cm="1">
        <f t="array" aca="1" ref="C154" ca="1">_xlfn.XLOOKUP(J151,TBKaishaInfo[配属先]&amp;TBKaishaInfo[ライン],TBKaishaInfo[工場住所])</f>
        <v>#N/A</v>
      </c>
      <c r="D154" s="1119"/>
      <c r="E154" s="1119"/>
      <c r="F154" s="1119"/>
      <c r="G154" s="1119"/>
      <c r="H154" s="319" t="s">
        <v>1917</v>
      </c>
      <c r="I154" s="1119" t="e" cm="1">
        <f t="array" aca="1" ref="I154" ca="1">_xlfn.XLOOKUP(J151,TBKaishaInfo[配属先]&amp;TBKaishaInfo[ライン],TBKaishaInfo[工場名]&amp;" "&amp;TBKaishaInfo[配属先]&amp;" "&amp;TBKaishaInfo[指示命令者部署])</f>
        <v>#N/A</v>
      </c>
      <c r="J154" s="1120"/>
    </row>
    <row r="155" spans="1:10">
      <c r="A155" s="1103" t="s">
        <v>1857</v>
      </c>
      <c r="B155" s="1104"/>
      <c r="C155" s="1104"/>
      <c r="D155" s="1104"/>
      <c r="E155" s="1105"/>
      <c r="F155" s="1104" t="s">
        <v>1858</v>
      </c>
      <c r="G155" s="1104"/>
      <c r="H155" s="1104"/>
      <c r="I155" s="1104"/>
      <c r="J155" s="1105"/>
    </row>
    <row r="156" spans="1:10">
      <c r="A156" s="1097" t="s">
        <v>1867</v>
      </c>
      <c r="B156" s="1098"/>
      <c r="C156" s="1098"/>
      <c r="D156" s="1098"/>
      <c r="E156" s="1106"/>
      <c r="F156" s="1107">
        <f ca="1">_xlfn.XLOOKUP(A151,TablaTransfor[カナ],TablaTransfor[仕事内容],"",0,1)</f>
        <v>0</v>
      </c>
      <c r="G156" s="1107"/>
      <c r="H156" s="1107"/>
      <c r="I156" s="1107"/>
      <c r="J156" s="1108"/>
    </row>
    <row r="157" spans="1:10" ht="14.25">
      <c r="A157" s="1099" t="s">
        <v>1868</v>
      </c>
      <c r="B157" s="1100"/>
      <c r="C157" s="1100"/>
      <c r="D157" s="303"/>
      <c r="E157" s="303"/>
      <c r="F157" s="302"/>
      <c r="G157" s="302"/>
      <c r="H157" s="302"/>
      <c r="I157" s="302"/>
      <c r="J157" s="304"/>
    </row>
    <row r="158" spans="1:10">
      <c r="A158" s="1101" t="s">
        <v>1859</v>
      </c>
      <c r="B158" s="1101" t="s">
        <v>1860</v>
      </c>
      <c r="C158" s="1115" t="s">
        <v>1861</v>
      </c>
      <c r="D158" s="1116"/>
      <c r="E158" s="1116"/>
      <c r="F158" s="1117"/>
      <c r="G158" s="1112" t="s">
        <v>1862</v>
      </c>
      <c r="H158" s="1113"/>
      <c r="I158" s="1113"/>
      <c r="J158" s="1114"/>
    </row>
    <row r="159" spans="1:10">
      <c r="A159" s="1102"/>
      <c r="B159" s="1102"/>
      <c r="C159" s="324" t="s">
        <v>1863</v>
      </c>
      <c r="D159" s="324" t="s">
        <v>1864</v>
      </c>
      <c r="E159" s="326" t="s">
        <v>1952</v>
      </c>
      <c r="F159" s="325" t="s">
        <v>1865</v>
      </c>
      <c r="G159" s="1109" t="s">
        <v>1866</v>
      </c>
      <c r="H159" s="1110"/>
      <c r="I159" s="1110"/>
      <c r="J159" s="1111"/>
    </row>
    <row r="160" spans="1:10" ht="17.25">
      <c r="A160" s="309">
        <v>45261</v>
      </c>
      <c r="B160" s="310">
        <f>A160</f>
        <v>45261</v>
      </c>
      <c r="C160" s="284" t="s">
        <v>1896</v>
      </c>
      <c r="D160" s="284" t="s">
        <v>1901</v>
      </c>
      <c r="E160" s="323" t="str">
        <f>IF(D160="","",IF(D160&lt;="17:15","",IF(AND(D160&gt;"17:10",D160&lt;="18:10"),"1:00",IF(AND(D160&gt;"18:00",D160&lt;="19:10"),"2:00",IF(AND(D160&gt;"19:00",D160&lt;="20:10"),"3:00")))))</f>
        <v/>
      </c>
      <c r="F160" s="321" t="str">
        <f>IF(D160="","",IF(E160="","60分","70分"))</f>
        <v>60分</v>
      </c>
      <c r="G160" s="279"/>
      <c r="H160" s="279"/>
      <c r="I160" s="279"/>
      <c r="J160" s="280"/>
    </row>
    <row r="161" spans="1:10" ht="17.25">
      <c r="A161" s="309">
        <v>45262</v>
      </c>
      <c r="B161" s="310">
        <f t="shared" ref="B161:B190" si="9">A161</f>
        <v>45262</v>
      </c>
      <c r="C161" s="284"/>
      <c r="D161" s="284"/>
      <c r="E161" s="323" t="str">
        <f t="shared" ref="E161:E190" si="10">IF(D161="","",IF(D161&lt;="17:15","",IF(AND(D161&gt;"17:10",D161&lt;="18:10"),"1:00",IF(AND(D161&gt;"18:00",D161&lt;="19:10"),"2:00",IF(AND(D161&gt;"19:00",D161&lt;="20:10"),"3:00")))))</f>
        <v/>
      </c>
      <c r="F161" s="321" t="str">
        <f t="shared" ref="F161:F190" si="11">IF(D161="","",IF(E161="","60分","70分"))</f>
        <v/>
      </c>
      <c r="G161" s="279"/>
      <c r="H161" s="279"/>
      <c r="I161" s="279"/>
      <c r="J161" s="280"/>
    </row>
    <row r="162" spans="1:10" ht="17.25">
      <c r="A162" s="309">
        <v>45263</v>
      </c>
      <c r="B162" s="310">
        <f t="shared" si="9"/>
        <v>45263</v>
      </c>
      <c r="C162" s="284"/>
      <c r="D162" s="284"/>
      <c r="E162" s="323" t="str">
        <f t="shared" si="10"/>
        <v/>
      </c>
      <c r="F162" s="321" t="str">
        <f t="shared" si="11"/>
        <v/>
      </c>
      <c r="G162" s="279"/>
      <c r="H162" s="279"/>
      <c r="I162" s="279"/>
      <c r="J162" s="280"/>
    </row>
    <row r="163" spans="1:10" ht="17.25">
      <c r="A163" s="309">
        <v>45264</v>
      </c>
      <c r="B163" s="310">
        <f t="shared" si="9"/>
        <v>45264</v>
      </c>
      <c r="C163" s="312">
        <v>0.33055555555555555</v>
      </c>
      <c r="D163" s="312">
        <v>0.79166666666666663</v>
      </c>
      <c r="E163" s="323" t="str">
        <f t="shared" si="10"/>
        <v/>
      </c>
      <c r="F163" s="321" t="str">
        <f t="shared" si="11"/>
        <v>60分</v>
      </c>
      <c r="G163" s="281"/>
      <c r="H163" s="281"/>
      <c r="I163" s="281"/>
      <c r="J163" s="282"/>
    </row>
    <row r="164" spans="1:10" ht="17.25">
      <c r="A164" s="309">
        <v>45265</v>
      </c>
      <c r="B164" s="310">
        <f t="shared" si="9"/>
        <v>45265</v>
      </c>
      <c r="C164" s="284" t="s">
        <v>1893</v>
      </c>
      <c r="D164" s="284" t="s">
        <v>1921</v>
      </c>
      <c r="E164" s="323" t="str">
        <f t="shared" si="10"/>
        <v>2:00</v>
      </c>
      <c r="F164" s="321" t="str">
        <f t="shared" si="11"/>
        <v>70分</v>
      </c>
      <c r="G164" s="279"/>
      <c r="H164" s="279"/>
      <c r="I164" s="279"/>
      <c r="J164" s="280"/>
    </row>
    <row r="165" spans="1:10" ht="17.25">
      <c r="A165" s="309">
        <v>45266</v>
      </c>
      <c r="B165" s="310">
        <f t="shared" si="9"/>
        <v>45266</v>
      </c>
      <c r="C165" s="285" t="s">
        <v>1895</v>
      </c>
      <c r="D165" s="285" t="s">
        <v>1940</v>
      </c>
      <c r="E165" s="323" t="str">
        <f t="shared" si="10"/>
        <v/>
      </c>
      <c r="F165" s="321" t="str">
        <f t="shared" si="11"/>
        <v>60分</v>
      </c>
      <c r="G165" s="279"/>
      <c r="H165" s="279"/>
      <c r="I165" s="279"/>
      <c r="J165" s="280"/>
    </row>
    <row r="166" spans="1:10" ht="17.25">
      <c r="A166" s="309">
        <v>45267</v>
      </c>
      <c r="B166" s="310">
        <f t="shared" si="9"/>
        <v>45267</v>
      </c>
      <c r="C166" s="284" t="s">
        <v>1897</v>
      </c>
      <c r="D166" s="284" t="s">
        <v>1894</v>
      </c>
      <c r="E166" s="323" t="str">
        <f t="shared" si="10"/>
        <v>2:00</v>
      </c>
      <c r="F166" s="321" t="str">
        <f t="shared" si="11"/>
        <v>70分</v>
      </c>
      <c r="G166" s="279"/>
      <c r="H166" s="279"/>
      <c r="I166" s="279"/>
      <c r="J166" s="280"/>
    </row>
    <row r="167" spans="1:10" ht="17.25">
      <c r="A167" s="309">
        <v>45268</v>
      </c>
      <c r="B167" s="310">
        <f t="shared" si="9"/>
        <v>45268</v>
      </c>
      <c r="C167" s="284" t="s">
        <v>1936</v>
      </c>
      <c r="D167" s="284" t="s">
        <v>1894</v>
      </c>
      <c r="E167" s="323" t="str">
        <f t="shared" si="10"/>
        <v>2:00</v>
      </c>
      <c r="F167" s="321" t="str">
        <f t="shared" si="11"/>
        <v>70分</v>
      </c>
      <c r="G167" s="279"/>
      <c r="H167" s="279"/>
      <c r="I167" s="279"/>
      <c r="J167" s="280"/>
    </row>
    <row r="168" spans="1:10" ht="17.25">
      <c r="A168" s="309">
        <v>45269</v>
      </c>
      <c r="B168" s="310">
        <f t="shared" si="9"/>
        <v>45269</v>
      </c>
      <c r="C168" s="284"/>
      <c r="D168" s="284"/>
      <c r="E168" s="323" t="str">
        <f t="shared" si="10"/>
        <v/>
      </c>
      <c r="F168" s="321" t="str">
        <f t="shared" si="11"/>
        <v/>
      </c>
      <c r="G168" s="279"/>
      <c r="H168" s="279"/>
      <c r="I168" s="279"/>
      <c r="J168" s="280"/>
    </row>
    <row r="169" spans="1:10" ht="17.25">
      <c r="A169" s="309">
        <v>45270</v>
      </c>
      <c r="B169" s="310">
        <f t="shared" si="9"/>
        <v>45270</v>
      </c>
      <c r="C169" s="284"/>
      <c r="D169" s="284"/>
      <c r="E169" s="323" t="str">
        <f t="shared" si="10"/>
        <v/>
      </c>
      <c r="F169" s="321" t="str">
        <f t="shared" si="11"/>
        <v/>
      </c>
      <c r="G169" s="279"/>
      <c r="H169" s="279"/>
      <c r="I169" s="279"/>
      <c r="J169" s="280"/>
    </row>
    <row r="170" spans="1:10" ht="17.25">
      <c r="A170" s="309">
        <v>45271</v>
      </c>
      <c r="B170" s="310">
        <f t="shared" si="9"/>
        <v>45271</v>
      </c>
      <c r="C170" s="284" t="s">
        <v>1947</v>
      </c>
      <c r="D170" s="284"/>
      <c r="E170" s="323" t="str">
        <f t="shared" si="10"/>
        <v/>
      </c>
      <c r="F170" s="321" t="str">
        <f t="shared" si="11"/>
        <v/>
      </c>
      <c r="G170" s="279"/>
      <c r="H170" s="279"/>
      <c r="I170" s="279"/>
      <c r="J170" s="280"/>
    </row>
    <row r="171" spans="1:10" ht="17.25">
      <c r="A171" s="309">
        <v>45272</v>
      </c>
      <c r="B171" s="310">
        <f t="shared" si="9"/>
        <v>45272</v>
      </c>
      <c r="C171" s="284" t="s">
        <v>1931</v>
      </c>
      <c r="D171" s="284" t="s">
        <v>1919</v>
      </c>
      <c r="E171" s="323" t="str">
        <f t="shared" si="10"/>
        <v>2:00</v>
      </c>
      <c r="F171" s="321" t="str">
        <f t="shared" si="11"/>
        <v>70分</v>
      </c>
      <c r="G171" s="279"/>
      <c r="H171" s="279"/>
      <c r="I171" s="279"/>
      <c r="J171" s="280"/>
    </row>
    <row r="172" spans="1:10" ht="17.25">
      <c r="A172" s="309">
        <v>45273</v>
      </c>
      <c r="B172" s="310">
        <f t="shared" si="9"/>
        <v>45273</v>
      </c>
      <c r="C172" s="284" t="s">
        <v>1922</v>
      </c>
      <c r="D172" s="284" t="s">
        <v>1919</v>
      </c>
      <c r="E172" s="323" t="str">
        <f t="shared" si="10"/>
        <v>2:00</v>
      </c>
      <c r="F172" s="321" t="str">
        <f t="shared" si="11"/>
        <v>70分</v>
      </c>
      <c r="G172" s="279"/>
      <c r="H172" s="279"/>
      <c r="I172" s="279"/>
      <c r="J172" s="280"/>
    </row>
    <row r="173" spans="1:10" ht="17.25">
      <c r="A173" s="309">
        <v>45274</v>
      </c>
      <c r="B173" s="310">
        <f t="shared" si="9"/>
        <v>45274</v>
      </c>
      <c r="C173" s="284" t="s">
        <v>1922</v>
      </c>
      <c r="D173" s="284" t="s">
        <v>1921</v>
      </c>
      <c r="E173" s="323" t="str">
        <f t="shared" si="10"/>
        <v>2:00</v>
      </c>
      <c r="F173" s="321" t="str">
        <f t="shared" si="11"/>
        <v>70分</v>
      </c>
      <c r="G173" s="279"/>
      <c r="H173" s="279"/>
      <c r="I173" s="279"/>
      <c r="J173" s="280"/>
    </row>
    <row r="174" spans="1:10" ht="17.25">
      <c r="A174" s="309">
        <v>45275</v>
      </c>
      <c r="B174" s="310">
        <f t="shared" si="9"/>
        <v>45275</v>
      </c>
      <c r="C174" s="284" t="s">
        <v>1920</v>
      </c>
      <c r="D174" s="284" t="s">
        <v>1921</v>
      </c>
      <c r="E174" s="323" t="str">
        <f t="shared" si="10"/>
        <v>2:00</v>
      </c>
      <c r="F174" s="321" t="str">
        <f t="shared" si="11"/>
        <v>70分</v>
      </c>
      <c r="G174" s="279"/>
      <c r="H174" s="279"/>
      <c r="I174" s="279"/>
      <c r="J174" s="280"/>
    </row>
    <row r="175" spans="1:10" ht="17.25">
      <c r="A175" s="309">
        <v>45276</v>
      </c>
      <c r="B175" s="310">
        <f t="shared" si="9"/>
        <v>45276</v>
      </c>
      <c r="C175" s="284"/>
      <c r="D175" s="284"/>
      <c r="E175" s="323" t="str">
        <f t="shared" si="10"/>
        <v/>
      </c>
      <c r="F175" s="321" t="str">
        <f t="shared" si="11"/>
        <v/>
      </c>
      <c r="G175" s="279"/>
      <c r="H175" s="279"/>
      <c r="I175" s="279"/>
      <c r="J175" s="280"/>
    </row>
    <row r="176" spans="1:10" ht="17.25">
      <c r="A176" s="309">
        <v>45277</v>
      </c>
      <c r="B176" s="310">
        <f t="shared" si="9"/>
        <v>45277</v>
      </c>
      <c r="C176" s="284"/>
      <c r="D176" s="284"/>
      <c r="E176" s="323" t="str">
        <f t="shared" si="10"/>
        <v/>
      </c>
      <c r="F176" s="321" t="str">
        <f t="shared" si="11"/>
        <v/>
      </c>
      <c r="G176" s="279"/>
      <c r="H176" s="279"/>
      <c r="I176" s="279"/>
      <c r="J176" s="280"/>
    </row>
    <row r="177" spans="1:10" ht="17.25">
      <c r="A177" s="309">
        <v>45278</v>
      </c>
      <c r="B177" s="310">
        <f t="shared" si="9"/>
        <v>45278</v>
      </c>
      <c r="C177" s="284" t="s">
        <v>1895</v>
      </c>
      <c r="D177" s="284" t="s">
        <v>1892</v>
      </c>
      <c r="E177" s="323" t="str">
        <f t="shared" si="10"/>
        <v>2:00</v>
      </c>
      <c r="F177" s="321" t="str">
        <f t="shared" si="11"/>
        <v>70分</v>
      </c>
      <c r="G177" s="279"/>
      <c r="H177" s="279"/>
      <c r="I177" s="279"/>
      <c r="J177" s="280"/>
    </row>
    <row r="178" spans="1:10" ht="17.25">
      <c r="A178" s="309">
        <v>45279</v>
      </c>
      <c r="B178" s="310">
        <f t="shared" si="9"/>
        <v>45279</v>
      </c>
      <c r="C178" s="284" t="s">
        <v>1899</v>
      </c>
      <c r="D178" s="284" t="s">
        <v>1950</v>
      </c>
      <c r="E178" s="328">
        <v>6.25E-2</v>
      </c>
      <c r="F178" s="321" t="str">
        <f t="shared" si="11"/>
        <v>70分</v>
      </c>
      <c r="G178" s="279"/>
      <c r="H178" s="279"/>
      <c r="I178" s="279"/>
      <c r="J178" s="280"/>
    </row>
    <row r="179" spans="1:10" ht="17.25">
      <c r="A179" s="309">
        <v>45280</v>
      </c>
      <c r="B179" s="310">
        <f t="shared" si="9"/>
        <v>45280</v>
      </c>
      <c r="C179" s="284" t="s">
        <v>1896</v>
      </c>
      <c r="D179" s="284" t="s">
        <v>1941</v>
      </c>
      <c r="E179" s="323" t="str">
        <f t="shared" si="10"/>
        <v>1:00</v>
      </c>
      <c r="F179" s="321" t="str">
        <f t="shared" si="11"/>
        <v>70分</v>
      </c>
      <c r="G179" s="279"/>
      <c r="H179" s="279"/>
      <c r="I179" s="279"/>
      <c r="J179" s="280"/>
    </row>
    <row r="180" spans="1:10" ht="17.25">
      <c r="A180" s="309">
        <v>45281</v>
      </c>
      <c r="B180" s="310">
        <f t="shared" si="9"/>
        <v>45281</v>
      </c>
      <c r="C180" s="284" t="s">
        <v>1899</v>
      </c>
      <c r="D180" s="284" t="s">
        <v>1894</v>
      </c>
      <c r="E180" s="323" t="str">
        <f t="shared" si="10"/>
        <v>2:00</v>
      </c>
      <c r="F180" s="321" t="str">
        <f t="shared" si="11"/>
        <v>70分</v>
      </c>
      <c r="G180" s="279"/>
      <c r="H180" s="279"/>
      <c r="I180" s="279"/>
      <c r="J180" s="280"/>
    </row>
    <row r="181" spans="1:10" ht="17.25">
      <c r="A181" s="309">
        <v>45282</v>
      </c>
      <c r="B181" s="310">
        <f t="shared" si="9"/>
        <v>45282</v>
      </c>
      <c r="C181" s="284" t="s">
        <v>1948</v>
      </c>
      <c r="D181" s="284" t="s">
        <v>1901</v>
      </c>
      <c r="E181" s="323" t="str">
        <f t="shared" si="10"/>
        <v/>
      </c>
      <c r="F181" s="321" t="str">
        <f t="shared" si="11"/>
        <v>60分</v>
      </c>
      <c r="G181" s="279"/>
      <c r="H181" s="279"/>
      <c r="I181" s="279"/>
      <c r="J181" s="280"/>
    </row>
    <row r="182" spans="1:10" ht="17.25">
      <c r="A182" s="309">
        <v>45283</v>
      </c>
      <c r="B182" s="310">
        <f t="shared" si="9"/>
        <v>45283</v>
      </c>
      <c r="C182" s="286"/>
      <c r="D182" s="286"/>
      <c r="E182" s="323" t="str">
        <f t="shared" si="10"/>
        <v/>
      </c>
      <c r="F182" s="321" t="str">
        <f t="shared" si="11"/>
        <v/>
      </c>
      <c r="G182" s="279"/>
      <c r="H182" s="279"/>
      <c r="I182" s="279"/>
      <c r="J182" s="280"/>
    </row>
    <row r="183" spans="1:10" ht="17.25">
      <c r="A183" s="309">
        <v>45284</v>
      </c>
      <c r="B183" s="310">
        <f t="shared" si="9"/>
        <v>45284</v>
      </c>
      <c r="C183" s="284"/>
      <c r="D183" s="284"/>
      <c r="E183" s="323" t="str">
        <f t="shared" si="10"/>
        <v/>
      </c>
      <c r="F183" s="321" t="str">
        <f t="shared" si="11"/>
        <v/>
      </c>
      <c r="G183" s="279"/>
      <c r="H183" s="279"/>
      <c r="I183" s="279"/>
      <c r="J183" s="280"/>
    </row>
    <row r="184" spans="1:10" ht="17.25">
      <c r="A184" s="309">
        <v>45285</v>
      </c>
      <c r="B184" s="310">
        <f t="shared" si="9"/>
        <v>45285</v>
      </c>
      <c r="C184" s="284" t="s">
        <v>1949</v>
      </c>
      <c r="D184" s="284" t="s">
        <v>1951</v>
      </c>
      <c r="E184" s="323" t="str">
        <f t="shared" si="10"/>
        <v/>
      </c>
      <c r="F184" s="321" t="str">
        <f t="shared" si="11"/>
        <v>60分</v>
      </c>
      <c r="G184" s="279"/>
      <c r="H184" s="279"/>
      <c r="I184" s="279"/>
      <c r="J184" s="280"/>
    </row>
    <row r="185" spans="1:10" ht="17.25">
      <c r="A185" s="309">
        <v>45286</v>
      </c>
      <c r="B185" s="310">
        <f t="shared" si="9"/>
        <v>45286</v>
      </c>
      <c r="C185" s="284" t="s">
        <v>1936</v>
      </c>
      <c r="D185" s="284" t="s">
        <v>1940</v>
      </c>
      <c r="E185" s="323" t="str">
        <f t="shared" si="10"/>
        <v/>
      </c>
      <c r="F185" s="321" t="str">
        <f t="shared" si="11"/>
        <v>60分</v>
      </c>
      <c r="G185" s="279"/>
      <c r="H185" s="279"/>
      <c r="I185" s="279"/>
      <c r="J185" s="280"/>
    </row>
    <row r="186" spans="1:10" ht="17.25">
      <c r="A186" s="309">
        <v>45287</v>
      </c>
      <c r="B186" s="310">
        <f t="shared" si="9"/>
        <v>45287</v>
      </c>
      <c r="C186" s="284" t="s">
        <v>1939</v>
      </c>
      <c r="D186" s="284" t="s">
        <v>1940</v>
      </c>
      <c r="E186" s="323" t="str">
        <f t="shared" si="10"/>
        <v/>
      </c>
      <c r="F186" s="321" t="str">
        <f t="shared" si="11"/>
        <v>60分</v>
      </c>
      <c r="G186" s="279"/>
      <c r="H186" s="279"/>
      <c r="I186" s="279"/>
      <c r="J186" s="280"/>
    </row>
    <row r="187" spans="1:10" ht="17.25">
      <c r="A187" s="309">
        <v>45288</v>
      </c>
      <c r="B187" s="310">
        <f t="shared" si="9"/>
        <v>45288</v>
      </c>
      <c r="C187" s="284" t="s">
        <v>1896</v>
      </c>
      <c r="D187" s="284" t="s">
        <v>1940</v>
      </c>
      <c r="E187" s="323" t="str">
        <f t="shared" si="10"/>
        <v/>
      </c>
      <c r="F187" s="321" t="str">
        <f t="shared" si="11"/>
        <v>60分</v>
      </c>
      <c r="G187" s="279"/>
      <c r="H187" s="279"/>
      <c r="I187" s="279"/>
      <c r="J187" s="280"/>
    </row>
    <row r="188" spans="1:10" ht="17.25">
      <c r="A188" s="313">
        <v>45289</v>
      </c>
      <c r="B188" s="314">
        <f t="shared" si="9"/>
        <v>45289</v>
      </c>
      <c r="C188" s="315"/>
      <c r="D188" s="315"/>
      <c r="E188" s="329" t="str">
        <f t="shared" si="10"/>
        <v/>
      </c>
      <c r="F188" s="322" t="str">
        <f t="shared" si="11"/>
        <v/>
      </c>
      <c r="G188" s="279"/>
      <c r="H188" s="279"/>
      <c r="I188" s="279"/>
      <c r="J188" s="280"/>
    </row>
    <row r="189" spans="1:10" ht="17.25">
      <c r="A189" s="309">
        <v>45290</v>
      </c>
      <c r="B189" s="310">
        <f t="shared" si="9"/>
        <v>45290</v>
      </c>
      <c r="C189" s="284"/>
      <c r="D189" s="284"/>
      <c r="E189" s="323" t="str">
        <f t="shared" si="10"/>
        <v/>
      </c>
      <c r="F189" s="321" t="str">
        <f t="shared" si="11"/>
        <v/>
      </c>
      <c r="G189" s="279"/>
      <c r="H189" s="279"/>
      <c r="I189" s="279"/>
      <c r="J189" s="280"/>
    </row>
    <row r="190" spans="1:10" ht="17.25">
      <c r="A190" s="309">
        <v>45291</v>
      </c>
      <c r="B190" s="310">
        <f t="shared" si="9"/>
        <v>45291</v>
      </c>
      <c r="C190" s="284"/>
      <c r="D190" s="284"/>
      <c r="E190" s="323" t="str">
        <f t="shared" si="10"/>
        <v/>
      </c>
      <c r="F190" s="321" t="str">
        <f t="shared" si="11"/>
        <v/>
      </c>
      <c r="G190" s="279"/>
      <c r="H190" s="279"/>
      <c r="I190" s="279"/>
      <c r="J190" s="280"/>
    </row>
    <row r="191" spans="1:10">
      <c r="A191" s="283"/>
      <c r="B191" s="283"/>
      <c r="C191" s="288"/>
      <c r="D191" s="288"/>
      <c r="E191" s="288"/>
      <c r="F191" s="283"/>
      <c r="G191" s="283"/>
      <c r="H191" s="283"/>
      <c r="I191" s="283"/>
      <c r="J191" s="283"/>
    </row>
    <row r="192" spans="1:10">
      <c r="A192" s="1096"/>
      <c r="B192" s="1096"/>
      <c r="C192" s="1096"/>
      <c r="D192" s="1096"/>
      <c r="E192" s="1096"/>
      <c r="F192" s="1096"/>
      <c r="G192" s="1096"/>
      <c r="H192" s="1096"/>
      <c r="I192" s="1096"/>
      <c r="J192" s="1096"/>
    </row>
    <row r="193" spans="1:10">
      <c r="A193" s="283"/>
      <c r="B193" s="283"/>
      <c r="C193" s="288"/>
      <c r="D193" s="288"/>
      <c r="E193" s="288"/>
      <c r="F193" s="283"/>
      <c r="G193" s="283"/>
      <c r="H193" s="283"/>
      <c r="I193" s="283"/>
      <c r="J193" s="283"/>
    </row>
  </sheetData>
  <mergeCells count="76">
    <mergeCell ref="A51:J51"/>
    <mergeCell ref="A55:D55"/>
    <mergeCell ref="G15:J15"/>
    <mergeCell ref="A57:B57"/>
    <mergeCell ref="C57:G57"/>
    <mergeCell ref="I57:J57"/>
    <mergeCell ref="A13:C13"/>
    <mergeCell ref="A14:A15"/>
    <mergeCell ref="B14:B15"/>
    <mergeCell ref="C14:F14"/>
    <mergeCell ref="A48:J48"/>
    <mergeCell ref="G14:J14"/>
    <mergeCell ref="I153:J153"/>
    <mergeCell ref="C154:G154"/>
    <mergeCell ref="I154:J154"/>
    <mergeCell ref="C58:G58"/>
    <mergeCell ref="I58:J58"/>
    <mergeCell ref="C110:F110"/>
    <mergeCell ref="G110:J110"/>
    <mergeCell ref="G111:J111"/>
    <mergeCell ref="A108:E108"/>
    <mergeCell ref="F108:J108"/>
    <mergeCell ref="G62:J62"/>
    <mergeCell ref="G63:J63"/>
    <mergeCell ref="C62:F62"/>
    <mergeCell ref="A58:B58"/>
    <mergeCell ref="A61:C61"/>
    <mergeCell ref="A59:E59"/>
    <mergeCell ref="F12:J12"/>
    <mergeCell ref="A11:E11"/>
    <mergeCell ref="A12:E12"/>
    <mergeCell ref="A3:J3"/>
    <mergeCell ref="A7:D7"/>
    <mergeCell ref="A9:B9"/>
    <mergeCell ref="I9:J9"/>
    <mergeCell ref="C9:G9"/>
    <mergeCell ref="A10:B10"/>
    <mergeCell ref="I10:J10"/>
    <mergeCell ref="C10:G10"/>
    <mergeCell ref="F11:J11"/>
    <mergeCell ref="F59:J59"/>
    <mergeCell ref="F60:J60"/>
    <mergeCell ref="A99:J99"/>
    <mergeCell ref="A103:D103"/>
    <mergeCell ref="A105:B105"/>
    <mergeCell ref="C105:G105"/>
    <mergeCell ref="I105:J105"/>
    <mergeCell ref="A96:J96"/>
    <mergeCell ref="A62:A63"/>
    <mergeCell ref="B62:B63"/>
    <mergeCell ref="A60:E60"/>
    <mergeCell ref="A144:J144"/>
    <mergeCell ref="A106:B106"/>
    <mergeCell ref="A109:C109"/>
    <mergeCell ref="A110:A111"/>
    <mergeCell ref="B110:B111"/>
    <mergeCell ref="C106:G106"/>
    <mergeCell ref="I106:J106"/>
    <mergeCell ref="A107:E107"/>
    <mergeCell ref="F107:J107"/>
    <mergeCell ref="A147:J147"/>
    <mergeCell ref="A151:D151"/>
    <mergeCell ref="A153:B153"/>
    <mergeCell ref="A192:J192"/>
    <mergeCell ref="A154:B154"/>
    <mergeCell ref="A157:C157"/>
    <mergeCell ref="A158:A159"/>
    <mergeCell ref="B158:B159"/>
    <mergeCell ref="A155:E155"/>
    <mergeCell ref="F155:J155"/>
    <mergeCell ref="A156:E156"/>
    <mergeCell ref="F156:J156"/>
    <mergeCell ref="G159:J159"/>
    <mergeCell ref="G158:J158"/>
    <mergeCell ref="C158:F158"/>
    <mergeCell ref="C153:G153"/>
  </mergeCells>
  <phoneticPr fontId="1"/>
  <conditionalFormatting sqref="A16:F46">
    <cfRule type="expression" dxfId="22" priority="19">
      <formula>WEEKDAY($B16)=7</formula>
    </cfRule>
    <cfRule type="expression" dxfId="21" priority="20">
      <formula>WEEKDAY($B16)=1</formula>
    </cfRule>
  </conditionalFormatting>
  <conditionalFormatting sqref="A64:F94">
    <cfRule type="expression" dxfId="20" priority="5">
      <formula>WEEKDAY($B64)=7</formula>
    </cfRule>
    <cfRule type="expression" dxfId="19" priority="6">
      <formula>WEEKDAY($B64)=1</formula>
    </cfRule>
  </conditionalFormatting>
  <conditionalFormatting sqref="A112:F142">
    <cfRule type="expression" dxfId="18" priority="3">
      <formula>WEEKDAY($B112)=7</formula>
    </cfRule>
    <cfRule type="expression" dxfId="17" priority="4">
      <formula>WEEKDAY($B112)=1</formula>
    </cfRule>
  </conditionalFormatting>
  <conditionalFormatting sqref="A160:F190">
    <cfRule type="expression" dxfId="16" priority="1">
      <formula>WEEKDAY($B160)=7</formula>
    </cfRule>
    <cfRule type="expression" dxfId="15" priority="2">
      <formula>WEEKDAY($B160)=1</formula>
    </cfRule>
  </conditionalFormatting>
  <pageMargins left="0.7" right="0.7" top="0.75" bottom="0.75" header="0.3" footer="0.3"/>
  <pageSetup paperSize="9" scale="99" fitToHeight="0" orientation="portrait" r:id="rId1"/>
  <rowBreaks count="3" manualBreakCount="3">
    <brk id="48" max="16383" man="1"/>
    <brk id="96" max="16383" man="1"/>
    <brk id="1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5DE2D-8800-49B3-9785-14FC34A9432D}">
  <sheetPr codeName="Sheet1">
    <tabColor rgb="FF00B050"/>
  </sheetPr>
  <dimension ref="A1:AI74"/>
  <sheetViews>
    <sheetView topLeftCell="B1" workbookViewId="0">
      <selection activeCell="C21" sqref="C21:AI23"/>
    </sheetView>
  </sheetViews>
  <sheetFormatPr defaultColWidth="9.01171875" defaultRowHeight="14.25"/>
  <cols>
    <col min="1" max="1" width="22.8671875" style="54" hidden="1" customWidth="1"/>
    <col min="2" max="2" width="4.5703125" style="7" customWidth="1"/>
    <col min="3" max="14" width="3.765625" style="7" customWidth="1"/>
    <col min="15" max="15" width="17.890625" style="7" customWidth="1"/>
    <col min="16" max="66" width="3.765625" style="7" customWidth="1"/>
    <col min="67" max="16384" width="9.01171875" style="7"/>
  </cols>
  <sheetData>
    <row r="1" spans="3:22">
      <c r="C1" s="1135" t="str">
        <f>個別契約書X!I5</f>
        <v>高雄工業株式会社 愛知事業所</v>
      </c>
      <c r="D1" s="1135"/>
      <c r="E1" s="1135"/>
      <c r="F1" s="1135"/>
      <c r="G1" s="1135"/>
      <c r="H1" s="1135"/>
      <c r="I1" s="1135"/>
      <c r="J1" s="1135"/>
      <c r="K1" s="1135"/>
      <c r="L1" s="1135"/>
      <c r="M1" s="1135"/>
    </row>
    <row r="2" spans="3:22" ht="19.5" customHeight="1">
      <c r="C2" s="656" t="s">
        <v>1645</v>
      </c>
      <c r="D2" s="656"/>
      <c r="E2" s="656"/>
      <c r="F2" s="656"/>
      <c r="G2" s="656"/>
      <c r="H2" s="656"/>
      <c r="I2" s="656"/>
      <c r="J2" s="656"/>
      <c r="K2" s="656"/>
      <c r="L2" s="656" t="s">
        <v>1646</v>
      </c>
      <c r="M2" s="656"/>
      <c r="V2" s="87"/>
    </row>
    <row r="5" spans="3:22">
      <c r="C5" s="7" t="s">
        <v>1647</v>
      </c>
    </row>
    <row r="8" spans="3:22">
      <c r="C8" s="1130">
        <v>45220</v>
      </c>
      <c r="D8" s="1130"/>
      <c r="E8" s="1130"/>
      <c r="F8" s="1130"/>
      <c r="G8" s="85" t="s">
        <v>733</v>
      </c>
      <c r="H8" s="1131">
        <f>DATE(YEAR($C$8),MONTH($C$8)+1,DAY($C$8)-1)</f>
        <v>45250</v>
      </c>
      <c r="I8" s="1131"/>
      <c r="J8" s="1131"/>
      <c r="K8" s="1131"/>
      <c r="L8" s="7" t="s">
        <v>1648</v>
      </c>
      <c r="M8" s="86"/>
    </row>
    <row r="9" spans="3:22">
      <c r="C9" s="7" t="s">
        <v>1649</v>
      </c>
    </row>
    <row r="13" spans="3:22">
      <c r="C13" s="7" t="s">
        <v>1650</v>
      </c>
      <c r="K13" s="7" t="s">
        <v>1644</v>
      </c>
    </row>
    <row r="14" spans="3:22">
      <c r="K14" s="7" t="str">
        <f>個別契約書X!I5</f>
        <v>高雄工業株式会社 愛知事業所</v>
      </c>
    </row>
    <row r="16" spans="3:22">
      <c r="K16" s="7" t="s">
        <v>1643</v>
      </c>
    </row>
    <row r="17" spans="1:35">
      <c r="K17" s="7" t="str">
        <f>個別契約書X!Q5</f>
        <v>愛知県弥富市楠三丁目13番地2</v>
      </c>
    </row>
    <row r="19" spans="1:35" ht="18.75" customHeight="1">
      <c r="C19" s="1134" t="s">
        <v>1642</v>
      </c>
      <c r="D19" s="1134"/>
      <c r="E19" s="1134"/>
      <c r="F19" s="1134"/>
      <c r="G19" s="1134"/>
      <c r="H19" s="1134"/>
      <c r="I19" s="1134"/>
      <c r="J19" s="1132" t="s">
        <v>1651</v>
      </c>
      <c r="K19" s="1132"/>
      <c r="L19" s="1132"/>
      <c r="M19" s="1132"/>
      <c r="N19" s="1132"/>
      <c r="O19" s="1132"/>
      <c r="P19" s="1132"/>
      <c r="Q19" s="1132" t="s">
        <v>1652</v>
      </c>
      <c r="R19" s="1132"/>
      <c r="S19" s="1132"/>
      <c r="T19" s="1132"/>
      <c r="U19" s="1132"/>
      <c r="V19" s="1132"/>
      <c r="W19" s="1132"/>
      <c r="X19" s="1136" t="s">
        <v>1653</v>
      </c>
      <c r="Y19" s="1137"/>
      <c r="Z19" s="1137"/>
      <c r="AA19" s="1138"/>
      <c r="AB19" s="664" t="s">
        <v>1654</v>
      </c>
      <c r="AC19" s="665"/>
      <c r="AD19" s="665"/>
      <c r="AE19" s="665"/>
      <c r="AF19" s="665"/>
      <c r="AG19" s="665"/>
      <c r="AH19" s="665"/>
      <c r="AI19" s="666"/>
    </row>
    <row r="20" spans="1:35" ht="16.5" customHeight="1">
      <c r="A20" s="54" t="str" cm="1">
        <f t="array" aca="1" ref="A20" ca="1">_xlfn.XLOOKUP($B20,TablaTransfor[社員№],TablaTransfor[配属先]&amp;TablaTransfor[ライン],"",0,1)</f>
        <v/>
      </c>
      <c r="B20" s="192">
        <v>221206</v>
      </c>
      <c r="C20" s="1128" t="str">
        <f ca="1">IF($B20="","",_xlfn.XLOOKUP($B20,TablaTransfor[社員№],TablaTransfor[カナ],"",-1,-1))</f>
        <v>レー　ヴィエット　ズン</v>
      </c>
      <c r="D20" s="1128"/>
      <c r="E20" s="1128"/>
      <c r="F20" s="1128"/>
      <c r="G20" s="1128"/>
      <c r="H20" s="1128"/>
      <c r="I20" s="1128"/>
      <c r="J20" s="1133" t="str">
        <f ca="1">IF($C20="","",_xlfn.XLOOKUP($B20,TablaTransfor[社員№],TablaTransfor[仕事内容],"",-1,-1))</f>
        <v>CVJ部品長軸品の施削加工、NCプログラム修正</v>
      </c>
      <c r="K20" s="1133"/>
      <c r="L20" s="1133"/>
      <c r="M20" s="1133"/>
      <c r="N20" s="1133"/>
      <c r="O20" s="1133"/>
      <c r="P20" s="1133"/>
      <c r="Q20" s="1128" t="str" cm="1">
        <f t="array" aca="1" ref="Q20" ca="1">_xlfn.XLOOKUP($A20,TBKaishaInfo[配属先]&amp;TBKaishaInfo[ライン],TBKaishaInfo[工場名]&amp;" "&amp;TBKaishaInfo[配属先]&amp;" "&amp;TBKaishaInfo[ライン],"",0,1)</f>
        <v xml:space="preserve">  </v>
      </c>
      <c r="R20" s="1128"/>
      <c r="S20" s="1128"/>
      <c r="T20" s="1128"/>
      <c r="U20" s="1128"/>
      <c r="V20" s="1128"/>
      <c r="W20" s="1128"/>
      <c r="X20" s="1122" cm="1">
        <f t="array" aca="1" ref="X20" ca="1">IF($C20="","",_xlfn.XLOOKUP($A20,TBKaishaInfo[配属先]&amp;TBKaishaInfo[ライン],TBKaishaInfo[配属先],"",0,1))</f>
        <v>0</v>
      </c>
      <c r="Y20" s="1123"/>
      <c r="Z20" s="1123"/>
      <c r="AA20" s="1124"/>
      <c r="AB20" s="1122" t="str">
        <f ca="1">IF($C20="","","付与される権限なし")</f>
        <v>付与される権限なし</v>
      </c>
      <c r="AC20" s="1123"/>
      <c r="AD20" s="1123"/>
      <c r="AE20" s="1123"/>
      <c r="AF20" s="1123"/>
      <c r="AG20" s="1123"/>
      <c r="AH20" s="1123"/>
      <c r="AI20" s="1124"/>
    </row>
    <row r="21" spans="1:35" ht="16.5" customHeight="1">
      <c r="A21" s="54" t="str" cm="1">
        <f t="array" aca="1" ref="A21" ca="1">_xlfn.XLOOKUP($B21,TablaTransfor[社員№],TablaTransfor[配属先]&amp;TablaTransfor[ライン],"",0,1)</f>
        <v/>
      </c>
      <c r="B21" s="192">
        <v>230816</v>
      </c>
      <c r="C21" s="1128" t="str">
        <f ca="1">IF($B21="","",_xlfn.XLOOKUP($B21,TablaTransfor[社員№],TablaTransfor[カナ],"",-1,-1))</f>
        <v>グエン　ゴック　タイン</v>
      </c>
      <c r="D21" s="1128"/>
      <c r="E21" s="1128"/>
      <c r="F21" s="1128"/>
      <c r="G21" s="1128"/>
      <c r="H21" s="1128"/>
      <c r="I21" s="1128"/>
      <c r="J21" s="1133" t="str">
        <f ca="1">IF($C21="","",_xlfn.XLOOKUP($B21,TablaTransfor[社員№],TablaTransfor[仕事内容],"",-1,-1))</f>
        <v>CVJ部品長軸品の施削加工、NCプログラム修正</v>
      </c>
      <c r="K21" s="1133"/>
      <c r="L21" s="1133"/>
      <c r="M21" s="1133"/>
      <c r="N21" s="1133"/>
      <c r="O21" s="1133"/>
      <c r="P21" s="1133"/>
      <c r="Q21" s="1128" t="str" cm="1">
        <f t="array" aca="1" ref="Q21" ca="1">_xlfn.XLOOKUP($A21,TBKaishaInfo[配属先]&amp;TBKaishaInfo[ライン],TBKaishaInfo[工場名]&amp;" "&amp;TBKaishaInfo[配属先]&amp;" "&amp;TBKaishaInfo[ライン],"",0,1)</f>
        <v xml:space="preserve">  </v>
      </c>
      <c r="R21" s="1128"/>
      <c r="S21" s="1128"/>
      <c r="T21" s="1128"/>
      <c r="U21" s="1128"/>
      <c r="V21" s="1128"/>
      <c r="W21" s="1128"/>
      <c r="X21" s="1122" cm="1">
        <f t="array" aca="1" ref="X21" ca="1">IF($C21="","",_xlfn.XLOOKUP($A21,TBKaishaInfo[配属先]&amp;TBKaishaInfo[ライン],TBKaishaInfo[配属先],"",0,1))</f>
        <v>0</v>
      </c>
      <c r="Y21" s="1123"/>
      <c r="Z21" s="1123"/>
      <c r="AA21" s="1124"/>
      <c r="AB21" s="1122" t="str">
        <f t="shared" ref="AB21:AB35" ca="1" si="0">IF($C21="","","付与される権限なし")</f>
        <v>付与される権限なし</v>
      </c>
      <c r="AC21" s="1123"/>
      <c r="AD21" s="1123"/>
      <c r="AE21" s="1123"/>
      <c r="AF21" s="1123"/>
      <c r="AG21" s="1123"/>
      <c r="AH21" s="1123"/>
      <c r="AI21" s="1124"/>
    </row>
    <row r="22" spans="1:35" ht="16.5" customHeight="1">
      <c r="A22" s="54" t="str" cm="1">
        <f t="array" aca="1" ref="A22" ca="1">_xlfn.XLOOKUP($B22,TablaTransfor[社員№],TablaTransfor[配属先]&amp;TablaTransfor[ライン],"",0,1)</f>
        <v/>
      </c>
      <c r="B22" s="192">
        <v>231101</v>
      </c>
      <c r="C22" s="1128" t="str">
        <f ca="1">IF($B22="","",_xlfn.XLOOKUP($B22,TablaTransfor[社員№],TablaTransfor[カナ],"",-1,-1))</f>
        <v>レー　バン　ハイ</v>
      </c>
      <c r="D22" s="1128"/>
      <c r="E22" s="1128"/>
      <c r="F22" s="1128"/>
      <c r="G22" s="1128"/>
      <c r="H22" s="1128"/>
      <c r="I22" s="1128"/>
      <c r="J22" s="1133" t="str">
        <f ca="1">IF($C22="","",_xlfn.XLOOKUP($B22,TablaTransfor[社員№],TablaTransfor[仕事内容],"",-1,-1))</f>
        <v>CVJ部品長軸品と短軸品の転造加工。</v>
      </c>
      <c r="K22" s="1133"/>
      <c r="L22" s="1133"/>
      <c r="M22" s="1133"/>
      <c r="N22" s="1133"/>
      <c r="O22" s="1133"/>
      <c r="P22" s="1133"/>
      <c r="Q22" s="1128" t="str" cm="1">
        <f t="array" aca="1" ref="Q22" ca="1">_xlfn.XLOOKUP($A22,TBKaishaInfo[配属先]&amp;TBKaishaInfo[ライン],TBKaishaInfo[工場名]&amp;" "&amp;TBKaishaInfo[配属先]&amp;" "&amp;TBKaishaInfo[ライン],"",0,1)</f>
        <v xml:space="preserve">  </v>
      </c>
      <c r="R22" s="1128"/>
      <c r="S22" s="1128"/>
      <c r="T22" s="1128"/>
      <c r="U22" s="1128"/>
      <c r="V22" s="1128"/>
      <c r="W22" s="1128"/>
      <c r="X22" s="1122" cm="1">
        <f t="array" aca="1" ref="X22" ca="1">IF($C22="","",_xlfn.XLOOKUP($A22,TBKaishaInfo[配属先]&amp;TBKaishaInfo[ライン],TBKaishaInfo[配属先],"",0,1))</f>
        <v>0</v>
      </c>
      <c r="Y22" s="1123"/>
      <c r="Z22" s="1123"/>
      <c r="AA22" s="1124"/>
      <c r="AB22" s="1122" t="str">
        <f t="shared" ca="1" si="0"/>
        <v>付与される権限なし</v>
      </c>
      <c r="AC22" s="1123"/>
      <c r="AD22" s="1123"/>
      <c r="AE22" s="1123"/>
      <c r="AF22" s="1123"/>
      <c r="AG22" s="1123"/>
      <c r="AH22" s="1123"/>
      <c r="AI22" s="1124"/>
    </row>
    <row r="23" spans="1:35" ht="16.5" customHeight="1">
      <c r="A23" s="54" t="str" cm="1">
        <f t="array" aca="1" ref="A23" ca="1">_xlfn.XLOOKUP($B23,TablaTransfor[社員№],TablaTransfor[配属先]&amp;TablaTransfor[ライン],"",0,1)</f>
        <v/>
      </c>
      <c r="B23" s="192">
        <v>220804</v>
      </c>
      <c r="C23" s="1128" t="str">
        <f ca="1">IF($B23="","",_xlfn.XLOOKUP($B23,TablaTransfor[社員№],TablaTransfor[カナ],"",-1,-1))</f>
        <v>ホー　フィン　ディン　ギエム</v>
      </c>
      <c r="D23" s="1128"/>
      <c r="E23" s="1128"/>
      <c r="F23" s="1128"/>
      <c r="G23" s="1128"/>
      <c r="H23" s="1128"/>
      <c r="I23" s="1128"/>
      <c r="J23" s="1133" t="str">
        <f ca="1">IF($C23="","",_xlfn.XLOOKUP($B23,TablaTransfor[社員№],TablaTransfor[仕事内容],"",-1,-1))</f>
        <v>CVJ部品長軸品の施削加工、NCプログラム修正</v>
      </c>
      <c r="K23" s="1133"/>
      <c r="L23" s="1133"/>
      <c r="M23" s="1133"/>
      <c r="N23" s="1133"/>
      <c r="O23" s="1133"/>
      <c r="P23" s="1133"/>
      <c r="Q23" s="1128" t="str" cm="1">
        <f t="array" aca="1" ref="Q23" ca="1">_xlfn.XLOOKUP($A23,TBKaishaInfo[配属先]&amp;TBKaishaInfo[ライン],TBKaishaInfo[工場名]&amp;" "&amp;TBKaishaInfo[配属先]&amp;" "&amp;TBKaishaInfo[ライン],"",0,1)</f>
        <v xml:space="preserve">  </v>
      </c>
      <c r="R23" s="1128"/>
      <c r="S23" s="1128"/>
      <c r="T23" s="1128"/>
      <c r="U23" s="1128"/>
      <c r="V23" s="1128"/>
      <c r="W23" s="1128"/>
      <c r="X23" s="1122" cm="1">
        <f t="array" aca="1" ref="X23" ca="1">IF($C23="","",_xlfn.XLOOKUP($A23,TBKaishaInfo[配属先]&amp;TBKaishaInfo[ライン],TBKaishaInfo[配属先],"",0,1))</f>
        <v>0</v>
      </c>
      <c r="Y23" s="1123"/>
      <c r="Z23" s="1123"/>
      <c r="AA23" s="1124"/>
      <c r="AB23" s="1122" t="str">
        <f t="shared" ca="1" si="0"/>
        <v>付与される権限なし</v>
      </c>
      <c r="AC23" s="1123"/>
      <c r="AD23" s="1123"/>
      <c r="AE23" s="1123"/>
      <c r="AF23" s="1123"/>
      <c r="AG23" s="1123"/>
      <c r="AH23" s="1123"/>
      <c r="AI23" s="1124"/>
    </row>
    <row r="24" spans="1:35" ht="16.5" customHeight="1">
      <c r="A24" s="54" t="str" cm="1">
        <f t="array" aca="1" ref="A24" ca="1">_xlfn.XLOOKUP($B24,TablaTransfor[社員№],TablaTransfor[配属先]&amp;TablaTransfor[ライン],"",0,1)</f>
        <v/>
      </c>
      <c r="B24" s="192"/>
      <c r="C24" s="1128" t="str">
        <f ca="1">IF($B24="","",_xlfn.XLOOKUP($B24,TablaTransfor[社員№],TablaTransfor[カナ],"",-1,-1))</f>
        <v/>
      </c>
      <c r="D24" s="1128"/>
      <c r="E24" s="1128"/>
      <c r="F24" s="1128"/>
      <c r="G24" s="1128"/>
      <c r="H24" s="1128"/>
      <c r="I24" s="1128"/>
      <c r="J24" s="1129" t="str">
        <f ca="1">IF($C24="","",_xlfn.XLOOKUP($B24,TablaTransfor[社員№],TablaTransfor[仕事内容],"",-1,-1))</f>
        <v/>
      </c>
      <c r="K24" s="1129"/>
      <c r="L24" s="1129"/>
      <c r="M24" s="1129"/>
      <c r="N24" s="1129"/>
      <c r="O24" s="1129"/>
      <c r="P24" s="1129"/>
      <c r="Q24" s="1128" t="str" cm="1">
        <f t="array" aca="1" ref="Q24" ca="1">_xlfn.XLOOKUP($A24,TBKaishaInfo[配属先]&amp;TBKaishaInfo[ライン],TBKaishaInfo[工場名]&amp;" "&amp;TBKaishaInfo[配属先]&amp;" "&amp;TBKaishaInfo[ライン],"",0,1)</f>
        <v xml:space="preserve">  </v>
      </c>
      <c r="R24" s="1128"/>
      <c r="S24" s="1128"/>
      <c r="T24" s="1128"/>
      <c r="U24" s="1128"/>
      <c r="V24" s="1128"/>
      <c r="W24" s="1128"/>
      <c r="X24" s="1122" t="str" cm="1">
        <f t="array" aca="1" ref="X24" ca="1">IF($C24="","",_xlfn.XLOOKUP($A24,TBKaishaInfo[配属先]&amp;TBKaishaInfo[ライン],TBKaishaInfo[配属先],"",0,1))</f>
        <v/>
      </c>
      <c r="Y24" s="1123"/>
      <c r="Z24" s="1123"/>
      <c r="AA24" s="1124"/>
      <c r="AB24" s="1122" t="str">
        <f t="shared" ca="1" si="0"/>
        <v/>
      </c>
      <c r="AC24" s="1123"/>
      <c r="AD24" s="1123"/>
      <c r="AE24" s="1123"/>
      <c r="AF24" s="1123"/>
      <c r="AG24" s="1123"/>
      <c r="AH24" s="1123"/>
      <c r="AI24" s="1124"/>
    </row>
    <row r="25" spans="1:35" ht="16.5" customHeight="1">
      <c r="A25" s="54" t="str" cm="1">
        <f t="array" aca="1" ref="A25" ca="1">_xlfn.XLOOKUP($B25,TablaTransfor[社員№],TablaTransfor[配属先]&amp;TablaTransfor[ライン],"",0,1)</f>
        <v/>
      </c>
      <c r="B25" s="54"/>
      <c r="C25" s="1128" t="str">
        <f ca="1">IF($B25="","",_xlfn.XLOOKUP($B25,TablaTransfor[社員№],TablaTransfor[カナ],"",-1,-1))</f>
        <v/>
      </c>
      <c r="D25" s="1128"/>
      <c r="E25" s="1128"/>
      <c r="F25" s="1128"/>
      <c r="G25" s="1128"/>
      <c r="H25" s="1128"/>
      <c r="I25" s="1128"/>
      <c r="J25" s="1129" t="str">
        <f ca="1">IF($C25="","",_xlfn.XLOOKUP($B25,TablaTransfor[社員№],TablaTransfor[仕事内容],"",-1,-1))</f>
        <v/>
      </c>
      <c r="K25" s="1129"/>
      <c r="L25" s="1129"/>
      <c r="M25" s="1129"/>
      <c r="N25" s="1129"/>
      <c r="O25" s="1129"/>
      <c r="P25" s="1129"/>
      <c r="Q25" s="1128" t="str" cm="1">
        <f t="array" aca="1" ref="Q25" ca="1">_xlfn.XLOOKUP($A25,TBKaishaInfo[配属先]&amp;TBKaishaInfo[ライン],TBKaishaInfo[工場名]&amp;" "&amp;TBKaishaInfo[配属先]&amp;" "&amp;TBKaishaInfo[ライン],"",0,1)</f>
        <v xml:space="preserve">  </v>
      </c>
      <c r="R25" s="1128"/>
      <c r="S25" s="1128"/>
      <c r="T25" s="1128"/>
      <c r="U25" s="1128"/>
      <c r="V25" s="1128"/>
      <c r="W25" s="1128"/>
      <c r="X25" s="1122" t="str" cm="1">
        <f t="array" aca="1" ref="X25" ca="1">IF($C25="","",_xlfn.XLOOKUP($A25,TBKaishaInfo[配属先]&amp;TBKaishaInfo[ライン],TBKaishaInfo[配属先],"",0,1))</f>
        <v/>
      </c>
      <c r="Y25" s="1123"/>
      <c r="Z25" s="1123"/>
      <c r="AA25" s="1124"/>
      <c r="AB25" s="1122" t="str">
        <f t="shared" ca="1" si="0"/>
        <v/>
      </c>
      <c r="AC25" s="1123"/>
      <c r="AD25" s="1123"/>
      <c r="AE25" s="1123"/>
      <c r="AF25" s="1123"/>
      <c r="AG25" s="1123"/>
      <c r="AH25" s="1123"/>
      <c r="AI25" s="1124"/>
    </row>
    <row r="26" spans="1:35" ht="16.5" customHeight="1">
      <c r="A26" s="54" t="str" cm="1">
        <f t="array" aca="1" ref="A26" ca="1">_xlfn.XLOOKUP($B26,TablaTransfor[社員№],TablaTransfor[配属先]&amp;TablaTransfor[ライン],"",0,1)</f>
        <v/>
      </c>
      <c r="B26" s="54"/>
      <c r="C26" s="1128" t="str">
        <f ca="1">IF($B26="","",_xlfn.XLOOKUP($B26,TablaTransfor[社員№],TablaTransfor[カナ],"",-1,-1))</f>
        <v/>
      </c>
      <c r="D26" s="1128"/>
      <c r="E26" s="1128"/>
      <c r="F26" s="1128"/>
      <c r="G26" s="1128"/>
      <c r="H26" s="1128"/>
      <c r="I26" s="1128"/>
      <c r="J26" s="1129" t="str">
        <f ca="1">IF($C26="","",_xlfn.XLOOKUP($B26,TablaTransfor[社員№],TablaTransfor[仕事内容],"",-1,-1))</f>
        <v/>
      </c>
      <c r="K26" s="1129"/>
      <c r="L26" s="1129"/>
      <c r="M26" s="1129"/>
      <c r="N26" s="1129"/>
      <c r="O26" s="1129"/>
      <c r="P26" s="1129"/>
      <c r="Q26" s="1128" t="str" cm="1">
        <f t="array" aca="1" ref="Q26" ca="1">_xlfn.XLOOKUP($A26,TBKaishaInfo[配属先]&amp;TBKaishaInfo[ライン],TBKaishaInfo[工場名]&amp;" "&amp;TBKaishaInfo[配属先]&amp;" "&amp;TBKaishaInfo[ライン],"",0,1)</f>
        <v xml:space="preserve">  </v>
      </c>
      <c r="R26" s="1128"/>
      <c r="S26" s="1128"/>
      <c r="T26" s="1128"/>
      <c r="U26" s="1128"/>
      <c r="V26" s="1128"/>
      <c r="W26" s="1128"/>
      <c r="X26" s="1122" t="str" cm="1">
        <f t="array" aca="1" ref="X26" ca="1">IF($C26="","",_xlfn.XLOOKUP($A26,TBKaishaInfo[配属先]&amp;TBKaishaInfo[ライン],TBKaishaInfo[配属先],"",0,1))</f>
        <v/>
      </c>
      <c r="Y26" s="1123"/>
      <c r="Z26" s="1123"/>
      <c r="AA26" s="1124"/>
      <c r="AB26" s="1122" t="str">
        <f t="shared" ca="1" si="0"/>
        <v/>
      </c>
      <c r="AC26" s="1123"/>
      <c r="AD26" s="1123"/>
      <c r="AE26" s="1123"/>
      <c r="AF26" s="1123"/>
      <c r="AG26" s="1123"/>
      <c r="AH26" s="1123"/>
      <c r="AI26" s="1124"/>
    </row>
    <row r="27" spans="1:35" ht="16.5" customHeight="1">
      <c r="A27" s="54" t="str" cm="1">
        <f t="array" aca="1" ref="A27" ca="1">_xlfn.XLOOKUP($B27,TablaTransfor[社員№],TablaTransfor[配属先]&amp;TablaTransfor[ライン],"",0,1)</f>
        <v/>
      </c>
      <c r="B27" s="54"/>
      <c r="C27" s="1128" t="str">
        <f ca="1">IF($B27="","",_xlfn.XLOOKUP($B27,TablaTransfor[社員№],TablaTransfor[カナ],"",-1,-1))</f>
        <v/>
      </c>
      <c r="D27" s="1128"/>
      <c r="E27" s="1128"/>
      <c r="F27" s="1128"/>
      <c r="G27" s="1128"/>
      <c r="H27" s="1128"/>
      <c r="I27" s="1128"/>
      <c r="J27" s="1129" t="str">
        <f ca="1">IF($C27="","",_xlfn.XLOOKUP($B27,TablaTransfor[社員№],TablaTransfor[仕事内容],"",-1,-1))</f>
        <v/>
      </c>
      <c r="K27" s="1129"/>
      <c r="L27" s="1129"/>
      <c r="M27" s="1129"/>
      <c r="N27" s="1129"/>
      <c r="O27" s="1129"/>
      <c r="P27" s="1129"/>
      <c r="Q27" s="1128" t="str" cm="1">
        <f t="array" aca="1" ref="Q27" ca="1">_xlfn.XLOOKUP($A27,TBKaishaInfo[配属先]&amp;TBKaishaInfo[ライン],TBKaishaInfo[工場名]&amp;" "&amp;TBKaishaInfo[配属先]&amp;" "&amp;TBKaishaInfo[ライン],"",0,1)</f>
        <v xml:space="preserve">  </v>
      </c>
      <c r="R27" s="1128"/>
      <c r="S27" s="1128"/>
      <c r="T27" s="1128"/>
      <c r="U27" s="1128"/>
      <c r="V27" s="1128"/>
      <c r="W27" s="1128"/>
      <c r="X27" s="1122" t="str" cm="1">
        <f t="array" aca="1" ref="X27" ca="1">IF($C27="","",_xlfn.XLOOKUP($A27,TBKaishaInfo[配属先]&amp;TBKaishaInfo[ライン],TBKaishaInfo[配属先],"",0,1))</f>
        <v/>
      </c>
      <c r="Y27" s="1123"/>
      <c r="Z27" s="1123"/>
      <c r="AA27" s="1124"/>
      <c r="AB27" s="1122" t="str">
        <f t="shared" ca="1" si="0"/>
        <v/>
      </c>
      <c r="AC27" s="1123"/>
      <c r="AD27" s="1123"/>
      <c r="AE27" s="1123"/>
      <c r="AF27" s="1123"/>
      <c r="AG27" s="1123"/>
      <c r="AH27" s="1123"/>
      <c r="AI27" s="1124"/>
    </row>
    <row r="28" spans="1:35" ht="16.5" customHeight="1">
      <c r="A28" s="54" t="str" cm="1">
        <f t="array" aca="1" ref="A28" ca="1">_xlfn.XLOOKUP($B28,TablaTransfor[社員№],TablaTransfor[配属先]&amp;TablaTransfor[ライン],"",0,1)</f>
        <v/>
      </c>
      <c r="B28" s="54"/>
      <c r="C28" s="1128" t="str">
        <f ca="1">IF($B28="","",_xlfn.XLOOKUP($B28,TablaTransfor[社員№],TablaTransfor[カナ],"",-1,-1))</f>
        <v/>
      </c>
      <c r="D28" s="1128"/>
      <c r="E28" s="1128"/>
      <c r="F28" s="1128"/>
      <c r="G28" s="1128"/>
      <c r="H28" s="1128"/>
      <c r="I28" s="1128"/>
      <c r="J28" s="1129" t="str">
        <f ca="1">IF($C28="","",_xlfn.XLOOKUP($B28,TablaTransfor[社員№],TablaTransfor[仕事内容],"",-1,-1))</f>
        <v/>
      </c>
      <c r="K28" s="1129"/>
      <c r="L28" s="1129"/>
      <c r="M28" s="1129"/>
      <c r="N28" s="1129"/>
      <c r="O28" s="1129"/>
      <c r="P28" s="1129"/>
      <c r="Q28" s="1129" t="str" cm="1">
        <f t="array" aca="1" ref="Q28" ca="1">_xlfn.XLOOKUP($A28,TBKaishaInfo[配属先]&amp;TBKaishaInfo[ライン],TBKaishaInfo[工場名]&amp;" "&amp;TBKaishaInfo[配属先]&amp;" "&amp;TBKaishaInfo[ライン],"",0,1)</f>
        <v xml:space="preserve">  </v>
      </c>
      <c r="R28" s="1129"/>
      <c r="S28" s="1129"/>
      <c r="T28" s="1129"/>
      <c r="U28" s="1129"/>
      <c r="V28" s="1129"/>
      <c r="W28" s="1129"/>
      <c r="X28" s="1122" t="str" cm="1">
        <f t="array" aca="1" ref="X28" ca="1">IF($C28="","",_xlfn.XLOOKUP($A28,TBKaishaInfo[配属先]&amp;TBKaishaInfo[ライン],TBKaishaInfo[配属先],"",0,1))</f>
        <v/>
      </c>
      <c r="Y28" s="1123"/>
      <c r="Z28" s="1123"/>
      <c r="AA28" s="1124"/>
      <c r="AB28" s="1125" t="str">
        <f t="shared" ca="1" si="0"/>
        <v/>
      </c>
      <c r="AC28" s="1126"/>
      <c r="AD28" s="1126"/>
      <c r="AE28" s="1126"/>
      <c r="AF28" s="1126"/>
      <c r="AG28" s="1126"/>
      <c r="AH28" s="1126"/>
      <c r="AI28" s="1127"/>
    </row>
    <row r="29" spans="1:35" ht="16.5" customHeight="1">
      <c r="A29" s="54" t="str" cm="1">
        <f t="array" aca="1" ref="A29" ca="1">_xlfn.XLOOKUP($B29,TablaTransfor[社員№],TablaTransfor[配属先]&amp;TablaTransfor[ライン],"",0,1)</f>
        <v/>
      </c>
      <c r="B29" s="54"/>
      <c r="C29" s="1128" t="str">
        <f ca="1">IF($B29="","",_xlfn.XLOOKUP($B29,TablaTransfor[社員№],TablaTransfor[カナ],"",-1,-1))</f>
        <v/>
      </c>
      <c r="D29" s="1128"/>
      <c r="E29" s="1128"/>
      <c r="F29" s="1128"/>
      <c r="G29" s="1128"/>
      <c r="H29" s="1128"/>
      <c r="I29" s="1128"/>
      <c r="J29" s="1129" t="str">
        <f ca="1">IF($C29="","",_xlfn.XLOOKUP($B29,TablaTransfor[社員№],TablaTransfor[仕事内容],"",-1,-1))</f>
        <v/>
      </c>
      <c r="K29" s="1129"/>
      <c r="L29" s="1129"/>
      <c r="M29" s="1129"/>
      <c r="N29" s="1129"/>
      <c r="O29" s="1129"/>
      <c r="P29" s="1129"/>
      <c r="Q29" s="1129" t="str" cm="1">
        <f t="array" aca="1" ref="Q29" ca="1">_xlfn.XLOOKUP($A29,TBKaishaInfo[配属先]&amp;TBKaishaInfo[ライン],TBKaishaInfo[工場名]&amp;" "&amp;TBKaishaInfo[配属先]&amp;" "&amp;TBKaishaInfo[ライン],"",0,1)</f>
        <v xml:space="preserve">  </v>
      </c>
      <c r="R29" s="1129"/>
      <c r="S29" s="1129"/>
      <c r="T29" s="1129"/>
      <c r="U29" s="1129"/>
      <c r="V29" s="1129"/>
      <c r="W29" s="1129"/>
      <c r="X29" s="1122" t="str" cm="1">
        <f t="array" aca="1" ref="X29" ca="1">IF($C29="","",_xlfn.XLOOKUP($A29,TBKaishaInfo[配属先]&amp;TBKaishaInfo[ライン],TBKaishaInfo[配属先],"",0,1))</f>
        <v/>
      </c>
      <c r="Y29" s="1123"/>
      <c r="Z29" s="1123"/>
      <c r="AA29" s="1124"/>
      <c r="AB29" s="1125" t="str">
        <f t="shared" ca="1" si="0"/>
        <v/>
      </c>
      <c r="AC29" s="1126"/>
      <c r="AD29" s="1126"/>
      <c r="AE29" s="1126"/>
      <c r="AF29" s="1126"/>
      <c r="AG29" s="1126"/>
      <c r="AH29" s="1126"/>
      <c r="AI29" s="1127"/>
    </row>
    <row r="30" spans="1:35" ht="16.5" customHeight="1">
      <c r="A30" s="54" t="str" cm="1">
        <f t="array" aca="1" ref="A30" ca="1">_xlfn.XLOOKUP($B30,TablaTransfor[社員№],TablaTransfor[配属先]&amp;TablaTransfor[ライン],"",0,1)</f>
        <v/>
      </c>
      <c r="B30" s="54"/>
      <c r="C30" s="1128" t="str">
        <f ca="1">IF($B30="","",_xlfn.XLOOKUP($B30,TablaTransfor[社員№],TablaTransfor[カナ],"",-1,-1))</f>
        <v/>
      </c>
      <c r="D30" s="1128"/>
      <c r="E30" s="1128"/>
      <c r="F30" s="1128"/>
      <c r="G30" s="1128"/>
      <c r="H30" s="1128"/>
      <c r="I30" s="1128"/>
      <c r="J30" s="1129" t="str">
        <f ca="1">IF($C30="","",_xlfn.XLOOKUP($B30,TablaTransfor[社員№],TablaTransfor[仕事内容],"",-1,-1))</f>
        <v/>
      </c>
      <c r="K30" s="1129"/>
      <c r="L30" s="1129"/>
      <c r="M30" s="1129"/>
      <c r="N30" s="1129"/>
      <c r="O30" s="1129"/>
      <c r="P30" s="1129"/>
      <c r="Q30" s="1129" t="str" cm="1">
        <f t="array" aca="1" ref="Q30" ca="1">_xlfn.XLOOKUP($A30,TBKaishaInfo[配属先]&amp;TBKaishaInfo[ライン],TBKaishaInfo[工場名]&amp;" "&amp;TBKaishaInfo[配属先]&amp;" "&amp;TBKaishaInfo[ライン],"",0,1)</f>
        <v xml:space="preserve">  </v>
      </c>
      <c r="R30" s="1129"/>
      <c r="S30" s="1129"/>
      <c r="T30" s="1129"/>
      <c r="U30" s="1129"/>
      <c r="V30" s="1129"/>
      <c r="W30" s="1129"/>
      <c r="X30" s="1122" t="str" cm="1">
        <f t="array" aca="1" ref="X30" ca="1">IF($C30="","",_xlfn.XLOOKUP($A30,TBKaishaInfo[配属先]&amp;TBKaishaInfo[ライン],TBKaishaInfo[配属先],"",0,1))</f>
        <v/>
      </c>
      <c r="Y30" s="1123"/>
      <c r="Z30" s="1123"/>
      <c r="AA30" s="1124"/>
      <c r="AB30" s="1125" t="str">
        <f t="shared" ca="1" si="0"/>
        <v/>
      </c>
      <c r="AC30" s="1126"/>
      <c r="AD30" s="1126"/>
      <c r="AE30" s="1126"/>
      <c r="AF30" s="1126"/>
      <c r="AG30" s="1126"/>
      <c r="AH30" s="1126"/>
      <c r="AI30" s="1127"/>
    </row>
    <row r="31" spans="1:35" ht="16.5" customHeight="1">
      <c r="A31" s="54" t="str" cm="1">
        <f t="array" aca="1" ref="A31" ca="1">_xlfn.XLOOKUP($B31,TablaTransfor[社員№],TablaTransfor[配属先]&amp;TablaTransfor[ライン],"",0,1)</f>
        <v/>
      </c>
      <c r="B31" s="54"/>
      <c r="C31" s="1128" t="str">
        <f ca="1">IF($B31="","",_xlfn.XLOOKUP($B31,TablaTransfor[社員№],TablaTransfor[カナ],"",-1,-1))</f>
        <v/>
      </c>
      <c r="D31" s="1128"/>
      <c r="E31" s="1128"/>
      <c r="F31" s="1128"/>
      <c r="G31" s="1128"/>
      <c r="H31" s="1128"/>
      <c r="I31" s="1128"/>
      <c r="J31" s="1129" t="str">
        <f ca="1">IF($C31="","",_xlfn.XLOOKUP($B31,TablaTransfor[社員№],TablaTransfor[仕事内容],"",-1,-1))</f>
        <v/>
      </c>
      <c r="K31" s="1129"/>
      <c r="L31" s="1129"/>
      <c r="M31" s="1129"/>
      <c r="N31" s="1129"/>
      <c r="O31" s="1129"/>
      <c r="P31" s="1129"/>
      <c r="Q31" s="1129" t="str" cm="1">
        <f t="array" aca="1" ref="Q31" ca="1">_xlfn.XLOOKUP($A31,TBKaishaInfo[配属先]&amp;TBKaishaInfo[ライン],TBKaishaInfo[工場名]&amp;" "&amp;TBKaishaInfo[配属先]&amp;" "&amp;TBKaishaInfo[ライン],"",0,1)</f>
        <v xml:space="preserve">  </v>
      </c>
      <c r="R31" s="1129"/>
      <c r="S31" s="1129"/>
      <c r="T31" s="1129"/>
      <c r="U31" s="1129"/>
      <c r="V31" s="1129"/>
      <c r="W31" s="1129"/>
      <c r="X31" s="1122" t="str" cm="1">
        <f t="array" aca="1" ref="X31" ca="1">IF($C31="","",_xlfn.XLOOKUP($A31,TBKaishaInfo[配属先]&amp;TBKaishaInfo[ライン],TBKaishaInfo[配属先],"",0,1))</f>
        <v/>
      </c>
      <c r="Y31" s="1123"/>
      <c r="Z31" s="1123"/>
      <c r="AA31" s="1124"/>
      <c r="AB31" s="1125" t="str">
        <f t="shared" ca="1" si="0"/>
        <v/>
      </c>
      <c r="AC31" s="1126"/>
      <c r="AD31" s="1126"/>
      <c r="AE31" s="1126"/>
      <c r="AF31" s="1126"/>
      <c r="AG31" s="1126"/>
      <c r="AH31" s="1126"/>
      <c r="AI31" s="1127"/>
    </row>
    <row r="32" spans="1:35" ht="16.5" customHeight="1">
      <c r="A32" s="54" t="str" cm="1">
        <f t="array" aca="1" ref="A32" ca="1">_xlfn.XLOOKUP($B32,TablaTransfor[社員№],TablaTransfor[配属先]&amp;TablaTransfor[ライン],"",0,1)</f>
        <v/>
      </c>
      <c r="B32" s="54"/>
      <c r="C32" s="1128" t="str">
        <f ca="1">IF($B32="","",_xlfn.XLOOKUP($B32,TablaTransfor[社員№],TablaTransfor[カナ],"",-1,-1))</f>
        <v/>
      </c>
      <c r="D32" s="1128"/>
      <c r="E32" s="1128"/>
      <c r="F32" s="1128"/>
      <c r="G32" s="1128"/>
      <c r="H32" s="1128"/>
      <c r="I32" s="1128"/>
      <c r="J32" s="1129" t="str">
        <f ca="1">IF($C32="","",_xlfn.XLOOKUP($B32,TablaTransfor[社員№],TablaTransfor[仕事内容],"",-1,-1))</f>
        <v/>
      </c>
      <c r="K32" s="1129"/>
      <c r="L32" s="1129"/>
      <c r="M32" s="1129"/>
      <c r="N32" s="1129"/>
      <c r="O32" s="1129"/>
      <c r="P32" s="1129"/>
      <c r="Q32" s="1129" t="str" cm="1">
        <f t="array" aca="1" ref="Q32" ca="1">_xlfn.XLOOKUP($A32,TBKaishaInfo[配属先]&amp;TBKaishaInfo[ライン],TBKaishaInfo[工場名]&amp;" "&amp;TBKaishaInfo[配属先]&amp;" "&amp;TBKaishaInfo[ライン],"",0,1)</f>
        <v xml:space="preserve">  </v>
      </c>
      <c r="R32" s="1129"/>
      <c r="S32" s="1129"/>
      <c r="T32" s="1129"/>
      <c r="U32" s="1129"/>
      <c r="V32" s="1129"/>
      <c r="W32" s="1129"/>
      <c r="X32" s="1122" t="str" cm="1">
        <f t="array" aca="1" ref="X32" ca="1">IF($C32="","",_xlfn.XLOOKUP($A32,TBKaishaInfo[配属先]&amp;TBKaishaInfo[ライン],TBKaishaInfo[配属先],"",0,1))</f>
        <v/>
      </c>
      <c r="Y32" s="1123"/>
      <c r="Z32" s="1123"/>
      <c r="AA32" s="1124"/>
      <c r="AB32" s="1125" t="str">
        <f t="shared" ca="1" si="0"/>
        <v/>
      </c>
      <c r="AC32" s="1126"/>
      <c r="AD32" s="1126"/>
      <c r="AE32" s="1126"/>
      <c r="AF32" s="1126"/>
      <c r="AG32" s="1126"/>
      <c r="AH32" s="1126"/>
      <c r="AI32" s="1127"/>
    </row>
    <row r="33" spans="1:35" ht="16.5" customHeight="1">
      <c r="A33" s="54" t="str" cm="1">
        <f t="array" aca="1" ref="A33" ca="1">_xlfn.XLOOKUP($B33,TablaTransfor[社員№],TablaTransfor[配属先]&amp;TablaTransfor[ライン],"",0,1)</f>
        <v/>
      </c>
      <c r="B33" s="54"/>
      <c r="C33" s="1128" t="str">
        <f ca="1">IF($B33="","",_xlfn.XLOOKUP($B33,TablaTransfor[社員№],TablaTransfor[カナ],"",-1,-1))</f>
        <v/>
      </c>
      <c r="D33" s="1128"/>
      <c r="E33" s="1128"/>
      <c r="F33" s="1128"/>
      <c r="G33" s="1128"/>
      <c r="H33" s="1128"/>
      <c r="I33" s="1128"/>
      <c r="J33" s="1129" t="str">
        <f ca="1">IF($C33="","",_xlfn.XLOOKUP($B33,TablaTransfor[社員№],TablaTransfor[仕事内容],"",-1,-1))</f>
        <v/>
      </c>
      <c r="K33" s="1129"/>
      <c r="L33" s="1129"/>
      <c r="M33" s="1129"/>
      <c r="N33" s="1129"/>
      <c r="O33" s="1129"/>
      <c r="P33" s="1129"/>
      <c r="Q33" s="1129" t="str" cm="1">
        <f t="array" aca="1" ref="Q33" ca="1">_xlfn.XLOOKUP($A33,TBKaishaInfo[配属先]&amp;TBKaishaInfo[ライン],TBKaishaInfo[工場名]&amp;" "&amp;TBKaishaInfo[配属先]&amp;" "&amp;TBKaishaInfo[ライン],"",0,1)</f>
        <v xml:space="preserve">  </v>
      </c>
      <c r="R33" s="1129"/>
      <c r="S33" s="1129"/>
      <c r="T33" s="1129"/>
      <c r="U33" s="1129"/>
      <c r="V33" s="1129"/>
      <c r="W33" s="1129"/>
      <c r="X33" s="1122" t="str" cm="1">
        <f t="array" aca="1" ref="X33" ca="1">IF($C33="","",_xlfn.XLOOKUP($A33,TBKaishaInfo[配属先]&amp;TBKaishaInfo[ライン],TBKaishaInfo[配属先],"",0,1))</f>
        <v/>
      </c>
      <c r="Y33" s="1123"/>
      <c r="Z33" s="1123"/>
      <c r="AA33" s="1124"/>
      <c r="AB33" s="1125" t="str">
        <f t="shared" ca="1" si="0"/>
        <v/>
      </c>
      <c r="AC33" s="1126"/>
      <c r="AD33" s="1126"/>
      <c r="AE33" s="1126"/>
      <c r="AF33" s="1126"/>
      <c r="AG33" s="1126"/>
      <c r="AH33" s="1126"/>
      <c r="AI33" s="1127"/>
    </row>
    <row r="34" spans="1:35" ht="16.5" customHeight="1">
      <c r="A34" s="54" t="str" cm="1">
        <f t="array" aca="1" ref="A34" ca="1">_xlfn.XLOOKUP($B34,TablaTransfor[社員№],TablaTransfor[配属先]&amp;TablaTransfor[ライン],"",0,1)</f>
        <v/>
      </c>
      <c r="B34" s="54"/>
      <c r="C34" s="1128" t="str">
        <f ca="1">IF($B34="","",_xlfn.XLOOKUP($B34,TablaTransfor[社員№],TablaTransfor[カナ],"",-1,-1))</f>
        <v/>
      </c>
      <c r="D34" s="1128"/>
      <c r="E34" s="1128"/>
      <c r="F34" s="1128"/>
      <c r="G34" s="1128"/>
      <c r="H34" s="1128"/>
      <c r="I34" s="1128"/>
      <c r="J34" s="1129" t="str">
        <f ca="1">IF($C34="","",_xlfn.XLOOKUP($B34,TablaTransfor[社員№],TablaTransfor[仕事内容],"",-1,-1))</f>
        <v/>
      </c>
      <c r="K34" s="1129"/>
      <c r="L34" s="1129"/>
      <c r="M34" s="1129"/>
      <c r="N34" s="1129"/>
      <c r="O34" s="1129"/>
      <c r="P34" s="1129"/>
      <c r="Q34" s="1129" t="str" cm="1">
        <f t="array" aca="1" ref="Q34" ca="1">_xlfn.XLOOKUP($A34,TBKaishaInfo[配属先]&amp;TBKaishaInfo[ライン],TBKaishaInfo[工場名]&amp;" "&amp;TBKaishaInfo[配属先]&amp;" "&amp;TBKaishaInfo[ライン],"",0,1)</f>
        <v xml:space="preserve">  </v>
      </c>
      <c r="R34" s="1129"/>
      <c r="S34" s="1129"/>
      <c r="T34" s="1129"/>
      <c r="U34" s="1129"/>
      <c r="V34" s="1129"/>
      <c r="W34" s="1129"/>
      <c r="X34" s="1122" t="str" cm="1">
        <f t="array" aca="1" ref="X34" ca="1">IF($C34="","",_xlfn.XLOOKUP($A34,TBKaishaInfo[配属先]&amp;TBKaishaInfo[ライン],TBKaishaInfo[配属先],"",0,1))</f>
        <v/>
      </c>
      <c r="Y34" s="1123"/>
      <c r="Z34" s="1123"/>
      <c r="AA34" s="1124"/>
      <c r="AB34" s="1125" t="str">
        <f t="shared" ca="1" si="0"/>
        <v/>
      </c>
      <c r="AC34" s="1126"/>
      <c r="AD34" s="1126"/>
      <c r="AE34" s="1126"/>
      <c r="AF34" s="1126"/>
      <c r="AG34" s="1126"/>
      <c r="AH34" s="1126"/>
      <c r="AI34" s="1127"/>
    </row>
    <row r="35" spans="1:35" ht="16.5" customHeight="1">
      <c r="A35" s="54" t="str" cm="1">
        <f t="array" aca="1" ref="A35" ca="1">_xlfn.XLOOKUP($B35,TablaTransfor[社員№],TablaTransfor[配属先]&amp;TablaTransfor[ライン],"",0,1)</f>
        <v/>
      </c>
      <c r="B35" s="54"/>
      <c r="C35" s="1128" t="str">
        <f ca="1">IF($B35="","",_xlfn.XLOOKUP($B35,TablaTransfor[社員№],TablaTransfor[カナ],"",-1,-1))</f>
        <v/>
      </c>
      <c r="D35" s="1128"/>
      <c r="E35" s="1128"/>
      <c r="F35" s="1128"/>
      <c r="G35" s="1128"/>
      <c r="H35" s="1128"/>
      <c r="I35" s="1128"/>
      <c r="J35" s="1129" t="str">
        <f ca="1">IF($C35="","",_xlfn.XLOOKUP($B35,TablaTransfor[社員№],TablaTransfor[仕事内容],"",-1,-1))</f>
        <v/>
      </c>
      <c r="K35" s="1129"/>
      <c r="L35" s="1129"/>
      <c r="M35" s="1129"/>
      <c r="N35" s="1129"/>
      <c r="O35" s="1129"/>
      <c r="P35" s="1129"/>
      <c r="Q35" s="1129" t="str" cm="1">
        <f t="array" aca="1" ref="Q35" ca="1">_xlfn.XLOOKUP($A35,TBKaishaInfo[配属先]&amp;TBKaishaInfo[ライン],TBKaishaInfo[工場名]&amp;" "&amp;TBKaishaInfo[配属先]&amp;" "&amp;TBKaishaInfo[ライン],"",0,1)</f>
        <v xml:space="preserve">  </v>
      </c>
      <c r="R35" s="1129"/>
      <c r="S35" s="1129"/>
      <c r="T35" s="1129"/>
      <c r="U35" s="1129"/>
      <c r="V35" s="1129"/>
      <c r="W35" s="1129"/>
      <c r="X35" s="1122" t="str" cm="1">
        <f t="array" aca="1" ref="X35" ca="1">IF($C35="","",_xlfn.XLOOKUP($A35,TBKaishaInfo[配属先]&amp;TBKaishaInfo[ライン],TBKaishaInfo[配属先],"",0,1))</f>
        <v/>
      </c>
      <c r="Y35" s="1123"/>
      <c r="Z35" s="1123"/>
      <c r="AA35" s="1124"/>
      <c r="AB35" s="1125" t="str">
        <f t="shared" ca="1" si="0"/>
        <v/>
      </c>
      <c r="AC35" s="1126"/>
      <c r="AD35" s="1126"/>
      <c r="AE35" s="1126"/>
      <c r="AF35" s="1126"/>
      <c r="AG35" s="1126"/>
      <c r="AH35" s="1126"/>
      <c r="AI35" s="1127"/>
    </row>
    <row r="36" spans="1:35">
      <c r="B36" s="54" t="str">
        <f>_xlfn.XLOOKUP(Trasformacion!$F$1&amp;A36,Filtro!B:B,Filtro!D:D,"",0,1)</f>
        <v/>
      </c>
    </row>
    <row r="37" spans="1:35">
      <c r="A37" s="54" t="str" cm="1">
        <f t="array" aca="1" ref="A37" ca="1">_xlfn.XLOOKUP($B37,TablaTransfor[社員№],TablaTransfor[配属先]&amp;TablaTransfor[ライン],"",0,1)</f>
        <v/>
      </c>
      <c r="B37" s="54"/>
    </row>
    <row r="38" spans="1:35">
      <c r="A38" s="54" t="str" cm="1">
        <f t="array" aca="1" ref="A38" ca="1">_xlfn.XLOOKUP($B38,TablaTransfor[社員№],TablaTransfor[配属先]&amp;TablaTransfor[ライン],"",0,1)</f>
        <v/>
      </c>
      <c r="B38" s="54"/>
    </row>
    <row r="39" spans="1:35">
      <c r="A39" s="54" t="str" cm="1">
        <f t="array" aca="1" ref="A39" ca="1">_xlfn.XLOOKUP($B39,TablaTransfor[社員№],TablaTransfor[配属先]&amp;TablaTransfor[ライン],"",0,1)</f>
        <v/>
      </c>
      <c r="B39" s="54"/>
    </row>
    <row r="40" spans="1:35">
      <c r="A40" s="54" t="str" cm="1">
        <f t="array" aca="1" ref="A40" ca="1">_xlfn.XLOOKUP($B40,TablaTransfor[社員№],TablaTransfor[配属先]&amp;TablaTransfor[ライン],"",0,1)</f>
        <v/>
      </c>
      <c r="B40" s="54"/>
    </row>
    <row r="41" spans="1:35">
      <c r="A41" s="54" t="str" cm="1">
        <f t="array" aca="1" ref="A41" ca="1">_xlfn.XLOOKUP($B41,TablaTransfor[社員№],TablaTransfor[配属先]&amp;TablaTransfor[ライン],"",0,1)</f>
        <v/>
      </c>
      <c r="B41" s="54"/>
    </row>
    <row r="42" spans="1:35">
      <c r="A42" s="54" t="str" cm="1">
        <f t="array" aca="1" ref="A42" ca="1">_xlfn.XLOOKUP($B42,TablaTransfor[社員№],TablaTransfor[配属先]&amp;TablaTransfor[ライン],"",0,1)</f>
        <v/>
      </c>
      <c r="B42" s="54"/>
    </row>
    <row r="43" spans="1:35">
      <c r="A43" s="54" t="str" cm="1">
        <f t="array" aca="1" ref="A43" ca="1">_xlfn.XLOOKUP($B43,TablaTransfor[社員№],TablaTransfor[配属先]&amp;TablaTransfor[ライン],"",0,1)</f>
        <v/>
      </c>
      <c r="B43" s="54"/>
    </row>
    <row r="44" spans="1:35">
      <c r="A44" s="54" t="str" cm="1">
        <f t="array" aca="1" ref="A44" ca="1">_xlfn.XLOOKUP($B44,TablaTransfor[社員№],TablaTransfor[配属先]&amp;TablaTransfor[ライン],"",0,1)</f>
        <v/>
      </c>
      <c r="B44" s="54"/>
    </row>
    <row r="45" spans="1:35">
      <c r="A45" s="54" t="str" cm="1">
        <f t="array" aca="1" ref="A45" ca="1">_xlfn.XLOOKUP($B45,TablaTransfor[社員№],TablaTransfor[配属先]&amp;TablaTransfor[ライン],"",0,1)</f>
        <v/>
      </c>
      <c r="B45" s="54"/>
    </row>
    <row r="46" spans="1:35">
      <c r="A46" s="54" t="str" cm="1">
        <f t="array" aca="1" ref="A46" ca="1">_xlfn.XLOOKUP($B46,TablaTransfor[社員№],TablaTransfor[配属先]&amp;TablaTransfor[ライン],"",0,1)</f>
        <v/>
      </c>
      <c r="B46" s="54"/>
    </row>
    <row r="47" spans="1:35">
      <c r="A47" s="54" t="str" cm="1">
        <f t="array" aca="1" ref="A47" ca="1">_xlfn.XLOOKUP($B47,TablaTransfor[社員№],TablaTransfor[配属先]&amp;TablaTransfor[ライン],"",0,1)</f>
        <v/>
      </c>
      <c r="B47" s="54"/>
    </row>
    <row r="48" spans="1:35">
      <c r="A48" s="54" t="str" cm="1">
        <f t="array" aca="1" ref="A48" ca="1">_xlfn.XLOOKUP($B48,TablaTransfor[社員№],TablaTransfor[配属先]&amp;TablaTransfor[ライン],"",0,1)</f>
        <v/>
      </c>
      <c r="B48" s="54"/>
    </row>
    <row r="49" spans="1:2">
      <c r="A49" s="54" t="str" cm="1">
        <f t="array" aca="1" ref="A49" ca="1">_xlfn.XLOOKUP($B49,TablaTransfor[社員№],TablaTransfor[配属先]&amp;TablaTransfor[ライン],"",0,1)</f>
        <v/>
      </c>
      <c r="B49" s="54"/>
    </row>
    <row r="50" spans="1:2">
      <c r="A50" s="54" t="str" cm="1">
        <f t="array" aca="1" ref="A50" ca="1">_xlfn.XLOOKUP($B50,TablaTransfor[社員№],TablaTransfor[配属先]&amp;TablaTransfor[ライン],"",0,1)</f>
        <v/>
      </c>
      <c r="B50" s="54"/>
    </row>
    <row r="51" spans="1:2">
      <c r="A51" s="54" t="str" cm="1">
        <f t="array" aca="1" ref="A51" ca="1">_xlfn.XLOOKUP($B51,TablaTransfor[社員№],TablaTransfor[配属先]&amp;TablaTransfor[ライン],"",0,1)</f>
        <v/>
      </c>
      <c r="B51" s="54"/>
    </row>
    <row r="52" spans="1:2">
      <c r="A52" s="54" t="str" cm="1">
        <f t="array" aca="1" ref="A52" ca="1">_xlfn.XLOOKUP($B52,TablaTransfor[社員№],TablaTransfor[配属先]&amp;TablaTransfor[ライン],"",0,1)</f>
        <v/>
      </c>
      <c r="B52" s="54"/>
    </row>
    <row r="53" spans="1:2">
      <c r="A53" s="54" t="str" cm="1">
        <f t="array" aca="1" ref="A53" ca="1">_xlfn.XLOOKUP($B53,TablaTransfor[社員№],TablaTransfor[配属先]&amp;TablaTransfor[ライン],"",0,1)</f>
        <v/>
      </c>
      <c r="B53" s="54"/>
    </row>
    <row r="54" spans="1:2">
      <c r="A54" s="54" t="str" cm="1">
        <f t="array" aca="1" ref="A54" ca="1">_xlfn.XLOOKUP($B54,TablaTransfor[社員№],TablaTransfor[配属先]&amp;TablaTransfor[ライン],"",0,1)</f>
        <v/>
      </c>
      <c r="B54" s="54"/>
    </row>
    <row r="55" spans="1:2">
      <c r="A55" s="54" t="str" cm="1">
        <f t="array" aca="1" ref="A55" ca="1">_xlfn.XLOOKUP($B55,TablaTransfor[社員№],TablaTransfor[配属先]&amp;TablaTransfor[ライン],"",0,1)</f>
        <v/>
      </c>
      <c r="B55" s="54"/>
    </row>
    <row r="56" spans="1:2">
      <c r="A56" s="54" t="str" cm="1">
        <f t="array" aca="1" ref="A56" ca="1">_xlfn.XLOOKUP($B56,TablaTransfor[社員№],TablaTransfor[配属先]&amp;TablaTransfor[ライン],"",0,1)</f>
        <v/>
      </c>
      <c r="B56" s="54"/>
    </row>
    <row r="57" spans="1:2">
      <c r="A57" s="54" t="str" cm="1">
        <f t="array" aca="1" ref="A57" ca="1">_xlfn.XLOOKUP($B57,TablaTransfor[社員№],TablaTransfor[配属先]&amp;TablaTransfor[ライン],"",0,1)</f>
        <v/>
      </c>
      <c r="B57" s="54"/>
    </row>
    <row r="58" spans="1:2">
      <c r="A58" s="54" t="str" cm="1">
        <f t="array" aca="1" ref="A58" ca="1">_xlfn.XLOOKUP($B58,TablaTransfor[社員№],TablaTransfor[配属先]&amp;TablaTransfor[ライン],"",0,1)</f>
        <v/>
      </c>
      <c r="B58" s="54"/>
    </row>
    <row r="59" spans="1:2">
      <c r="A59" s="54" t="str" cm="1">
        <f t="array" aca="1" ref="A59" ca="1">_xlfn.XLOOKUP($B59,TablaTransfor[社員№],TablaTransfor[配属先]&amp;TablaTransfor[ライン],"",0,1)</f>
        <v/>
      </c>
      <c r="B59" s="54"/>
    </row>
    <row r="60" spans="1:2">
      <c r="A60" s="54" t="str" cm="1">
        <f t="array" aca="1" ref="A60" ca="1">_xlfn.XLOOKUP($B60,TablaTransfor[社員№],TablaTransfor[配属先]&amp;TablaTransfor[ライン],"",0,1)</f>
        <v/>
      </c>
      <c r="B60" s="54"/>
    </row>
    <row r="61" spans="1:2">
      <c r="A61" s="54" t="str" cm="1">
        <f t="array" aca="1" ref="A61" ca="1">_xlfn.XLOOKUP($B61,TablaTransfor[社員№],TablaTransfor[配属先]&amp;TablaTransfor[ライン],"",0,1)</f>
        <v/>
      </c>
      <c r="B61" s="54"/>
    </row>
    <row r="62" spans="1:2">
      <c r="A62" s="54" t="str" cm="1">
        <f t="array" aca="1" ref="A62" ca="1">_xlfn.XLOOKUP($B62,TablaTransfor[社員№],TablaTransfor[配属先]&amp;TablaTransfor[ライン],"",0,1)</f>
        <v/>
      </c>
      <c r="B62" s="54"/>
    </row>
    <row r="63" spans="1:2">
      <c r="A63" s="54" t="str" cm="1">
        <f t="array" aca="1" ref="A63" ca="1">_xlfn.XLOOKUP($B63,TablaTransfor[社員№],TablaTransfor[配属先]&amp;TablaTransfor[ライン],"",0,1)</f>
        <v/>
      </c>
      <c r="B63" s="54"/>
    </row>
    <row r="64" spans="1:2">
      <c r="A64" s="54" t="str" cm="1">
        <f t="array" aca="1" ref="A64" ca="1">_xlfn.XLOOKUP($B64,TablaTransfor[社員№],TablaTransfor[配属先]&amp;TablaTransfor[ライン],"",0,1)</f>
        <v/>
      </c>
      <c r="B64" s="54"/>
    </row>
    <row r="65" spans="1:2">
      <c r="A65" s="54" t="str" cm="1">
        <f t="array" aca="1" ref="A65" ca="1">_xlfn.XLOOKUP($B65,TablaTransfor[社員№],TablaTransfor[配属先]&amp;TablaTransfor[ライン],"",0,1)</f>
        <v/>
      </c>
      <c r="B65" s="54"/>
    </row>
    <row r="66" spans="1:2">
      <c r="A66" s="54" t="str" cm="1">
        <f t="array" aca="1" ref="A66" ca="1">_xlfn.XLOOKUP($B66,TablaTransfor[社員№],TablaTransfor[配属先]&amp;TablaTransfor[ライン],"",0,1)</f>
        <v/>
      </c>
      <c r="B66" s="54"/>
    </row>
    <row r="67" spans="1:2">
      <c r="A67" s="54" t="str" cm="1">
        <f t="array" aca="1" ref="A67" ca="1">_xlfn.XLOOKUP($B67,TablaTransfor[社員№],TablaTransfor[配属先]&amp;TablaTransfor[ライン],"",0,1)</f>
        <v/>
      </c>
      <c r="B67" s="54"/>
    </row>
    <row r="68" spans="1:2">
      <c r="A68" s="54" t="str" cm="1">
        <f t="array" aca="1" ref="A68" ca="1">_xlfn.XLOOKUP($B68,TablaTransfor[社員№],TablaTransfor[配属先]&amp;TablaTransfor[ライン],"",0,1)</f>
        <v/>
      </c>
      <c r="B68" s="54"/>
    </row>
    <row r="69" spans="1:2">
      <c r="A69" s="54" t="str" cm="1">
        <f t="array" aca="1" ref="A69" ca="1">_xlfn.XLOOKUP($B69,TablaTransfor[社員№],TablaTransfor[配属先]&amp;TablaTransfor[ライン],"",0,1)</f>
        <v/>
      </c>
      <c r="B69" s="54"/>
    </row>
    <row r="70" spans="1:2">
      <c r="A70" s="54" t="str" cm="1">
        <f t="array" aca="1" ref="A70" ca="1">_xlfn.XLOOKUP($B70,TablaTransfor[社員№],TablaTransfor[配属先]&amp;TablaTransfor[ライン],"",0,1)</f>
        <v/>
      </c>
      <c r="B70" s="54"/>
    </row>
    <row r="71" spans="1:2">
      <c r="A71" s="54" t="str" cm="1">
        <f t="array" aca="1" ref="A71" ca="1">_xlfn.XLOOKUP($B71,TablaTransfor[社員№],TablaTransfor[配属先]&amp;TablaTransfor[ライン],"",0,1)</f>
        <v/>
      </c>
      <c r="B71" s="54"/>
    </row>
    <row r="72" spans="1:2">
      <c r="A72" s="54" t="str" cm="1">
        <f t="array" aca="1" ref="A72" ca="1">_xlfn.XLOOKUP($B72,TablaTransfor[社員№],TablaTransfor[配属先]&amp;TablaTransfor[ライン],"",0,1)</f>
        <v/>
      </c>
      <c r="B72" s="54"/>
    </row>
    <row r="73" spans="1:2">
      <c r="A73" s="54" t="str" cm="1">
        <f t="array" aca="1" ref="A73" ca="1">_xlfn.XLOOKUP($B73,TablaTransfor[社員№],TablaTransfor[配属先]&amp;TablaTransfor[ライン],"",0,1)</f>
        <v/>
      </c>
      <c r="B73" s="54"/>
    </row>
    <row r="74" spans="1:2">
      <c r="A74" s="54" t="str" cm="1">
        <f t="array" aca="1" ref="A74" ca="1">_xlfn.XLOOKUP($B74,TablaTransfor[社員№],TablaTransfor[配属先]&amp;TablaTransfor[ライン],"",0,1)</f>
        <v/>
      </c>
      <c r="B74" s="54"/>
    </row>
  </sheetData>
  <mergeCells count="90">
    <mergeCell ref="C32:I32"/>
    <mergeCell ref="J32:P32"/>
    <mergeCell ref="C33:I33"/>
    <mergeCell ref="AB25:AI25"/>
    <mergeCell ref="AB26:AI26"/>
    <mergeCell ref="AB27:AI27"/>
    <mergeCell ref="AB28:AI28"/>
    <mergeCell ref="AB29:AI29"/>
    <mergeCell ref="J33:P33"/>
    <mergeCell ref="AB31:AI31"/>
    <mergeCell ref="AB32:AI32"/>
    <mergeCell ref="AB33:AI33"/>
    <mergeCell ref="AB30:AI30"/>
    <mergeCell ref="Q30:W30"/>
    <mergeCell ref="Q25:W25"/>
    <mergeCell ref="C25:I25"/>
    <mergeCell ref="C1:M1"/>
    <mergeCell ref="AB19:AI19"/>
    <mergeCell ref="AB20:AI20"/>
    <mergeCell ref="AB21:AI21"/>
    <mergeCell ref="AB24:AI24"/>
    <mergeCell ref="Q24:W24"/>
    <mergeCell ref="C24:I24"/>
    <mergeCell ref="J24:P24"/>
    <mergeCell ref="X19:AA19"/>
    <mergeCell ref="X20:AA20"/>
    <mergeCell ref="X21:AA21"/>
    <mergeCell ref="X22:AA22"/>
    <mergeCell ref="X23:AA23"/>
    <mergeCell ref="X24:AA24"/>
    <mergeCell ref="J25:P25"/>
    <mergeCell ref="C23:I23"/>
    <mergeCell ref="Q19:W19"/>
    <mergeCell ref="Q20:W20"/>
    <mergeCell ref="Q21:W21"/>
    <mergeCell ref="Q22:W22"/>
    <mergeCell ref="Q23:W23"/>
    <mergeCell ref="J23:P23"/>
    <mergeCell ref="Q32:W32"/>
    <mergeCell ref="Q33:W33"/>
    <mergeCell ref="AB22:AI22"/>
    <mergeCell ref="AB23:AI23"/>
    <mergeCell ref="C2:K2"/>
    <mergeCell ref="L2:M2"/>
    <mergeCell ref="C8:F8"/>
    <mergeCell ref="H8:K8"/>
    <mergeCell ref="J19:P19"/>
    <mergeCell ref="J20:P20"/>
    <mergeCell ref="C19:I19"/>
    <mergeCell ref="C20:I20"/>
    <mergeCell ref="C21:I21"/>
    <mergeCell ref="J21:P21"/>
    <mergeCell ref="C22:I22"/>
    <mergeCell ref="J22:P22"/>
    <mergeCell ref="Q31:W31"/>
    <mergeCell ref="Q28:W28"/>
    <mergeCell ref="Q29:W29"/>
    <mergeCell ref="C30:I30"/>
    <mergeCell ref="J30:P30"/>
    <mergeCell ref="C31:I31"/>
    <mergeCell ref="J31:P31"/>
    <mergeCell ref="C26:I26"/>
    <mergeCell ref="J26:P26"/>
    <mergeCell ref="Q26:W26"/>
    <mergeCell ref="C29:I29"/>
    <mergeCell ref="J29:P29"/>
    <mergeCell ref="C27:I27"/>
    <mergeCell ref="J27:P27"/>
    <mergeCell ref="C28:I28"/>
    <mergeCell ref="J28:P28"/>
    <mergeCell ref="Q27:W27"/>
    <mergeCell ref="X33:AA33"/>
    <mergeCell ref="AB34:AI34"/>
    <mergeCell ref="C35:I35"/>
    <mergeCell ref="J35:P35"/>
    <mergeCell ref="Q35:W35"/>
    <mergeCell ref="X35:AA35"/>
    <mergeCell ref="AB35:AI35"/>
    <mergeCell ref="C34:I34"/>
    <mergeCell ref="J34:P34"/>
    <mergeCell ref="Q34:W34"/>
    <mergeCell ref="X34:AA34"/>
    <mergeCell ref="X25:AA25"/>
    <mergeCell ref="X29:AA29"/>
    <mergeCell ref="X30:AA30"/>
    <mergeCell ref="X31:AA31"/>
    <mergeCell ref="X32:AA32"/>
    <mergeCell ref="X26:AA26"/>
    <mergeCell ref="X27:AA27"/>
    <mergeCell ref="X28:AA28"/>
  </mergeCells>
  <phoneticPr fontId="1"/>
  <pageMargins left="0.31496062992125984" right="0.31496062992125984" top="0.74803149606299213" bottom="0.74803149606299213" header="0.11811023622047245" footer="0.11811023622047245"/>
  <pageSetup paperSize="9"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FF36F-193F-4828-8C32-8B490F6D4C0B}">
  <sheetPr codeName="Hoja10"/>
  <dimension ref="A1:R107"/>
  <sheetViews>
    <sheetView workbookViewId="0"/>
  </sheetViews>
  <sheetFormatPr defaultColWidth="9.14453125" defaultRowHeight="15"/>
  <cols>
    <col min="4" max="4" width="9.14453125" customWidth="1"/>
    <col min="5" max="5" width="12.64453125" style="23" bestFit="1" customWidth="1"/>
    <col min="6" max="7" width="9.14453125" customWidth="1"/>
    <col min="8" max="8" width="21.38671875" style="57" bestFit="1" customWidth="1"/>
    <col min="9" max="9" width="21.38671875" style="57" customWidth="1"/>
    <col min="10" max="10" width="5.91796875" customWidth="1"/>
    <col min="11" max="11" width="34.16796875" customWidth="1"/>
    <col min="12" max="12" width="6.1875" customWidth="1"/>
    <col min="13" max="13" width="10.35546875" bestFit="1" customWidth="1"/>
    <col min="14" max="14" width="15.06640625" bestFit="1" customWidth="1"/>
    <col min="15" max="15" width="9.68359375" customWidth="1"/>
    <col min="16" max="16" width="12.9140625" customWidth="1"/>
    <col min="17" max="17" width="19.7734375" customWidth="1"/>
    <col min="18" max="18" width="38.7421875" bestFit="1" customWidth="1"/>
  </cols>
  <sheetData>
    <row r="1" spans="1:18" ht="18">
      <c r="K1" s="2" t="s">
        <v>15</v>
      </c>
      <c r="L1" s="2"/>
      <c r="M1" s="2"/>
      <c r="N1" s="2"/>
      <c r="O1" s="2"/>
      <c r="Q1" s="2" t="s">
        <v>16</v>
      </c>
      <c r="R1" s="2"/>
    </row>
    <row r="2" spans="1:18" ht="18">
      <c r="K2" s="741" t="str">
        <f>個別契約書X!I4&amp;" "&amp;個別契約書X!J7</f>
        <v>高雄工業株式会社 製作課</v>
      </c>
      <c r="L2" s="741"/>
      <c r="M2" s="741"/>
      <c r="N2" s="20" t="s">
        <v>387</v>
      </c>
      <c r="O2" s="2"/>
      <c r="P2" s="2"/>
      <c r="Q2" s="2"/>
      <c r="R2" s="2"/>
    </row>
    <row r="3" spans="1:18" ht="18">
      <c r="K3" s="24" t="e">
        <f>koku</f>
        <v>#NAME?</v>
      </c>
      <c r="L3" s="1"/>
      <c r="M3" s="1"/>
      <c r="N3" s="1"/>
      <c r="O3" s="1"/>
      <c r="P3" s="1"/>
      <c r="Q3" s="1"/>
      <c r="R3" s="1"/>
    </row>
    <row r="4" spans="1:18" ht="18">
      <c r="K4" s="1"/>
      <c r="L4" s="1"/>
      <c r="M4" s="1"/>
      <c r="N4" s="1"/>
      <c r="O4" s="1"/>
      <c r="P4" s="1"/>
      <c r="Q4" s="1"/>
      <c r="R4" s="1"/>
    </row>
    <row r="5" spans="1:18" ht="18">
      <c r="E5"/>
      <c r="K5" s="2"/>
      <c r="L5" s="2"/>
      <c r="M5" s="2"/>
      <c r="N5" s="2"/>
      <c r="Q5" s="2" t="s">
        <v>13</v>
      </c>
      <c r="R5" s="1"/>
    </row>
    <row r="6" spans="1:18" ht="18">
      <c r="K6" s="2"/>
      <c r="L6" s="2"/>
      <c r="M6" s="2"/>
      <c r="N6" s="2"/>
      <c r="Q6" s="2"/>
      <c r="R6" s="2" t="s">
        <v>14</v>
      </c>
    </row>
    <row r="7" spans="1:18" ht="18">
      <c r="K7" s="2" t="s">
        <v>19</v>
      </c>
      <c r="L7" s="2"/>
      <c r="M7" s="2"/>
      <c r="N7" s="2"/>
      <c r="O7" s="2"/>
      <c r="P7" s="2"/>
      <c r="Q7" s="2"/>
      <c r="R7" s="2"/>
    </row>
    <row r="8" spans="1:18" ht="18">
      <c r="B8" t="s">
        <v>304</v>
      </c>
      <c r="C8" t="s">
        <v>21</v>
      </c>
      <c r="D8" t="s">
        <v>20</v>
      </c>
      <c r="E8" s="23" t="s">
        <v>29</v>
      </c>
      <c r="F8" t="s">
        <v>395</v>
      </c>
      <c r="J8" s="38" t="s">
        <v>5</v>
      </c>
      <c r="K8" s="39" t="s">
        <v>6</v>
      </c>
      <c r="L8" s="39" t="s">
        <v>7</v>
      </c>
      <c r="M8" s="39" t="s">
        <v>8</v>
      </c>
      <c r="N8" s="39" t="s">
        <v>9</v>
      </c>
      <c r="O8" s="39" t="s">
        <v>10</v>
      </c>
      <c r="P8" s="39" t="s">
        <v>11</v>
      </c>
      <c r="Q8" s="39" t="s">
        <v>12</v>
      </c>
      <c r="R8" s="40" t="s">
        <v>394</v>
      </c>
    </row>
    <row r="9" spans="1:18" ht="18">
      <c r="A9">
        <f>SUBTOTAL(103,$K$9:K9)</f>
        <v>1</v>
      </c>
      <c r="B9">
        <v>1</v>
      </c>
      <c r="C9">
        <f>_xlfn.XLOOKUP(ライン&amp;B9,Filtro!A:A,Filtro!D:D,"",0,1)</f>
        <v>210102</v>
      </c>
      <c r="D9" t="str">
        <f>_xlfn.XLOOKUP(C9,DBGenzai[社員№],DBGenzai[現在],"",0,1)</f>
        <v>退社</v>
      </c>
      <c r="E9" s="23">
        <f>_xlfn.XLOOKUP($C9,DBGenzai[社員№],DBGenzai[生年月日],"",0,1)</f>
        <v>34018</v>
      </c>
      <c r="F9">
        <f ca="1">IF(E9="","",DATEDIF(E9,TODAY(),"Y"))</f>
        <v>32</v>
      </c>
      <c r="G9">
        <f>_xlfn.XLOOKUP(C9,DBGenzai[社員№],DBGenzai[請求単価],"",0,1)</f>
        <v>1770</v>
      </c>
      <c r="H9" s="57">
        <f>_xlfn.XLOOKUP($C9,DBGenzai[社員№],DBGenzai[入社日],"",0,1)</f>
        <v>44201</v>
      </c>
      <c r="I9" s="57">
        <f>IF(D9="退社",_xlfn.XLOOKUP($C9,DBGenzai[社員№],DBGenzai[退社日],"",0,1),"")</f>
        <v>44860</v>
      </c>
      <c r="J9" s="36">
        <f>IF(K9="","",1)</f>
        <v>1</v>
      </c>
      <c r="K9" s="22" t="str">
        <f>_xlfn.XLOOKUP($C9,DBGenzai[社員№],DBGenzai[カナ],"",0,1)</f>
        <v>グエン　ドック　フン</v>
      </c>
      <c r="L9" s="3" t="str">
        <f>_xlfn.XLOOKUP($C9,DBGenzai[社員№],DBGenzai[性別],"",0,1)</f>
        <v>男</v>
      </c>
      <c r="M9" s="3" t="str">
        <f ca="1">IF(F9="","",IF(F9&lt;=18,"18未満(     )歳",IF(F9&lt;=60,"60歳未満","60歳以上")))</f>
        <v>60歳未満</v>
      </c>
      <c r="N9" s="3" t="str">
        <f>IF($K9="","","加入")</f>
        <v>加入</v>
      </c>
      <c r="O9" s="3" t="str">
        <f t="shared" ref="O9:P24" si="0">IF($K9="","","加入")</f>
        <v>加入</v>
      </c>
      <c r="P9" s="3" t="str">
        <f t="shared" si="0"/>
        <v>加入</v>
      </c>
      <c r="Q9" s="3" t="str">
        <f>IF($K9="","","有期雇用（3ヵ月）")</f>
        <v>有期雇用（3ヵ月）</v>
      </c>
      <c r="R9" s="37" t="str">
        <f>IF($K9="","","協定対象派遣労働者(労使協定式方式)")</f>
        <v>協定対象派遣労働者(労使協定式方式)</v>
      </c>
    </row>
    <row r="10" spans="1:18" ht="18">
      <c r="A10">
        <f>SUBTOTAL(103,$K$9:K10)</f>
        <v>2</v>
      </c>
      <c r="B10">
        <v>2</v>
      </c>
      <c r="C10">
        <f>_xlfn.XLOOKUP(ライン&amp;B10,Filtro!A:A,Filtro!D:D,"",0,1)</f>
        <v>220503</v>
      </c>
      <c r="D10" t="str">
        <f>_xlfn.XLOOKUP(C10,DBGenzai[社員№],DBGenzai[現在],"",0,1)</f>
        <v>在職中</v>
      </c>
      <c r="E10" s="23">
        <f>_xlfn.XLOOKUP($C10,DBGenzai[社員№],DBGenzai[生年月日],"",0,1)</f>
        <v>34820</v>
      </c>
      <c r="F10">
        <f t="shared" ref="F10:F73" ca="1" si="1">IF(E10="","",DATEDIF(E10,TODAY(),"Y"))</f>
        <v>30</v>
      </c>
      <c r="G10">
        <f>_xlfn.XLOOKUP(C10,DBGenzai[社員№],DBGenzai[請求単価],"",0,1)</f>
        <v>1710</v>
      </c>
      <c r="H10" s="57">
        <f>_xlfn.XLOOKUP($C10,DBGenzai[社員№],DBGenzai[入社日],"",0,1)</f>
        <v>44690</v>
      </c>
      <c r="I10" s="57" t="str">
        <f>IF(D10="退社",_xlfn.XLOOKUP($C10,DBGenzai[社員№],DBGenzai[退社日],"",0,1),"")</f>
        <v/>
      </c>
      <c r="J10" s="36">
        <f>IF(K10="","",J9+1)</f>
        <v>2</v>
      </c>
      <c r="K10" s="22" t="str">
        <f>_xlfn.XLOOKUP($C10,DBGenzai[社員№],DBGenzai[カナ],"",0,1)</f>
        <v>ハー　ヴィエット　トウイ</v>
      </c>
      <c r="L10" s="3" t="str">
        <f>_xlfn.XLOOKUP($C10,DBGenzai[社員№],DBGenzai[性別],"",0,1)</f>
        <v>男</v>
      </c>
      <c r="M10" s="3" t="str">
        <f t="shared" ref="M10:M73" ca="1" si="2">IF(F10="","",IF(F10&lt;=18,"18未満(     )歳",IF(F10&lt;=60,"60歳未満","60歳以上")))</f>
        <v>60歳未満</v>
      </c>
      <c r="N10" s="3" t="str">
        <f t="shared" ref="N10:P41" si="3">IF($K10="","","加入")</f>
        <v>加入</v>
      </c>
      <c r="O10" s="3" t="str">
        <f t="shared" si="0"/>
        <v>加入</v>
      </c>
      <c r="P10" s="3" t="str">
        <f t="shared" si="0"/>
        <v>加入</v>
      </c>
      <c r="Q10" s="3" t="str">
        <f t="shared" ref="Q10:Q73" si="4">IF($K10="","","有期雇用（3ヵ月）")</f>
        <v>有期雇用（3ヵ月）</v>
      </c>
      <c r="R10" s="37" t="str">
        <f t="shared" ref="R10:R73" si="5">IF($K10="","","協定対象派遣労働者(労使協定式方式)")</f>
        <v>協定対象派遣労働者(労使協定式方式)</v>
      </c>
    </row>
    <row r="11" spans="1:18" ht="18">
      <c r="A11">
        <f>SUBTOTAL(103,$K$9:K11)</f>
        <v>3</v>
      </c>
      <c r="B11">
        <v>3</v>
      </c>
      <c r="C11">
        <f>_xlfn.XLOOKUP(ライン&amp;B11,Filtro!A:A,Filtro!D:D,"",0,1)</f>
        <v>221102</v>
      </c>
      <c r="D11" t="str">
        <f>_xlfn.XLOOKUP(C11,DBGenzai[社員№],DBGenzai[現在],"",0,1)</f>
        <v>在職中</v>
      </c>
      <c r="E11" s="23">
        <f>_xlfn.XLOOKUP($C11,DBGenzai[社員№],DBGenzai[生年月日],"",0,1)</f>
        <v>34790</v>
      </c>
      <c r="F11">
        <f t="shared" ca="1" si="1"/>
        <v>30</v>
      </c>
      <c r="G11">
        <f>_xlfn.XLOOKUP(C11,DBGenzai[社員№],DBGenzai[請求単価],"",0,1)</f>
        <v>1710</v>
      </c>
      <c r="H11" s="57">
        <f>_xlfn.XLOOKUP($C11,DBGenzai[社員№],DBGenzai[入社日],"",0,1)</f>
        <v>44874</v>
      </c>
      <c r="I11" s="57" t="str">
        <f>IF(D11="退社",_xlfn.XLOOKUP($C11,DBGenzai[社員№],DBGenzai[退社日],"",0,1),"")</f>
        <v/>
      </c>
      <c r="J11" s="36">
        <f t="shared" ref="J11:J57" si="6">IF(K11="","",J10+1)</f>
        <v>3</v>
      </c>
      <c r="K11" s="22" t="str">
        <f>_xlfn.XLOOKUP($C11,DBGenzai[社員№],DBGenzai[カナ],"",0,1)</f>
        <v>グエン　クオック　ダット</v>
      </c>
      <c r="L11" s="3" t="str">
        <f>_xlfn.XLOOKUP($C11,DBGenzai[社員№],DBGenzai[性別],"",0,1)</f>
        <v>男</v>
      </c>
      <c r="M11" s="3" t="str">
        <f t="shared" ca="1" si="2"/>
        <v>60歳未満</v>
      </c>
      <c r="N11" s="3" t="str">
        <f t="shared" si="3"/>
        <v>加入</v>
      </c>
      <c r="O11" s="3" t="str">
        <f t="shared" si="0"/>
        <v>加入</v>
      </c>
      <c r="P11" s="3" t="str">
        <f t="shared" si="0"/>
        <v>加入</v>
      </c>
      <c r="Q11" s="3" t="str">
        <f t="shared" si="4"/>
        <v>有期雇用（3ヵ月）</v>
      </c>
      <c r="R11" s="37" t="str">
        <f t="shared" si="5"/>
        <v>協定対象派遣労働者(労使協定式方式)</v>
      </c>
    </row>
    <row r="12" spans="1:18" ht="18">
      <c r="A12">
        <f>SUBTOTAL(103,$K$9:K12)</f>
        <v>4</v>
      </c>
      <c r="B12">
        <v>4</v>
      </c>
      <c r="C12">
        <f>_xlfn.XLOOKUP(ライン&amp;B12,Filtro!A:A,Filtro!D:D,"",0,1)</f>
        <v>230505</v>
      </c>
      <c r="D12" t="str">
        <f>_xlfn.XLOOKUP(C12,DBGenzai[社員№],DBGenzai[現在],"",0,1)</f>
        <v>在職中</v>
      </c>
      <c r="E12" s="23">
        <f>_xlfn.XLOOKUP($C12,DBGenzai[社員№],DBGenzai[生年月日],"",0,1)</f>
        <v>35429</v>
      </c>
      <c r="F12">
        <f t="shared" ca="1" si="1"/>
        <v>28</v>
      </c>
      <c r="G12">
        <f>_xlfn.XLOOKUP(C12,DBGenzai[社員№],DBGenzai[請求単価],"",0,1)</f>
        <v>1720</v>
      </c>
      <c r="H12" s="57">
        <f>_xlfn.XLOOKUP($C12,DBGenzai[社員№],DBGenzai[入社日],"",0,1)</f>
        <v>45061</v>
      </c>
      <c r="I12" s="57" t="str">
        <f>IF(D12="退社",_xlfn.XLOOKUP($C12,DBGenzai[社員№],DBGenzai[退社日],"",0,1),"")</f>
        <v/>
      </c>
      <c r="J12" s="36">
        <f t="shared" si="6"/>
        <v>4</v>
      </c>
      <c r="K12" s="22" t="str">
        <f>_xlfn.XLOOKUP($C12,DBGenzai[社員№],DBGenzai[カナ],"",0,1)</f>
        <v>グエン　ヴァン　ティ</v>
      </c>
      <c r="L12" s="3" t="str">
        <f>_xlfn.XLOOKUP($C12,DBGenzai[社員№],DBGenzai[性別],"",0,1)</f>
        <v>男</v>
      </c>
      <c r="M12" s="3" t="str">
        <f t="shared" ca="1" si="2"/>
        <v>60歳未満</v>
      </c>
      <c r="N12" s="3" t="str">
        <f t="shared" si="3"/>
        <v>加入</v>
      </c>
      <c r="O12" s="3" t="str">
        <f t="shared" si="0"/>
        <v>加入</v>
      </c>
      <c r="P12" s="3" t="str">
        <f t="shared" si="0"/>
        <v>加入</v>
      </c>
      <c r="Q12" s="3" t="str">
        <f t="shared" si="4"/>
        <v>有期雇用（3ヵ月）</v>
      </c>
      <c r="R12" s="37" t="str">
        <f t="shared" si="5"/>
        <v>協定対象派遣労働者(労使協定式方式)</v>
      </c>
    </row>
    <row r="13" spans="1:18" ht="18">
      <c r="A13">
        <f>SUBTOTAL(103,$K$9:K13)</f>
        <v>5</v>
      </c>
      <c r="B13">
        <v>5</v>
      </c>
      <c r="C13">
        <f>_xlfn.XLOOKUP(ライン&amp;B13,Filtro!A:A,Filtro!D:D,"",0,1)</f>
        <v>230811</v>
      </c>
      <c r="D13" t="str">
        <f>_xlfn.XLOOKUP(C13,DBGenzai[社員№],DBGenzai[現在],"",0,1)</f>
        <v>在職中</v>
      </c>
      <c r="E13" s="23">
        <f>_xlfn.XLOOKUP($C13,DBGenzai[社員№],DBGenzai[生年月日],"",0,1)</f>
        <v>37213</v>
      </c>
      <c r="F13">
        <f t="shared" ca="1" si="1"/>
        <v>24</v>
      </c>
      <c r="G13">
        <f>_xlfn.XLOOKUP(C13,DBGenzai[社員№],DBGenzai[請求単価],"",0,1)</f>
        <v>1700</v>
      </c>
      <c r="H13" s="57">
        <f>_xlfn.XLOOKUP($C13,DBGenzai[社員№],DBGenzai[入社日],"",0,1)</f>
        <v>45139</v>
      </c>
      <c r="I13" s="57" t="str">
        <f>IF(D13="退社",_xlfn.XLOOKUP($C13,DBGenzai[社員№],DBGenzai[退社日],"",0,1),"")</f>
        <v/>
      </c>
      <c r="J13" s="36">
        <f t="shared" si="6"/>
        <v>5</v>
      </c>
      <c r="K13" s="22" t="str">
        <f>_xlfn.XLOOKUP($C13,DBGenzai[社員№],DBGenzai[カナ],"",0,1)</f>
        <v>グエン　ヴァン　クイ</v>
      </c>
      <c r="L13" s="3" t="str">
        <f>_xlfn.XLOOKUP($C13,DBGenzai[社員№],DBGenzai[性別],"",0,1)</f>
        <v>男</v>
      </c>
      <c r="M13" s="3" t="str">
        <f t="shared" ca="1" si="2"/>
        <v>60歳未満</v>
      </c>
      <c r="N13" s="3" t="str">
        <f t="shared" si="3"/>
        <v>加入</v>
      </c>
      <c r="O13" s="3" t="str">
        <f t="shared" si="0"/>
        <v>加入</v>
      </c>
      <c r="P13" s="3" t="str">
        <f t="shared" si="0"/>
        <v>加入</v>
      </c>
      <c r="Q13" s="3" t="str">
        <f t="shared" si="4"/>
        <v>有期雇用（3ヵ月）</v>
      </c>
      <c r="R13" s="37" t="str">
        <f t="shared" si="5"/>
        <v>協定対象派遣労働者(労使協定式方式)</v>
      </c>
    </row>
    <row r="14" spans="1:18" ht="18">
      <c r="A14">
        <f>SUBTOTAL(103,$K$9:K14)</f>
        <v>6</v>
      </c>
      <c r="B14">
        <v>6</v>
      </c>
      <c r="C14">
        <f>_xlfn.XLOOKUP(ライン&amp;B14,Filtro!A:A,Filtro!D:D,"",0,1)</f>
        <v>231102</v>
      </c>
      <c r="D14" t="str">
        <f>_xlfn.XLOOKUP(C14,DBGenzai[社員№],DBGenzai[現在],"",0,1)</f>
        <v>在職中</v>
      </c>
      <c r="E14" s="23">
        <f>_xlfn.XLOOKUP($C14,DBGenzai[社員№],DBGenzai[生年月日],"",0,1)</f>
        <v>35497</v>
      </c>
      <c r="F14">
        <f t="shared" ca="1" si="1"/>
        <v>28</v>
      </c>
      <c r="G14">
        <f>_xlfn.XLOOKUP(C14,DBGenzai[社員№],DBGenzai[請求単価],"",0,1)</f>
        <v>1710</v>
      </c>
      <c r="H14" s="57">
        <f>_xlfn.XLOOKUP($C14,DBGenzai[社員№],DBGenzai[入社日],"",0,1)</f>
        <v>45231</v>
      </c>
      <c r="I14" s="57" t="str">
        <f>IF(D14="退社",_xlfn.XLOOKUP($C14,DBGenzai[社員№],DBGenzai[退社日],"",0,1),"")</f>
        <v/>
      </c>
      <c r="J14" s="36">
        <f t="shared" si="6"/>
        <v>6</v>
      </c>
      <c r="K14" s="22" t="str">
        <f>_xlfn.XLOOKUP($C14,DBGenzai[社員№],DBGenzai[カナ],"",0,1)</f>
        <v>ズオン　タイン　トゥン</v>
      </c>
      <c r="L14" s="3" t="str">
        <f>_xlfn.XLOOKUP($C14,DBGenzai[社員№],DBGenzai[性別],"",0,1)</f>
        <v>男</v>
      </c>
      <c r="M14" s="3" t="str">
        <f t="shared" ca="1" si="2"/>
        <v>60歳未満</v>
      </c>
      <c r="N14" s="3" t="str">
        <f t="shared" si="3"/>
        <v>加入</v>
      </c>
      <c r="O14" s="3" t="str">
        <f t="shared" si="0"/>
        <v>加入</v>
      </c>
      <c r="P14" s="3" t="str">
        <f t="shared" si="0"/>
        <v>加入</v>
      </c>
      <c r="Q14" s="3" t="str">
        <f t="shared" si="4"/>
        <v>有期雇用（3ヵ月）</v>
      </c>
      <c r="R14" s="37" t="str">
        <f t="shared" si="5"/>
        <v>協定対象派遣労働者(労使協定式方式)</v>
      </c>
    </row>
    <row r="15" spans="1:18" ht="18">
      <c r="A15">
        <f>SUBTOTAL(103,$K$9:K15)</f>
        <v>7</v>
      </c>
      <c r="B15">
        <v>7</v>
      </c>
      <c r="C15">
        <f>_xlfn.XLOOKUP(ライン&amp;B15,Filtro!A:A,Filtro!D:D,"",0,1)</f>
        <v>240317</v>
      </c>
      <c r="D15" t="str">
        <f>_xlfn.XLOOKUP(C15,DBGenzai[社員№],DBGenzai[現在],"",0,1)</f>
        <v>在職中</v>
      </c>
      <c r="E15" s="23">
        <f>_xlfn.XLOOKUP($C15,DBGenzai[社員№],DBGenzai[生年月日],"",0,1)</f>
        <v>37041</v>
      </c>
      <c r="F15">
        <f t="shared" ca="1" si="1"/>
        <v>24</v>
      </c>
      <c r="G15">
        <f>_xlfn.XLOOKUP(C15,DBGenzai[社員№],DBGenzai[請求単価],"",0,1)</f>
        <v>1670</v>
      </c>
      <c r="H15" s="57">
        <f>_xlfn.XLOOKUP($C15,DBGenzai[社員№],DBGenzai[入社日],"",0,1)</f>
        <v>45366</v>
      </c>
      <c r="I15" s="57" t="str">
        <f>IF(D15="退社",_xlfn.XLOOKUP($C15,DBGenzai[社員№],DBGenzai[退社日],"",0,1),"")</f>
        <v/>
      </c>
      <c r="J15" s="36">
        <f t="shared" si="6"/>
        <v>7</v>
      </c>
      <c r="K15" s="22" t="str">
        <f>_xlfn.XLOOKUP($C15,DBGenzai[社員№],DBGenzai[カナ],"",0,1)</f>
        <v>グエン　アイン　トゥアン</v>
      </c>
      <c r="L15" s="3" t="str">
        <f>_xlfn.XLOOKUP($C15,DBGenzai[社員№],DBGenzai[性別],"",0,1)</f>
        <v>男</v>
      </c>
      <c r="M15" s="3" t="str">
        <f t="shared" ca="1" si="2"/>
        <v>60歳未満</v>
      </c>
      <c r="N15" s="3" t="str">
        <f t="shared" si="3"/>
        <v>加入</v>
      </c>
      <c r="O15" s="3" t="str">
        <f t="shared" si="0"/>
        <v>加入</v>
      </c>
      <c r="P15" s="3" t="str">
        <f t="shared" si="0"/>
        <v>加入</v>
      </c>
      <c r="Q15" s="3" t="str">
        <f t="shared" si="4"/>
        <v>有期雇用（3ヵ月）</v>
      </c>
      <c r="R15" s="37" t="str">
        <f t="shared" si="5"/>
        <v>協定対象派遣労働者(労使協定式方式)</v>
      </c>
    </row>
    <row r="16" spans="1:18" ht="18">
      <c r="A16">
        <f>SUBTOTAL(103,$K$9:K16)</f>
        <v>8</v>
      </c>
      <c r="B16">
        <v>8</v>
      </c>
      <c r="C16">
        <f>_xlfn.XLOOKUP(ライン&amp;B16,Filtro!A:A,Filtro!D:D,"",0,1)</f>
        <v>240504</v>
      </c>
      <c r="D16" t="str">
        <f>_xlfn.XLOOKUP(C16,DBGenzai[社員№],DBGenzai[現在],"",0,1)</f>
        <v>在職中</v>
      </c>
      <c r="E16" s="23">
        <f>_xlfn.XLOOKUP($C16,DBGenzai[社員№],DBGenzai[生年月日],"",0,1)</f>
        <v>36870</v>
      </c>
      <c r="F16">
        <f t="shared" ca="1" si="1"/>
        <v>24</v>
      </c>
      <c r="G16">
        <f>_xlfn.XLOOKUP(C16,DBGenzai[社員№],DBGenzai[請求単価],"",0,1)</f>
        <v>1660</v>
      </c>
      <c r="H16" s="57">
        <f>_xlfn.XLOOKUP($C16,DBGenzai[社員№],DBGenzai[入社日],"",0,1)</f>
        <v>45422</v>
      </c>
      <c r="I16" s="57" t="str">
        <f>IF(D16="退社",_xlfn.XLOOKUP($C16,DBGenzai[社員№],DBGenzai[退社日],"",0,1),"")</f>
        <v/>
      </c>
      <c r="J16" s="36">
        <f t="shared" si="6"/>
        <v>8</v>
      </c>
      <c r="K16" s="22" t="str">
        <f>_xlfn.XLOOKUP($C16,DBGenzai[社員№],DBGenzai[カナ],"",0,1)</f>
        <v>グエン　ホアン　チュン</v>
      </c>
      <c r="L16" s="3" t="str">
        <f>_xlfn.XLOOKUP($C16,DBGenzai[社員№],DBGenzai[性別],"",0,1)</f>
        <v>男</v>
      </c>
      <c r="M16" s="3" t="str">
        <f t="shared" ca="1" si="2"/>
        <v>60歳未満</v>
      </c>
      <c r="N16" s="3" t="str">
        <f t="shared" si="3"/>
        <v>加入</v>
      </c>
      <c r="O16" s="3" t="str">
        <f t="shared" si="0"/>
        <v>加入</v>
      </c>
      <c r="P16" s="3" t="str">
        <f t="shared" si="0"/>
        <v>加入</v>
      </c>
      <c r="Q16" s="3" t="str">
        <f t="shared" si="4"/>
        <v>有期雇用（3ヵ月）</v>
      </c>
      <c r="R16" s="37" t="str">
        <f t="shared" si="5"/>
        <v>協定対象派遣労働者(労使協定式方式)</v>
      </c>
    </row>
    <row r="17" spans="1:18" ht="18">
      <c r="A17">
        <f>SUBTOTAL(103,$K$9:K17)</f>
        <v>9</v>
      </c>
      <c r="B17">
        <v>9</v>
      </c>
      <c r="C17">
        <f>_xlfn.XLOOKUP(ライン&amp;B17,Filtro!A:A,Filtro!D:D,"",0,1)</f>
        <v>220212</v>
      </c>
      <c r="D17" t="str">
        <f>_xlfn.XLOOKUP(C17,DBGenzai[社員№],DBGenzai[現在],"",0,1)</f>
        <v>退社</v>
      </c>
      <c r="E17" s="23">
        <f>_xlfn.XLOOKUP($C17,DBGenzai[社員№],DBGenzai[生年月日],"",0,1)</f>
        <v>34669</v>
      </c>
      <c r="F17">
        <f t="shared" ca="1" si="1"/>
        <v>31</v>
      </c>
      <c r="G17">
        <f>_xlfn.XLOOKUP(C17,DBGenzai[社員№],DBGenzai[請求単価],"",0,1)</f>
        <v>1770</v>
      </c>
      <c r="H17" s="57">
        <f>_xlfn.XLOOKUP($C17,DBGenzai[社員№],DBGenzai[入社日],"",0,1)</f>
        <v>44602</v>
      </c>
      <c r="I17" s="57">
        <f>IF(D17="退社",_xlfn.XLOOKUP($C17,DBGenzai[社員№],DBGenzai[退社日],"",0,1),"")</f>
        <v>45058</v>
      </c>
      <c r="J17" s="36">
        <f t="shared" si="6"/>
        <v>9</v>
      </c>
      <c r="K17" s="22" t="str">
        <f>_xlfn.XLOOKUP($C17,DBGenzai[社員№],DBGenzai[カナ],"",0,1)</f>
        <v>グエン　ゴック　トゥン</v>
      </c>
      <c r="L17" s="3" t="str">
        <f>_xlfn.XLOOKUP($C17,DBGenzai[社員№],DBGenzai[性別],"",0,1)</f>
        <v>男</v>
      </c>
      <c r="M17" s="3" t="str">
        <f t="shared" ca="1" si="2"/>
        <v>60歳未満</v>
      </c>
      <c r="N17" s="3" t="str">
        <f t="shared" si="3"/>
        <v>加入</v>
      </c>
      <c r="O17" s="3" t="str">
        <f t="shared" si="0"/>
        <v>加入</v>
      </c>
      <c r="P17" s="3" t="str">
        <f t="shared" si="0"/>
        <v>加入</v>
      </c>
      <c r="Q17" s="3" t="str">
        <f t="shared" si="4"/>
        <v>有期雇用（3ヵ月）</v>
      </c>
      <c r="R17" s="37" t="str">
        <f t="shared" si="5"/>
        <v>協定対象派遣労働者(労使協定式方式)</v>
      </c>
    </row>
    <row r="18" spans="1:18" ht="18">
      <c r="A18">
        <f>SUBTOTAL(103,$K$9:K18)</f>
        <v>10</v>
      </c>
      <c r="B18">
        <v>10</v>
      </c>
      <c r="C18">
        <f>_xlfn.XLOOKUP(ライン&amp;B18,Filtro!A:A,Filtro!D:D,"",0,1)</f>
        <v>241202</v>
      </c>
      <c r="D18" t="str">
        <f>_xlfn.XLOOKUP(C18,DBGenzai[社員№],DBGenzai[現在],"",0,1)</f>
        <v>在職中</v>
      </c>
      <c r="E18" s="23">
        <f>_xlfn.XLOOKUP($C18,DBGenzai[社員№],DBGenzai[生年月日],"",0,1)</f>
        <v>37056</v>
      </c>
      <c r="F18">
        <f t="shared" ca="1" si="1"/>
        <v>24</v>
      </c>
      <c r="G18">
        <f>_xlfn.XLOOKUP(C18,DBGenzai[社員№],DBGenzai[請求単価],"",0,1)</f>
        <v>1650</v>
      </c>
      <c r="H18" s="57">
        <f>_xlfn.XLOOKUP($C18,DBGenzai[社員№],DBGenzai[入社日],"",0,1)</f>
        <v>45631</v>
      </c>
      <c r="I18" s="57" t="str">
        <f>IF(D18="退社",_xlfn.XLOOKUP($C18,DBGenzai[社員№],DBGenzai[退社日],"",0,1),"")</f>
        <v/>
      </c>
      <c r="J18" s="36">
        <f t="shared" si="6"/>
        <v>10</v>
      </c>
      <c r="K18" s="22" t="str">
        <f>_xlfn.XLOOKUP($C18,DBGenzai[社員№],DBGenzai[カナ],"",0,1)</f>
        <v>グエン　タイン　ヴァン</v>
      </c>
      <c r="L18" s="3" t="str">
        <f>_xlfn.XLOOKUP($C18,DBGenzai[社員№],DBGenzai[性別],"",0,1)</f>
        <v>男</v>
      </c>
      <c r="M18" s="3" t="str">
        <f t="shared" ca="1" si="2"/>
        <v>60歳未満</v>
      </c>
      <c r="N18" s="3" t="str">
        <f t="shared" si="3"/>
        <v>加入</v>
      </c>
      <c r="O18" s="3" t="str">
        <f t="shared" si="0"/>
        <v>加入</v>
      </c>
      <c r="P18" s="3" t="str">
        <f t="shared" si="0"/>
        <v>加入</v>
      </c>
      <c r="Q18" s="3" t="str">
        <f t="shared" si="4"/>
        <v>有期雇用（3ヵ月）</v>
      </c>
      <c r="R18" s="37" t="str">
        <f t="shared" si="5"/>
        <v>協定対象派遣労働者(労使協定式方式)</v>
      </c>
    </row>
    <row r="19" spans="1:18" ht="18">
      <c r="A19">
        <f>SUBTOTAL(103,$K$9:K19)</f>
        <v>11</v>
      </c>
      <c r="B19">
        <v>11</v>
      </c>
      <c r="C19">
        <f>_xlfn.XLOOKUP(ライン&amp;B19,Filtro!A:A,Filtro!D:D,"",0,1)</f>
        <v>250224</v>
      </c>
      <c r="D19" t="str">
        <f>_xlfn.XLOOKUP(C19,DBGenzai[社員№],DBGenzai[現在],"",0,1)</f>
        <v>在職中</v>
      </c>
      <c r="E19" s="23">
        <f>_xlfn.XLOOKUP($C19,DBGenzai[社員№],DBGenzai[生年月日],"",0,1)</f>
        <v>36739</v>
      </c>
      <c r="F19">
        <f t="shared" ca="1" si="1"/>
        <v>25</v>
      </c>
      <c r="G19">
        <f>_xlfn.XLOOKUP(C19,DBGenzai[社員№],DBGenzai[請求単価],"",0,1)</f>
        <v>1650</v>
      </c>
      <c r="H19" s="57">
        <f>_xlfn.XLOOKUP($C19,DBGenzai[社員№],DBGenzai[入社日],"",0,1)</f>
        <v>45707</v>
      </c>
      <c r="I19" s="57" t="str">
        <f>IF(D19="退社",_xlfn.XLOOKUP($C19,DBGenzai[社員№],DBGenzai[退社日],"",0,1),"")</f>
        <v/>
      </c>
      <c r="J19" s="36">
        <f t="shared" si="6"/>
        <v>11</v>
      </c>
      <c r="K19" s="22" t="str">
        <f>_xlfn.XLOOKUP($C19,DBGenzai[社員№],DBGenzai[カナ],"",0,1)</f>
        <v>ノン　ドゥック　フン</v>
      </c>
      <c r="L19" s="3" t="str">
        <f>_xlfn.XLOOKUP($C19,DBGenzai[社員№],DBGenzai[性別],"",0,1)</f>
        <v>男</v>
      </c>
      <c r="M19" s="3" t="str">
        <f t="shared" ca="1" si="2"/>
        <v>60歳未満</v>
      </c>
      <c r="N19" s="3" t="str">
        <f t="shared" si="3"/>
        <v>加入</v>
      </c>
      <c r="O19" s="3" t="str">
        <f t="shared" si="0"/>
        <v>加入</v>
      </c>
      <c r="P19" s="3" t="str">
        <f t="shared" si="0"/>
        <v>加入</v>
      </c>
      <c r="Q19" s="3" t="str">
        <f t="shared" si="4"/>
        <v>有期雇用（3ヵ月）</v>
      </c>
      <c r="R19" s="37" t="str">
        <f t="shared" si="5"/>
        <v>協定対象派遣労働者(労使協定式方式)</v>
      </c>
    </row>
    <row r="20" spans="1:18" ht="18">
      <c r="A20">
        <f>SUBTOTAL(103,$K$9:K20)</f>
        <v>12</v>
      </c>
      <c r="B20">
        <v>12</v>
      </c>
      <c r="C20">
        <f>_xlfn.XLOOKUP(ライン&amp;B20,Filtro!A:A,Filtro!D:D,"",0,1)</f>
        <v>250608</v>
      </c>
      <c r="D20" t="str">
        <f>_xlfn.XLOOKUP(C20,DBGenzai[社員№],DBGenzai[現在],"",0,1)</f>
        <v>在職中</v>
      </c>
      <c r="E20" s="23">
        <f>_xlfn.XLOOKUP($C20,DBGenzai[社員№],DBGenzai[生年月日],"",0,1)</f>
        <v>36548</v>
      </c>
      <c r="F20">
        <f t="shared" ca="1" si="1"/>
        <v>25</v>
      </c>
      <c r="G20">
        <f>_xlfn.XLOOKUP(C20,DBGenzai[社員№],DBGenzai[請求単価],"",0,1)</f>
        <v>1650</v>
      </c>
      <c r="H20" s="57">
        <f>_xlfn.XLOOKUP($C20,DBGenzai[社員№],DBGenzai[入社日],"",0,1)</f>
        <v>45838</v>
      </c>
      <c r="I20" s="57" t="str">
        <f>IF(D20="退社",_xlfn.XLOOKUP($C20,DBGenzai[社員№],DBGenzai[退社日],"",0,1),"")</f>
        <v/>
      </c>
      <c r="J20" s="36">
        <f t="shared" si="6"/>
        <v>12</v>
      </c>
      <c r="K20" s="22" t="str">
        <f>_xlfn.XLOOKUP($C20,DBGenzai[社員№],DBGenzai[カナ],"",0,1)</f>
        <v>ド　チュン　キエン</v>
      </c>
      <c r="L20" s="3" t="str">
        <f>_xlfn.XLOOKUP($C20,DBGenzai[社員№],DBGenzai[性別],"",0,1)</f>
        <v>男</v>
      </c>
      <c r="M20" s="3" t="str">
        <f t="shared" ca="1" si="2"/>
        <v>60歳未満</v>
      </c>
      <c r="N20" s="3" t="str">
        <f t="shared" si="3"/>
        <v>加入</v>
      </c>
      <c r="O20" s="3" t="str">
        <f t="shared" si="0"/>
        <v>加入</v>
      </c>
      <c r="P20" s="3" t="str">
        <f t="shared" si="0"/>
        <v>加入</v>
      </c>
      <c r="Q20" s="3" t="str">
        <f t="shared" si="4"/>
        <v>有期雇用（3ヵ月）</v>
      </c>
      <c r="R20" s="37" t="str">
        <f t="shared" si="5"/>
        <v>協定対象派遣労働者(労使協定式方式)</v>
      </c>
    </row>
    <row r="21" spans="1:18" ht="18">
      <c r="A21">
        <f>SUBTOTAL(103,$K$9:K21)</f>
        <v>13</v>
      </c>
      <c r="B21">
        <v>13</v>
      </c>
      <c r="C21">
        <f>_xlfn.XLOOKUP(ライン&amp;B21,Filtro!A:A,Filtro!D:D,"",0,1)</f>
        <v>221210</v>
      </c>
      <c r="D21" t="str">
        <f>_xlfn.XLOOKUP(C21,DBGenzai[社員№],DBGenzai[現在],"",0,1)</f>
        <v>退社</v>
      </c>
      <c r="E21" s="23">
        <f>_xlfn.XLOOKUP($C21,DBGenzai[社員№],DBGenzai[生年月日],"",0,1)</f>
        <v>31986</v>
      </c>
      <c r="F21">
        <f t="shared" ca="1" si="1"/>
        <v>38</v>
      </c>
      <c r="G21">
        <f>_xlfn.XLOOKUP(C21,DBGenzai[社員№],DBGenzai[請求単価],"",0,1)</f>
        <v>1650</v>
      </c>
      <c r="H21" s="57">
        <f>_xlfn.XLOOKUP($C21,DBGenzai[社員№],DBGenzai[入社日],"",0,1)</f>
        <v>44907</v>
      </c>
      <c r="I21" s="57">
        <f>IF(D21="退社",_xlfn.XLOOKUP($C21,DBGenzai[社員№],DBGenzai[退社日],"",0,1),"")</f>
        <v>45338</v>
      </c>
      <c r="J21" s="36">
        <f t="shared" si="6"/>
        <v>13</v>
      </c>
      <c r="K21" s="22" t="str">
        <f>_xlfn.XLOOKUP($C21,DBGenzai[社員№],DBGenzai[カナ],"",0,1)</f>
        <v>ヴー　ヴァン　ディン</v>
      </c>
      <c r="L21" s="3" t="str">
        <f>_xlfn.XLOOKUP($C21,DBGenzai[社員№],DBGenzai[性別],"",0,1)</f>
        <v>男</v>
      </c>
      <c r="M21" s="3" t="str">
        <f t="shared" ca="1" si="2"/>
        <v>60歳未満</v>
      </c>
      <c r="N21" s="3" t="str">
        <f t="shared" si="3"/>
        <v>加入</v>
      </c>
      <c r="O21" s="3" t="str">
        <f t="shared" si="0"/>
        <v>加入</v>
      </c>
      <c r="P21" s="3" t="str">
        <f t="shared" si="0"/>
        <v>加入</v>
      </c>
      <c r="Q21" s="3" t="str">
        <f t="shared" si="4"/>
        <v>有期雇用（3ヵ月）</v>
      </c>
      <c r="R21" s="37" t="str">
        <f t="shared" si="5"/>
        <v>協定対象派遣労働者(労使協定式方式)</v>
      </c>
    </row>
    <row r="22" spans="1:18" ht="18">
      <c r="A22">
        <f>SUBTOTAL(103,$K$9:K22)</f>
        <v>14</v>
      </c>
      <c r="B22">
        <v>14</v>
      </c>
      <c r="C22">
        <f>_xlfn.XLOOKUP(ライン&amp;B22,Filtro!A:A,Filtro!D:D,"",0,1)</f>
        <v>231205</v>
      </c>
      <c r="D22" t="str">
        <f>_xlfn.XLOOKUP(C22,DBGenzai[社員№],DBGenzai[現在],"",0,1)</f>
        <v>退社</v>
      </c>
      <c r="E22" s="23">
        <f>_xlfn.XLOOKUP($C22,DBGenzai[社員№],DBGenzai[生年月日],"",0,1)</f>
        <v>35805</v>
      </c>
      <c r="F22">
        <f t="shared" ca="1" si="1"/>
        <v>27</v>
      </c>
      <c r="G22">
        <f>_xlfn.XLOOKUP(C22,DBGenzai[社員№],DBGenzai[請求単価],"",0,1)</f>
        <v>1660</v>
      </c>
      <c r="H22" s="57">
        <f>_xlfn.XLOOKUP($C22,DBGenzai[社員№],DBGenzai[入社日],"",0,1)</f>
        <v>45261</v>
      </c>
      <c r="I22" s="57">
        <f>IF(D22="退社",_xlfn.XLOOKUP($C22,DBGenzai[社員№],DBGenzai[退社日],"",0,1),"")</f>
        <v>45721</v>
      </c>
      <c r="J22" s="36">
        <f t="shared" si="6"/>
        <v>14</v>
      </c>
      <c r="K22" s="22" t="str">
        <f>_xlfn.XLOOKUP($C22,DBGenzai[社員№],DBGenzai[カナ],"",0,1)</f>
        <v>チャン　ヴァン　チュオン　ズイ</v>
      </c>
      <c r="L22" s="3" t="str">
        <f>_xlfn.XLOOKUP($C22,DBGenzai[社員№],DBGenzai[性別],"",0,1)</f>
        <v>男</v>
      </c>
      <c r="M22" s="3" t="str">
        <f t="shared" ca="1" si="2"/>
        <v>60歳未満</v>
      </c>
      <c r="N22" s="3" t="str">
        <f t="shared" si="3"/>
        <v>加入</v>
      </c>
      <c r="O22" s="3" t="str">
        <f t="shared" si="0"/>
        <v>加入</v>
      </c>
      <c r="P22" s="3" t="str">
        <f t="shared" si="0"/>
        <v>加入</v>
      </c>
      <c r="Q22" s="3" t="str">
        <f t="shared" si="4"/>
        <v>有期雇用（3ヵ月）</v>
      </c>
      <c r="R22" s="37" t="str">
        <f t="shared" si="5"/>
        <v>協定対象派遣労働者(労使協定式方式)</v>
      </c>
    </row>
    <row r="23" spans="1:18" ht="18">
      <c r="A23">
        <f>SUBTOTAL(103,$K$9:K23)</f>
        <v>15</v>
      </c>
      <c r="B23">
        <v>15</v>
      </c>
      <c r="C23" t="str">
        <f>_xlfn.XLOOKUP(ライン&amp;B23,Filtro!A:A,Filtro!D:D,"",0,1)</f>
        <v/>
      </c>
      <c r="D23" t="str">
        <f>_xlfn.XLOOKUP(C23,DBGenzai[社員№],DBGenzai[現在],"",0,1)</f>
        <v/>
      </c>
      <c r="E23" s="23" t="str">
        <f>_xlfn.XLOOKUP($C23,DBGenzai[社員№],DBGenzai[生年月日],"",0,1)</f>
        <v/>
      </c>
      <c r="F23" t="str">
        <f t="shared" ca="1" si="1"/>
        <v/>
      </c>
      <c r="G23" t="str">
        <f>_xlfn.XLOOKUP(C23,DBGenzai[社員№],DBGenzai[請求単価],"",0,1)</f>
        <v/>
      </c>
      <c r="H23" s="57" t="str">
        <f>_xlfn.XLOOKUP($C23,DBGenzai[社員№],DBGenzai[入社日],"",0,1)</f>
        <v/>
      </c>
      <c r="I23" s="57" t="str">
        <f>IF(D23="退社",_xlfn.XLOOKUP($C23,DBGenzai[社員№],DBGenzai[退社日],"",0,1),"")</f>
        <v/>
      </c>
      <c r="J23" s="36" t="str">
        <f t="shared" si="6"/>
        <v/>
      </c>
      <c r="K23" s="22" t="str">
        <f>_xlfn.XLOOKUP($C23,DBGenzai[社員№],DBGenzai[カナ],"",0,1)</f>
        <v/>
      </c>
      <c r="L23" s="3" t="str">
        <f>_xlfn.XLOOKUP($C23,DBGenzai[社員№],DBGenzai[性別],"",0,1)</f>
        <v/>
      </c>
      <c r="M23" s="3" t="str">
        <f t="shared" ca="1" si="2"/>
        <v/>
      </c>
      <c r="N23" s="3" t="str">
        <f t="shared" si="3"/>
        <v/>
      </c>
      <c r="O23" s="3" t="str">
        <f t="shared" si="0"/>
        <v/>
      </c>
      <c r="P23" s="3" t="str">
        <f t="shared" si="0"/>
        <v/>
      </c>
      <c r="Q23" s="3" t="str">
        <f t="shared" si="4"/>
        <v/>
      </c>
      <c r="R23" s="37" t="str">
        <f t="shared" si="5"/>
        <v/>
      </c>
    </row>
    <row r="24" spans="1:18" ht="18">
      <c r="A24">
        <f>SUBTOTAL(103,$K$9:K24)</f>
        <v>16</v>
      </c>
      <c r="B24">
        <v>16</v>
      </c>
      <c r="C24" t="str">
        <f>_xlfn.XLOOKUP(ライン&amp;B24,Filtro!A:A,Filtro!D:D,"",0,1)</f>
        <v/>
      </c>
      <c r="D24" t="str">
        <f>_xlfn.XLOOKUP(C24,DBGenzai[社員№],DBGenzai[現在],"",0,1)</f>
        <v/>
      </c>
      <c r="E24" s="23" t="str">
        <f>_xlfn.XLOOKUP($C24,DBGenzai[社員№],DBGenzai[生年月日],"",0,1)</f>
        <v/>
      </c>
      <c r="F24" t="str">
        <f t="shared" ca="1" si="1"/>
        <v/>
      </c>
      <c r="G24" t="str">
        <f>_xlfn.XLOOKUP(C24,DBGenzai[社員№],DBGenzai[請求単価],"",0,1)</f>
        <v/>
      </c>
      <c r="H24" s="57" t="str">
        <f>_xlfn.XLOOKUP($C24,DBGenzai[社員№],DBGenzai[入社日],"",0,1)</f>
        <v/>
      </c>
      <c r="I24" s="57" t="str">
        <f>IF(D24="退社",_xlfn.XLOOKUP($C24,DBGenzai[社員№],DBGenzai[退社日],"",0,1),"")</f>
        <v/>
      </c>
      <c r="J24" s="36" t="str">
        <f t="shared" si="6"/>
        <v/>
      </c>
      <c r="K24" s="22" t="str">
        <f>_xlfn.XLOOKUP($C24,DBGenzai[社員№],DBGenzai[カナ],"",0,1)</f>
        <v/>
      </c>
      <c r="L24" s="3" t="str">
        <f>_xlfn.XLOOKUP($C24,DBGenzai[社員№],DBGenzai[性別],"",0,1)</f>
        <v/>
      </c>
      <c r="M24" s="3" t="str">
        <f t="shared" ca="1" si="2"/>
        <v/>
      </c>
      <c r="N24" s="3" t="str">
        <f t="shared" si="3"/>
        <v/>
      </c>
      <c r="O24" s="3" t="str">
        <f t="shared" si="0"/>
        <v/>
      </c>
      <c r="P24" s="3" t="str">
        <f t="shared" si="0"/>
        <v/>
      </c>
      <c r="Q24" s="3" t="str">
        <f t="shared" si="4"/>
        <v/>
      </c>
      <c r="R24" s="37" t="str">
        <f t="shared" si="5"/>
        <v/>
      </c>
    </row>
    <row r="25" spans="1:18" ht="18">
      <c r="A25">
        <f>SUBTOTAL(103,$K$9:K25)</f>
        <v>17</v>
      </c>
      <c r="B25">
        <v>17</v>
      </c>
      <c r="C25" t="str">
        <f>_xlfn.XLOOKUP(ライン&amp;B25,Filtro!A:A,Filtro!D:D,"",0,1)</f>
        <v/>
      </c>
      <c r="D25" t="str">
        <f>_xlfn.XLOOKUP(C25,DBGenzai[社員№],DBGenzai[現在],"",0,1)</f>
        <v/>
      </c>
      <c r="E25" s="23" t="str">
        <f>_xlfn.XLOOKUP($C25,DBGenzai[社員№],DBGenzai[生年月日],"",0,1)</f>
        <v/>
      </c>
      <c r="F25" t="str">
        <f t="shared" ca="1" si="1"/>
        <v/>
      </c>
      <c r="G25" t="str">
        <f>_xlfn.XLOOKUP(C25,DBGenzai[社員№],DBGenzai[請求単価],"",0,1)</f>
        <v/>
      </c>
      <c r="H25" s="57" t="str">
        <f>_xlfn.XLOOKUP($C25,DBGenzai[社員№],DBGenzai[入社日],"",0,1)</f>
        <v/>
      </c>
      <c r="I25" s="57" t="str">
        <f>IF(D25="退社",_xlfn.XLOOKUP($C25,DBGenzai[社員№],DBGenzai[退社日],"",0,1),"")</f>
        <v/>
      </c>
      <c r="J25" s="36" t="str">
        <f t="shared" si="6"/>
        <v/>
      </c>
      <c r="K25" s="22" t="str">
        <f>_xlfn.XLOOKUP($C25,DBGenzai[社員№],DBGenzai[カナ],"",0,1)</f>
        <v/>
      </c>
      <c r="L25" s="3" t="str">
        <f>_xlfn.XLOOKUP($C25,DBGenzai[社員№],DBGenzai[性別],"",0,1)</f>
        <v/>
      </c>
      <c r="M25" s="3" t="str">
        <f t="shared" ca="1" si="2"/>
        <v/>
      </c>
      <c r="N25" s="3" t="str">
        <f t="shared" si="3"/>
        <v/>
      </c>
      <c r="O25" s="3" t="str">
        <f t="shared" si="3"/>
        <v/>
      </c>
      <c r="P25" s="3" t="str">
        <f t="shared" si="3"/>
        <v/>
      </c>
      <c r="Q25" s="3" t="str">
        <f t="shared" si="4"/>
        <v/>
      </c>
      <c r="R25" s="37" t="str">
        <f t="shared" si="5"/>
        <v/>
      </c>
    </row>
    <row r="26" spans="1:18" ht="18">
      <c r="A26">
        <f>SUBTOTAL(103,$K$9:K26)</f>
        <v>18</v>
      </c>
      <c r="B26">
        <v>18</v>
      </c>
      <c r="C26" t="str">
        <f>_xlfn.XLOOKUP(ライン&amp;B26,Filtro!A:A,Filtro!D:D,"",0,1)</f>
        <v/>
      </c>
      <c r="D26" t="str">
        <f>_xlfn.XLOOKUP(C26,DBGenzai[社員№],DBGenzai[現在],"",0,1)</f>
        <v/>
      </c>
      <c r="E26" s="23" t="str">
        <f>_xlfn.XLOOKUP($C26,DBGenzai[社員№],DBGenzai[生年月日],"",0,1)</f>
        <v/>
      </c>
      <c r="F26" t="str">
        <f t="shared" ca="1" si="1"/>
        <v/>
      </c>
      <c r="G26" t="str">
        <f>_xlfn.XLOOKUP(C26,DBGenzai[社員№],DBGenzai[請求単価],"",0,1)</f>
        <v/>
      </c>
      <c r="H26" s="57" t="str">
        <f>_xlfn.XLOOKUP($C26,DBGenzai[社員№],DBGenzai[入社日],"",0,1)</f>
        <v/>
      </c>
      <c r="I26" s="57" t="str">
        <f>IF(D26="退社",_xlfn.XLOOKUP($C26,DBGenzai[社員№],DBGenzai[退社日],"",0,1),"")</f>
        <v/>
      </c>
      <c r="J26" s="36" t="str">
        <f t="shared" si="6"/>
        <v/>
      </c>
      <c r="K26" s="22" t="str">
        <f>_xlfn.XLOOKUP($C26,DBGenzai[社員№],DBGenzai[カナ],"",0,1)</f>
        <v/>
      </c>
      <c r="L26" s="3" t="str">
        <f>_xlfn.XLOOKUP($C26,DBGenzai[社員№],DBGenzai[性別],"",0,1)</f>
        <v/>
      </c>
      <c r="M26" s="3" t="str">
        <f t="shared" ca="1" si="2"/>
        <v/>
      </c>
      <c r="N26" s="3" t="str">
        <f t="shared" si="3"/>
        <v/>
      </c>
      <c r="O26" s="3" t="str">
        <f t="shared" si="3"/>
        <v/>
      </c>
      <c r="P26" s="3" t="str">
        <f t="shared" si="3"/>
        <v/>
      </c>
      <c r="Q26" s="3" t="str">
        <f t="shared" si="4"/>
        <v/>
      </c>
      <c r="R26" s="37" t="str">
        <f t="shared" si="5"/>
        <v/>
      </c>
    </row>
    <row r="27" spans="1:18" ht="18">
      <c r="A27">
        <f>SUBTOTAL(103,$K$9:K27)</f>
        <v>19</v>
      </c>
      <c r="B27">
        <v>19</v>
      </c>
      <c r="C27" t="str">
        <f>_xlfn.XLOOKUP(ライン&amp;B27,Filtro!A:A,Filtro!D:D,"",0,1)</f>
        <v/>
      </c>
      <c r="D27" t="str">
        <f>_xlfn.XLOOKUP(C27,DBGenzai[社員№],DBGenzai[現在],"",0,1)</f>
        <v/>
      </c>
      <c r="E27" s="23" t="str">
        <f>_xlfn.XLOOKUP($C27,DBGenzai[社員№],DBGenzai[生年月日],"",0,1)</f>
        <v/>
      </c>
      <c r="F27" t="str">
        <f t="shared" ca="1" si="1"/>
        <v/>
      </c>
      <c r="G27" t="str">
        <f>_xlfn.XLOOKUP(C27,DBGenzai[社員№],DBGenzai[請求単価],"",0,1)</f>
        <v/>
      </c>
      <c r="H27" s="57" t="str">
        <f>_xlfn.XLOOKUP($C27,DBGenzai[社員№],DBGenzai[入社日],"",0,1)</f>
        <v/>
      </c>
      <c r="I27" s="57" t="str">
        <f>IF(D27="退社",_xlfn.XLOOKUP($C27,DBGenzai[社員№],DBGenzai[退社日],"",0,1),"")</f>
        <v/>
      </c>
      <c r="J27" s="36" t="str">
        <f t="shared" si="6"/>
        <v/>
      </c>
      <c r="K27" s="22" t="str">
        <f>_xlfn.XLOOKUP($C27,DBGenzai[社員№],DBGenzai[カナ],"",0,1)</f>
        <v/>
      </c>
      <c r="L27" s="3" t="str">
        <f>_xlfn.XLOOKUP($C27,DBGenzai[社員№],DBGenzai[性別],"",0,1)</f>
        <v/>
      </c>
      <c r="M27" s="3" t="str">
        <f t="shared" ca="1" si="2"/>
        <v/>
      </c>
      <c r="N27" s="3" t="str">
        <f t="shared" si="3"/>
        <v/>
      </c>
      <c r="O27" s="3" t="str">
        <f t="shared" si="3"/>
        <v/>
      </c>
      <c r="P27" s="3" t="str">
        <f t="shared" si="3"/>
        <v/>
      </c>
      <c r="Q27" s="3" t="str">
        <f t="shared" si="4"/>
        <v/>
      </c>
      <c r="R27" s="37" t="str">
        <f t="shared" si="5"/>
        <v/>
      </c>
    </row>
    <row r="28" spans="1:18" ht="18">
      <c r="A28">
        <f>SUBTOTAL(103,$K$9:K28)</f>
        <v>20</v>
      </c>
      <c r="B28">
        <v>20</v>
      </c>
      <c r="C28" t="str">
        <f>_xlfn.XLOOKUP(ライン&amp;B28,Filtro!A:A,Filtro!D:D,"",0,1)</f>
        <v/>
      </c>
      <c r="D28" t="str">
        <f>_xlfn.XLOOKUP(C28,DBGenzai[社員№],DBGenzai[現在],"",0,1)</f>
        <v/>
      </c>
      <c r="E28" s="23" t="str">
        <f>_xlfn.XLOOKUP($C28,DBGenzai[社員№],DBGenzai[生年月日],"",0,1)</f>
        <v/>
      </c>
      <c r="F28" t="str">
        <f t="shared" ca="1" si="1"/>
        <v/>
      </c>
      <c r="G28" t="str">
        <f>_xlfn.XLOOKUP(C28,DBGenzai[社員№],DBGenzai[請求単価],"",0,1)</f>
        <v/>
      </c>
      <c r="H28" s="57" t="str">
        <f>_xlfn.XLOOKUP($C28,DBGenzai[社員№],DBGenzai[入社日],"",0,1)</f>
        <v/>
      </c>
      <c r="I28" s="57" t="str">
        <f>IF(D28="退社",_xlfn.XLOOKUP($C28,DBGenzai[社員№],DBGenzai[退社日],"",0,1),"")</f>
        <v/>
      </c>
      <c r="J28" s="36" t="str">
        <f t="shared" si="6"/>
        <v/>
      </c>
      <c r="K28" s="22" t="str">
        <f>_xlfn.XLOOKUP($C28,DBGenzai[社員№],DBGenzai[カナ],"",0,1)</f>
        <v/>
      </c>
      <c r="L28" s="3" t="str">
        <f>_xlfn.XLOOKUP($C28,DBGenzai[社員№],DBGenzai[性別],"",0,1)</f>
        <v/>
      </c>
      <c r="M28" s="3" t="str">
        <f t="shared" ca="1" si="2"/>
        <v/>
      </c>
      <c r="N28" s="3" t="str">
        <f t="shared" si="3"/>
        <v/>
      </c>
      <c r="O28" s="3" t="str">
        <f t="shared" si="3"/>
        <v/>
      </c>
      <c r="P28" s="3" t="str">
        <f t="shared" si="3"/>
        <v/>
      </c>
      <c r="Q28" s="3" t="str">
        <f t="shared" si="4"/>
        <v/>
      </c>
      <c r="R28" s="37" t="str">
        <f t="shared" si="5"/>
        <v/>
      </c>
    </row>
    <row r="29" spans="1:18" ht="18">
      <c r="A29">
        <f>SUBTOTAL(103,$K$9:K29)</f>
        <v>21</v>
      </c>
      <c r="B29">
        <v>21</v>
      </c>
      <c r="C29" t="str">
        <f>_xlfn.XLOOKUP(ライン&amp;B29,Filtro!A:A,Filtro!D:D,"",0,1)</f>
        <v/>
      </c>
      <c r="D29" t="str">
        <f>_xlfn.XLOOKUP(C29,DBGenzai[社員№],DBGenzai[現在],"",0,1)</f>
        <v/>
      </c>
      <c r="E29" s="23" t="str">
        <f>_xlfn.XLOOKUP($C29,DBGenzai[社員№],DBGenzai[生年月日],"",0,1)</f>
        <v/>
      </c>
      <c r="F29" t="str">
        <f t="shared" ca="1" si="1"/>
        <v/>
      </c>
      <c r="G29" t="str">
        <f>_xlfn.XLOOKUP(C29,DBGenzai[社員№],DBGenzai[請求単価],"",0,1)</f>
        <v/>
      </c>
      <c r="H29" s="57" t="str">
        <f>_xlfn.XLOOKUP($C29,DBGenzai[社員№],DBGenzai[入社日],"",0,1)</f>
        <v/>
      </c>
      <c r="I29" s="57" t="str">
        <f>IF(D29="退社",_xlfn.XLOOKUP($C29,DBGenzai[社員№],DBGenzai[退社日],"",0,1),"")</f>
        <v/>
      </c>
      <c r="J29" s="36" t="str">
        <f t="shared" si="6"/>
        <v/>
      </c>
      <c r="K29" s="22" t="str">
        <f>_xlfn.XLOOKUP($C29,DBGenzai[社員№],DBGenzai[カナ],"",0,1)</f>
        <v/>
      </c>
      <c r="L29" s="3" t="str">
        <f>_xlfn.XLOOKUP($C29,DBGenzai[社員№],DBGenzai[性別],"",0,1)</f>
        <v/>
      </c>
      <c r="M29" s="3" t="str">
        <f t="shared" ca="1" si="2"/>
        <v/>
      </c>
      <c r="N29" s="3" t="str">
        <f t="shared" si="3"/>
        <v/>
      </c>
      <c r="O29" s="3" t="str">
        <f t="shared" si="3"/>
        <v/>
      </c>
      <c r="P29" s="3" t="str">
        <f t="shared" si="3"/>
        <v/>
      </c>
      <c r="Q29" s="3" t="str">
        <f t="shared" si="4"/>
        <v/>
      </c>
      <c r="R29" s="37" t="str">
        <f t="shared" si="5"/>
        <v/>
      </c>
    </row>
    <row r="30" spans="1:18" ht="18">
      <c r="A30">
        <f>SUBTOTAL(103,$K$9:K30)</f>
        <v>22</v>
      </c>
      <c r="B30">
        <v>22</v>
      </c>
      <c r="C30" t="str">
        <f>_xlfn.XLOOKUP(ライン&amp;B30,Filtro!A:A,Filtro!D:D,"",0,1)</f>
        <v/>
      </c>
      <c r="D30" t="str">
        <f>_xlfn.XLOOKUP(C30,DBGenzai[社員№],DBGenzai[現在],"",0,1)</f>
        <v/>
      </c>
      <c r="E30" s="23" t="str">
        <f>_xlfn.XLOOKUP($C30,DBGenzai[社員№],DBGenzai[生年月日],"",0,1)</f>
        <v/>
      </c>
      <c r="F30" t="str">
        <f t="shared" ca="1" si="1"/>
        <v/>
      </c>
      <c r="G30" t="str">
        <f>_xlfn.XLOOKUP(C30,DBGenzai[社員№],DBGenzai[請求単価],"",0,1)</f>
        <v/>
      </c>
      <c r="H30" s="57" t="str">
        <f>_xlfn.XLOOKUP($C30,DBGenzai[社員№],DBGenzai[入社日],"",0,1)</f>
        <v/>
      </c>
      <c r="I30" s="57" t="str">
        <f>IF(D30="退社",_xlfn.XLOOKUP($C30,DBGenzai[社員№],DBGenzai[退社日],"",0,1),"")</f>
        <v/>
      </c>
      <c r="J30" s="36" t="str">
        <f t="shared" si="6"/>
        <v/>
      </c>
      <c r="K30" s="22" t="str">
        <f>_xlfn.XLOOKUP($C30,DBGenzai[社員№],DBGenzai[カナ],"",0,1)</f>
        <v/>
      </c>
      <c r="L30" s="3" t="str">
        <f>_xlfn.XLOOKUP($C30,DBGenzai[社員№],DBGenzai[性別],"",0,1)</f>
        <v/>
      </c>
      <c r="M30" s="3" t="str">
        <f t="shared" ca="1" si="2"/>
        <v/>
      </c>
      <c r="N30" s="3" t="str">
        <f t="shared" si="3"/>
        <v/>
      </c>
      <c r="O30" s="3" t="str">
        <f t="shared" si="3"/>
        <v/>
      </c>
      <c r="P30" s="3" t="str">
        <f t="shared" si="3"/>
        <v/>
      </c>
      <c r="Q30" s="3" t="str">
        <f t="shared" si="4"/>
        <v/>
      </c>
      <c r="R30" s="37" t="str">
        <f t="shared" si="5"/>
        <v/>
      </c>
    </row>
    <row r="31" spans="1:18" ht="18">
      <c r="A31">
        <f>SUBTOTAL(103,$K$9:K31)</f>
        <v>23</v>
      </c>
      <c r="B31">
        <v>23</v>
      </c>
      <c r="C31" t="str">
        <f>_xlfn.XLOOKUP(ライン&amp;B31,Filtro!A:A,Filtro!D:D,"",0,1)</f>
        <v/>
      </c>
      <c r="D31" t="str">
        <f>_xlfn.XLOOKUP(C31,DBGenzai[社員№],DBGenzai[現在],"",0,1)</f>
        <v/>
      </c>
      <c r="E31" s="23" t="str">
        <f>_xlfn.XLOOKUP($C31,DBGenzai[社員№],DBGenzai[生年月日],"",0,1)</f>
        <v/>
      </c>
      <c r="F31" t="str">
        <f t="shared" ca="1" si="1"/>
        <v/>
      </c>
      <c r="G31" t="str">
        <f>_xlfn.XLOOKUP(C31,DBGenzai[社員№],DBGenzai[請求単価],"",0,1)</f>
        <v/>
      </c>
      <c r="H31" s="57" t="str">
        <f>_xlfn.XLOOKUP($C31,DBGenzai[社員№],DBGenzai[入社日],"",0,1)</f>
        <v/>
      </c>
      <c r="I31" s="57" t="str">
        <f>IF(D31="退社",_xlfn.XLOOKUP($C31,DBGenzai[社員№],DBGenzai[退社日],"",0,1),"")</f>
        <v/>
      </c>
      <c r="J31" s="36" t="str">
        <f t="shared" si="6"/>
        <v/>
      </c>
      <c r="K31" s="22" t="str">
        <f>_xlfn.XLOOKUP($C31,DBGenzai[社員№],DBGenzai[カナ],"",0,1)</f>
        <v/>
      </c>
      <c r="L31" s="3" t="str">
        <f>_xlfn.XLOOKUP($C31,DBGenzai[社員№],DBGenzai[性別],"",0,1)</f>
        <v/>
      </c>
      <c r="M31" s="3" t="str">
        <f t="shared" ca="1" si="2"/>
        <v/>
      </c>
      <c r="N31" s="3" t="str">
        <f t="shared" si="3"/>
        <v/>
      </c>
      <c r="O31" s="3" t="str">
        <f t="shared" si="3"/>
        <v/>
      </c>
      <c r="P31" s="3" t="str">
        <f t="shared" si="3"/>
        <v/>
      </c>
      <c r="Q31" s="3" t="str">
        <f t="shared" si="4"/>
        <v/>
      </c>
      <c r="R31" s="37" t="str">
        <f t="shared" si="5"/>
        <v/>
      </c>
    </row>
    <row r="32" spans="1:18" ht="18">
      <c r="A32">
        <f>SUBTOTAL(103,$K$9:K32)</f>
        <v>24</v>
      </c>
      <c r="B32">
        <v>24</v>
      </c>
      <c r="C32" t="str">
        <f>_xlfn.XLOOKUP(ライン&amp;B32,Filtro!A:A,Filtro!D:D,"",0,1)</f>
        <v/>
      </c>
      <c r="D32" t="str">
        <f>_xlfn.XLOOKUP(C32,DBGenzai[社員№],DBGenzai[現在],"",0,1)</f>
        <v/>
      </c>
      <c r="E32" s="23" t="str">
        <f>_xlfn.XLOOKUP($C32,DBGenzai[社員№],DBGenzai[生年月日],"",0,1)</f>
        <v/>
      </c>
      <c r="F32" t="str">
        <f t="shared" ca="1" si="1"/>
        <v/>
      </c>
      <c r="G32" t="str">
        <f>_xlfn.XLOOKUP(C32,DBGenzai[社員№],DBGenzai[請求単価],"",0,1)</f>
        <v/>
      </c>
      <c r="H32" s="57" t="str">
        <f>_xlfn.XLOOKUP($C32,DBGenzai[社員№],DBGenzai[入社日],"",0,1)</f>
        <v/>
      </c>
      <c r="I32" s="57" t="str">
        <f>IF(D32="退社",_xlfn.XLOOKUP($C32,DBGenzai[社員№],DBGenzai[退社日],"",0,1),"")</f>
        <v/>
      </c>
      <c r="J32" s="36" t="str">
        <f t="shared" si="6"/>
        <v/>
      </c>
      <c r="K32" s="22" t="str">
        <f>_xlfn.XLOOKUP($C32,DBGenzai[社員№],DBGenzai[カナ],"",0,1)</f>
        <v/>
      </c>
      <c r="L32" s="3" t="str">
        <f>_xlfn.XLOOKUP($C32,DBGenzai[社員№],DBGenzai[性別],"",0,1)</f>
        <v/>
      </c>
      <c r="M32" s="3" t="str">
        <f t="shared" ca="1" si="2"/>
        <v/>
      </c>
      <c r="N32" s="3" t="str">
        <f t="shared" si="3"/>
        <v/>
      </c>
      <c r="O32" s="3" t="str">
        <f t="shared" si="3"/>
        <v/>
      </c>
      <c r="P32" s="3" t="str">
        <f t="shared" si="3"/>
        <v/>
      </c>
      <c r="Q32" s="3" t="str">
        <f t="shared" si="4"/>
        <v/>
      </c>
      <c r="R32" s="37" t="str">
        <f t="shared" si="5"/>
        <v/>
      </c>
    </row>
    <row r="33" spans="1:18" ht="18">
      <c r="A33">
        <f>SUBTOTAL(103,$K$9:K33)</f>
        <v>25</v>
      </c>
      <c r="B33">
        <v>25</v>
      </c>
      <c r="C33" t="str">
        <f>_xlfn.XLOOKUP(ライン&amp;B33,Filtro!A:A,Filtro!D:D,"",0,1)</f>
        <v/>
      </c>
      <c r="D33" t="str">
        <f>_xlfn.XLOOKUP(C33,DBGenzai[社員№],DBGenzai[現在],"",0,1)</f>
        <v/>
      </c>
      <c r="E33" s="23" t="str">
        <f>_xlfn.XLOOKUP($C33,DBGenzai[社員№],DBGenzai[生年月日],"",0,1)</f>
        <v/>
      </c>
      <c r="F33" t="str">
        <f t="shared" ca="1" si="1"/>
        <v/>
      </c>
      <c r="G33" t="str">
        <f>_xlfn.XLOOKUP(C33,DBGenzai[社員№],DBGenzai[請求単価],"",0,1)</f>
        <v/>
      </c>
      <c r="H33" s="57" t="str">
        <f>_xlfn.XLOOKUP($C33,DBGenzai[社員№],DBGenzai[入社日],"",0,1)</f>
        <v/>
      </c>
      <c r="I33" s="57" t="str">
        <f>IF(D33="退社",_xlfn.XLOOKUP($C33,DBGenzai[社員№],DBGenzai[退社日],"",0,1),"")</f>
        <v/>
      </c>
      <c r="J33" s="36" t="str">
        <f t="shared" si="6"/>
        <v/>
      </c>
      <c r="K33" s="22" t="str">
        <f>_xlfn.XLOOKUP($C33,DBGenzai[社員№],DBGenzai[カナ],"",0,1)</f>
        <v/>
      </c>
      <c r="L33" s="3" t="str">
        <f>_xlfn.XLOOKUP($C33,DBGenzai[社員№],DBGenzai[性別],"",0,1)</f>
        <v/>
      </c>
      <c r="M33" s="3" t="str">
        <f t="shared" ca="1" si="2"/>
        <v/>
      </c>
      <c r="N33" s="3" t="str">
        <f t="shared" si="3"/>
        <v/>
      </c>
      <c r="O33" s="3" t="str">
        <f t="shared" si="3"/>
        <v/>
      </c>
      <c r="P33" s="3" t="str">
        <f t="shared" si="3"/>
        <v/>
      </c>
      <c r="Q33" s="3" t="str">
        <f t="shared" si="4"/>
        <v/>
      </c>
      <c r="R33" s="37" t="str">
        <f t="shared" si="5"/>
        <v/>
      </c>
    </row>
    <row r="34" spans="1:18" ht="18">
      <c r="A34">
        <f>SUBTOTAL(103,$K$9:K34)</f>
        <v>26</v>
      </c>
      <c r="B34">
        <v>26</v>
      </c>
      <c r="C34" t="str">
        <f>_xlfn.XLOOKUP(ライン&amp;B34,Filtro!A:A,Filtro!D:D,"",0,1)</f>
        <v/>
      </c>
      <c r="D34" t="str">
        <f>_xlfn.XLOOKUP(C34,DBGenzai[社員№],DBGenzai[現在],"",0,1)</f>
        <v/>
      </c>
      <c r="E34" s="23" t="str">
        <f>_xlfn.XLOOKUP($C34,DBGenzai[社員№],DBGenzai[生年月日],"",0,1)</f>
        <v/>
      </c>
      <c r="F34" t="str">
        <f t="shared" ca="1" si="1"/>
        <v/>
      </c>
      <c r="G34" t="str">
        <f>_xlfn.XLOOKUP(C34,DBGenzai[社員№],DBGenzai[請求単価],"",0,1)</f>
        <v/>
      </c>
      <c r="H34" s="57" t="str">
        <f>_xlfn.XLOOKUP($C34,DBGenzai[社員№],DBGenzai[入社日],"",0,1)</f>
        <v/>
      </c>
      <c r="I34" s="57" t="str">
        <f>IF(D34="退社",_xlfn.XLOOKUP($C34,DBGenzai[社員№],DBGenzai[退社日],"",0,1),"")</f>
        <v/>
      </c>
      <c r="J34" s="36" t="str">
        <f t="shared" si="6"/>
        <v/>
      </c>
      <c r="K34" s="22" t="str">
        <f>_xlfn.XLOOKUP($C34,DBGenzai[社員№],DBGenzai[カナ],"",0,1)</f>
        <v/>
      </c>
      <c r="L34" s="3" t="str">
        <f>_xlfn.XLOOKUP($C34,DBGenzai[社員№],DBGenzai[性別],"",0,1)</f>
        <v/>
      </c>
      <c r="M34" s="3" t="str">
        <f t="shared" ca="1" si="2"/>
        <v/>
      </c>
      <c r="N34" s="3" t="str">
        <f t="shared" si="3"/>
        <v/>
      </c>
      <c r="O34" s="3" t="str">
        <f t="shared" si="3"/>
        <v/>
      </c>
      <c r="P34" s="3" t="str">
        <f t="shared" si="3"/>
        <v/>
      </c>
      <c r="Q34" s="3" t="str">
        <f t="shared" si="4"/>
        <v/>
      </c>
      <c r="R34" s="37" t="str">
        <f t="shared" si="5"/>
        <v/>
      </c>
    </row>
    <row r="35" spans="1:18" ht="18">
      <c r="A35">
        <f>SUBTOTAL(103,$K$9:K35)</f>
        <v>27</v>
      </c>
      <c r="B35">
        <v>27</v>
      </c>
      <c r="C35" t="str">
        <f>_xlfn.XLOOKUP(ライン&amp;B35,Filtro!A:A,Filtro!D:D,"",0,1)</f>
        <v/>
      </c>
      <c r="D35" t="str">
        <f>_xlfn.XLOOKUP(C35,DBGenzai[社員№],DBGenzai[現在],"",0,1)</f>
        <v/>
      </c>
      <c r="E35" s="23" t="str">
        <f>_xlfn.XLOOKUP($C35,DBGenzai[社員№],DBGenzai[生年月日],"",0,1)</f>
        <v/>
      </c>
      <c r="F35" t="str">
        <f t="shared" ca="1" si="1"/>
        <v/>
      </c>
      <c r="G35" t="str">
        <f>_xlfn.XLOOKUP(C35,DBGenzai[社員№],DBGenzai[請求単価],"",0,1)</f>
        <v/>
      </c>
      <c r="H35" s="57" t="str">
        <f>_xlfn.XLOOKUP($C35,DBGenzai[社員№],DBGenzai[入社日],"",0,1)</f>
        <v/>
      </c>
      <c r="I35" s="57" t="str">
        <f>IF(D35="退社",_xlfn.XLOOKUP($C35,DBGenzai[社員№],DBGenzai[退社日],"",0,1),"")</f>
        <v/>
      </c>
      <c r="J35" s="36" t="str">
        <f t="shared" si="6"/>
        <v/>
      </c>
      <c r="K35" s="22" t="str">
        <f>_xlfn.XLOOKUP($C35,DBGenzai[社員№],DBGenzai[カナ],"",0,1)</f>
        <v/>
      </c>
      <c r="L35" s="3" t="str">
        <f>_xlfn.XLOOKUP($C35,DBGenzai[社員№],DBGenzai[性別],"",0,1)</f>
        <v/>
      </c>
      <c r="M35" s="3" t="str">
        <f t="shared" ca="1" si="2"/>
        <v/>
      </c>
      <c r="N35" s="3" t="str">
        <f t="shared" si="3"/>
        <v/>
      </c>
      <c r="O35" s="3" t="str">
        <f t="shared" si="3"/>
        <v/>
      </c>
      <c r="P35" s="3" t="str">
        <f t="shared" si="3"/>
        <v/>
      </c>
      <c r="Q35" s="3" t="str">
        <f t="shared" si="4"/>
        <v/>
      </c>
      <c r="R35" s="37" t="str">
        <f t="shared" si="5"/>
        <v/>
      </c>
    </row>
    <row r="36" spans="1:18" ht="18">
      <c r="A36">
        <f>SUBTOTAL(103,$K$9:K36)</f>
        <v>28</v>
      </c>
      <c r="B36">
        <v>28</v>
      </c>
      <c r="C36" t="str">
        <f>_xlfn.XLOOKUP(ライン&amp;B36,Filtro!A:A,Filtro!D:D,"",0,1)</f>
        <v/>
      </c>
      <c r="D36" t="str">
        <f>_xlfn.XLOOKUP(C36,DBGenzai[社員№],DBGenzai[現在],"",0,1)</f>
        <v/>
      </c>
      <c r="E36" s="23" t="str">
        <f>_xlfn.XLOOKUP($C36,DBGenzai[社員№],DBGenzai[生年月日],"",0,1)</f>
        <v/>
      </c>
      <c r="F36" t="str">
        <f t="shared" ca="1" si="1"/>
        <v/>
      </c>
      <c r="G36" t="str">
        <f>_xlfn.XLOOKUP(C36,DBGenzai[社員№],DBGenzai[請求単価],"",0,1)</f>
        <v/>
      </c>
      <c r="H36" s="57" t="str">
        <f>_xlfn.XLOOKUP($C36,DBGenzai[社員№],DBGenzai[入社日],"",0,1)</f>
        <v/>
      </c>
      <c r="I36" s="57" t="str">
        <f>IF(D36="退社",_xlfn.XLOOKUP($C36,DBGenzai[社員№],DBGenzai[退社日],"",0,1),"")</f>
        <v/>
      </c>
      <c r="J36" s="36" t="str">
        <f t="shared" si="6"/>
        <v/>
      </c>
      <c r="K36" s="22" t="str">
        <f>_xlfn.XLOOKUP($C36,DBGenzai[社員№],DBGenzai[カナ],"",0,1)</f>
        <v/>
      </c>
      <c r="L36" s="3" t="str">
        <f>_xlfn.XLOOKUP($C36,DBGenzai[社員№],DBGenzai[性別],"",0,1)</f>
        <v/>
      </c>
      <c r="M36" s="3" t="str">
        <f t="shared" ca="1" si="2"/>
        <v/>
      </c>
      <c r="N36" s="3" t="str">
        <f t="shared" si="3"/>
        <v/>
      </c>
      <c r="O36" s="3" t="str">
        <f t="shared" si="3"/>
        <v/>
      </c>
      <c r="P36" s="3" t="str">
        <f t="shared" si="3"/>
        <v/>
      </c>
      <c r="Q36" s="3" t="str">
        <f t="shared" si="4"/>
        <v/>
      </c>
      <c r="R36" s="37" t="str">
        <f t="shared" si="5"/>
        <v/>
      </c>
    </row>
    <row r="37" spans="1:18" ht="18">
      <c r="A37">
        <f>SUBTOTAL(103,$K$9:K37)</f>
        <v>29</v>
      </c>
      <c r="B37">
        <v>29</v>
      </c>
      <c r="C37" t="str">
        <f>_xlfn.XLOOKUP(ライン&amp;B37,Filtro!A:A,Filtro!D:D,"",0,1)</f>
        <v/>
      </c>
      <c r="D37" t="str">
        <f>_xlfn.XLOOKUP(C37,DBGenzai[社員№],DBGenzai[現在],"",0,1)</f>
        <v/>
      </c>
      <c r="E37" s="23" t="str">
        <f>_xlfn.XLOOKUP($C37,DBGenzai[社員№],DBGenzai[生年月日],"",0,1)</f>
        <v/>
      </c>
      <c r="F37" t="str">
        <f t="shared" ca="1" si="1"/>
        <v/>
      </c>
      <c r="G37" t="str">
        <f>_xlfn.XLOOKUP(C37,DBGenzai[社員№],DBGenzai[請求単価],"",0,1)</f>
        <v/>
      </c>
      <c r="H37" s="57" t="str">
        <f>_xlfn.XLOOKUP($C37,DBGenzai[社員№],DBGenzai[入社日],"",0,1)</f>
        <v/>
      </c>
      <c r="I37" s="57" t="str">
        <f>IF(D37="退社",_xlfn.XLOOKUP($C37,DBGenzai[社員№],DBGenzai[退社日],"",0,1),"")</f>
        <v/>
      </c>
      <c r="J37" s="36" t="str">
        <f t="shared" si="6"/>
        <v/>
      </c>
      <c r="K37" s="22" t="str">
        <f>_xlfn.XLOOKUP($C37,DBGenzai[社員№],DBGenzai[カナ],"",0,1)</f>
        <v/>
      </c>
      <c r="L37" s="3" t="str">
        <f>_xlfn.XLOOKUP($C37,DBGenzai[社員№],DBGenzai[性別],"",0,1)</f>
        <v/>
      </c>
      <c r="M37" s="3" t="str">
        <f t="shared" ca="1" si="2"/>
        <v/>
      </c>
      <c r="N37" s="3" t="str">
        <f t="shared" si="3"/>
        <v/>
      </c>
      <c r="O37" s="3" t="str">
        <f t="shared" si="3"/>
        <v/>
      </c>
      <c r="P37" s="3" t="str">
        <f t="shared" si="3"/>
        <v/>
      </c>
      <c r="Q37" s="3" t="str">
        <f t="shared" si="4"/>
        <v/>
      </c>
      <c r="R37" s="37" t="str">
        <f t="shared" si="5"/>
        <v/>
      </c>
    </row>
    <row r="38" spans="1:18" ht="18">
      <c r="A38">
        <f>SUBTOTAL(103,$K$9:K38)</f>
        <v>30</v>
      </c>
      <c r="B38">
        <v>30</v>
      </c>
      <c r="C38" t="str">
        <f>_xlfn.XLOOKUP(ライン&amp;B38,Filtro!A:A,Filtro!D:D,"",0,1)</f>
        <v/>
      </c>
      <c r="D38" t="str">
        <f>_xlfn.XLOOKUP(C38,DBGenzai[社員№],DBGenzai[現在],"",0,1)</f>
        <v/>
      </c>
      <c r="E38" s="23" t="str">
        <f>_xlfn.XLOOKUP($C38,DBGenzai[社員№],DBGenzai[生年月日],"",0,1)</f>
        <v/>
      </c>
      <c r="F38" t="str">
        <f t="shared" ca="1" si="1"/>
        <v/>
      </c>
      <c r="G38" t="str">
        <f>_xlfn.XLOOKUP(C38,DBGenzai[社員№],DBGenzai[請求単価],"",0,1)</f>
        <v/>
      </c>
      <c r="H38" s="57" t="str">
        <f>_xlfn.XLOOKUP($C38,DBGenzai[社員№],DBGenzai[入社日],"",0,1)</f>
        <v/>
      </c>
      <c r="I38" s="57" t="str">
        <f>IF(D38="退社",_xlfn.XLOOKUP($C38,DBGenzai[社員№],DBGenzai[退社日],"",0,1),"")</f>
        <v/>
      </c>
      <c r="J38" s="36" t="str">
        <f t="shared" si="6"/>
        <v/>
      </c>
      <c r="K38" s="22" t="str">
        <f>_xlfn.XLOOKUP($C38,DBGenzai[社員№],DBGenzai[カナ],"",0,1)</f>
        <v/>
      </c>
      <c r="L38" s="3" t="str">
        <f>_xlfn.XLOOKUP($C38,DBGenzai[社員№],DBGenzai[性別],"",0,1)</f>
        <v/>
      </c>
      <c r="M38" s="3" t="str">
        <f t="shared" ca="1" si="2"/>
        <v/>
      </c>
      <c r="N38" s="3" t="str">
        <f t="shared" si="3"/>
        <v/>
      </c>
      <c r="O38" s="3" t="str">
        <f t="shared" si="3"/>
        <v/>
      </c>
      <c r="P38" s="3" t="str">
        <f t="shared" si="3"/>
        <v/>
      </c>
      <c r="Q38" s="3" t="str">
        <f t="shared" si="4"/>
        <v/>
      </c>
      <c r="R38" s="37" t="str">
        <f t="shared" si="5"/>
        <v/>
      </c>
    </row>
    <row r="39" spans="1:18" ht="18">
      <c r="A39">
        <f>SUBTOTAL(103,$K$9:K39)</f>
        <v>31</v>
      </c>
      <c r="B39">
        <v>31</v>
      </c>
      <c r="C39" t="str">
        <f>_xlfn.XLOOKUP(ライン&amp;B39,Filtro!A:A,Filtro!D:D,"",0,1)</f>
        <v/>
      </c>
      <c r="D39" t="str">
        <f>_xlfn.XLOOKUP(C39,DBGenzai[社員№],DBGenzai[現在],"",0,1)</f>
        <v/>
      </c>
      <c r="E39" s="23" t="str">
        <f>_xlfn.XLOOKUP($C39,DBGenzai[社員№],DBGenzai[生年月日],"",0,1)</f>
        <v/>
      </c>
      <c r="F39" t="str">
        <f t="shared" ca="1" si="1"/>
        <v/>
      </c>
      <c r="G39" t="str">
        <f>_xlfn.XLOOKUP(C39,DBGenzai[社員№],DBGenzai[請求単価],"",0,1)</f>
        <v/>
      </c>
      <c r="H39" s="57" t="str">
        <f>_xlfn.XLOOKUP($C39,DBGenzai[社員№],DBGenzai[入社日],"",0,1)</f>
        <v/>
      </c>
      <c r="I39" s="57" t="str">
        <f>IF(D39="退社",_xlfn.XLOOKUP($C39,DBGenzai[社員№],DBGenzai[退社日],"",0,1),"")</f>
        <v/>
      </c>
      <c r="J39" s="36" t="str">
        <f t="shared" si="6"/>
        <v/>
      </c>
      <c r="K39" s="22" t="str">
        <f>_xlfn.XLOOKUP($C39,DBGenzai[社員№],DBGenzai[カナ],"",0,1)</f>
        <v/>
      </c>
      <c r="L39" s="3" t="str">
        <f>_xlfn.XLOOKUP($C39,DBGenzai[社員№],DBGenzai[性別],"",0,1)</f>
        <v/>
      </c>
      <c r="M39" s="3" t="str">
        <f t="shared" ca="1" si="2"/>
        <v/>
      </c>
      <c r="N39" s="3" t="str">
        <f t="shared" si="3"/>
        <v/>
      </c>
      <c r="O39" s="3" t="str">
        <f t="shared" si="3"/>
        <v/>
      </c>
      <c r="P39" s="3" t="str">
        <f t="shared" si="3"/>
        <v/>
      </c>
      <c r="Q39" s="3" t="str">
        <f t="shared" si="4"/>
        <v/>
      </c>
      <c r="R39" s="37" t="str">
        <f t="shared" si="5"/>
        <v/>
      </c>
    </row>
    <row r="40" spans="1:18" ht="18">
      <c r="A40">
        <f>SUBTOTAL(103,$K$9:K40)</f>
        <v>32</v>
      </c>
      <c r="B40">
        <v>32</v>
      </c>
      <c r="C40" t="str">
        <f>_xlfn.XLOOKUP(ライン&amp;B40,Filtro!A:A,Filtro!D:D,"",0,1)</f>
        <v/>
      </c>
      <c r="D40" t="str">
        <f>_xlfn.XLOOKUP(C40,DBGenzai[社員№],DBGenzai[現在],"",0,1)</f>
        <v/>
      </c>
      <c r="E40" s="23" t="str">
        <f>_xlfn.XLOOKUP($C40,DBGenzai[社員№],DBGenzai[生年月日],"",0,1)</f>
        <v/>
      </c>
      <c r="F40" t="str">
        <f t="shared" ca="1" si="1"/>
        <v/>
      </c>
      <c r="G40" t="str">
        <f>_xlfn.XLOOKUP(C40,DBGenzai[社員№],DBGenzai[請求単価],"",0,1)</f>
        <v/>
      </c>
      <c r="H40" s="57" t="str">
        <f>_xlfn.XLOOKUP($C40,DBGenzai[社員№],DBGenzai[入社日],"",0,1)</f>
        <v/>
      </c>
      <c r="I40" s="57" t="str">
        <f>IF(D40="退社",_xlfn.XLOOKUP($C40,DBGenzai[社員№],DBGenzai[退社日],"",0,1),"")</f>
        <v/>
      </c>
      <c r="J40" s="36" t="str">
        <f t="shared" si="6"/>
        <v/>
      </c>
      <c r="K40" s="22" t="str">
        <f>_xlfn.XLOOKUP($C40,DBGenzai[社員№],DBGenzai[カナ],"",0,1)</f>
        <v/>
      </c>
      <c r="L40" s="3" t="str">
        <f>_xlfn.XLOOKUP($C40,DBGenzai[社員№],DBGenzai[性別],"",0,1)</f>
        <v/>
      </c>
      <c r="M40" s="3" t="str">
        <f t="shared" ca="1" si="2"/>
        <v/>
      </c>
      <c r="N40" s="3" t="str">
        <f t="shared" si="3"/>
        <v/>
      </c>
      <c r="O40" s="3" t="str">
        <f t="shared" si="3"/>
        <v/>
      </c>
      <c r="P40" s="3" t="str">
        <f t="shared" si="3"/>
        <v/>
      </c>
      <c r="Q40" s="3" t="str">
        <f t="shared" si="4"/>
        <v/>
      </c>
      <c r="R40" s="37" t="str">
        <f t="shared" si="5"/>
        <v/>
      </c>
    </row>
    <row r="41" spans="1:18" ht="18">
      <c r="A41">
        <f>SUBTOTAL(103,$K$9:K41)</f>
        <v>33</v>
      </c>
      <c r="B41">
        <v>33</v>
      </c>
      <c r="C41" t="str">
        <f>_xlfn.XLOOKUP(ライン&amp;B41,Filtro!A:A,Filtro!D:D,"",0,1)</f>
        <v/>
      </c>
      <c r="D41" t="str">
        <f>_xlfn.XLOOKUP(C41,DBGenzai[社員№],DBGenzai[現在],"",0,1)</f>
        <v/>
      </c>
      <c r="E41" s="23" t="str">
        <f>_xlfn.XLOOKUP($C41,DBGenzai[社員№],DBGenzai[生年月日],"",0,1)</f>
        <v/>
      </c>
      <c r="F41" t="str">
        <f t="shared" ca="1" si="1"/>
        <v/>
      </c>
      <c r="G41" t="str">
        <f>_xlfn.XLOOKUP(C41,DBGenzai[社員№],DBGenzai[請求単価],"",0,1)</f>
        <v/>
      </c>
      <c r="H41" s="57" t="str">
        <f>_xlfn.XLOOKUP($C41,DBGenzai[社員№],DBGenzai[入社日],"",0,1)</f>
        <v/>
      </c>
      <c r="I41" s="57" t="str">
        <f>IF(D41="退社",_xlfn.XLOOKUP($C41,DBGenzai[社員№],DBGenzai[退社日],"",0,1),"")</f>
        <v/>
      </c>
      <c r="J41" s="36" t="str">
        <f t="shared" si="6"/>
        <v/>
      </c>
      <c r="K41" s="22" t="str">
        <f>_xlfn.XLOOKUP($C41,DBGenzai[社員№],DBGenzai[カナ],"",0,1)</f>
        <v/>
      </c>
      <c r="L41" s="3" t="str">
        <f>_xlfn.XLOOKUP($C41,DBGenzai[社員№],DBGenzai[性別],"",0,1)</f>
        <v/>
      </c>
      <c r="M41" s="3" t="str">
        <f t="shared" ca="1" si="2"/>
        <v/>
      </c>
      <c r="N41" s="3" t="str">
        <f t="shared" si="3"/>
        <v/>
      </c>
      <c r="O41" s="3" t="str">
        <f t="shared" si="3"/>
        <v/>
      </c>
      <c r="P41" s="3" t="str">
        <f t="shared" si="3"/>
        <v/>
      </c>
      <c r="Q41" s="3" t="str">
        <f t="shared" si="4"/>
        <v/>
      </c>
      <c r="R41" s="37" t="str">
        <f t="shared" si="5"/>
        <v/>
      </c>
    </row>
    <row r="42" spans="1:18" ht="18">
      <c r="A42">
        <f>SUBTOTAL(103,$K$9:K42)</f>
        <v>34</v>
      </c>
      <c r="B42">
        <v>34</v>
      </c>
      <c r="C42" t="str">
        <f>_xlfn.XLOOKUP(ライン&amp;B42,Filtro!A:A,Filtro!D:D,"",0,1)</f>
        <v/>
      </c>
      <c r="D42" t="str">
        <f>_xlfn.XLOOKUP(C42,DBGenzai[社員№],DBGenzai[現在],"",0,1)</f>
        <v/>
      </c>
      <c r="E42" s="23" t="str">
        <f>_xlfn.XLOOKUP($C42,DBGenzai[社員№],DBGenzai[生年月日],"",0,1)</f>
        <v/>
      </c>
      <c r="F42" t="str">
        <f t="shared" ca="1" si="1"/>
        <v/>
      </c>
      <c r="G42" t="str">
        <f>_xlfn.XLOOKUP(C42,DBGenzai[社員№],DBGenzai[請求単価],"",0,1)</f>
        <v/>
      </c>
      <c r="H42" s="57" t="str">
        <f>_xlfn.XLOOKUP($C42,DBGenzai[社員№],DBGenzai[入社日],"",0,1)</f>
        <v/>
      </c>
      <c r="I42" s="57" t="str">
        <f>IF(D42="退社",_xlfn.XLOOKUP($C42,DBGenzai[社員№],DBGenzai[退社日],"",0,1),"")</f>
        <v/>
      </c>
      <c r="J42" s="36" t="str">
        <f t="shared" si="6"/>
        <v/>
      </c>
      <c r="K42" s="22" t="str">
        <f>_xlfn.XLOOKUP($C42,DBGenzai[社員№],DBGenzai[カナ],"",0,1)</f>
        <v/>
      </c>
      <c r="L42" s="3" t="str">
        <f>_xlfn.XLOOKUP($C42,DBGenzai[社員№],DBGenzai[性別],"",0,1)</f>
        <v/>
      </c>
      <c r="M42" s="3" t="str">
        <f t="shared" ca="1" si="2"/>
        <v/>
      </c>
      <c r="N42" s="3" t="str">
        <f t="shared" ref="N42:P73" si="7">IF($K42="","","加入")</f>
        <v/>
      </c>
      <c r="O42" s="3" t="str">
        <f t="shared" si="7"/>
        <v/>
      </c>
      <c r="P42" s="3" t="str">
        <f t="shared" si="7"/>
        <v/>
      </c>
      <c r="Q42" s="3" t="str">
        <f t="shared" si="4"/>
        <v/>
      </c>
      <c r="R42" s="37" t="str">
        <f t="shared" si="5"/>
        <v/>
      </c>
    </row>
    <row r="43" spans="1:18" ht="18">
      <c r="A43">
        <f>SUBTOTAL(103,$K$9:K43)</f>
        <v>35</v>
      </c>
      <c r="B43">
        <v>35</v>
      </c>
      <c r="C43" t="str">
        <f>_xlfn.XLOOKUP(ライン&amp;B43,Filtro!A:A,Filtro!D:D,"",0,1)</f>
        <v/>
      </c>
      <c r="D43" t="str">
        <f>_xlfn.XLOOKUP(C43,DBGenzai[社員№],DBGenzai[現在],"",0,1)</f>
        <v/>
      </c>
      <c r="E43" s="23" t="str">
        <f>_xlfn.XLOOKUP($C43,DBGenzai[社員№],DBGenzai[生年月日],"",0,1)</f>
        <v/>
      </c>
      <c r="F43" t="str">
        <f t="shared" ca="1" si="1"/>
        <v/>
      </c>
      <c r="G43" t="str">
        <f>_xlfn.XLOOKUP(C43,DBGenzai[社員№],DBGenzai[請求単価],"",0,1)</f>
        <v/>
      </c>
      <c r="H43" s="57" t="str">
        <f>_xlfn.XLOOKUP($C43,DBGenzai[社員№],DBGenzai[入社日],"",0,1)</f>
        <v/>
      </c>
      <c r="I43" s="57" t="str">
        <f>IF(D43="退社",_xlfn.XLOOKUP($C43,DBGenzai[社員№],DBGenzai[退社日],"",0,1),"")</f>
        <v/>
      </c>
      <c r="J43" s="36" t="str">
        <f t="shared" si="6"/>
        <v/>
      </c>
      <c r="K43" s="22" t="str">
        <f>_xlfn.XLOOKUP($C43,DBGenzai[社員№],DBGenzai[カナ],"",0,1)</f>
        <v/>
      </c>
      <c r="L43" s="3" t="str">
        <f>_xlfn.XLOOKUP($C43,DBGenzai[社員№],DBGenzai[性別],"",0,1)</f>
        <v/>
      </c>
      <c r="M43" s="3" t="str">
        <f t="shared" ca="1" si="2"/>
        <v/>
      </c>
      <c r="N43" s="3" t="str">
        <f t="shared" si="7"/>
        <v/>
      </c>
      <c r="O43" s="3" t="str">
        <f t="shared" si="7"/>
        <v/>
      </c>
      <c r="P43" s="3" t="str">
        <f t="shared" si="7"/>
        <v/>
      </c>
      <c r="Q43" s="3" t="str">
        <f t="shared" si="4"/>
        <v/>
      </c>
      <c r="R43" s="37" t="str">
        <f t="shared" si="5"/>
        <v/>
      </c>
    </row>
    <row r="44" spans="1:18" ht="18">
      <c r="A44">
        <f>SUBTOTAL(103,$K$9:K44)</f>
        <v>36</v>
      </c>
      <c r="B44">
        <v>36</v>
      </c>
      <c r="C44" t="str">
        <f>_xlfn.XLOOKUP(ライン&amp;B44,Filtro!A:A,Filtro!D:D,"",0,1)</f>
        <v/>
      </c>
      <c r="D44" t="str">
        <f>_xlfn.XLOOKUP(C44,DBGenzai[社員№],DBGenzai[現在],"",0,1)</f>
        <v/>
      </c>
      <c r="E44" s="23" t="str">
        <f>_xlfn.XLOOKUP($C44,DBGenzai[社員№],DBGenzai[生年月日],"",0,1)</f>
        <v/>
      </c>
      <c r="F44" t="str">
        <f t="shared" ca="1" si="1"/>
        <v/>
      </c>
      <c r="G44" t="str">
        <f>_xlfn.XLOOKUP(C44,DBGenzai[社員№],DBGenzai[請求単価],"",0,1)</f>
        <v/>
      </c>
      <c r="H44" s="57" t="str">
        <f>_xlfn.XLOOKUP($C44,DBGenzai[社員№],DBGenzai[入社日],"",0,1)</f>
        <v/>
      </c>
      <c r="I44" s="57" t="str">
        <f>IF(D44="退社",_xlfn.XLOOKUP($C44,DBGenzai[社員№],DBGenzai[退社日],"",0,1),"")</f>
        <v/>
      </c>
      <c r="J44" s="36" t="str">
        <f t="shared" si="6"/>
        <v/>
      </c>
      <c r="K44" s="22" t="str">
        <f>_xlfn.XLOOKUP($C44,DBGenzai[社員№],DBGenzai[カナ],"",0,1)</f>
        <v/>
      </c>
      <c r="L44" s="3" t="str">
        <f>_xlfn.XLOOKUP($C44,DBGenzai[社員№],DBGenzai[性別],"",0,1)</f>
        <v/>
      </c>
      <c r="M44" s="3" t="str">
        <f t="shared" ca="1" si="2"/>
        <v/>
      </c>
      <c r="N44" s="3" t="str">
        <f t="shared" si="7"/>
        <v/>
      </c>
      <c r="O44" s="3" t="str">
        <f t="shared" si="7"/>
        <v/>
      </c>
      <c r="P44" s="3" t="str">
        <f t="shared" si="7"/>
        <v/>
      </c>
      <c r="Q44" s="3" t="str">
        <f t="shared" si="4"/>
        <v/>
      </c>
      <c r="R44" s="37" t="str">
        <f t="shared" si="5"/>
        <v/>
      </c>
    </row>
    <row r="45" spans="1:18" ht="18">
      <c r="A45">
        <f>SUBTOTAL(103,$K$9:K45)</f>
        <v>37</v>
      </c>
      <c r="B45">
        <v>37</v>
      </c>
      <c r="C45" t="str">
        <f>_xlfn.XLOOKUP(ライン&amp;B45,Filtro!A:A,Filtro!D:D,"",0,1)</f>
        <v/>
      </c>
      <c r="D45" t="str">
        <f>_xlfn.XLOOKUP(C45,DBGenzai[社員№],DBGenzai[現在],"",0,1)</f>
        <v/>
      </c>
      <c r="E45" s="23" t="str">
        <f>_xlfn.XLOOKUP($C45,DBGenzai[社員№],DBGenzai[生年月日],"",0,1)</f>
        <v/>
      </c>
      <c r="F45" t="str">
        <f t="shared" ca="1" si="1"/>
        <v/>
      </c>
      <c r="G45" t="str">
        <f>_xlfn.XLOOKUP(C45,DBGenzai[社員№],DBGenzai[請求単価],"",0,1)</f>
        <v/>
      </c>
      <c r="H45" s="57" t="str">
        <f>_xlfn.XLOOKUP($C45,DBGenzai[社員№],DBGenzai[入社日],"",0,1)</f>
        <v/>
      </c>
      <c r="I45" s="57" t="str">
        <f>IF(D45="退社",_xlfn.XLOOKUP($C45,DBGenzai[社員№],DBGenzai[退社日],"",0,1),"")</f>
        <v/>
      </c>
      <c r="J45" s="36" t="str">
        <f t="shared" si="6"/>
        <v/>
      </c>
      <c r="K45" s="22" t="str">
        <f>_xlfn.XLOOKUP($C45,DBGenzai[社員№],DBGenzai[カナ],"",0,1)</f>
        <v/>
      </c>
      <c r="L45" s="3" t="str">
        <f>_xlfn.XLOOKUP($C45,DBGenzai[社員№],DBGenzai[性別],"",0,1)</f>
        <v/>
      </c>
      <c r="M45" s="3" t="str">
        <f t="shared" ca="1" si="2"/>
        <v/>
      </c>
      <c r="N45" s="3" t="str">
        <f t="shared" si="7"/>
        <v/>
      </c>
      <c r="O45" s="3" t="str">
        <f t="shared" si="7"/>
        <v/>
      </c>
      <c r="P45" s="3" t="str">
        <f t="shared" si="7"/>
        <v/>
      </c>
      <c r="Q45" s="3" t="str">
        <f t="shared" si="4"/>
        <v/>
      </c>
      <c r="R45" s="37" t="str">
        <f t="shared" si="5"/>
        <v/>
      </c>
    </row>
    <row r="46" spans="1:18" ht="18">
      <c r="A46">
        <f>SUBTOTAL(103,$K$9:K46)</f>
        <v>38</v>
      </c>
      <c r="B46">
        <v>38</v>
      </c>
      <c r="C46" t="str">
        <f>_xlfn.XLOOKUP(ライン&amp;B46,Filtro!A:A,Filtro!D:D,"",0,1)</f>
        <v/>
      </c>
      <c r="D46" t="str">
        <f>_xlfn.XLOOKUP(C46,DBGenzai[社員№],DBGenzai[現在],"",0,1)</f>
        <v/>
      </c>
      <c r="E46" s="23" t="str">
        <f>_xlfn.XLOOKUP($C46,DBGenzai[社員№],DBGenzai[生年月日],"",0,1)</f>
        <v/>
      </c>
      <c r="F46" t="str">
        <f t="shared" ca="1" si="1"/>
        <v/>
      </c>
      <c r="G46" t="str">
        <f>_xlfn.XLOOKUP(C46,DBGenzai[社員№],DBGenzai[請求単価],"",0,1)</f>
        <v/>
      </c>
      <c r="H46" s="57" t="str">
        <f>_xlfn.XLOOKUP($C46,DBGenzai[社員№],DBGenzai[入社日],"",0,1)</f>
        <v/>
      </c>
      <c r="I46" s="57" t="str">
        <f>IF(D46="退社",_xlfn.XLOOKUP($C46,DBGenzai[社員№],DBGenzai[退社日],"",0,1),"")</f>
        <v/>
      </c>
      <c r="J46" s="36" t="str">
        <f t="shared" si="6"/>
        <v/>
      </c>
      <c r="K46" s="22" t="str">
        <f>_xlfn.XLOOKUP($C46,DBGenzai[社員№],DBGenzai[カナ],"",0,1)</f>
        <v/>
      </c>
      <c r="L46" s="3" t="str">
        <f>_xlfn.XLOOKUP($C46,DBGenzai[社員№],DBGenzai[性別],"",0,1)</f>
        <v/>
      </c>
      <c r="M46" s="3" t="str">
        <f t="shared" ca="1" si="2"/>
        <v/>
      </c>
      <c r="N46" s="3" t="str">
        <f t="shared" si="7"/>
        <v/>
      </c>
      <c r="O46" s="3" t="str">
        <f t="shared" si="7"/>
        <v/>
      </c>
      <c r="P46" s="3" t="str">
        <f t="shared" si="7"/>
        <v/>
      </c>
      <c r="Q46" s="3" t="str">
        <f t="shared" si="4"/>
        <v/>
      </c>
      <c r="R46" s="37" t="str">
        <f t="shared" si="5"/>
        <v/>
      </c>
    </row>
    <row r="47" spans="1:18" ht="18">
      <c r="A47">
        <f>SUBTOTAL(103,$K$9:K47)</f>
        <v>39</v>
      </c>
      <c r="B47">
        <v>39</v>
      </c>
      <c r="C47" t="str">
        <f>_xlfn.XLOOKUP(ライン&amp;B47,Filtro!A:A,Filtro!D:D,"",0,1)</f>
        <v/>
      </c>
      <c r="D47" t="str">
        <f>_xlfn.XLOOKUP(C47,DBGenzai[社員№],DBGenzai[現在],"",0,1)</f>
        <v/>
      </c>
      <c r="E47" s="23" t="str">
        <f>_xlfn.XLOOKUP($C47,DBGenzai[社員№],DBGenzai[生年月日],"",0,1)</f>
        <v/>
      </c>
      <c r="F47" t="str">
        <f t="shared" ca="1" si="1"/>
        <v/>
      </c>
      <c r="G47" t="str">
        <f>_xlfn.XLOOKUP(C47,DBGenzai[社員№],DBGenzai[請求単価],"",0,1)</f>
        <v/>
      </c>
      <c r="H47" s="57" t="str">
        <f>_xlfn.XLOOKUP($C47,DBGenzai[社員№],DBGenzai[入社日],"",0,1)</f>
        <v/>
      </c>
      <c r="I47" s="57" t="str">
        <f>IF(D47="退社",_xlfn.XLOOKUP($C47,DBGenzai[社員№],DBGenzai[退社日],"",0,1),"")</f>
        <v/>
      </c>
      <c r="J47" s="36" t="str">
        <f t="shared" si="6"/>
        <v/>
      </c>
      <c r="K47" s="22" t="str">
        <f>_xlfn.XLOOKUP($C47,DBGenzai[社員№],DBGenzai[カナ],"",0,1)</f>
        <v/>
      </c>
      <c r="L47" s="3" t="str">
        <f>_xlfn.XLOOKUP($C47,DBGenzai[社員№],DBGenzai[性別],"",0,1)</f>
        <v/>
      </c>
      <c r="M47" s="3" t="str">
        <f t="shared" ca="1" si="2"/>
        <v/>
      </c>
      <c r="N47" s="3" t="str">
        <f t="shared" si="7"/>
        <v/>
      </c>
      <c r="O47" s="3" t="str">
        <f t="shared" si="7"/>
        <v/>
      </c>
      <c r="P47" s="3" t="str">
        <f t="shared" si="7"/>
        <v/>
      </c>
      <c r="Q47" s="3" t="str">
        <f t="shared" si="4"/>
        <v/>
      </c>
      <c r="R47" s="37" t="str">
        <f t="shared" si="5"/>
        <v/>
      </c>
    </row>
    <row r="48" spans="1:18" ht="18">
      <c r="A48">
        <f>SUBTOTAL(103,$K$9:K48)</f>
        <v>40</v>
      </c>
      <c r="B48">
        <v>40</v>
      </c>
      <c r="C48" t="str">
        <f>_xlfn.XLOOKUP(ライン&amp;B48,Filtro!A:A,Filtro!D:D,"",0,1)</f>
        <v/>
      </c>
      <c r="D48" t="str">
        <f>_xlfn.XLOOKUP(C48,DBGenzai[社員№],DBGenzai[現在],"",0,1)</f>
        <v/>
      </c>
      <c r="E48" s="23" t="str">
        <f>_xlfn.XLOOKUP($C48,DBGenzai[社員№],DBGenzai[生年月日],"",0,1)</f>
        <v/>
      </c>
      <c r="F48" t="str">
        <f t="shared" ca="1" si="1"/>
        <v/>
      </c>
      <c r="G48" t="str">
        <f>_xlfn.XLOOKUP(C48,DBGenzai[社員№],DBGenzai[請求単価],"",0,1)</f>
        <v/>
      </c>
      <c r="H48" s="57" t="str">
        <f>_xlfn.XLOOKUP($C48,DBGenzai[社員№],DBGenzai[入社日],"",0,1)</f>
        <v/>
      </c>
      <c r="I48" s="57" t="str">
        <f>IF(D48="退社",_xlfn.XLOOKUP($C48,DBGenzai[社員№],DBGenzai[退社日],"",0,1),"")</f>
        <v/>
      </c>
      <c r="J48" s="36" t="str">
        <f t="shared" si="6"/>
        <v/>
      </c>
      <c r="K48" s="22" t="str">
        <f>_xlfn.XLOOKUP($C48,DBGenzai[社員№],DBGenzai[カナ],"",0,1)</f>
        <v/>
      </c>
      <c r="L48" s="3" t="str">
        <f>_xlfn.XLOOKUP($C48,DBGenzai[社員№],DBGenzai[性別],"",0,1)</f>
        <v/>
      </c>
      <c r="M48" s="3" t="str">
        <f t="shared" ca="1" si="2"/>
        <v/>
      </c>
      <c r="N48" s="3" t="str">
        <f t="shared" si="7"/>
        <v/>
      </c>
      <c r="O48" s="3" t="str">
        <f t="shared" si="7"/>
        <v/>
      </c>
      <c r="P48" s="3" t="str">
        <f t="shared" si="7"/>
        <v/>
      </c>
      <c r="Q48" s="3" t="str">
        <f t="shared" si="4"/>
        <v/>
      </c>
      <c r="R48" s="37" t="str">
        <f t="shared" si="5"/>
        <v/>
      </c>
    </row>
    <row r="49" spans="1:18" ht="18">
      <c r="A49">
        <f>SUBTOTAL(103,$K$9:K49)</f>
        <v>41</v>
      </c>
      <c r="B49">
        <v>41</v>
      </c>
      <c r="C49" t="str">
        <f>_xlfn.XLOOKUP(ライン&amp;B49,Filtro!A:A,Filtro!D:D,"",0,1)</f>
        <v/>
      </c>
      <c r="D49" t="str">
        <f>_xlfn.XLOOKUP(C49,DBGenzai[社員№],DBGenzai[現在],"",0,1)</f>
        <v/>
      </c>
      <c r="E49" s="23" t="str">
        <f>_xlfn.XLOOKUP($C49,DBGenzai[社員№],DBGenzai[生年月日],"",0,1)</f>
        <v/>
      </c>
      <c r="F49" t="str">
        <f t="shared" ca="1" si="1"/>
        <v/>
      </c>
      <c r="G49" t="str">
        <f>_xlfn.XLOOKUP(C49,DBGenzai[社員№],DBGenzai[請求単価],"",0,1)</f>
        <v/>
      </c>
      <c r="H49" s="57" t="str">
        <f>_xlfn.XLOOKUP($C49,DBGenzai[社員№],DBGenzai[入社日],"",0,1)</f>
        <v/>
      </c>
      <c r="I49" s="57" t="str">
        <f>IF(D49="退社",_xlfn.XLOOKUP($C49,DBGenzai[社員№],DBGenzai[退社日],"",0,1),"")</f>
        <v/>
      </c>
      <c r="J49" s="36" t="str">
        <f t="shared" si="6"/>
        <v/>
      </c>
      <c r="K49" s="22" t="str">
        <f>_xlfn.XLOOKUP($C49,DBGenzai[社員№],DBGenzai[カナ],"",0,1)</f>
        <v/>
      </c>
      <c r="L49" s="3" t="str">
        <f>_xlfn.XLOOKUP($C49,DBGenzai[社員№],DBGenzai[性別],"",0,1)</f>
        <v/>
      </c>
      <c r="M49" s="3" t="str">
        <f t="shared" ca="1" si="2"/>
        <v/>
      </c>
      <c r="N49" s="3" t="str">
        <f t="shared" si="7"/>
        <v/>
      </c>
      <c r="O49" s="3" t="str">
        <f t="shared" si="7"/>
        <v/>
      </c>
      <c r="P49" s="3" t="str">
        <f t="shared" si="7"/>
        <v/>
      </c>
      <c r="Q49" s="3" t="str">
        <f t="shared" si="4"/>
        <v/>
      </c>
      <c r="R49" s="37" t="str">
        <f t="shared" si="5"/>
        <v/>
      </c>
    </row>
    <row r="50" spans="1:18" ht="18">
      <c r="A50">
        <f>SUBTOTAL(103,$K$9:K50)</f>
        <v>42</v>
      </c>
      <c r="B50">
        <v>42</v>
      </c>
      <c r="C50" t="str">
        <f>_xlfn.XLOOKUP(ライン&amp;B50,Filtro!A:A,Filtro!D:D,"",0,1)</f>
        <v/>
      </c>
      <c r="D50" t="str">
        <f>_xlfn.XLOOKUP(C50,DBGenzai[社員№],DBGenzai[現在],"",0,1)</f>
        <v/>
      </c>
      <c r="E50" s="23" t="str">
        <f>_xlfn.XLOOKUP($C50,DBGenzai[社員№],DBGenzai[生年月日],"",0,1)</f>
        <v/>
      </c>
      <c r="F50" t="str">
        <f t="shared" ca="1" si="1"/>
        <v/>
      </c>
      <c r="G50" t="str">
        <f>_xlfn.XLOOKUP(C50,DBGenzai[社員№],DBGenzai[請求単価],"",0,1)</f>
        <v/>
      </c>
      <c r="H50" s="57" t="str">
        <f>_xlfn.XLOOKUP($C50,DBGenzai[社員№],DBGenzai[入社日],"",0,1)</f>
        <v/>
      </c>
      <c r="I50" s="57" t="str">
        <f>IF(D50="退社",_xlfn.XLOOKUP($C50,DBGenzai[社員№],DBGenzai[退社日],"",0,1),"")</f>
        <v/>
      </c>
      <c r="J50" s="36" t="str">
        <f t="shared" si="6"/>
        <v/>
      </c>
      <c r="K50" s="22" t="str">
        <f>_xlfn.XLOOKUP($C50,DBGenzai[社員№],DBGenzai[カナ],"",0,1)</f>
        <v/>
      </c>
      <c r="L50" s="3" t="str">
        <f>_xlfn.XLOOKUP($C50,DBGenzai[社員№],DBGenzai[性別],"",0,1)</f>
        <v/>
      </c>
      <c r="M50" s="3" t="str">
        <f t="shared" ca="1" si="2"/>
        <v/>
      </c>
      <c r="N50" s="3" t="str">
        <f t="shared" si="7"/>
        <v/>
      </c>
      <c r="O50" s="3" t="str">
        <f t="shared" si="7"/>
        <v/>
      </c>
      <c r="P50" s="3" t="str">
        <f t="shared" si="7"/>
        <v/>
      </c>
      <c r="Q50" s="3" t="str">
        <f t="shared" si="4"/>
        <v/>
      </c>
      <c r="R50" s="37" t="str">
        <f t="shared" si="5"/>
        <v/>
      </c>
    </row>
    <row r="51" spans="1:18" ht="18">
      <c r="A51">
        <f>SUBTOTAL(103,$K$9:K51)</f>
        <v>43</v>
      </c>
      <c r="B51">
        <v>43</v>
      </c>
      <c r="C51" t="str">
        <f>_xlfn.XLOOKUP(ライン&amp;B51,Filtro!A:A,Filtro!D:D,"",0,1)</f>
        <v/>
      </c>
      <c r="D51" t="str">
        <f>_xlfn.XLOOKUP(C51,DBGenzai[社員№],DBGenzai[現在],"",0,1)</f>
        <v/>
      </c>
      <c r="E51" s="23" t="str">
        <f>_xlfn.XLOOKUP($C51,DBGenzai[社員№],DBGenzai[生年月日],"",0,1)</f>
        <v/>
      </c>
      <c r="F51" t="str">
        <f t="shared" ca="1" si="1"/>
        <v/>
      </c>
      <c r="G51" t="str">
        <f>_xlfn.XLOOKUP(C51,DBGenzai[社員№],DBGenzai[請求単価],"",0,1)</f>
        <v/>
      </c>
      <c r="H51" s="57" t="str">
        <f>_xlfn.XLOOKUP($C51,DBGenzai[社員№],DBGenzai[入社日],"",0,1)</f>
        <v/>
      </c>
      <c r="I51" s="57" t="str">
        <f>IF(D51="退社",_xlfn.XLOOKUP($C51,DBGenzai[社員№],DBGenzai[退社日],"",0,1),"")</f>
        <v/>
      </c>
      <c r="J51" s="36" t="str">
        <f t="shared" si="6"/>
        <v/>
      </c>
      <c r="K51" s="22" t="str">
        <f>_xlfn.XLOOKUP($C51,DBGenzai[社員№],DBGenzai[カナ],"",0,1)</f>
        <v/>
      </c>
      <c r="L51" s="3" t="str">
        <f>_xlfn.XLOOKUP($C51,DBGenzai[社員№],DBGenzai[性別],"",0,1)</f>
        <v/>
      </c>
      <c r="M51" s="3" t="str">
        <f t="shared" ca="1" si="2"/>
        <v/>
      </c>
      <c r="N51" s="3" t="str">
        <f t="shared" si="7"/>
        <v/>
      </c>
      <c r="O51" s="3" t="str">
        <f t="shared" si="7"/>
        <v/>
      </c>
      <c r="P51" s="3" t="str">
        <f t="shared" si="7"/>
        <v/>
      </c>
      <c r="Q51" s="3" t="str">
        <f t="shared" si="4"/>
        <v/>
      </c>
      <c r="R51" s="37" t="str">
        <f t="shared" si="5"/>
        <v/>
      </c>
    </row>
    <row r="52" spans="1:18" ht="18">
      <c r="A52">
        <f>SUBTOTAL(103,$K$9:K52)</f>
        <v>44</v>
      </c>
      <c r="B52">
        <v>44</v>
      </c>
      <c r="C52" t="str">
        <f>_xlfn.XLOOKUP(ライン&amp;B52,Filtro!A:A,Filtro!D:D,"",0,1)</f>
        <v/>
      </c>
      <c r="D52" t="str">
        <f>_xlfn.XLOOKUP(C52,DBGenzai[社員№],DBGenzai[現在],"",0,1)</f>
        <v/>
      </c>
      <c r="E52" s="23" t="str">
        <f>_xlfn.XLOOKUP($C52,DBGenzai[社員№],DBGenzai[生年月日],"",0,1)</f>
        <v/>
      </c>
      <c r="F52" t="str">
        <f t="shared" ca="1" si="1"/>
        <v/>
      </c>
      <c r="G52" t="str">
        <f>_xlfn.XLOOKUP(C52,DBGenzai[社員№],DBGenzai[請求単価],"",0,1)</f>
        <v/>
      </c>
      <c r="H52" s="57" t="str">
        <f>_xlfn.XLOOKUP($C52,DBGenzai[社員№],DBGenzai[入社日],"",0,1)</f>
        <v/>
      </c>
      <c r="I52" s="57" t="str">
        <f>IF(D52="退社",_xlfn.XLOOKUP($C52,DBGenzai[社員№],DBGenzai[退社日],"",0,1),"")</f>
        <v/>
      </c>
      <c r="J52" s="36" t="str">
        <f t="shared" si="6"/>
        <v/>
      </c>
      <c r="K52" s="22" t="str">
        <f>_xlfn.XLOOKUP($C52,DBGenzai[社員№],DBGenzai[カナ],"",0,1)</f>
        <v/>
      </c>
      <c r="L52" s="3" t="str">
        <f>_xlfn.XLOOKUP($C52,DBGenzai[社員№],DBGenzai[性別],"",0,1)</f>
        <v/>
      </c>
      <c r="M52" s="3" t="str">
        <f t="shared" ca="1" si="2"/>
        <v/>
      </c>
      <c r="N52" s="3" t="str">
        <f t="shared" si="7"/>
        <v/>
      </c>
      <c r="O52" s="3" t="str">
        <f t="shared" si="7"/>
        <v/>
      </c>
      <c r="P52" s="3" t="str">
        <f t="shared" si="7"/>
        <v/>
      </c>
      <c r="Q52" s="3" t="str">
        <f t="shared" si="4"/>
        <v/>
      </c>
      <c r="R52" s="37" t="str">
        <f t="shared" si="5"/>
        <v/>
      </c>
    </row>
    <row r="53" spans="1:18" ht="18">
      <c r="A53">
        <f>SUBTOTAL(103,$K$9:K53)</f>
        <v>45</v>
      </c>
      <c r="B53">
        <v>45</v>
      </c>
      <c r="C53" t="str">
        <f>_xlfn.XLOOKUP(ライン&amp;B53,Filtro!A:A,Filtro!D:D,"",0,1)</f>
        <v/>
      </c>
      <c r="D53" t="str">
        <f>_xlfn.XLOOKUP(C53,DBGenzai[社員№],DBGenzai[現在],"",0,1)</f>
        <v/>
      </c>
      <c r="E53" s="23" t="str">
        <f>_xlfn.XLOOKUP($C53,DBGenzai[社員№],DBGenzai[生年月日],"",0,1)</f>
        <v/>
      </c>
      <c r="F53" t="str">
        <f t="shared" ca="1" si="1"/>
        <v/>
      </c>
      <c r="G53" t="str">
        <f>_xlfn.XLOOKUP(C53,DBGenzai[社員№],DBGenzai[請求単価],"",0,1)</f>
        <v/>
      </c>
      <c r="H53" s="57" t="str">
        <f>_xlfn.XLOOKUP($C53,DBGenzai[社員№],DBGenzai[入社日],"",0,1)</f>
        <v/>
      </c>
      <c r="I53" s="57" t="str">
        <f>IF(D53="退社",_xlfn.XLOOKUP($C53,DBGenzai[社員№],DBGenzai[退社日],"",0,1),"")</f>
        <v/>
      </c>
      <c r="J53" s="36" t="str">
        <f t="shared" si="6"/>
        <v/>
      </c>
      <c r="K53" s="22" t="str">
        <f>_xlfn.XLOOKUP($C53,DBGenzai[社員№],DBGenzai[カナ],"",0,1)</f>
        <v/>
      </c>
      <c r="L53" s="3" t="str">
        <f>_xlfn.XLOOKUP($C53,DBGenzai[社員№],DBGenzai[性別],"",0,1)</f>
        <v/>
      </c>
      <c r="M53" s="3" t="str">
        <f t="shared" ca="1" si="2"/>
        <v/>
      </c>
      <c r="N53" s="3" t="str">
        <f t="shared" si="7"/>
        <v/>
      </c>
      <c r="O53" s="3" t="str">
        <f t="shared" si="7"/>
        <v/>
      </c>
      <c r="P53" s="3" t="str">
        <f t="shared" si="7"/>
        <v/>
      </c>
      <c r="Q53" s="3" t="str">
        <f t="shared" si="4"/>
        <v/>
      </c>
      <c r="R53" s="37" t="str">
        <f t="shared" si="5"/>
        <v/>
      </c>
    </row>
    <row r="54" spans="1:18" ht="18">
      <c r="A54">
        <f>SUBTOTAL(103,$K$9:K54)</f>
        <v>46</v>
      </c>
      <c r="B54">
        <v>46</v>
      </c>
      <c r="C54" t="str">
        <f>_xlfn.XLOOKUP(ライン&amp;B54,Filtro!A:A,Filtro!D:D,"",0,1)</f>
        <v/>
      </c>
      <c r="D54" t="str">
        <f>_xlfn.XLOOKUP(C54,DBGenzai[社員№],DBGenzai[現在],"",0,1)</f>
        <v/>
      </c>
      <c r="E54" s="23" t="str">
        <f>_xlfn.XLOOKUP($C54,DBGenzai[社員№],DBGenzai[生年月日],"",0,1)</f>
        <v/>
      </c>
      <c r="F54" t="str">
        <f t="shared" ca="1" si="1"/>
        <v/>
      </c>
      <c r="G54" t="str">
        <f>_xlfn.XLOOKUP(C54,DBGenzai[社員№],DBGenzai[請求単価],"",0,1)</f>
        <v/>
      </c>
      <c r="H54" s="57" t="str">
        <f>_xlfn.XLOOKUP($C54,DBGenzai[社員№],DBGenzai[入社日],"",0,1)</f>
        <v/>
      </c>
      <c r="I54" s="57" t="str">
        <f>IF(D54="退社",_xlfn.XLOOKUP($C54,DBGenzai[社員№],DBGenzai[退社日],"",0,1),"")</f>
        <v/>
      </c>
      <c r="J54" s="36" t="str">
        <f t="shared" si="6"/>
        <v/>
      </c>
      <c r="K54" s="22" t="str">
        <f>_xlfn.XLOOKUP($C54,DBGenzai[社員№],DBGenzai[カナ],"",0,1)</f>
        <v/>
      </c>
      <c r="L54" s="3" t="str">
        <f>_xlfn.XLOOKUP($C54,DBGenzai[社員№],DBGenzai[性別],"",0,1)</f>
        <v/>
      </c>
      <c r="M54" s="3" t="str">
        <f t="shared" ca="1" si="2"/>
        <v/>
      </c>
      <c r="N54" s="3" t="str">
        <f t="shared" si="7"/>
        <v/>
      </c>
      <c r="O54" s="3" t="str">
        <f t="shared" si="7"/>
        <v/>
      </c>
      <c r="P54" s="3" t="str">
        <f t="shared" si="7"/>
        <v/>
      </c>
      <c r="Q54" s="3" t="str">
        <f t="shared" si="4"/>
        <v/>
      </c>
      <c r="R54" s="37" t="str">
        <f t="shared" si="5"/>
        <v/>
      </c>
    </row>
    <row r="55" spans="1:18" ht="18">
      <c r="A55">
        <f>SUBTOTAL(103,$K$9:K55)</f>
        <v>47</v>
      </c>
      <c r="B55">
        <v>47</v>
      </c>
      <c r="C55" t="str">
        <f>_xlfn.XLOOKUP(ライン&amp;B55,Filtro!A:A,Filtro!D:D,"",0,1)</f>
        <v/>
      </c>
      <c r="D55" t="str">
        <f>_xlfn.XLOOKUP(C55,DBGenzai[社員№],DBGenzai[現在],"",0,1)</f>
        <v/>
      </c>
      <c r="E55" s="23" t="str">
        <f>_xlfn.XLOOKUP($C55,DBGenzai[社員№],DBGenzai[生年月日],"",0,1)</f>
        <v/>
      </c>
      <c r="F55" t="str">
        <f t="shared" ca="1" si="1"/>
        <v/>
      </c>
      <c r="G55" t="str">
        <f>_xlfn.XLOOKUP(C55,DBGenzai[社員№],DBGenzai[請求単価],"",0,1)</f>
        <v/>
      </c>
      <c r="H55" s="57" t="str">
        <f>_xlfn.XLOOKUP($C55,DBGenzai[社員№],DBGenzai[入社日],"",0,1)</f>
        <v/>
      </c>
      <c r="I55" s="57" t="str">
        <f>IF(D55="退社",_xlfn.XLOOKUP($C55,DBGenzai[社員№],DBGenzai[退社日],"",0,1),"")</f>
        <v/>
      </c>
      <c r="J55" s="36" t="str">
        <f t="shared" si="6"/>
        <v/>
      </c>
      <c r="K55" s="22" t="str">
        <f>_xlfn.XLOOKUP($C55,DBGenzai[社員№],DBGenzai[カナ],"",0,1)</f>
        <v/>
      </c>
      <c r="L55" s="3" t="str">
        <f>_xlfn.XLOOKUP($C55,DBGenzai[社員№],DBGenzai[性別],"",0,1)</f>
        <v/>
      </c>
      <c r="M55" s="3" t="str">
        <f t="shared" ca="1" si="2"/>
        <v/>
      </c>
      <c r="N55" s="3" t="str">
        <f t="shared" si="7"/>
        <v/>
      </c>
      <c r="O55" s="3" t="str">
        <f t="shared" si="7"/>
        <v/>
      </c>
      <c r="P55" s="3" t="str">
        <f t="shared" si="7"/>
        <v/>
      </c>
      <c r="Q55" s="3" t="str">
        <f t="shared" si="4"/>
        <v/>
      </c>
      <c r="R55" s="37" t="str">
        <f t="shared" si="5"/>
        <v/>
      </c>
    </row>
    <row r="56" spans="1:18" ht="18">
      <c r="A56">
        <f>SUBTOTAL(103,$K$9:K56)</f>
        <v>48</v>
      </c>
      <c r="B56">
        <v>48</v>
      </c>
      <c r="C56" t="str">
        <f>_xlfn.XLOOKUP(ライン&amp;B56,Filtro!A:A,Filtro!D:D,"",0,1)</f>
        <v/>
      </c>
      <c r="D56" t="str">
        <f>_xlfn.XLOOKUP(C56,DBGenzai[社員№],DBGenzai[現在],"",0,1)</f>
        <v/>
      </c>
      <c r="E56" s="23" t="str">
        <f>_xlfn.XLOOKUP($C56,DBGenzai[社員№],DBGenzai[生年月日],"",0,1)</f>
        <v/>
      </c>
      <c r="F56" t="str">
        <f t="shared" ca="1" si="1"/>
        <v/>
      </c>
      <c r="G56" t="str">
        <f>_xlfn.XLOOKUP(C56,DBGenzai[社員№],DBGenzai[請求単価],"",0,1)</f>
        <v/>
      </c>
      <c r="H56" s="57" t="str">
        <f>_xlfn.XLOOKUP($C56,DBGenzai[社員№],DBGenzai[入社日],"",0,1)</f>
        <v/>
      </c>
      <c r="I56" s="57" t="str">
        <f>IF(D56="退社",_xlfn.XLOOKUP($C56,DBGenzai[社員№],DBGenzai[退社日],"",0,1),"")</f>
        <v/>
      </c>
      <c r="J56" s="36" t="str">
        <f t="shared" si="6"/>
        <v/>
      </c>
      <c r="K56" s="22" t="str">
        <f>_xlfn.XLOOKUP($C56,DBGenzai[社員№],DBGenzai[カナ],"",0,1)</f>
        <v/>
      </c>
      <c r="L56" s="3" t="str">
        <f>_xlfn.XLOOKUP($C56,DBGenzai[社員№],DBGenzai[性別],"",0,1)</f>
        <v/>
      </c>
      <c r="M56" s="3" t="str">
        <f t="shared" ca="1" si="2"/>
        <v/>
      </c>
      <c r="N56" s="3" t="str">
        <f t="shared" si="7"/>
        <v/>
      </c>
      <c r="O56" s="3" t="str">
        <f t="shared" si="7"/>
        <v/>
      </c>
      <c r="P56" s="3" t="str">
        <f t="shared" si="7"/>
        <v/>
      </c>
      <c r="Q56" s="3" t="str">
        <f t="shared" si="4"/>
        <v/>
      </c>
      <c r="R56" s="37" t="str">
        <f t="shared" si="5"/>
        <v/>
      </c>
    </row>
    <row r="57" spans="1:18" ht="18">
      <c r="A57">
        <f>SUBTOTAL(103,$K$9:K57)</f>
        <v>49</v>
      </c>
      <c r="B57">
        <v>49</v>
      </c>
      <c r="C57" t="str">
        <f>_xlfn.XLOOKUP(ライン&amp;B57,Filtro!A:A,Filtro!D:D,"",0,1)</f>
        <v/>
      </c>
      <c r="D57" t="str">
        <f>_xlfn.XLOOKUP(C57,DBGenzai[社員№],DBGenzai[現在],"",0,1)</f>
        <v/>
      </c>
      <c r="E57" s="23" t="str">
        <f>_xlfn.XLOOKUP($C57,DBGenzai[社員№],DBGenzai[生年月日],"",0,1)</f>
        <v/>
      </c>
      <c r="F57" t="str">
        <f t="shared" ca="1" si="1"/>
        <v/>
      </c>
      <c r="G57" t="str">
        <f>_xlfn.XLOOKUP(C57,DBGenzai[社員№],DBGenzai[請求単価],"",0,1)</f>
        <v/>
      </c>
      <c r="H57" s="57" t="str">
        <f>_xlfn.XLOOKUP($C57,DBGenzai[社員№],DBGenzai[入社日],"",0,1)</f>
        <v/>
      </c>
      <c r="I57" s="57" t="str">
        <f>IF(D57="退社",_xlfn.XLOOKUP($C57,DBGenzai[社員№],DBGenzai[退社日],"",0,1),"")</f>
        <v/>
      </c>
      <c r="J57" s="41" t="str">
        <f t="shared" si="6"/>
        <v/>
      </c>
      <c r="K57" s="42" t="str">
        <f>_xlfn.XLOOKUP($C57,DBGenzai[社員№],DBGenzai[カナ],"",0,1)</f>
        <v/>
      </c>
      <c r="L57" s="26" t="str">
        <f>_xlfn.XLOOKUP($C57,DBGenzai[社員№],DBGenzai[性別],"",0,1)</f>
        <v/>
      </c>
      <c r="M57" s="26" t="str">
        <f t="shared" ca="1" si="2"/>
        <v/>
      </c>
      <c r="N57" s="26" t="str">
        <f t="shared" si="7"/>
        <v/>
      </c>
      <c r="O57" s="26" t="str">
        <f t="shared" si="7"/>
        <v/>
      </c>
      <c r="P57" s="26" t="str">
        <f t="shared" si="7"/>
        <v/>
      </c>
      <c r="Q57" s="26" t="str">
        <f t="shared" si="4"/>
        <v/>
      </c>
      <c r="R57" s="43" t="str">
        <f t="shared" si="5"/>
        <v/>
      </c>
    </row>
    <row r="58" spans="1:18" ht="18">
      <c r="A58">
        <f>SUBTOTAL(103,$K$9:K58)</f>
        <v>50</v>
      </c>
      <c r="B58">
        <v>50</v>
      </c>
      <c r="C58" t="str">
        <f>_xlfn.XLOOKUP(ライン&amp;B58,Filtro!A:A,Filtro!D:D,"",0,1)</f>
        <v/>
      </c>
      <c r="D58" t="str">
        <f>_xlfn.XLOOKUP(C58,DBGenzai[社員№],DBGenzai[現在],"",0,1)</f>
        <v/>
      </c>
      <c r="E58" s="23" t="str">
        <f>_xlfn.XLOOKUP($C58,DBGenzai[社員№],DBGenzai[生年月日],"",0,1)</f>
        <v/>
      </c>
      <c r="F58" t="str">
        <f t="shared" ca="1" si="1"/>
        <v/>
      </c>
      <c r="G58" t="str">
        <f>_xlfn.XLOOKUP(C58,DBGenzai[社員№],DBGenzai[請求単価],"",0,1)</f>
        <v/>
      </c>
      <c r="H58" s="57" t="str">
        <f>_xlfn.XLOOKUP($C58,DBGenzai[社員№],DBGenzai[入社日],"",0,1)</f>
        <v/>
      </c>
      <c r="I58" s="57" t="str">
        <f>IF(D58="退社",_xlfn.XLOOKUP($C58,DBGenzai[社員№],DBGenzai[退社日],"",0,1),"")</f>
        <v/>
      </c>
      <c r="K58" s="21" t="str">
        <f>_xlfn.XLOOKUP($C58,DBGenzai[社員№],DBGenzai[カナ],"",0,1)</f>
        <v/>
      </c>
      <c r="L58" s="3" t="str">
        <f>_xlfn.XLOOKUP($C58,DBGenzai[社員№],DBGenzai[性別],"",0,1)</f>
        <v/>
      </c>
      <c r="M58" s="3" t="str">
        <f t="shared" ca="1" si="2"/>
        <v/>
      </c>
      <c r="N58" s="3" t="str">
        <f t="shared" si="7"/>
        <v/>
      </c>
      <c r="O58" s="3" t="str">
        <f t="shared" si="7"/>
        <v/>
      </c>
      <c r="P58" s="3" t="str">
        <f t="shared" si="7"/>
        <v/>
      </c>
      <c r="Q58" s="3" t="str">
        <f t="shared" si="4"/>
        <v/>
      </c>
      <c r="R58" s="3" t="str">
        <f t="shared" si="5"/>
        <v/>
      </c>
    </row>
    <row r="59" spans="1:18" ht="18">
      <c r="A59">
        <f>SUBTOTAL(103,$K$9:K59)</f>
        <v>51</v>
      </c>
      <c r="B59">
        <v>51</v>
      </c>
      <c r="C59" t="str">
        <f>_xlfn.XLOOKUP(ライン&amp;B59,Filtro!A:A,Filtro!D:D,"",0,1)</f>
        <v/>
      </c>
      <c r="D59" t="str">
        <f>_xlfn.XLOOKUP(C59,DBGenzai[社員№],DBGenzai[現在],"",0,1)</f>
        <v/>
      </c>
      <c r="E59" s="23" t="str">
        <f>_xlfn.XLOOKUP($C59,DBGenzai[社員№],DBGenzai[生年月日],"",0,1)</f>
        <v/>
      </c>
      <c r="F59" t="str">
        <f t="shared" ca="1" si="1"/>
        <v/>
      </c>
      <c r="G59" t="str">
        <f>_xlfn.XLOOKUP(C59,DBGenzai[社員№],DBGenzai[請求単価],"",0,1)</f>
        <v/>
      </c>
      <c r="H59" s="57" t="str">
        <f>_xlfn.XLOOKUP($C59,DBGenzai[社員№],DBGenzai[入社日],"",0,1)</f>
        <v/>
      </c>
      <c r="I59" s="57" t="str">
        <f>IF(D59="退社",_xlfn.XLOOKUP($C59,DBGenzai[社員№],DBGenzai[退社日],"",0,1),"")</f>
        <v/>
      </c>
      <c r="K59" s="21" t="str">
        <f>_xlfn.XLOOKUP($C59,DBGenzai[社員№],DBGenzai[カナ],"",0,1)</f>
        <v/>
      </c>
      <c r="L59" s="3" t="str">
        <f>_xlfn.XLOOKUP($C59,DBGenzai[社員№],DBGenzai[性別],"",0,1)</f>
        <v/>
      </c>
      <c r="M59" s="3" t="str">
        <f t="shared" ca="1" si="2"/>
        <v/>
      </c>
      <c r="N59" s="3" t="str">
        <f t="shared" si="7"/>
        <v/>
      </c>
      <c r="O59" s="3" t="str">
        <f t="shared" si="7"/>
        <v/>
      </c>
      <c r="P59" s="3" t="str">
        <f t="shared" si="7"/>
        <v/>
      </c>
      <c r="Q59" s="3" t="str">
        <f t="shared" si="4"/>
        <v/>
      </c>
      <c r="R59" s="3" t="str">
        <f t="shared" si="5"/>
        <v/>
      </c>
    </row>
    <row r="60" spans="1:18" ht="18">
      <c r="A60">
        <f>SUBTOTAL(103,$K$9:K60)</f>
        <v>52</v>
      </c>
      <c r="B60">
        <v>52</v>
      </c>
      <c r="C60" t="str">
        <f>_xlfn.XLOOKUP(ライン&amp;B60,Filtro!A:A,Filtro!D:D,"",0,1)</f>
        <v/>
      </c>
      <c r="D60" t="str">
        <f>_xlfn.XLOOKUP(C60,DBGenzai[社員№],DBGenzai[現在],"",0,1)</f>
        <v/>
      </c>
      <c r="E60" s="23" t="str">
        <f>_xlfn.XLOOKUP($C60,DBGenzai[社員№],DBGenzai[生年月日],"",0,1)</f>
        <v/>
      </c>
      <c r="F60" t="str">
        <f t="shared" ca="1" si="1"/>
        <v/>
      </c>
      <c r="G60" t="str">
        <f>_xlfn.XLOOKUP(C60,DBGenzai[社員№],DBGenzai[請求単価],"",0,1)</f>
        <v/>
      </c>
      <c r="H60" s="57" t="str">
        <f>_xlfn.XLOOKUP($C60,DBGenzai[社員№],DBGenzai[入社日],"",0,1)</f>
        <v/>
      </c>
      <c r="I60" s="57" t="str">
        <f>IF(D60="退社",_xlfn.XLOOKUP($C60,DBGenzai[社員№],DBGenzai[退社日],"",0,1),"")</f>
        <v/>
      </c>
      <c r="K60" s="21" t="str">
        <f>_xlfn.XLOOKUP($C60,DBGenzai[社員№],DBGenzai[カナ],"",0,1)</f>
        <v/>
      </c>
      <c r="L60" s="3" t="str">
        <f>_xlfn.XLOOKUP($C60,DBGenzai[社員№],DBGenzai[性別],"",0,1)</f>
        <v/>
      </c>
      <c r="M60" s="3" t="str">
        <f t="shared" ca="1" si="2"/>
        <v/>
      </c>
      <c r="N60" s="3" t="str">
        <f t="shared" si="7"/>
        <v/>
      </c>
      <c r="O60" s="3" t="str">
        <f t="shared" si="7"/>
        <v/>
      </c>
      <c r="P60" s="3" t="str">
        <f t="shared" si="7"/>
        <v/>
      </c>
      <c r="Q60" s="3" t="str">
        <f t="shared" si="4"/>
        <v/>
      </c>
      <c r="R60" s="3" t="str">
        <f t="shared" si="5"/>
        <v/>
      </c>
    </row>
    <row r="61" spans="1:18" ht="18">
      <c r="A61">
        <f>SUBTOTAL(103,$K$9:K61)</f>
        <v>53</v>
      </c>
      <c r="B61">
        <v>53</v>
      </c>
      <c r="C61" t="str">
        <f>_xlfn.XLOOKUP(ライン&amp;B61,Filtro!A:A,Filtro!D:D,"",0,1)</f>
        <v/>
      </c>
      <c r="D61" t="str">
        <f>_xlfn.XLOOKUP(C61,DBGenzai[社員№],DBGenzai[現在],"",0,1)</f>
        <v/>
      </c>
      <c r="E61" s="23" t="str">
        <f>_xlfn.XLOOKUP($C61,DBGenzai[社員№],DBGenzai[生年月日],"",0,1)</f>
        <v/>
      </c>
      <c r="F61" t="str">
        <f t="shared" ca="1" si="1"/>
        <v/>
      </c>
      <c r="G61" t="str">
        <f>_xlfn.XLOOKUP(C61,DBGenzai[社員№],DBGenzai[請求単価],"",0,1)</f>
        <v/>
      </c>
      <c r="H61" s="57" t="str">
        <f>_xlfn.XLOOKUP($C61,DBGenzai[社員№],DBGenzai[入社日],"",0,1)</f>
        <v/>
      </c>
      <c r="I61" s="57" t="str">
        <f>IF(D61="退社",_xlfn.XLOOKUP($C61,DBGenzai[社員№],DBGenzai[退社日],"",0,1),"")</f>
        <v/>
      </c>
      <c r="K61" s="21" t="str">
        <f>_xlfn.XLOOKUP($C61,DBGenzai[社員№],DBGenzai[カナ],"",0,1)</f>
        <v/>
      </c>
      <c r="L61" s="3" t="str">
        <f>_xlfn.XLOOKUP($C61,DBGenzai[社員№],DBGenzai[性別],"",0,1)</f>
        <v/>
      </c>
      <c r="M61" s="3" t="str">
        <f t="shared" ca="1" si="2"/>
        <v/>
      </c>
      <c r="N61" s="3" t="str">
        <f t="shared" si="7"/>
        <v/>
      </c>
      <c r="O61" s="3" t="str">
        <f t="shared" si="7"/>
        <v/>
      </c>
      <c r="P61" s="3" t="str">
        <f t="shared" si="7"/>
        <v/>
      </c>
      <c r="Q61" s="3" t="str">
        <f t="shared" si="4"/>
        <v/>
      </c>
      <c r="R61" s="3" t="str">
        <f t="shared" si="5"/>
        <v/>
      </c>
    </row>
    <row r="62" spans="1:18" ht="18">
      <c r="A62">
        <f>SUBTOTAL(103,$K$9:K62)</f>
        <v>54</v>
      </c>
      <c r="B62">
        <v>54</v>
      </c>
      <c r="C62" t="str">
        <f>_xlfn.XLOOKUP(ライン&amp;B62,Filtro!A:A,Filtro!D:D,"",0,1)</f>
        <v/>
      </c>
      <c r="D62" t="str">
        <f>_xlfn.XLOOKUP(C62,DBGenzai[社員№],DBGenzai[現在],"",0,1)</f>
        <v/>
      </c>
      <c r="E62" s="23" t="str">
        <f>_xlfn.XLOOKUP($C62,DBGenzai[社員№],DBGenzai[生年月日],"",0,1)</f>
        <v/>
      </c>
      <c r="F62" t="str">
        <f t="shared" ca="1" si="1"/>
        <v/>
      </c>
      <c r="G62" t="str">
        <f>_xlfn.XLOOKUP(C62,DBGenzai[社員№],DBGenzai[請求単価],"",0,1)</f>
        <v/>
      </c>
      <c r="H62" s="57" t="str">
        <f>_xlfn.XLOOKUP($C62,DBGenzai[社員№],DBGenzai[入社日],"",0,1)</f>
        <v/>
      </c>
      <c r="I62" s="57" t="str">
        <f>IF(D62="退社",_xlfn.XLOOKUP($C62,DBGenzai[社員№],DBGenzai[退社日],"",0,1),"")</f>
        <v/>
      </c>
      <c r="K62" s="21" t="str">
        <f>_xlfn.XLOOKUP($C62,DBGenzai[社員№],DBGenzai[カナ],"",0,1)</f>
        <v/>
      </c>
      <c r="L62" s="3" t="str">
        <f>_xlfn.XLOOKUP($C62,DBGenzai[社員№],DBGenzai[性別],"",0,1)</f>
        <v/>
      </c>
      <c r="M62" s="3" t="str">
        <f t="shared" ca="1" si="2"/>
        <v/>
      </c>
      <c r="N62" s="3" t="str">
        <f t="shared" si="7"/>
        <v/>
      </c>
      <c r="O62" s="3" t="str">
        <f t="shared" si="7"/>
        <v/>
      </c>
      <c r="P62" s="3" t="str">
        <f t="shared" si="7"/>
        <v/>
      </c>
      <c r="Q62" s="3" t="str">
        <f t="shared" si="4"/>
        <v/>
      </c>
      <c r="R62" s="3" t="str">
        <f t="shared" si="5"/>
        <v/>
      </c>
    </row>
    <row r="63" spans="1:18" ht="18">
      <c r="A63">
        <f>SUBTOTAL(103,$K$9:K63)</f>
        <v>55</v>
      </c>
      <c r="B63">
        <v>55</v>
      </c>
      <c r="C63" t="str">
        <f>_xlfn.XLOOKUP(ライン&amp;B63,Filtro!A:A,Filtro!D:D,"",0,1)</f>
        <v/>
      </c>
      <c r="D63" t="str">
        <f>_xlfn.XLOOKUP(C63,DBGenzai[社員№],DBGenzai[現在],"",0,1)</f>
        <v/>
      </c>
      <c r="E63" s="23" t="str">
        <f>_xlfn.XLOOKUP($C63,DBGenzai[社員№],DBGenzai[生年月日],"",0,1)</f>
        <v/>
      </c>
      <c r="F63" t="str">
        <f t="shared" ca="1" si="1"/>
        <v/>
      </c>
      <c r="G63" t="str">
        <f>_xlfn.XLOOKUP(C63,DBGenzai[社員№],DBGenzai[請求単価],"",0,1)</f>
        <v/>
      </c>
      <c r="H63" s="57" t="str">
        <f>_xlfn.XLOOKUP($C63,DBGenzai[社員№],DBGenzai[入社日],"",0,1)</f>
        <v/>
      </c>
      <c r="I63" s="57" t="str">
        <f>IF(D63="退社",_xlfn.XLOOKUP($C63,DBGenzai[社員№],DBGenzai[退社日],"",0,1),"")</f>
        <v/>
      </c>
      <c r="K63" s="21" t="str">
        <f>_xlfn.XLOOKUP($C63,DBGenzai[社員№],DBGenzai[カナ],"",0,1)</f>
        <v/>
      </c>
      <c r="L63" s="3" t="str">
        <f>_xlfn.XLOOKUP($C63,DBGenzai[社員№],DBGenzai[性別],"",0,1)</f>
        <v/>
      </c>
      <c r="M63" s="3" t="str">
        <f t="shared" ca="1" si="2"/>
        <v/>
      </c>
      <c r="N63" s="3" t="str">
        <f t="shared" si="7"/>
        <v/>
      </c>
      <c r="O63" s="3" t="str">
        <f t="shared" si="7"/>
        <v/>
      </c>
      <c r="P63" s="3" t="str">
        <f t="shared" si="7"/>
        <v/>
      </c>
      <c r="Q63" s="3" t="str">
        <f t="shared" si="4"/>
        <v/>
      </c>
      <c r="R63" s="3" t="str">
        <f t="shared" si="5"/>
        <v/>
      </c>
    </row>
    <row r="64" spans="1:18" ht="18">
      <c r="A64">
        <f>SUBTOTAL(103,$K$9:K64)</f>
        <v>56</v>
      </c>
      <c r="B64">
        <v>56</v>
      </c>
      <c r="C64" t="str">
        <f>_xlfn.XLOOKUP(ライン&amp;B64,Filtro!A:A,Filtro!D:D,"",0,1)</f>
        <v/>
      </c>
      <c r="D64" t="str">
        <f>_xlfn.XLOOKUP(C64,DBGenzai[社員№],DBGenzai[現在],"",0,1)</f>
        <v/>
      </c>
      <c r="E64" s="23" t="str">
        <f>_xlfn.XLOOKUP($C64,DBGenzai[社員№],DBGenzai[生年月日],"",0,1)</f>
        <v/>
      </c>
      <c r="F64" t="str">
        <f t="shared" ca="1" si="1"/>
        <v/>
      </c>
      <c r="G64" t="str">
        <f>_xlfn.XLOOKUP(C64,DBGenzai[社員№],DBGenzai[請求単価],"",0,1)</f>
        <v/>
      </c>
      <c r="H64" s="57" t="str">
        <f>_xlfn.XLOOKUP($C64,DBGenzai[社員№],DBGenzai[入社日],"",0,1)</f>
        <v/>
      </c>
      <c r="I64" s="57" t="str">
        <f>IF(D64="退社",_xlfn.XLOOKUP($C64,DBGenzai[社員№],DBGenzai[退社日],"",0,1),"")</f>
        <v/>
      </c>
      <c r="K64" s="21" t="str">
        <f>_xlfn.XLOOKUP($C64,DBGenzai[社員№],DBGenzai[カナ],"",0,1)</f>
        <v/>
      </c>
      <c r="L64" s="3" t="str">
        <f>_xlfn.XLOOKUP($C64,DBGenzai[社員№],DBGenzai[性別],"",0,1)</f>
        <v/>
      </c>
      <c r="M64" s="3" t="str">
        <f t="shared" ca="1" si="2"/>
        <v/>
      </c>
      <c r="N64" s="3" t="str">
        <f t="shared" si="7"/>
        <v/>
      </c>
      <c r="O64" s="3" t="str">
        <f t="shared" si="7"/>
        <v/>
      </c>
      <c r="P64" s="3" t="str">
        <f t="shared" si="7"/>
        <v/>
      </c>
      <c r="Q64" s="3" t="str">
        <f t="shared" si="4"/>
        <v/>
      </c>
      <c r="R64" s="3" t="str">
        <f t="shared" si="5"/>
        <v/>
      </c>
    </row>
    <row r="65" spans="1:18" ht="18">
      <c r="A65">
        <f>SUBTOTAL(103,$K$9:K65)</f>
        <v>57</v>
      </c>
      <c r="B65">
        <v>57</v>
      </c>
      <c r="C65" t="str">
        <f>_xlfn.XLOOKUP(ライン&amp;B65,Filtro!A:A,Filtro!D:D,"",0,1)</f>
        <v/>
      </c>
      <c r="D65" t="str">
        <f>_xlfn.XLOOKUP(C65,DBGenzai[社員№],DBGenzai[現在],"",0,1)</f>
        <v/>
      </c>
      <c r="E65" s="23" t="str">
        <f>_xlfn.XLOOKUP($C65,DBGenzai[社員№],DBGenzai[生年月日],"",0,1)</f>
        <v/>
      </c>
      <c r="F65" t="str">
        <f t="shared" ca="1" si="1"/>
        <v/>
      </c>
      <c r="G65" t="str">
        <f>_xlfn.XLOOKUP(C65,DBGenzai[社員№],DBGenzai[請求単価],"",0,1)</f>
        <v/>
      </c>
      <c r="H65" s="57" t="str">
        <f>_xlfn.XLOOKUP($C65,DBGenzai[社員№],DBGenzai[入社日],"",0,1)</f>
        <v/>
      </c>
      <c r="I65" s="57" t="str">
        <f>IF(D65="退社",_xlfn.XLOOKUP($C65,DBGenzai[社員№],DBGenzai[退社日],"",0,1),"")</f>
        <v/>
      </c>
      <c r="K65" s="21" t="str">
        <f>_xlfn.XLOOKUP($C65,DBGenzai[社員№],DBGenzai[カナ],"",0,1)</f>
        <v/>
      </c>
      <c r="L65" s="3" t="str">
        <f>_xlfn.XLOOKUP($C65,DBGenzai[社員№],DBGenzai[性別],"",0,1)</f>
        <v/>
      </c>
      <c r="M65" s="3" t="str">
        <f t="shared" ca="1" si="2"/>
        <v/>
      </c>
      <c r="N65" s="3" t="str">
        <f t="shared" si="7"/>
        <v/>
      </c>
      <c r="O65" s="3" t="str">
        <f t="shared" si="7"/>
        <v/>
      </c>
      <c r="P65" s="3" t="str">
        <f t="shared" si="7"/>
        <v/>
      </c>
      <c r="Q65" s="3" t="str">
        <f t="shared" si="4"/>
        <v/>
      </c>
      <c r="R65" s="3" t="str">
        <f t="shared" si="5"/>
        <v/>
      </c>
    </row>
    <row r="66" spans="1:18" ht="18">
      <c r="A66">
        <f>SUBTOTAL(103,$K$9:K66)</f>
        <v>58</v>
      </c>
      <c r="B66">
        <v>58</v>
      </c>
      <c r="C66" t="str">
        <f>_xlfn.XLOOKUP(ライン&amp;B66,Filtro!A:A,Filtro!D:D,"",0,1)</f>
        <v/>
      </c>
      <c r="D66" t="str">
        <f>_xlfn.XLOOKUP(C66,DBGenzai[社員№],DBGenzai[現在],"",0,1)</f>
        <v/>
      </c>
      <c r="E66" s="23" t="str">
        <f>_xlfn.XLOOKUP($C66,DBGenzai[社員№],DBGenzai[生年月日],"",0,1)</f>
        <v/>
      </c>
      <c r="F66" t="str">
        <f t="shared" ca="1" si="1"/>
        <v/>
      </c>
      <c r="G66" t="str">
        <f>_xlfn.XLOOKUP(C66,DBGenzai[社員№],DBGenzai[請求単価],"",0,1)</f>
        <v/>
      </c>
      <c r="H66" s="57" t="str">
        <f>_xlfn.XLOOKUP($C66,DBGenzai[社員№],DBGenzai[入社日],"",0,1)</f>
        <v/>
      </c>
      <c r="I66" s="57" t="str">
        <f>IF(D66="退社",_xlfn.XLOOKUP($C66,DBGenzai[社員№],DBGenzai[退社日],"",0,1),"")</f>
        <v/>
      </c>
      <c r="K66" s="21" t="str">
        <f>_xlfn.XLOOKUP($C66,DBGenzai[社員№],DBGenzai[カナ],"",0,1)</f>
        <v/>
      </c>
      <c r="L66" s="3" t="str">
        <f>_xlfn.XLOOKUP($C66,DBGenzai[社員№],DBGenzai[性別],"",0,1)</f>
        <v/>
      </c>
      <c r="M66" s="3" t="str">
        <f t="shared" ca="1" si="2"/>
        <v/>
      </c>
      <c r="N66" s="3" t="str">
        <f t="shared" si="7"/>
        <v/>
      </c>
      <c r="O66" s="3" t="str">
        <f t="shared" si="7"/>
        <v/>
      </c>
      <c r="P66" s="3" t="str">
        <f t="shared" si="7"/>
        <v/>
      </c>
      <c r="Q66" s="3" t="str">
        <f t="shared" si="4"/>
        <v/>
      </c>
      <c r="R66" s="3" t="str">
        <f t="shared" si="5"/>
        <v/>
      </c>
    </row>
    <row r="67" spans="1:18" ht="18">
      <c r="A67">
        <f>SUBTOTAL(103,$K$9:K67)</f>
        <v>59</v>
      </c>
      <c r="B67">
        <v>59</v>
      </c>
      <c r="C67" t="str">
        <f>_xlfn.XLOOKUP(ライン&amp;B67,Filtro!A:A,Filtro!D:D,"",0,1)</f>
        <v/>
      </c>
      <c r="D67" t="str">
        <f>_xlfn.XLOOKUP(C67,DBGenzai[社員№],DBGenzai[現在],"",0,1)</f>
        <v/>
      </c>
      <c r="E67" s="23" t="str">
        <f>_xlfn.XLOOKUP($C67,DBGenzai[社員№],DBGenzai[生年月日],"",0,1)</f>
        <v/>
      </c>
      <c r="F67" t="str">
        <f t="shared" ca="1" si="1"/>
        <v/>
      </c>
      <c r="G67" t="str">
        <f>_xlfn.XLOOKUP(C67,DBGenzai[社員№],DBGenzai[請求単価],"",0,1)</f>
        <v/>
      </c>
      <c r="H67" s="57" t="str">
        <f>_xlfn.XLOOKUP($C67,DBGenzai[社員№],DBGenzai[入社日],"",0,1)</f>
        <v/>
      </c>
      <c r="I67" s="57" t="str">
        <f>IF(D67="退社",_xlfn.XLOOKUP($C67,DBGenzai[社員№],DBGenzai[退社日],"",0,1),"")</f>
        <v/>
      </c>
      <c r="K67" s="21" t="str">
        <f>_xlfn.XLOOKUP($C67,DBGenzai[社員№],DBGenzai[カナ],"",0,1)</f>
        <v/>
      </c>
      <c r="L67" s="3" t="str">
        <f>_xlfn.XLOOKUP($C67,DBGenzai[社員№],DBGenzai[性別],"",0,1)</f>
        <v/>
      </c>
      <c r="M67" s="3" t="str">
        <f t="shared" ca="1" si="2"/>
        <v/>
      </c>
      <c r="N67" s="3" t="str">
        <f t="shared" si="7"/>
        <v/>
      </c>
      <c r="O67" s="3" t="str">
        <f t="shared" si="7"/>
        <v/>
      </c>
      <c r="P67" s="3" t="str">
        <f t="shared" si="7"/>
        <v/>
      </c>
      <c r="Q67" s="3" t="str">
        <f t="shared" si="4"/>
        <v/>
      </c>
      <c r="R67" s="3" t="str">
        <f t="shared" si="5"/>
        <v/>
      </c>
    </row>
    <row r="68" spans="1:18" ht="18">
      <c r="A68">
        <f>SUBTOTAL(103,$K$9:K68)</f>
        <v>60</v>
      </c>
      <c r="B68">
        <v>60</v>
      </c>
      <c r="C68" t="str">
        <f>_xlfn.XLOOKUP(ライン&amp;B68,Filtro!A:A,Filtro!D:D,"",0,1)</f>
        <v/>
      </c>
      <c r="D68" t="str">
        <f>_xlfn.XLOOKUP(C68,DBGenzai[社員№],DBGenzai[現在],"",0,1)</f>
        <v/>
      </c>
      <c r="E68" s="23" t="str">
        <f>_xlfn.XLOOKUP($C68,DBGenzai[社員№],DBGenzai[生年月日],"",0,1)</f>
        <v/>
      </c>
      <c r="F68" t="str">
        <f t="shared" ca="1" si="1"/>
        <v/>
      </c>
      <c r="G68" t="str">
        <f>_xlfn.XLOOKUP(C68,DBGenzai[社員№],DBGenzai[請求単価],"",0,1)</f>
        <v/>
      </c>
      <c r="H68" s="57" t="str">
        <f>_xlfn.XLOOKUP($C68,DBGenzai[社員№],DBGenzai[入社日],"",0,1)</f>
        <v/>
      </c>
      <c r="I68" s="57" t="str">
        <f>IF(D68="退社",_xlfn.XLOOKUP($C68,DBGenzai[社員№],DBGenzai[退社日],"",0,1),"")</f>
        <v/>
      </c>
      <c r="K68" s="21" t="str">
        <f>_xlfn.XLOOKUP($C68,DBGenzai[社員№],DBGenzai[カナ],"",0,1)</f>
        <v/>
      </c>
      <c r="L68" s="3" t="str">
        <f>_xlfn.XLOOKUP($C68,DBGenzai[社員№],DBGenzai[性別],"",0,1)</f>
        <v/>
      </c>
      <c r="M68" s="3" t="str">
        <f t="shared" ca="1" si="2"/>
        <v/>
      </c>
      <c r="N68" s="3" t="str">
        <f t="shared" si="7"/>
        <v/>
      </c>
      <c r="O68" s="3" t="str">
        <f t="shared" si="7"/>
        <v/>
      </c>
      <c r="P68" s="3" t="str">
        <f t="shared" si="7"/>
        <v/>
      </c>
      <c r="Q68" s="3" t="str">
        <f t="shared" si="4"/>
        <v/>
      </c>
      <c r="R68" s="3" t="str">
        <f t="shared" si="5"/>
        <v/>
      </c>
    </row>
    <row r="69" spans="1:18" ht="18">
      <c r="A69">
        <f>SUBTOTAL(103,$K$9:K69)</f>
        <v>61</v>
      </c>
      <c r="B69">
        <v>61</v>
      </c>
      <c r="C69" t="str">
        <f>_xlfn.XLOOKUP(ライン&amp;B69,Filtro!A:A,Filtro!D:D,"",0,1)</f>
        <v/>
      </c>
      <c r="D69" t="str">
        <f>_xlfn.XLOOKUP(C69,DBGenzai[社員№],DBGenzai[現在],"",0,1)</f>
        <v/>
      </c>
      <c r="E69" s="23" t="str">
        <f>_xlfn.XLOOKUP($C69,DBGenzai[社員№],DBGenzai[生年月日],"",0,1)</f>
        <v/>
      </c>
      <c r="F69" t="str">
        <f t="shared" ca="1" si="1"/>
        <v/>
      </c>
      <c r="G69" t="str">
        <f>_xlfn.XLOOKUP(C69,DBGenzai[社員№],DBGenzai[請求単価],"",0,1)</f>
        <v/>
      </c>
      <c r="H69" s="57" t="str">
        <f>_xlfn.XLOOKUP($C69,DBGenzai[社員№],DBGenzai[入社日],"",0,1)</f>
        <v/>
      </c>
      <c r="I69" s="57" t="str">
        <f>IF(D69="退社",_xlfn.XLOOKUP($C69,DBGenzai[社員№],DBGenzai[退社日],"",0,1),"")</f>
        <v/>
      </c>
      <c r="K69" s="21" t="str">
        <f>_xlfn.XLOOKUP($C69,DBGenzai[社員№],DBGenzai[カナ],"",0,1)</f>
        <v/>
      </c>
      <c r="L69" s="3" t="str">
        <f>_xlfn.XLOOKUP($C69,DBGenzai[社員№],DBGenzai[性別],"",0,1)</f>
        <v/>
      </c>
      <c r="M69" s="3" t="str">
        <f t="shared" ca="1" si="2"/>
        <v/>
      </c>
      <c r="N69" s="3" t="str">
        <f t="shared" si="7"/>
        <v/>
      </c>
      <c r="O69" s="3" t="str">
        <f t="shared" si="7"/>
        <v/>
      </c>
      <c r="P69" s="3" t="str">
        <f t="shared" si="7"/>
        <v/>
      </c>
      <c r="Q69" s="3" t="str">
        <f t="shared" si="4"/>
        <v/>
      </c>
      <c r="R69" s="3" t="str">
        <f t="shared" si="5"/>
        <v/>
      </c>
    </row>
    <row r="70" spans="1:18" ht="18">
      <c r="A70">
        <f>SUBTOTAL(103,$K$9:K70)</f>
        <v>62</v>
      </c>
      <c r="B70">
        <v>62</v>
      </c>
      <c r="C70" t="str">
        <f>_xlfn.XLOOKUP(ライン&amp;B70,Filtro!A:A,Filtro!D:D,"",0,1)</f>
        <v/>
      </c>
      <c r="D70" t="str">
        <f>_xlfn.XLOOKUP(C70,DBGenzai[社員№],DBGenzai[現在],"",0,1)</f>
        <v/>
      </c>
      <c r="E70" s="23" t="str">
        <f>_xlfn.XLOOKUP($C70,DBGenzai[社員№],DBGenzai[生年月日],"",0,1)</f>
        <v/>
      </c>
      <c r="F70" t="str">
        <f t="shared" ca="1" si="1"/>
        <v/>
      </c>
      <c r="G70" t="str">
        <f>_xlfn.XLOOKUP(C70,DBGenzai[社員№],DBGenzai[請求単価],"",0,1)</f>
        <v/>
      </c>
      <c r="H70" s="57" t="str">
        <f>_xlfn.XLOOKUP($C70,DBGenzai[社員№],DBGenzai[入社日],"",0,1)</f>
        <v/>
      </c>
      <c r="I70" s="57" t="str">
        <f>IF(D70="退社",_xlfn.XLOOKUP($C70,DBGenzai[社員№],DBGenzai[退社日],"",0,1),"")</f>
        <v/>
      </c>
      <c r="K70" s="21" t="str">
        <f>_xlfn.XLOOKUP($C70,DBGenzai[社員№],DBGenzai[カナ],"",0,1)</f>
        <v/>
      </c>
      <c r="L70" s="3" t="str">
        <f>_xlfn.XLOOKUP($C70,DBGenzai[社員№],DBGenzai[性別],"",0,1)</f>
        <v/>
      </c>
      <c r="M70" s="3" t="str">
        <f t="shared" ca="1" si="2"/>
        <v/>
      </c>
      <c r="N70" s="3" t="str">
        <f t="shared" si="7"/>
        <v/>
      </c>
      <c r="O70" s="3" t="str">
        <f t="shared" si="7"/>
        <v/>
      </c>
      <c r="P70" s="3" t="str">
        <f t="shared" si="7"/>
        <v/>
      </c>
      <c r="Q70" s="3" t="str">
        <f t="shared" si="4"/>
        <v/>
      </c>
      <c r="R70" s="3" t="str">
        <f t="shared" si="5"/>
        <v/>
      </c>
    </row>
    <row r="71" spans="1:18" ht="18">
      <c r="A71">
        <f>SUBTOTAL(103,$K$9:K71)</f>
        <v>63</v>
      </c>
      <c r="B71">
        <v>63</v>
      </c>
      <c r="C71" t="str">
        <f>_xlfn.XLOOKUP(ライン&amp;B71,Filtro!A:A,Filtro!D:D,"",0,1)</f>
        <v/>
      </c>
      <c r="D71" t="str">
        <f>_xlfn.XLOOKUP(C71,DBGenzai[社員№],DBGenzai[現在],"",0,1)</f>
        <v/>
      </c>
      <c r="E71" s="23" t="str">
        <f>_xlfn.XLOOKUP($C71,DBGenzai[社員№],DBGenzai[生年月日],"",0,1)</f>
        <v/>
      </c>
      <c r="F71" t="str">
        <f t="shared" ca="1" si="1"/>
        <v/>
      </c>
      <c r="G71" t="str">
        <f>_xlfn.XLOOKUP(C71,DBGenzai[社員№],DBGenzai[請求単価],"",0,1)</f>
        <v/>
      </c>
      <c r="H71" s="57" t="str">
        <f>_xlfn.XLOOKUP($C71,DBGenzai[社員№],DBGenzai[入社日],"",0,1)</f>
        <v/>
      </c>
      <c r="I71" s="57" t="str">
        <f>IF(D71="退社",_xlfn.XLOOKUP($C71,DBGenzai[社員№],DBGenzai[退社日],"",0,1),"")</f>
        <v/>
      </c>
      <c r="K71" s="21" t="str">
        <f>_xlfn.XLOOKUP($C71,DBGenzai[社員№],DBGenzai[カナ],"",0,1)</f>
        <v/>
      </c>
      <c r="L71" s="3" t="str">
        <f>_xlfn.XLOOKUP($C71,DBGenzai[社員№],DBGenzai[性別],"",0,1)</f>
        <v/>
      </c>
      <c r="M71" s="3" t="str">
        <f t="shared" ca="1" si="2"/>
        <v/>
      </c>
      <c r="N71" s="3" t="str">
        <f t="shared" si="7"/>
        <v/>
      </c>
      <c r="O71" s="3" t="str">
        <f t="shared" si="7"/>
        <v/>
      </c>
      <c r="P71" s="3" t="str">
        <f t="shared" si="7"/>
        <v/>
      </c>
      <c r="Q71" s="3" t="str">
        <f t="shared" si="4"/>
        <v/>
      </c>
      <c r="R71" s="3" t="str">
        <f t="shared" si="5"/>
        <v/>
      </c>
    </row>
    <row r="72" spans="1:18" ht="18">
      <c r="A72">
        <f>SUBTOTAL(103,$K$9:K72)</f>
        <v>64</v>
      </c>
      <c r="B72">
        <v>64</v>
      </c>
      <c r="C72" t="str">
        <f>_xlfn.XLOOKUP(ライン&amp;B72,Filtro!A:A,Filtro!D:D,"",0,1)</f>
        <v/>
      </c>
      <c r="D72" t="str">
        <f>_xlfn.XLOOKUP(C72,DBGenzai[社員№],DBGenzai[現在],"",0,1)</f>
        <v/>
      </c>
      <c r="E72" s="23" t="str">
        <f>_xlfn.XLOOKUP($C72,DBGenzai[社員№],DBGenzai[生年月日],"",0,1)</f>
        <v/>
      </c>
      <c r="F72" t="str">
        <f t="shared" ca="1" si="1"/>
        <v/>
      </c>
      <c r="G72" t="str">
        <f>_xlfn.XLOOKUP(C72,DBGenzai[社員№],DBGenzai[請求単価],"",0,1)</f>
        <v/>
      </c>
      <c r="H72" s="57" t="str">
        <f>_xlfn.XLOOKUP($C72,DBGenzai[社員№],DBGenzai[入社日],"",0,1)</f>
        <v/>
      </c>
      <c r="I72" s="57" t="str">
        <f>IF(D72="退社",_xlfn.XLOOKUP($C72,DBGenzai[社員№],DBGenzai[退社日],"",0,1),"")</f>
        <v/>
      </c>
      <c r="K72" s="21" t="str">
        <f>_xlfn.XLOOKUP($C72,DBGenzai[社員№],DBGenzai[カナ],"",0,1)</f>
        <v/>
      </c>
      <c r="L72" s="3" t="str">
        <f>_xlfn.XLOOKUP($C72,DBGenzai[社員№],DBGenzai[性別],"",0,1)</f>
        <v/>
      </c>
      <c r="M72" s="3" t="str">
        <f t="shared" ca="1" si="2"/>
        <v/>
      </c>
      <c r="N72" s="3" t="str">
        <f t="shared" si="7"/>
        <v/>
      </c>
      <c r="O72" s="3" t="str">
        <f t="shared" si="7"/>
        <v/>
      </c>
      <c r="P72" s="3" t="str">
        <f t="shared" si="7"/>
        <v/>
      </c>
      <c r="Q72" s="3" t="str">
        <f t="shared" si="4"/>
        <v/>
      </c>
      <c r="R72" s="3" t="str">
        <f t="shared" si="5"/>
        <v/>
      </c>
    </row>
    <row r="73" spans="1:18" ht="18">
      <c r="A73">
        <f>SUBTOTAL(103,$K$9:K73)</f>
        <v>65</v>
      </c>
      <c r="B73">
        <v>65</v>
      </c>
      <c r="C73" t="str">
        <f>_xlfn.XLOOKUP(ライン&amp;B73,Filtro!A:A,Filtro!D:D,"",0,1)</f>
        <v/>
      </c>
      <c r="D73" t="str">
        <f>_xlfn.XLOOKUP(C73,DBGenzai[社員№],DBGenzai[現在],"",0,1)</f>
        <v/>
      </c>
      <c r="E73" s="23" t="str">
        <f>_xlfn.XLOOKUP($C73,DBGenzai[社員№],DBGenzai[生年月日],"",0,1)</f>
        <v/>
      </c>
      <c r="F73" t="str">
        <f t="shared" ca="1" si="1"/>
        <v/>
      </c>
      <c r="G73" t="str">
        <f>_xlfn.XLOOKUP(C73,DBGenzai[社員№],DBGenzai[請求単価],"",0,1)</f>
        <v/>
      </c>
      <c r="H73" s="57" t="str">
        <f>_xlfn.XLOOKUP($C73,DBGenzai[社員№],DBGenzai[入社日],"",0,1)</f>
        <v/>
      </c>
      <c r="I73" s="57" t="str">
        <f>IF(D73="退社",_xlfn.XLOOKUP($C73,DBGenzai[社員№],DBGenzai[退社日],"",0,1),"")</f>
        <v/>
      </c>
      <c r="K73" s="21" t="str">
        <f>_xlfn.XLOOKUP($C73,DBGenzai[社員№],DBGenzai[カナ],"",0,1)</f>
        <v/>
      </c>
      <c r="L73" s="3" t="str">
        <f>_xlfn.XLOOKUP($C73,DBGenzai[社員№],DBGenzai[性別],"",0,1)</f>
        <v/>
      </c>
      <c r="M73" s="3" t="str">
        <f t="shared" ca="1" si="2"/>
        <v/>
      </c>
      <c r="N73" s="3" t="str">
        <f t="shared" si="7"/>
        <v/>
      </c>
      <c r="O73" s="3" t="str">
        <f t="shared" si="7"/>
        <v/>
      </c>
      <c r="P73" s="3" t="str">
        <f t="shared" si="7"/>
        <v/>
      </c>
      <c r="Q73" s="3" t="str">
        <f t="shared" si="4"/>
        <v/>
      </c>
      <c r="R73" s="3" t="str">
        <f t="shared" si="5"/>
        <v/>
      </c>
    </row>
    <row r="74" spans="1:18" ht="18">
      <c r="A74">
        <f>SUBTOTAL(103,$K$9:K74)</f>
        <v>66</v>
      </c>
      <c r="B74">
        <v>66</v>
      </c>
      <c r="C74" t="str">
        <f>_xlfn.XLOOKUP(ライン&amp;B74,Filtro!A:A,Filtro!D:D,"",0,1)</f>
        <v/>
      </c>
      <c r="D74" t="str">
        <f>_xlfn.XLOOKUP(C74,DBGenzai[社員№],DBGenzai[現在],"",0,1)</f>
        <v/>
      </c>
      <c r="E74" s="23" t="str">
        <f>_xlfn.XLOOKUP($C74,DBGenzai[社員№],DBGenzai[生年月日],"",0,1)</f>
        <v/>
      </c>
      <c r="F74" t="str">
        <f t="shared" ref="F74:F107" ca="1" si="8">IF(E74="","",DATEDIF(E74,TODAY(),"Y"))</f>
        <v/>
      </c>
      <c r="G74" t="str">
        <f>_xlfn.XLOOKUP(C74,DBGenzai[社員№],DBGenzai[請求単価],"",0,1)</f>
        <v/>
      </c>
      <c r="H74" s="57" t="str">
        <f>_xlfn.XLOOKUP($C74,DBGenzai[社員№],DBGenzai[入社日],"",0,1)</f>
        <v/>
      </c>
      <c r="I74" s="57" t="str">
        <f>IF(D74="退社",_xlfn.XLOOKUP($C74,DBGenzai[社員№],DBGenzai[退社日],"",0,1),"")</f>
        <v/>
      </c>
      <c r="K74" s="21" t="str">
        <f>_xlfn.XLOOKUP($C74,DBGenzai[社員№],DBGenzai[カナ],"",0,1)</f>
        <v/>
      </c>
      <c r="L74" s="3" t="str">
        <f>_xlfn.XLOOKUP($C74,DBGenzai[社員№],DBGenzai[性別],"",0,1)</f>
        <v/>
      </c>
      <c r="M74" s="3" t="str">
        <f t="shared" ref="M74:M107" ca="1" si="9">IF(F74="","",IF(F74&lt;=18,"18未満(     )歳",IF(F74&lt;=60,"60歳未満","60歳以上")))</f>
        <v/>
      </c>
      <c r="N74" s="3" t="str">
        <f t="shared" ref="N74:P107" si="10">IF($K74="","","加入")</f>
        <v/>
      </c>
      <c r="O74" s="3" t="str">
        <f t="shared" si="10"/>
        <v/>
      </c>
      <c r="P74" s="3" t="str">
        <f t="shared" si="10"/>
        <v/>
      </c>
      <c r="Q74" s="3" t="str">
        <f t="shared" ref="Q74:Q107" si="11">IF($K74="","","有期雇用（3ヵ月）")</f>
        <v/>
      </c>
      <c r="R74" s="3" t="str">
        <f t="shared" ref="R74:R107" si="12">IF($K74="","","協定対象派遣労働者(労使協定式方式)")</f>
        <v/>
      </c>
    </row>
    <row r="75" spans="1:18" ht="18">
      <c r="A75">
        <f>SUBTOTAL(103,$K$9:K75)</f>
        <v>67</v>
      </c>
      <c r="B75">
        <v>67</v>
      </c>
      <c r="C75" t="str">
        <f>_xlfn.XLOOKUP(ライン&amp;B75,Filtro!A:A,Filtro!D:D,"",0,1)</f>
        <v/>
      </c>
      <c r="D75" t="str">
        <f>_xlfn.XLOOKUP(C75,DBGenzai[社員№],DBGenzai[現在],"",0,1)</f>
        <v/>
      </c>
      <c r="E75" s="23" t="str">
        <f>_xlfn.XLOOKUP($C75,DBGenzai[社員№],DBGenzai[生年月日],"",0,1)</f>
        <v/>
      </c>
      <c r="F75" t="str">
        <f t="shared" ca="1" si="8"/>
        <v/>
      </c>
      <c r="G75" t="str">
        <f>_xlfn.XLOOKUP(C75,DBGenzai[社員№],DBGenzai[請求単価],"",0,1)</f>
        <v/>
      </c>
      <c r="H75" s="57" t="str">
        <f>_xlfn.XLOOKUP($C75,DBGenzai[社員№],DBGenzai[入社日],"",0,1)</f>
        <v/>
      </c>
      <c r="I75" s="57" t="str">
        <f>IF(D75="退社",_xlfn.XLOOKUP($C75,DBGenzai[社員№],DBGenzai[退社日],"",0,1),"")</f>
        <v/>
      </c>
      <c r="K75" s="21" t="str">
        <f>_xlfn.XLOOKUP($C75,DBGenzai[社員№],DBGenzai[カナ],"",0,1)</f>
        <v/>
      </c>
      <c r="L75" s="3" t="str">
        <f>_xlfn.XLOOKUP($C75,DBGenzai[社員№],DBGenzai[性別],"",0,1)</f>
        <v/>
      </c>
      <c r="M75" s="3" t="str">
        <f t="shared" ca="1" si="9"/>
        <v/>
      </c>
      <c r="N75" s="3" t="str">
        <f t="shared" si="10"/>
        <v/>
      </c>
      <c r="O75" s="3" t="str">
        <f t="shared" si="10"/>
        <v/>
      </c>
      <c r="P75" s="3" t="str">
        <f t="shared" si="10"/>
        <v/>
      </c>
      <c r="Q75" s="3" t="str">
        <f t="shared" si="11"/>
        <v/>
      </c>
      <c r="R75" s="3" t="str">
        <f t="shared" si="12"/>
        <v/>
      </c>
    </row>
    <row r="76" spans="1:18" ht="18">
      <c r="A76">
        <f>SUBTOTAL(103,$K$9:K76)</f>
        <v>68</v>
      </c>
      <c r="B76">
        <v>68</v>
      </c>
      <c r="C76" t="str">
        <f>_xlfn.XLOOKUP(ライン&amp;B76,Filtro!A:A,Filtro!D:D,"",0,1)</f>
        <v/>
      </c>
      <c r="D76" t="str">
        <f>_xlfn.XLOOKUP(C76,DBGenzai[社員№],DBGenzai[現在],"",0,1)</f>
        <v/>
      </c>
      <c r="E76" s="23" t="str">
        <f>_xlfn.XLOOKUP($C76,DBGenzai[社員№],DBGenzai[生年月日],"",0,1)</f>
        <v/>
      </c>
      <c r="F76" t="str">
        <f t="shared" ca="1" si="8"/>
        <v/>
      </c>
      <c r="G76" t="str">
        <f>_xlfn.XLOOKUP(C76,DBGenzai[社員№],DBGenzai[請求単価],"",0,1)</f>
        <v/>
      </c>
      <c r="H76" s="57" t="str">
        <f>_xlfn.XLOOKUP($C76,DBGenzai[社員№],DBGenzai[入社日],"",0,1)</f>
        <v/>
      </c>
      <c r="I76" s="57" t="str">
        <f>IF(D76="退社",_xlfn.XLOOKUP($C76,DBGenzai[社員№],DBGenzai[退社日],"",0,1),"")</f>
        <v/>
      </c>
      <c r="K76" s="21" t="str">
        <f>_xlfn.XLOOKUP($C76,DBGenzai[社員№],DBGenzai[カナ],"",0,1)</f>
        <v/>
      </c>
      <c r="L76" s="3" t="str">
        <f>_xlfn.XLOOKUP($C76,DBGenzai[社員№],DBGenzai[性別],"",0,1)</f>
        <v/>
      </c>
      <c r="M76" s="3" t="str">
        <f t="shared" ca="1" si="9"/>
        <v/>
      </c>
      <c r="N76" s="3" t="str">
        <f t="shared" si="10"/>
        <v/>
      </c>
      <c r="O76" s="3" t="str">
        <f t="shared" si="10"/>
        <v/>
      </c>
      <c r="P76" s="3" t="str">
        <f t="shared" si="10"/>
        <v/>
      </c>
      <c r="Q76" s="3" t="str">
        <f t="shared" si="11"/>
        <v/>
      </c>
      <c r="R76" s="3" t="str">
        <f t="shared" si="12"/>
        <v/>
      </c>
    </row>
    <row r="77" spans="1:18" ht="18">
      <c r="A77">
        <f>SUBTOTAL(103,$K$9:K77)</f>
        <v>69</v>
      </c>
      <c r="B77">
        <v>69</v>
      </c>
      <c r="C77" t="str">
        <f>_xlfn.XLOOKUP(ライン&amp;B77,Filtro!A:A,Filtro!D:D,"",0,1)</f>
        <v/>
      </c>
      <c r="D77" t="str">
        <f>_xlfn.XLOOKUP(C77,DBGenzai[社員№],DBGenzai[現在],"",0,1)</f>
        <v/>
      </c>
      <c r="E77" s="23" t="str">
        <f>_xlfn.XLOOKUP($C77,DBGenzai[社員№],DBGenzai[生年月日],"",0,1)</f>
        <v/>
      </c>
      <c r="F77" t="str">
        <f t="shared" ca="1" si="8"/>
        <v/>
      </c>
      <c r="G77" t="str">
        <f>_xlfn.XLOOKUP(C77,DBGenzai[社員№],DBGenzai[請求単価],"",0,1)</f>
        <v/>
      </c>
      <c r="H77" s="57" t="str">
        <f>_xlfn.XLOOKUP($C77,DBGenzai[社員№],DBGenzai[入社日],"",0,1)</f>
        <v/>
      </c>
      <c r="I77" s="57" t="str">
        <f>IF(D77="退社",_xlfn.XLOOKUP($C77,DBGenzai[社員№],DBGenzai[退社日],"",0,1),"")</f>
        <v/>
      </c>
      <c r="K77" s="21" t="str">
        <f>_xlfn.XLOOKUP($C77,DBGenzai[社員№],DBGenzai[カナ],"",0,1)</f>
        <v/>
      </c>
      <c r="L77" s="3" t="str">
        <f>_xlfn.XLOOKUP($C77,DBGenzai[社員№],DBGenzai[性別],"",0,1)</f>
        <v/>
      </c>
      <c r="M77" s="3" t="str">
        <f t="shared" ca="1" si="9"/>
        <v/>
      </c>
      <c r="N77" s="3" t="str">
        <f t="shared" si="10"/>
        <v/>
      </c>
      <c r="O77" s="3" t="str">
        <f t="shared" si="10"/>
        <v/>
      </c>
      <c r="P77" s="3" t="str">
        <f t="shared" si="10"/>
        <v/>
      </c>
      <c r="Q77" s="3" t="str">
        <f t="shared" si="11"/>
        <v/>
      </c>
      <c r="R77" s="3" t="str">
        <f t="shared" si="12"/>
        <v/>
      </c>
    </row>
    <row r="78" spans="1:18" ht="18">
      <c r="A78">
        <f>SUBTOTAL(103,$K$9:K78)</f>
        <v>70</v>
      </c>
      <c r="B78">
        <v>70</v>
      </c>
      <c r="C78" t="str">
        <f>_xlfn.XLOOKUP(ライン&amp;B78,Filtro!A:A,Filtro!D:D,"",0,1)</f>
        <v/>
      </c>
      <c r="D78" t="str">
        <f>_xlfn.XLOOKUP(C78,DBGenzai[社員№],DBGenzai[現在],"",0,1)</f>
        <v/>
      </c>
      <c r="E78" s="23" t="str">
        <f>_xlfn.XLOOKUP($C78,DBGenzai[社員№],DBGenzai[生年月日],"",0,1)</f>
        <v/>
      </c>
      <c r="F78" t="str">
        <f t="shared" ca="1" si="8"/>
        <v/>
      </c>
      <c r="G78" t="str">
        <f>_xlfn.XLOOKUP(C78,DBGenzai[社員№],DBGenzai[請求単価],"",0,1)</f>
        <v/>
      </c>
      <c r="H78" s="57" t="str">
        <f>_xlfn.XLOOKUP($C78,DBGenzai[社員№],DBGenzai[入社日],"",0,1)</f>
        <v/>
      </c>
      <c r="I78" s="57" t="str">
        <f>IF(D78="退社",_xlfn.XLOOKUP($C78,DBGenzai[社員№],DBGenzai[退社日],"",0,1),"")</f>
        <v/>
      </c>
      <c r="K78" s="21" t="str">
        <f>_xlfn.XLOOKUP($C78,DBGenzai[社員№],DBGenzai[カナ],"",0,1)</f>
        <v/>
      </c>
      <c r="L78" s="3" t="str">
        <f>_xlfn.XLOOKUP($C78,DBGenzai[社員№],DBGenzai[性別],"",0,1)</f>
        <v/>
      </c>
      <c r="M78" s="3" t="str">
        <f t="shared" ca="1" si="9"/>
        <v/>
      </c>
      <c r="N78" s="3" t="str">
        <f t="shared" si="10"/>
        <v/>
      </c>
      <c r="O78" s="3" t="str">
        <f t="shared" si="10"/>
        <v/>
      </c>
      <c r="P78" s="3" t="str">
        <f t="shared" si="10"/>
        <v/>
      </c>
      <c r="Q78" s="3" t="str">
        <f t="shared" si="11"/>
        <v/>
      </c>
      <c r="R78" s="3" t="str">
        <f t="shared" si="12"/>
        <v/>
      </c>
    </row>
    <row r="79" spans="1:18" ht="18">
      <c r="A79">
        <f>SUBTOTAL(103,$K$9:K79)</f>
        <v>71</v>
      </c>
      <c r="B79">
        <v>71</v>
      </c>
      <c r="C79" t="str">
        <f>_xlfn.XLOOKUP(ライン&amp;B79,Filtro!A:A,Filtro!D:D,"",0,1)</f>
        <v/>
      </c>
      <c r="D79" t="str">
        <f>_xlfn.XLOOKUP(C79,DBGenzai[社員№],DBGenzai[現在],"",0,1)</f>
        <v/>
      </c>
      <c r="E79" s="23" t="str">
        <f>_xlfn.XLOOKUP($C79,DBGenzai[社員№],DBGenzai[生年月日],"",0,1)</f>
        <v/>
      </c>
      <c r="F79" t="str">
        <f t="shared" ca="1" si="8"/>
        <v/>
      </c>
      <c r="G79" t="str">
        <f>_xlfn.XLOOKUP(C79,DBGenzai[社員№],DBGenzai[請求単価],"",0,1)</f>
        <v/>
      </c>
      <c r="H79" s="57" t="str">
        <f>_xlfn.XLOOKUP($C79,DBGenzai[社員№],DBGenzai[入社日],"",0,1)</f>
        <v/>
      </c>
      <c r="I79" s="57" t="str">
        <f>IF(D79="退社",_xlfn.XLOOKUP($C79,DBGenzai[社員№],DBGenzai[退社日],"",0,1),"")</f>
        <v/>
      </c>
      <c r="K79" s="21" t="str">
        <f>_xlfn.XLOOKUP($C79,DBGenzai[社員№],DBGenzai[カナ],"",0,1)</f>
        <v/>
      </c>
      <c r="L79" s="3" t="str">
        <f>_xlfn.XLOOKUP($C79,DBGenzai[社員№],DBGenzai[性別],"",0,1)</f>
        <v/>
      </c>
      <c r="M79" s="3" t="str">
        <f t="shared" ca="1" si="9"/>
        <v/>
      </c>
      <c r="N79" s="3" t="str">
        <f t="shared" si="10"/>
        <v/>
      </c>
      <c r="O79" s="3" t="str">
        <f t="shared" si="10"/>
        <v/>
      </c>
      <c r="P79" s="3" t="str">
        <f t="shared" si="10"/>
        <v/>
      </c>
      <c r="Q79" s="3" t="str">
        <f t="shared" si="11"/>
        <v/>
      </c>
      <c r="R79" s="3" t="str">
        <f t="shared" si="12"/>
        <v/>
      </c>
    </row>
    <row r="80" spans="1:18" ht="18">
      <c r="A80">
        <f>SUBTOTAL(103,$K$9:K80)</f>
        <v>72</v>
      </c>
      <c r="B80">
        <v>72</v>
      </c>
      <c r="C80" t="str">
        <f>_xlfn.XLOOKUP(ライン&amp;B80,Filtro!A:A,Filtro!D:D,"",0,1)</f>
        <v/>
      </c>
      <c r="D80" t="str">
        <f>_xlfn.XLOOKUP(C80,DBGenzai[社員№],DBGenzai[現在],"",0,1)</f>
        <v/>
      </c>
      <c r="E80" s="23" t="str">
        <f>_xlfn.XLOOKUP($C80,DBGenzai[社員№],DBGenzai[生年月日],"",0,1)</f>
        <v/>
      </c>
      <c r="F80" t="str">
        <f t="shared" ca="1" si="8"/>
        <v/>
      </c>
      <c r="G80" t="str">
        <f>_xlfn.XLOOKUP(C80,DBGenzai[社員№],DBGenzai[請求単価],"",0,1)</f>
        <v/>
      </c>
      <c r="H80" s="57" t="str">
        <f>_xlfn.XLOOKUP($C80,DBGenzai[社員№],DBGenzai[入社日],"",0,1)</f>
        <v/>
      </c>
      <c r="I80" s="57" t="str">
        <f>IF(D80="退社",_xlfn.XLOOKUP($C80,DBGenzai[社員№],DBGenzai[退社日],"",0,1),"")</f>
        <v/>
      </c>
      <c r="K80" s="21" t="str">
        <f>_xlfn.XLOOKUP($C80,DBGenzai[社員№],DBGenzai[カナ],"",0,1)</f>
        <v/>
      </c>
      <c r="L80" s="3" t="str">
        <f>_xlfn.XLOOKUP($C80,DBGenzai[社員№],DBGenzai[性別],"",0,1)</f>
        <v/>
      </c>
      <c r="M80" s="3" t="str">
        <f t="shared" ca="1" si="9"/>
        <v/>
      </c>
      <c r="N80" s="3" t="str">
        <f t="shared" si="10"/>
        <v/>
      </c>
      <c r="O80" s="3" t="str">
        <f t="shared" si="10"/>
        <v/>
      </c>
      <c r="P80" s="3" t="str">
        <f t="shared" si="10"/>
        <v/>
      </c>
      <c r="Q80" s="3" t="str">
        <f t="shared" si="11"/>
        <v/>
      </c>
      <c r="R80" s="3" t="str">
        <f t="shared" si="12"/>
        <v/>
      </c>
    </row>
    <row r="81" spans="1:18" ht="18">
      <c r="A81">
        <f>SUBTOTAL(103,$K$9:K81)</f>
        <v>73</v>
      </c>
      <c r="B81">
        <v>73</v>
      </c>
      <c r="C81" t="str">
        <f>_xlfn.XLOOKUP(ライン&amp;B81,Filtro!A:A,Filtro!D:D,"",0,1)</f>
        <v/>
      </c>
      <c r="D81" t="str">
        <f>_xlfn.XLOOKUP(C81,DBGenzai[社員№],DBGenzai[現在],"",0,1)</f>
        <v/>
      </c>
      <c r="E81" s="23" t="str">
        <f>_xlfn.XLOOKUP($C81,DBGenzai[社員№],DBGenzai[生年月日],"",0,1)</f>
        <v/>
      </c>
      <c r="F81" t="str">
        <f t="shared" ca="1" si="8"/>
        <v/>
      </c>
      <c r="G81" t="str">
        <f>_xlfn.XLOOKUP(C81,DBGenzai[社員№],DBGenzai[請求単価],"",0,1)</f>
        <v/>
      </c>
      <c r="H81" s="57" t="str">
        <f>_xlfn.XLOOKUP($C81,DBGenzai[社員№],DBGenzai[入社日],"",0,1)</f>
        <v/>
      </c>
      <c r="I81" s="57" t="str">
        <f>IF(D81="退社",_xlfn.XLOOKUP($C81,DBGenzai[社員№],DBGenzai[退社日],"",0,1),"")</f>
        <v/>
      </c>
      <c r="K81" s="21" t="str">
        <f>_xlfn.XLOOKUP($C81,DBGenzai[社員№],DBGenzai[カナ],"",0,1)</f>
        <v/>
      </c>
      <c r="L81" s="3" t="str">
        <f>_xlfn.XLOOKUP($C81,DBGenzai[社員№],DBGenzai[性別],"",0,1)</f>
        <v/>
      </c>
      <c r="M81" s="3" t="str">
        <f t="shared" ca="1" si="9"/>
        <v/>
      </c>
      <c r="N81" s="3" t="str">
        <f t="shared" si="10"/>
        <v/>
      </c>
      <c r="O81" s="3" t="str">
        <f t="shared" si="10"/>
        <v/>
      </c>
      <c r="P81" s="3" t="str">
        <f t="shared" si="10"/>
        <v/>
      </c>
      <c r="Q81" s="3" t="str">
        <f t="shared" si="11"/>
        <v/>
      </c>
      <c r="R81" s="3" t="str">
        <f t="shared" si="12"/>
        <v/>
      </c>
    </row>
    <row r="82" spans="1:18" ht="18">
      <c r="A82">
        <f>SUBTOTAL(103,$K$9:K82)</f>
        <v>74</v>
      </c>
      <c r="B82">
        <v>74</v>
      </c>
      <c r="C82" t="str">
        <f>_xlfn.XLOOKUP(ライン&amp;B82,Filtro!A:A,Filtro!D:D,"",0,1)</f>
        <v/>
      </c>
      <c r="D82" t="str">
        <f>_xlfn.XLOOKUP(C82,DBGenzai[社員№],DBGenzai[現在],"",0,1)</f>
        <v/>
      </c>
      <c r="E82" s="23" t="str">
        <f>_xlfn.XLOOKUP($C82,DBGenzai[社員№],DBGenzai[生年月日],"",0,1)</f>
        <v/>
      </c>
      <c r="F82" t="str">
        <f t="shared" ca="1" si="8"/>
        <v/>
      </c>
      <c r="G82" t="str">
        <f>_xlfn.XLOOKUP(C82,DBGenzai[社員№],DBGenzai[請求単価],"",0,1)</f>
        <v/>
      </c>
      <c r="H82" s="57" t="str">
        <f>_xlfn.XLOOKUP($C82,DBGenzai[社員№],DBGenzai[入社日],"",0,1)</f>
        <v/>
      </c>
      <c r="I82" s="57" t="str">
        <f>IF(D82="退社",_xlfn.XLOOKUP($C82,DBGenzai[社員№],DBGenzai[退社日],"",0,1),"")</f>
        <v/>
      </c>
      <c r="K82" s="21" t="str">
        <f>_xlfn.XLOOKUP($C82,DBGenzai[社員№],DBGenzai[カナ],"",0,1)</f>
        <v/>
      </c>
      <c r="L82" s="3" t="str">
        <f>_xlfn.XLOOKUP($C82,DBGenzai[社員№],DBGenzai[性別],"",0,1)</f>
        <v/>
      </c>
      <c r="M82" s="3" t="str">
        <f t="shared" ca="1" si="9"/>
        <v/>
      </c>
      <c r="N82" s="3" t="str">
        <f t="shared" si="10"/>
        <v/>
      </c>
      <c r="O82" s="3" t="str">
        <f t="shared" si="10"/>
        <v/>
      </c>
      <c r="P82" s="3" t="str">
        <f t="shared" si="10"/>
        <v/>
      </c>
      <c r="Q82" s="3" t="str">
        <f t="shared" si="11"/>
        <v/>
      </c>
      <c r="R82" s="3" t="str">
        <f t="shared" si="12"/>
        <v/>
      </c>
    </row>
    <row r="83" spans="1:18" ht="18">
      <c r="A83">
        <f>SUBTOTAL(103,$K$9:K83)</f>
        <v>75</v>
      </c>
      <c r="B83">
        <v>75</v>
      </c>
      <c r="C83" t="str">
        <f>_xlfn.XLOOKUP(ライン&amp;B83,Filtro!A:A,Filtro!D:D,"",0,1)</f>
        <v/>
      </c>
      <c r="D83" t="str">
        <f>_xlfn.XLOOKUP(C83,DBGenzai[社員№],DBGenzai[現在],"",0,1)</f>
        <v/>
      </c>
      <c r="E83" s="23" t="str">
        <f>_xlfn.XLOOKUP($C83,DBGenzai[社員№],DBGenzai[生年月日],"",0,1)</f>
        <v/>
      </c>
      <c r="F83" t="str">
        <f t="shared" ca="1" si="8"/>
        <v/>
      </c>
      <c r="G83" t="str">
        <f>_xlfn.XLOOKUP(C83,DBGenzai[社員№],DBGenzai[請求単価],"",0,1)</f>
        <v/>
      </c>
      <c r="H83" s="57" t="str">
        <f>_xlfn.XLOOKUP($C83,DBGenzai[社員№],DBGenzai[入社日],"",0,1)</f>
        <v/>
      </c>
      <c r="I83" s="57" t="str">
        <f>IF(D83="退社",_xlfn.XLOOKUP($C83,DBGenzai[社員№],DBGenzai[退社日],"",0,1),"")</f>
        <v/>
      </c>
      <c r="K83" s="21" t="str">
        <f>_xlfn.XLOOKUP($C83,DBGenzai[社員№],DBGenzai[カナ],"",0,1)</f>
        <v/>
      </c>
      <c r="L83" s="3" t="str">
        <f>_xlfn.XLOOKUP($C83,DBGenzai[社員№],DBGenzai[性別],"",0,1)</f>
        <v/>
      </c>
      <c r="M83" s="3" t="str">
        <f t="shared" ca="1" si="9"/>
        <v/>
      </c>
      <c r="N83" s="3" t="str">
        <f t="shared" si="10"/>
        <v/>
      </c>
      <c r="O83" s="3" t="str">
        <f t="shared" si="10"/>
        <v/>
      </c>
      <c r="P83" s="3" t="str">
        <f t="shared" si="10"/>
        <v/>
      </c>
      <c r="Q83" s="3" t="str">
        <f t="shared" si="11"/>
        <v/>
      </c>
      <c r="R83" s="3" t="str">
        <f t="shared" si="12"/>
        <v/>
      </c>
    </row>
    <row r="84" spans="1:18" ht="18">
      <c r="A84">
        <f>SUBTOTAL(103,$K$9:K84)</f>
        <v>76</v>
      </c>
      <c r="B84">
        <v>76</v>
      </c>
      <c r="C84" t="str">
        <f>_xlfn.XLOOKUP(ライン&amp;B84,Filtro!A:A,Filtro!D:D,"",0,1)</f>
        <v/>
      </c>
      <c r="D84" t="str">
        <f>_xlfn.XLOOKUP(C84,DBGenzai[社員№],DBGenzai[現在],"",0,1)</f>
        <v/>
      </c>
      <c r="E84" s="23" t="str">
        <f>_xlfn.XLOOKUP($C84,DBGenzai[社員№],DBGenzai[生年月日],"",0,1)</f>
        <v/>
      </c>
      <c r="F84" t="str">
        <f t="shared" ca="1" si="8"/>
        <v/>
      </c>
      <c r="G84" t="str">
        <f>_xlfn.XLOOKUP(C84,DBGenzai[社員№],DBGenzai[請求単価],"",0,1)</f>
        <v/>
      </c>
      <c r="H84" s="57" t="str">
        <f>_xlfn.XLOOKUP($C84,DBGenzai[社員№],DBGenzai[入社日],"",0,1)</f>
        <v/>
      </c>
      <c r="I84" s="57" t="str">
        <f>IF(D84="退社",_xlfn.XLOOKUP($C84,DBGenzai[社員№],DBGenzai[退社日],"",0,1),"")</f>
        <v/>
      </c>
      <c r="K84" s="21" t="str">
        <f>_xlfn.XLOOKUP($C84,DBGenzai[社員№],DBGenzai[カナ],"",0,1)</f>
        <v/>
      </c>
      <c r="L84" s="3" t="str">
        <f>_xlfn.XLOOKUP($C84,DBGenzai[社員№],DBGenzai[性別],"",0,1)</f>
        <v/>
      </c>
      <c r="M84" s="3" t="str">
        <f t="shared" ca="1" si="9"/>
        <v/>
      </c>
      <c r="N84" s="3" t="str">
        <f t="shared" si="10"/>
        <v/>
      </c>
      <c r="O84" s="3" t="str">
        <f t="shared" si="10"/>
        <v/>
      </c>
      <c r="P84" s="3" t="str">
        <f t="shared" si="10"/>
        <v/>
      </c>
      <c r="Q84" s="3" t="str">
        <f t="shared" si="11"/>
        <v/>
      </c>
      <c r="R84" s="3" t="str">
        <f t="shared" si="12"/>
        <v/>
      </c>
    </row>
    <row r="85" spans="1:18" ht="18">
      <c r="A85">
        <f>SUBTOTAL(103,$K$9:K85)</f>
        <v>77</v>
      </c>
      <c r="B85">
        <v>77</v>
      </c>
      <c r="C85" t="str">
        <f>_xlfn.XLOOKUP(ライン&amp;B85,Filtro!A:A,Filtro!D:D,"",0,1)</f>
        <v/>
      </c>
      <c r="D85" t="str">
        <f>_xlfn.XLOOKUP(C85,DBGenzai[社員№],DBGenzai[現在],"",0,1)</f>
        <v/>
      </c>
      <c r="E85" s="23" t="str">
        <f>_xlfn.XLOOKUP($C85,DBGenzai[社員№],DBGenzai[生年月日],"",0,1)</f>
        <v/>
      </c>
      <c r="F85" t="str">
        <f t="shared" ca="1" si="8"/>
        <v/>
      </c>
      <c r="G85" t="str">
        <f>_xlfn.XLOOKUP(C85,DBGenzai[社員№],DBGenzai[請求単価],"",0,1)</f>
        <v/>
      </c>
      <c r="H85" s="57" t="str">
        <f>_xlfn.XLOOKUP($C85,DBGenzai[社員№],DBGenzai[入社日],"",0,1)</f>
        <v/>
      </c>
      <c r="I85" s="57" t="str">
        <f>IF(D85="退社",_xlfn.XLOOKUP($C85,DBGenzai[社員№],DBGenzai[退社日],"",0,1),"")</f>
        <v/>
      </c>
      <c r="K85" s="21" t="str">
        <f>_xlfn.XLOOKUP($C85,DBGenzai[社員№],DBGenzai[カナ],"",0,1)</f>
        <v/>
      </c>
      <c r="L85" s="3" t="str">
        <f>_xlfn.XLOOKUP($C85,DBGenzai[社員№],DBGenzai[性別],"",0,1)</f>
        <v/>
      </c>
      <c r="M85" s="3" t="str">
        <f t="shared" ca="1" si="9"/>
        <v/>
      </c>
      <c r="N85" s="3" t="str">
        <f t="shared" si="10"/>
        <v/>
      </c>
      <c r="O85" s="3" t="str">
        <f t="shared" si="10"/>
        <v/>
      </c>
      <c r="P85" s="3" t="str">
        <f t="shared" si="10"/>
        <v/>
      </c>
      <c r="Q85" s="3" t="str">
        <f t="shared" si="11"/>
        <v/>
      </c>
      <c r="R85" s="3" t="str">
        <f t="shared" si="12"/>
        <v/>
      </c>
    </row>
    <row r="86" spans="1:18" ht="18">
      <c r="A86">
        <f>SUBTOTAL(103,$K$9:K86)</f>
        <v>78</v>
      </c>
      <c r="B86">
        <v>78</v>
      </c>
      <c r="C86" t="str">
        <f>_xlfn.XLOOKUP(ライン&amp;B86,Filtro!A:A,Filtro!D:D,"",0,1)</f>
        <v/>
      </c>
      <c r="D86" t="str">
        <f>_xlfn.XLOOKUP(C86,DBGenzai[社員№],DBGenzai[現在],"",0,1)</f>
        <v/>
      </c>
      <c r="E86" s="23" t="str">
        <f>_xlfn.XLOOKUP($C86,DBGenzai[社員№],DBGenzai[生年月日],"",0,1)</f>
        <v/>
      </c>
      <c r="F86" t="str">
        <f t="shared" ca="1" si="8"/>
        <v/>
      </c>
      <c r="G86" t="str">
        <f>_xlfn.XLOOKUP(C86,DBGenzai[社員№],DBGenzai[請求単価],"",0,1)</f>
        <v/>
      </c>
      <c r="H86" s="57" t="str">
        <f>_xlfn.XLOOKUP($C86,DBGenzai[社員№],DBGenzai[入社日],"",0,1)</f>
        <v/>
      </c>
      <c r="I86" s="57" t="str">
        <f>IF(D86="退社",_xlfn.XLOOKUP($C86,DBGenzai[社員№],DBGenzai[退社日],"",0,1),"")</f>
        <v/>
      </c>
      <c r="K86" s="21" t="str">
        <f>_xlfn.XLOOKUP($C86,DBGenzai[社員№],DBGenzai[カナ],"",0,1)</f>
        <v/>
      </c>
      <c r="L86" s="3" t="str">
        <f>_xlfn.XLOOKUP($C86,DBGenzai[社員№],DBGenzai[性別],"",0,1)</f>
        <v/>
      </c>
      <c r="M86" s="3" t="str">
        <f t="shared" ca="1" si="9"/>
        <v/>
      </c>
      <c r="N86" s="3" t="str">
        <f t="shared" si="10"/>
        <v/>
      </c>
      <c r="O86" s="3" t="str">
        <f t="shared" si="10"/>
        <v/>
      </c>
      <c r="P86" s="3" t="str">
        <f t="shared" si="10"/>
        <v/>
      </c>
      <c r="Q86" s="3" t="str">
        <f t="shared" si="11"/>
        <v/>
      </c>
      <c r="R86" s="3" t="str">
        <f t="shared" si="12"/>
        <v/>
      </c>
    </row>
    <row r="87" spans="1:18" ht="18">
      <c r="A87">
        <f>SUBTOTAL(103,$K$9:K87)</f>
        <v>79</v>
      </c>
      <c r="B87">
        <v>79</v>
      </c>
      <c r="C87" t="str">
        <f>_xlfn.XLOOKUP(ライン&amp;B87,Filtro!A:A,Filtro!D:D,"",0,1)</f>
        <v/>
      </c>
      <c r="D87" t="str">
        <f>_xlfn.XLOOKUP(C87,DBGenzai[社員№],DBGenzai[現在],"",0,1)</f>
        <v/>
      </c>
      <c r="E87" s="23" t="str">
        <f>_xlfn.XLOOKUP($C87,DBGenzai[社員№],DBGenzai[生年月日],"",0,1)</f>
        <v/>
      </c>
      <c r="F87" t="str">
        <f t="shared" ca="1" si="8"/>
        <v/>
      </c>
      <c r="G87" t="str">
        <f>_xlfn.XLOOKUP(C87,DBGenzai[社員№],DBGenzai[請求単価],"",0,1)</f>
        <v/>
      </c>
      <c r="H87" s="57" t="str">
        <f>_xlfn.XLOOKUP($C87,DBGenzai[社員№],DBGenzai[入社日],"",0,1)</f>
        <v/>
      </c>
      <c r="I87" s="57" t="str">
        <f>IF(D87="退社",_xlfn.XLOOKUP($C87,DBGenzai[社員№],DBGenzai[退社日],"",0,1),"")</f>
        <v/>
      </c>
      <c r="K87" s="21" t="str">
        <f>_xlfn.XLOOKUP($C87,DBGenzai[社員№],DBGenzai[カナ],"",0,1)</f>
        <v/>
      </c>
      <c r="L87" s="3" t="str">
        <f>_xlfn.XLOOKUP($C87,DBGenzai[社員№],DBGenzai[性別],"",0,1)</f>
        <v/>
      </c>
      <c r="M87" s="3" t="str">
        <f t="shared" ca="1" si="9"/>
        <v/>
      </c>
      <c r="N87" s="3" t="str">
        <f t="shared" si="10"/>
        <v/>
      </c>
      <c r="O87" s="3" t="str">
        <f t="shared" si="10"/>
        <v/>
      </c>
      <c r="P87" s="3" t="str">
        <f t="shared" si="10"/>
        <v/>
      </c>
      <c r="Q87" s="3" t="str">
        <f t="shared" si="11"/>
        <v/>
      </c>
      <c r="R87" s="3" t="str">
        <f t="shared" si="12"/>
        <v/>
      </c>
    </row>
    <row r="88" spans="1:18" ht="18">
      <c r="A88">
        <f>SUBTOTAL(103,$K$9:K88)</f>
        <v>80</v>
      </c>
      <c r="B88">
        <v>80</v>
      </c>
      <c r="C88" t="str">
        <f>_xlfn.XLOOKUP(ライン&amp;B88,Filtro!A:A,Filtro!D:D,"",0,1)</f>
        <v/>
      </c>
      <c r="D88" t="str">
        <f>_xlfn.XLOOKUP(C88,DBGenzai[社員№],DBGenzai[現在],"",0,1)</f>
        <v/>
      </c>
      <c r="E88" s="23" t="str">
        <f>_xlfn.XLOOKUP($C88,DBGenzai[社員№],DBGenzai[生年月日],"",0,1)</f>
        <v/>
      </c>
      <c r="F88" t="str">
        <f t="shared" ca="1" si="8"/>
        <v/>
      </c>
      <c r="G88" t="str">
        <f>_xlfn.XLOOKUP(C88,DBGenzai[社員№],DBGenzai[請求単価],"",0,1)</f>
        <v/>
      </c>
      <c r="H88" s="57" t="str">
        <f>_xlfn.XLOOKUP($C88,DBGenzai[社員№],DBGenzai[入社日],"",0,1)</f>
        <v/>
      </c>
      <c r="I88" s="57" t="str">
        <f>IF(D88="退社",_xlfn.XLOOKUP($C88,DBGenzai[社員№],DBGenzai[退社日],"",0,1),"")</f>
        <v/>
      </c>
      <c r="K88" s="21" t="str">
        <f>_xlfn.XLOOKUP($C88,DBGenzai[社員№],DBGenzai[カナ],"",0,1)</f>
        <v/>
      </c>
      <c r="L88" s="3" t="str">
        <f>_xlfn.XLOOKUP($C88,DBGenzai[社員№],DBGenzai[性別],"",0,1)</f>
        <v/>
      </c>
      <c r="M88" s="3" t="str">
        <f t="shared" ca="1" si="9"/>
        <v/>
      </c>
      <c r="N88" s="3" t="str">
        <f t="shared" si="10"/>
        <v/>
      </c>
      <c r="O88" s="3" t="str">
        <f t="shared" si="10"/>
        <v/>
      </c>
      <c r="P88" s="3" t="str">
        <f t="shared" si="10"/>
        <v/>
      </c>
      <c r="Q88" s="3" t="str">
        <f t="shared" si="11"/>
        <v/>
      </c>
      <c r="R88" s="3" t="str">
        <f t="shared" si="12"/>
        <v/>
      </c>
    </row>
    <row r="89" spans="1:18" ht="18">
      <c r="A89">
        <f>SUBTOTAL(103,$K$9:K89)</f>
        <v>81</v>
      </c>
      <c r="B89">
        <v>81</v>
      </c>
      <c r="C89" t="str">
        <f>_xlfn.XLOOKUP(ライン&amp;B89,Filtro!A:A,Filtro!D:D,"",0,1)</f>
        <v/>
      </c>
      <c r="D89" t="str">
        <f>_xlfn.XLOOKUP(C89,DBGenzai[社員№],DBGenzai[現在],"",0,1)</f>
        <v/>
      </c>
      <c r="E89" s="23" t="str">
        <f>_xlfn.XLOOKUP($C89,DBGenzai[社員№],DBGenzai[生年月日],"",0,1)</f>
        <v/>
      </c>
      <c r="F89" t="str">
        <f t="shared" ca="1" si="8"/>
        <v/>
      </c>
      <c r="G89" t="str">
        <f>_xlfn.XLOOKUP(C89,DBGenzai[社員№],DBGenzai[請求単価],"",0,1)</f>
        <v/>
      </c>
      <c r="H89" s="57" t="str">
        <f>_xlfn.XLOOKUP($C89,DBGenzai[社員№],DBGenzai[入社日],"",0,1)</f>
        <v/>
      </c>
      <c r="I89" s="57" t="str">
        <f>IF(D89="退社",_xlfn.XLOOKUP($C89,DBGenzai[社員№],DBGenzai[退社日],"",0,1),"")</f>
        <v/>
      </c>
      <c r="K89" s="21" t="str">
        <f>_xlfn.XLOOKUP($C89,DBGenzai[社員№],DBGenzai[カナ],"",0,1)</f>
        <v/>
      </c>
      <c r="L89" s="3" t="str">
        <f>_xlfn.XLOOKUP($C89,DBGenzai[社員№],DBGenzai[性別],"",0,1)</f>
        <v/>
      </c>
      <c r="M89" s="3" t="str">
        <f t="shared" ca="1" si="9"/>
        <v/>
      </c>
      <c r="N89" s="3" t="str">
        <f t="shared" si="10"/>
        <v/>
      </c>
      <c r="O89" s="3" t="str">
        <f t="shared" si="10"/>
        <v/>
      </c>
      <c r="P89" s="3" t="str">
        <f t="shared" si="10"/>
        <v/>
      </c>
      <c r="Q89" s="3" t="str">
        <f t="shared" si="11"/>
        <v/>
      </c>
      <c r="R89" s="3" t="str">
        <f t="shared" si="12"/>
        <v/>
      </c>
    </row>
    <row r="90" spans="1:18" ht="18">
      <c r="A90">
        <f>SUBTOTAL(103,$K$9:K90)</f>
        <v>82</v>
      </c>
      <c r="B90">
        <v>82</v>
      </c>
      <c r="C90" t="str">
        <f>_xlfn.XLOOKUP(ライン&amp;B90,Filtro!A:A,Filtro!D:D,"",0,1)</f>
        <v/>
      </c>
      <c r="D90" t="str">
        <f>_xlfn.XLOOKUP(C90,DBGenzai[社員№],DBGenzai[現在],"",0,1)</f>
        <v/>
      </c>
      <c r="E90" s="23" t="str">
        <f>_xlfn.XLOOKUP($C90,DBGenzai[社員№],DBGenzai[生年月日],"",0,1)</f>
        <v/>
      </c>
      <c r="F90" t="str">
        <f t="shared" ca="1" si="8"/>
        <v/>
      </c>
      <c r="G90" t="str">
        <f>_xlfn.XLOOKUP(C90,DBGenzai[社員№],DBGenzai[請求単価],"",0,1)</f>
        <v/>
      </c>
      <c r="H90" s="57" t="str">
        <f>_xlfn.XLOOKUP($C90,DBGenzai[社員№],DBGenzai[入社日],"",0,1)</f>
        <v/>
      </c>
      <c r="I90" s="57" t="str">
        <f>IF(D90="退社",_xlfn.XLOOKUP($C90,DBGenzai[社員№],DBGenzai[退社日],"",0,1),"")</f>
        <v/>
      </c>
      <c r="K90" s="21" t="str">
        <f>_xlfn.XLOOKUP($C90,DBGenzai[社員№],DBGenzai[カナ],"",0,1)</f>
        <v/>
      </c>
      <c r="L90" s="3" t="str">
        <f>_xlfn.XLOOKUP($C90,DBGenzai[社員№],DBGenzai[性別],"",0,1)</f>
        <v/>
      </c>
      <c r="M90" s="3" t="str">
        <f t="shared" ca="1" si="9"/>
        <v/>
      </c>
      <c r="N90" s="3" t="str">
        <f t="shared" si="10"/>
        <v/>
      </c>
      <c r="O90" s="3" t="str">
        <f t="shared" si="10"/>
        <v/>
      </c>
      <c r="P90" s="3" t="str">
        <f t="shared" si="10"/>
        <v/>
      </c>
      <c r="Q90" s="3" t="str">
        <f t="shared" si="11"/>
        <v/>
      </c>
      <c r="R90" s="3" t="str">
        <f t="shared" si="12"/>
        <v/>
      </c>
    </row>
    <row r="91" spans="1:18" ht="18">
      <c r="A91">
        <f>SUBTOTAL(103,$K$9:K91)</f>
        <v>83</v>
      </c>
      <c r="B91">
        <v>83</v>
      </c>
      <c r="C91" t="str">
        <f>_xlfn.XLOOKUP(ライン&amp;B91,Filtro!A:A,Filtro!D:D,"",0,1)</f>
        <v/>
      </c>
      <c r="D91" t="str">
        <f>_xlfn.XLOOKUP(C91,DBGenzai[社員№],DBGenzai[現在],"",0,1)</f>
        <v/>
      </c>
      <c r="E91" s="23" t="str">
        <f>_xlfn.XLOOKUP($C91,DBGenzai[社員№],DBGenzai[生年月日],"",0,1)</f>
        <v/>
      </c>
      <c r="F91" t="str">
        <f t="shared" ca="1" si="8"/>
        <v/>
      </c>
      <c r="G91" t="str">
        <f>_xlfn.XLOOKUP(C91,DBGenzai[社員№],DBGenzai[請求単価],"",0,1)</f>
        <v/>
      </c>
      <c r="H91" s="57" t="str">
        <f>_xlfn.XLOOKUP($C91,DBGenzai[社員№],DBGenzai[入社日],"",0,1)</f>
        <v/>
      </c>
      <c r="I91" s="57" t="str">
        <f>IF(D91="退社",_xlfn.XLOOKUP($C91,DBGenzai[社員№],DBGenzai[退社日],"",0,1),"")</f>
        <v/>
      </c>
      <c r="K91" s="21" t="str">
        <f>_xlfn.XLOOKUP($C91,DBGenzai[社員№],DBGenzai[カナ],"",0,1)</f>
        <v/>
      </c>
      <c r="L91" s="3" t="str">
        <f>_xlfn.XLOOKUP($C91,DBGenzai[社員№],DBGenzai[性別],"",0,1)</f>
        <v/>
      </c>
      <c r="M91" s="3" t="str">
        <f t="shared" ca="1" si="9"/>
        <v/>
      </c>
      <c r="N91" s="3" t="str">
        <f t="shared" si="10"/>
        <v/>
      </c>
      <c r="O91" s="3" t="str">
        <f t="shared" si="10"/>
        <v/>
      </c>
      <c r="P91" s="3" t="str">
        <f t="shared" si="10"/>
        <v/>
      </c>
      <c r="Q91" s="3" t="str">
        <f t="shared" si="11"/>
        <v/>
      </c>
      <c r="R91" s="3" t="str">
        <f t="shared" si="12"/>
        <v/>
      </c>
    </row>
    <row r="92" spans="1:18" ht="18">
      <c r="A92">
        <f>SUBTOTAL(103,$K$9:K92)</f>
        <v>84</v>
      </c>
      <c r="B92">
        <v>84</v>
      </c>
      <c r="C92" t="str">
        <f>_xlfn.XLOOKUP(ライン&amp;B92,Filtro!A:A,Filtro!D:D,"",0,1)</f>
        <v/>
      </c>
      <c r="D92" t="str">
        <f>_xlfn.XLOOKUP(C92,DBGenzai[社員№],DBGenzai[現在],"",0,1)</f>
        <v/>
      </c>
      <c r="E92" s="23" t="str">
        <f>_xlfn.XLOOKUP($C92,DBGenzai[社員№],DBGenzai[生年月日],"",0,1)</f>
        <v/>
      </c>
      <c r="F92" t="str">
        <f t="shared" ca="1" si="8"/>
        <v/>
      </c>
      <c r="G92" t="str">
        <f>_xlfn.XLOOKUP(C92,DBGenzai[社員№],DBGenzai[請求単価],"",0,1)</f>
        <v/>
      </c>
      <c r="H92" s="57" t="str">
        <f>_xlfn.XLOOKUP($C92,DBGenzai[社員№],DBGenzai[入社日],"",0,1)</f>
        <v/>
      </c>
      <c r="I92" s="57" t="str">
        <f>IF(D92="退社",_xlfn.XLOOKUP($C92,DBGenzai[社員№],DBGenzai[退社日],"",0,1),"")</f>
        <v/>
      </c>
      <c r="K92" s="21" t="str">
        <f>_xlfn.XLOOKUP($C92,DBGenzai[社員№],DBGenzai[カナ],"",0,1)</f>
        <v/>
      </c>
      <c r="L92" s="3" t="str">
        <f>_xlfn.XLOOKUP($C92,DBGenzai[社員№],DBGenzai[性別],"",0,1)</f>
        <v/>
      </c>
      <c r="M92" s="3" t="str">
        <f t="shared" ca="1" si="9"/>
        <v/>
      </c>
      <c r="N92" s="3" t="str">
        <f t="shared" si="10"/>
        <v/>
      </c>
      <c r="O92" s="3" t="str">
        <f t="shared" si="10"/>
        <v/>
      </c>
      <c r="P92" s="3" t="str">
        <f t="shared" si="10"/>
        <v/>
      </c>
      <c r="Q92" s="3" t="str">
        <f t="shared" si="11"/>
        <v/>
      </c>
      <c r="R92" s="3" t="str">
        <f t="shared" si="12"/>
        <v/>
      </c>
    </row>
    <row r="93" spans="1:18" ht="18">
      <c r="A93">
        <f>SUBTOTAL(103,$K$9:K93)</f>
        <v>85</v>
      </c>
      <c r="B93">
        <v>85</v>
      </c>
      <c r="C93" t="str">
        <f>_xlfn.XLOOKUP(ライン&amp;B93,Filtro!A:A,Filtro!D:D,"",0,1)</f>
        <v/>
      </c>
      <c r="D93" t="str">
        <f>_xlfn.XLOOKUP(C93,DBGenzai[社員№],DBGenzai[現在],"",0,1)</f>
        <v/>
      </c>
      <c r="E93" s="23" t="str">
        <f>_xlfn.XLOOKUP($C93,DBGenzai[社員№],DBGenzai[生年月日],"",0,1)</f>
        <v/>
      </c>
      <c r="F93" t="str">
        <f t="shared" ca="1" si="8"/>
        <v/>
      </c>
      <c r="G93" t="str">
        <f>_xlfn.XLOOKUP(C93,DBGenzai[社員№],DBGenzai[請求単価],"",0,1)</f>
        <v/>
      </c>
      <c r="H93" s="57" t="str">
        <f>_xlfn.XLOOKUP($C93,DBGenzai[社員№],DBGenzai[入社日],"",0,1)</f>
        <v/>
      </c>
      <c r="I93" s="57" t="str">
        <f>IF(D93="退社",_xlfn.XLOOKUP($C93,DBGenzai[社員№],DBGenzai[退社日],"",0,1),"")</f>
        <v/>
      </c>
      <c r="K93" s="21" t="str">
        <f>_xlfn.XLOOKUP($C93,DBGenzai[社員№],DBGenzai[カナ],"",0,1)</f>
        <v/>
      </c>
      <c r="L93" s="3" t="str">
        <f>_xlfn.XLOOKUP($C93,DBGenzai[社員№],DBGenzai[性別],"",0,1)</f>
        <v/>
      </c>
      <c r="M93" s="3" t="str">
        <f t="shared" ca="1" si="9"/>
        <v/>
      </c>
      <c r="N93" s="3" t="str">
        <f t="shared" si="10"/>
        <v/>
      </c>
      <c r="O93" s="3" t="str">
        <f t="shared" si="10"/>
        <v/>
      </c>
      <c r="P93" s="3" t="str">
        <f t="shared" si="10"/>
        <v/>
      </c>
      <c r="Q93" s="3" t="str">
        <f t="shared" si="11"/>
        <v/>
      </c>
      <c r="R93" s="3" t="str">
        <f t="shared" si="12"/>
        <v/>
      </c>
    </row>
    <row r="94" spans="1:18" ht="18">
      <c r="A94">
        <f>SUBTOTAL(103,$K$9:K94)</f>
        <v>86</v>
      </c>
      <c r="B94">
        <v>86</v>
      </c>
      <c r="C94" t="str">
        <f>_xlfn.XLOOKUP(ライン&amp;B94,Filtro!A:A,Filtro!D:D,"",0,1)</f>
        <v/>
      </c>
      <c r="D94" t="str">
        <f>_xlfn.XLOOKUP(C94,DBGenzai[社員№],DBGenzai[現在],"",0,1)</f>
        <v/>
      </c>
      <c r="E94" s="23" t="str">
        <f>_xlfn.XLOOKUP($C94,DBGenzai[社員№],DBGenzai[生年月日],"",0,1)</f>
        <v/>
      </c>
      <c r="F94" t="str">
        <f t="shared" ca="1" si="8"/>
        <v/>
      </c>
      <c r="G94" t="str">
        <f>_xlfn.XLOOKUP(C94,DBGenzai[社員№],DBGenzai[請求単価],"",0,1)</f>
        <v/>
      </c>
      <c r="H94" s="57" t="str">
        <f>_xlfn.XLOOKUP($C94,DBGenzai[社員№],DBGenzai[入社日],"",0,1)</f>
        <v/>
      </c>
      <c r="I94" s="57" t="str">
        <f>IF(D94="退社",_xlfn.XLOOKUP($C94,DBGenzai[社員№],DBGenzai[退社日],"",0,1),"")</f>
        <v/>
      </c>
      <c r="K94" s="21" t="str">
        <f>_xlfn.XLOOKUP($C94,DBGenzai[社員№],DBGenzai[カナ],"",0,1)</f>
        <v/>
      </c>
      <c r="L94" s="3" t="str">
        <f>_xlfn.XLOOKUP($C94,DBGenzai[社員№],DBGenzai[性別],"",0,1)</f>
        <v/>
      </c>
      <c r="M94" s="3" t="str">
        <f t="shared" ca="1" si="9"/>
        <v/>
      </c>
      <c r="N94" s="3" t="str">
        <f t="shared" si="10"/>
        <v/>
      </c>
      <c r="O94" s="3" t="str">
        <f t="shared" si="10"/>
        <v/>
      </c>
      <c r="P94" s="3" t="str">
        <f t="shared" si="10"/>
        <v/>
      </c>
      <c r="Q94" s="3" t="str">
        <f t="shared" si="11"/>
        <v/>
      </c>
      <c r="R94" s="3" t="str">
        <f t="shared" si="12"/>
        <v/>
      </c>
    </row>
    <row r="95" spans="1:18" ht="18">
      <c r="A95">
        <f>SUBTOTAL(103,$K$9:K95)</f>
        <v>87</v>
      </c>
      <c r="B95">
        <v>87</v>
      </c>
      <c r="C95" t="str">
        <f>_xlfn.XLOOKUP(ライン&amp;B95,Filtro!A:A,Filtro!D:D,"",0,1)</f>
        <v/>
      </c>
      <c r="D95" t="str">
        <f>_xlfn.XLOOKUP(C95,DBGenzai[社員№],DBGenzai[現在],"",0,1)</f>
        <v/>
      </c>
      <c r="E95" s="23" t="str">
        <f>_xlfn.XLOOKUP($C95,DBGenzai[社員№],DBGenzai[生年月日],"",0,1)</f>
        <v/>
      </c>
      <c r="F95" t="str">
        <f t="shared" ca="1" si="8"/>
        <v/>
      </c>
      <c r="G95" t="str">
        <f>_xlfn.XLOOKUP(C95,DBGenzai[社員№],DBGenzai[請求単価],"",0,1)</f>
        <v/>
      </c>
      <c r="H95" s="57" t="str">
        <f>_xlfn.XLOOKUP($C95,DBGenzai[社員№],DBGenzai[入社日],"",0,1)</f>
        <v/>
      </c>
      <c r="I95" s="57" t="str">
        <f>IF(D95="退社",_xlfn.XLOOKUP($C95,DBGenzai[社員№],DBGenzai[退社日],"",0,1),"")</f>
        <v/>
      </c>
      <c r="K95" s="21" t="str">
        <f>_xlfn.XLOOKUP($C95,DBGenzai[社員№],DBGenzai[カナ],"",0,1)</f>
        <v/>
      </c>
      <c r="L95" s="3" t="str">
        <f>_xlfn.XLOOKUP($C95,DBGenzai[社員№],DBGenzai[性別],"",0,1)</f>
        <v/>
      </c>
      <c r="M95" s="3" t="str">
        <f t="shared" ca="1" si="9"/>
        <v/>
      </c>
      <c r="N95" s="3" t="str">
        <f t="shared" si="10"/>
        <v/>
      </c>
      <c r="O95" s="3" t="str">
        <f t="shared" si="10"/>
        <v/>
      </c>
      <c r="P95" s="3" t="str">
        <f t="shared" si="10"/>
        <v/>
      </c>
      <c r="Q95" s="3" t="str">
        <f t="shared" si="11"/>
        <v/>
      </c>
      <c r="R95" s="3" t="str">
        <f t="shared" si="12"/>
        <v/>
      </c>
    </row>
    <row r="96" spans="1:18" ht="18">
      <c r="A96">
        <f>SUBTOTAL(103,$K$9:K96)</f>
        <v>88</v>
      </c>
      <c r="B96">
        <v>88</v>
      </c>
      <c r="C96" t="str">
        <f>_xlfn.XLOOKUP(ライン&amp;B96,Filtro!A:A,Filtro!D:D,"",0,1)</f>
        <v/>
      </c>
      <c r="D96" t="str">
        <f>_xlfn.XLOOKUP(C96,DBGenzai[社員№],DBGenzai[現在],"",0,1)</f>
        <v/>
      </c>
      <c r="E96" s="23" t="str">
        <f>_xlfn.XLOOKUP($C96,DBGenzai[社員№],DBGenzai[生年月日],"",0,1)</f>
        <v/>
      </c>
      <c r="F96" t="str">
        <f t="shared" ca="1" si="8"/>
        <v/>
      </c>
      <c r="G96" t="str">
        <f>_xlfn.XLOOKUP(C96,DBGenzai[社員№],DBGenzai[請求単価],"",0,1)</f>
        <v/>
      </c>
      <c r="H96" s="57" t="str">
        <f>_xlfn.XLOOKUP($C96,DBGenzai[社員№],DBGenzai[入社日],"",0,1)</f>
        <v/>
      </c>
      <c r="I96" s="57" t="str">
        <f>IF(D96="退社",_xlfn.XLOOKUP($C96,DBGenzai[社員№],DBGenzai[退社日],"",0,1),"")</f>
        <v/>
      </c>
      <c r="K96" s="21" t="str">
        <f>_xlfn.XLOOKUP($C96,DBGenzai[社員№],DBGenzai[カナ],"",0,1)</f>
        <v/>
      </c>
      <c r="L96" s="3" t="str">
        <f>_xlfn.XLOOKUP($C96,DBGenzai[社員№],DBGenzai[性別],"",0,1)</f>
        <v/>
      </c>
      <c r="M96" s="3" t="str">
        <f t="shared" ca="1" si="9"/>
        <v/>
      </c>
      <c r="N96" s="3" t="str">
        <f t="shared" si="10"/>
        <v/>
      </c>
      <c r="O96" s="3" t="str">
        <f t="shared" si="10"/>
        <v/>
      </c>
      <c r="P96" s="3" t="str">
        <f t="shared" si="10"/>
        <v/>
      </c>
      <c r="Q96" s="3" t="str">
        <f t="shared" si="11"/>
        <v/>
      </c>
      <c r="R96" s="3" t="str">
        <f t="shared" si="12"/>
        <v/>
      </c>
    </row>
    <row r="97" spans="1:18" ht="18">
      <c r="A97">
        <f>SUBTOTAL(103,$K$9:K97)</f>
        <v>89</v>
      </c>
      <c r="B97">
        <v>89</v>
      </c>
      <c r="C97" t="str">
        <f>_xlfn.XLOOKUP(ライン&amp;B97,Filtro!A:A,Filtro!D:D,"",0,1)</f>
        <v/>
      </c>
      <c r="D97" t="str">
        <f>_xlfn.XLOOKUP(C97,DBGenzai[社員№],DBGenzai[現在],"",0,1)</f>
        <v/>
      </c>
      <c r="E97" s="23" t="str">
        <f>_xlfn.XLOOKUP($C97,DBGenzai[社員№],DBGenzai[生年月日],"",0,1)</f>
        <v/>
      </c>
      <c r="F97" t="str">
        <f t="shared" ca="1" si="8"/>
        <v/>
      </c>
      <c r="G97" t="str">
        <f>_xlfn.XLOOKUP(C97,DBGenzai[社員№],DBGenzai[請求単価],"",0,1)</f>
        <v/>
      </c>
      <c r="H97" s="57" t="str">
        <f>_xlfn.XLOOKUP($C97,DBGenzai[社員№],DBGenzai[入社日],"",0,1)</f>
        <v/>
      </c>
      <c r="I97" s="57" t="str">
        <f>IF(D97="退社",_xlfn.XLOOKUP($C97,DBGenzai[社員№],DBGenzai[退社日],"",0,1),"")</f>
        <v/>
      </c>
      <c r="K97" s="21" t="str">
        <f>_xlfn.XLOOKUP($C97,DBGenzai[社員№],DBGenzai[カナ],"",0,1)</f>
        <v/>
      </c>
      <c r="L97" s="3" t="str">
        <f>_xlfn.XLOOKUP($C97,DBGenzai[社員№],DBGenzai[性別],"",0,1)</f>
        <v/>
      </c>
      <c r="M97" s="3" t="str">
        <f t="shared" ca="1" si="9"/>
        <v/>
      </c>
      <c r="N97" s="3" t="str">
        <f t="shared" si="10"/>
        <v/>
      </c>
      <c r="O97" s="3" t="str">
        <f t="shared" si="10"/>
        <v/>
      </c>
      <c r="P97" s="3" t="str">
        <f t="shared" si="10"/>
        <v/>
      </c>
      <c r="Q97" s="3" t="str">
        <f t="shared" si="11"/>
        <v/>
      </c>
      <c r="R97" s="3" t="str">
        <f t="shared" si="12"/>
        <v/>
      </c>
    </row>
    <row r="98" spans="1:18" ht="18">
      <c r="A98">
        <f>SUBTOTAL(103,$K$9:K98)</f>
        <v>90</v>
      </c>
      <c r="B98">
        <v>90</v>
      </c>
      <c r="C98" t="str">
        <f>_xlfn.XLOOKUP(ライン&amp;B98,Filtro!A:A,Filtro!D:D,"",0,1)</f>
        <v/>
      </c>
      <c r="D98" t="str">
        <f>_xlfn.XLOOKUP(C98,DBGenzai[社員№],DBGenzai[現在],"",0,1)</f>
        <v/>
      </c>
      <c r="E98" s="23" t="str">
        <f>_xlfn.XLOOKUP($C98,DBGenzai[社員№],DBGenzai[生年月日],"",0,1)</f>
        <v/>
      </c>
      <c r="F98" t="str">
        <f t="shared" ca="1" si="8"/>
        <v/>
      </c>
      <c r="G98" t="str">
        <f>_xlfn.XLOOKUP(C98,DBGenzai[社員№],DBGenzai[請求単価],"",0,1)</f>
        <v/>
      </c>
      <c r="H98" s="57" t="str">
        <f>_xlfn.XLOOKUP($C98,DBGenzai[社員№],DBGenzai[入社日],"",0,1)</f>
        <v/>
      </c>
      <c r="I98" s="57" t="str">
        <f>IF(D98="退社",_xlfn.XLOOKUP($C98,DBGenzai[社員№],DBGenzai[退社日],"",0,1),"")</f>
        <v/>
      </c>
      <c r="K98" s="21" t="str">
        <f>_xlfn.XLOOKUP($C98,DBGenzai[社員№],DBGenzai[カナ],"",0,1)</f>
        <v/>
      </c>
      <c r="L98" s="3" t="str">
        <f>_xlfn.XLOOKUP($C98,DBGenzai[社員№],DBGenzai[性別],"",0,1)</f>
        <v/>
      </c>
      <c r="M98" s="3" t="str">
        <f t="shared" ca="1" si="9"/>
        <v/>
      </c>
      <c r="N98" s="3" t="str">
        <f t="shared" si="10"/>
        <v/>
      </c>
      <c r="O98" s="3" t="str">
        <f t="shared" si="10"/>
        <v/>
      </c>
      <c r="P98" s="3" t="str">
        <f t="shared" si="10"/>
        <v/>
      </c>
      <c r="Q98" s="3" t="str">
        <f t="shared" si="11"/>
        <v/>
      </c>
      <c r="R98" s="3" t="str">
        <f t="shared" si="12"/>
        <v/>
      </c>
    </row>
    <row r="99" spans="1:18" ht="18">
      <c r="A99">
        <f>SUBTOTAL(103,$K$9:K99)</f>
        <v>91</v>
      </c>
      <c r="B99">
        <v>91</v>
      </c>
      <c r="C99" t="str">
        <f>_xlfn.XLOOKUP(ライン&amp;B99,Filtro!A:A,Filtro!D:D,"",0,1)</f>
        <v/>
      </c>
      <c r="D99" t="str">
        <f>_xlfn.XLOOKUP(C99,DBGenzai[社員№],DBGenzai[現在],"",0,1)</f>
        <v/>
      </c>
      <c r="E99" s="23" t="str">
        <f>_xlfn.XLOOKUP($C99,DBGenzai[社員№],DBGenzai[生年月日],"",0,1)</f>
        <v/>
      </c>
      <c r="F99" t="str">
        <f t="shared" ca="1" si="8"/>
        <v/>
      </c>
      <c r="G99" t="str">
        <f>_xlfn.XLOOKUP(C99,DBGenzai[社員№],DBGenzai[請求単価],"",0,1)</f>
        <v/>
      </c>
      <c r="H99" s="57" t="str">
        <f>_xlfn.XLOOKUP($C99,DBGenzai[社員№],DBGenzai[入社日],"",0,1)</f>
        <v/>
      </c>
      <c r="I99" s="57" t="str">
        <f>IF(D99="退社",_xlfn.XLOOKUP($C99,DBGenzai[社員№],DBGenzai[退社日],"",0,1),"")</f>
        <v/>
      </c>
      <c r="K99" s="21" t="str">
        <f>_xlfn.XLOOKUP($C99,DBGenzai[社員№],DBGenzai[カナ],"",0,1)</f>
        <v/>
      </c>
      <c r="L99" s="3" t="str">
        <f>_xlfn.XLOOKUP($C99,DBGenzai[社員№],DBGenzai[性別],"",0,1)</f>
        <v/>
      </c>
      <c r="M99" s="3" t="str">
        <f t="shared" ca="1" si="9"/>
        <v/>
      </c>
      <c r="N99" s="3" t="str">
        <f t="shared" si="10"/>
        <v/>
      </c>
      <c r="O99" s="3" t="str">
        <f t="shared" si="10"/>
        <v/>
      </c>
      <c r="P99" s="3" t="str">
        <f t="shared" si="10"/>
        <v/>
      </c>
      <c r="Q99" s="3" t="str">
        <f t="shared" si="11"/>
        <v/>
      </c>
      <c r="R99" s="3" t="str">
        <f t="shared" si="12"/>
        <v/>
      </c>
    </row>
    <row r="100" spans="1:18" ht="18">
      <c r="A100">
        <f>SUBTOTAL(103,$K$9:K100)</f>
        <v>92</v>
      </c>
      <c r="B100">
        <v>92</v>
      </c>
      <c r="C100" t="str">
        <f>_xlfn.XLOOKUP(ライン&amp;B100,Filtro!A:A,Filtro!D:D,"",0,1)</f>
        <v/>
      </c>
      <c r="D100" t="str">
        <f>_xlfn.XLOOKUP(C100,DBGenzai[社員№],DBGenzai[現在],"",0,1)</f>
        <v/>
      </c>
      <c r="E100" s="23" t="str">
        <f>_xlfn.XLOOKUP($C100,DBGenzai[社員№],DBGenzai[生年月日],"",0,1)</f>
        <v/>
      </c>
      <c r="F100" t="str">
        <f t="shared" ca="1" si="8"/>
        <v/>
      </c>
      <c r="G100" t="str">
        <f>_xlfn.XLOOKUP(C100,DBGenzai[社員№],DBGenzai[請求単価],"",0,1)</f>
        <v/>
      </c>
      <c r="H100" s="57" t="str">
        <f>_xlfn.XLOOKUP($C100,DBGenzai[社員№],DBGenzai[入社日],"",0,1)</f>
        <v/>
      </c>
      <c r="I100" s="57" t="str">
        <f>IF(D100="退社",_xlfn.XLOOKUP($C100,DBGenzai[社員№],DBGenzai[退社日],"",0,1),"")</f>
        <v/>
      </c>
      <c r="K100" s="21" t="str">
        <f>_xlfn.XLOOKUP($C100,DBGenzai[社員№],DBGenzai[カナ],"",0,1)</f>
        <v/>
      </c>
      <c r="L100" s="3" t="str">
        <f>_xlfn.XLOOKUP($C100,DBGenzai[社員№],DBGenzai[性別],"",0,1)</f>
        <v/>
      </c>
      <c r="M100" s="3" t="str">
        <f t="shared" ca="1" si="9"/>
        <v/>
      </c>
      <c r="N100" s="3" t="str">
        <f t="shared" si="10"/>
        <v/>
      </c>
      <c r="O100" s="3" t="str">
        <f t="shared" si="10"/>
        <v/>
      </c>
      <c r="P100" s="3" t="str">
        <f t="shared" si="10"/>
        <v/>
      </c>
      <c r="Q100" s="3" t="str">
        <f t="shared" si="11"/>
        <v/>
      </c>
      <c r="R100" s="3" t="str">
        <f t="shared" si="12"/>
        <v/>
      </c>
    </row>
    <row r="101" spans="1:18" ht="18">
      <c r="A101">
        <f>SUBTOTAL(103,$K$9:K101)</f>
        <v>93</v>
      </c>
      <c r="B101">
        <v>93</v>
      </c>
      <c r="C101" t="str">
        <f>_xlfn.XLOOKUP(ライン&amp;B101,Filtro!A:A,Filtro!D:D,"",0,1)</f>
        <v/>
      </c>
      <c r="D101" t="str">
        <f>_xlfn.XLOOKUP(C101,DBGenzai[社員№],DBGenzai[現在],"",0,1)</f>
        <v/>
      </c>
      <c r="E101" s="23" t="str">
        <f>_xlfn.XLOOKUP($C101,DBGenzai[社員№],DBGenzai[生年月日],"",0,1)</f>
        <v/>
      </c>
      <c r="F101" t="str">
        <f t="shared" ca="1" si="8"/>
        <v/>
      </c>
      <c r="G101" t="str">
        <f>_xlfn.XLOOKUP(C101,DBGenzai[社員№],DBGenzai[請求単価],"",0,1)</f>
        <v/>
      </c>
      <c r="H101" s="57" t="str">
        <f>_xlfn.XLOOKUP($C101,DBGenzai[社員№],DBGenzai[入社日],"",0,1)</f>
        <v/>
      </c>
      <c r="I101" s="57" t="str">
        <f>IF(D101="退社",_xlfn.XLOOKUP($C101,DBGenzai[社員№],DBGenzai[退社日],"",0,1),"")</f>
        <v/>
      </c>
      <c r="K101" s="21" t="str">
        <f>_xlfn.XLOOKUP($C101,DBGenzai[社員№],DBGenzai[カナ],"",0,1)</f>
        <v/>
      </c>
      <c r="L101" s="3" t="str">
        <f>_xlfn.XLOOKUP($C101,DBGenzai[社員№],DBGenzai[性別],"",0,1)</f>
        <v/>
      </c>
      <c r="M101" s="3" t="str">
        <f t="shared" ca="1" si="9"/>
        <v/>
      </c>
      <c r="N101" s="3" t="str">
        <f t="shared" si="10"/>
        <v/>
      </c>
      <c r="O101" s="3" t="str">
        <f t="shared" si="10"/>
        <v/>
      </c>
      <c r="P101" s="3" t="str">
        <f t="shared" si="10"/>
        <v/>
      </c>
      <c r="Q101" s="3" t="str">
        <f t="shared" si="11"/>
        <v/>
      </c>
      <c r="R101" s="3" t="str">
        <f t="shared" si="12"/>
        <v/>
      </c>
    </row>
    <row r="102" spans="1:18" ht="18">
      <c r="A102">
        <f>SUBTOTAL(103,$K$9:K102)</f>
        <v>94</v>
      </c>
      <c r="B102">
        <v>94</v>
      </c>
      <c r="C102" t="str">
        <f>_xlfn.XLOOKUP(ライン&amp;B102,Filtro!A:A,Filtro!D:D,"",0,1)</f>
        <v/>
      </c>
      <c r="D102" t="str">
        <f>_xlfn.XLOOKUP(C102,DBGenzai[社員№],DBGenzai[現在],"",0,1)</f>
        <v/>
      </c>
      <c r="E102" s="23" t="str">
        <f>_xlfn.XLOOKUP($C102,DBGenzai[社員№],DBGenzai[生年月日],"",0,1)</f>
        <v/>
      </c>
      <c r="F102" t="str">
        <f t="shared" ca="1" si="8"/>
        <v/>
      </c>
      <c r="G102" t="str">
        <f>_xlfn.XLOOKUP(C102,DBGenzai[社員№],DBGenzai[請求単価],"",0,1)</f>
        <v/>
      </c>
      <c r="H102" s="57" t="str">
        <f>_xlfn.XLOOKUP($C102,DBGenzai[社員№],DBGenzai[入社日],"",0,1)</f>
        <v/>
      </c>
      <c r="I102" s="57" t="str">
        <f>IF(D102="退社",_xlfn.XLOOKUP($C102,DBGenzai[社員№],DBGenzai[退社日],"",0,1),"")</f>
        <v/>
      </c>
      <c r="K102" s="21" t="str">
        <f>_xlfn.XLOOKUP($C102,DBGenzai[社員№],DBGenzai[カナ],"",0,1)</f>
        <v/>
      </c>
      <c r="L102" s="3" t="str">
        <f>_xlfn.XLOOKUP($C102,DBGenzai[社員№],DBGenzai[性別],"",0,1)</f>
        <v/>
      </c>
      <c r="M102" s="3" t="str">
        <f t="shared" ca="1" si="9"/>
        <v/>
      </c>
      <c r="N102" s="3" t="str">
        <f t="shared" si="10"/>
        <v/>
      </c>
      <c r="O102" s="3" t="str">
        <f t="shared" si="10"/>
        <v/>
      </c>
      <c r="P102" s="3" t="str">
        <f t="shared" si="10"/>
        <v/>
      </c>
      <c r="Q102" s="3" t="str">
        <f t="shared" si="11"/>
        <v/>
      </c>
      <c r="R102" s="3" t="str">
        <f t="shared" si="12"/>
        <v/>
      </c>
    </row>
    <row r="103" spans="1:18" ht="18">
      <c r="A103">
        <f>SUBTOTAL(103,$K$9:K103)</f>
        <v>95</v>
      </c>
      <c r="B103">
        <v>95</v>
      </c>
      <c r="C103" t="str">
        <f>_xlfn.XLOOKUP(ライン&amp;B103,Filtro!A:A,Filtro!D:D,"",0,1)</f>
        <v/>
      </c>
      <c r="D103" t="str">
        <f>_xlfn.XLOOKUP(C103,DBGenzai[社員№],DBGenzai[現在],"",0,1)</f>
        <v/>
      </c>
      <c r="E103" s="23" t="str">
        <f>_xlfn.XLOOKUP($C103,DBGenzai[社員№],DBGenzai[生年月日],"",0,1)</f>
        <v/>
      </c>
      <c r="F103" t="str">
        <f t="shared" ca="1" si="8"/>
        <v/>
      </c>
      <c r="G103" t="str">
        <f>_xlfn.XLOOKUP(C103,DBGenzai[社員№],DBGenzai[請求単価],"",0,1)</f>
        <v/>
      </c>
      <c r="H103" s="57" t="str">
        <f>_xlfn.XLOOKUP($C103,DBGenzai[社員№],DBGenzai[入社日],"",0,1)</f>
        <v/>
      </c>
      <c r="I103" s="57" t="str">
        <f>IF(D103="退社",_xlfn.XLOOKUP($C103,DBGenzai[社員№],DBGenzai[退社日],"",0,1),"")</f>
        <v/>
      </c>
      <c r="K103" s="21" t="str">
        <f>_xlfn.XLOOKUP($C103,DBGenzai[社員№],DBGenzai[カナ],"",0,1)</f>
        <v/>
      </c>
      <c r="L103" s="3" t="str">
        <f>_xlfn.XLOOKUP($C103,DBGenzai[社員№],DBGenzai[性別],"",0,1)</f>
        <v/>
      </c>
      <c r="M103" s="3" t="str">
        <f t="shared" ca="1" si="9"/>
        <v/>
      </c>
      <c r="N103" s="3" t="str">
        <f t="shared" si="10"/>
        <v/>
      </c>
      <c r="O103" s="3" t="str">
        <f t="shared" si="10"/>
        <v/>
      </c>
      <c r="P103" s="3" t="str">
        <f t="shared" si="10"/>
        <v/>
      </c>
      <c r="Q103" s="3" t="str">
        <f t="shared" si="11"/>
        <v/>
      </c>
      <c r="R103" s="3" t="str">
        <f t="shared" si="12"/>
        <v/>
      </c>
    </row>
    <row r="104" spans="1:18" ht="18">
      <c r="A104">
        <f>SUBTOTAL(103,$K$9:K104)</f>
        <v>96</v>
      </c>
      <c r="B104">
        <v>96</v>
      </c>
      <c r="C104" t="str">
        <f>_xlfn.XLOOKUP(ライン&amp;B104,Filtro!A:A,Filtro!D:D,"",0,1)</f>
        <v/>
      </c>
      <c r="D104" t="str">
        <f>_xlfn.XLOOKUP(C104,DBGenzai[社員№],DBGenzai[現在],"",0,1)</f>
        <v/>
      </c>
      <c r="E104" s="23" t="str">
        <f>_xlfn.XLOOKUP($C104,DBGenzai[社員№],DBGenzai[生年月日],"",0,1)</f>
        <v/>
      </c>
      <c r="F104" t="str">
        <f t="shared" ca="1" si="8"/>
        <v/>
      </c>
      <c r="G104" t="str">
        <f>_xlfn.XLOOKUP(C104,DBGenzai[社員№],DBGenzai[請求単価],"",0,1)</f>
        <v/>
      </c>
      <c r="H104" s="57" t="str">
        <f>_xlfn.XLOOKUP($C104,DBGenzai[社員№],DBGenzai[入社日],"",0,1)</f>
        <v/>
      </c>
      <c r="I104" s="57" t="str">
        <f>IF(D104="退社",_xlfn.XLOOKUP($C104,DBGenzai[社員№],DBGenzai[退社日],"",0,1),"")</f>
        <v/>
      </c>
      <c r="K104" s="21" t="str">
        <f>_xlfn.XLOOKUP($C104,DBGenzai[社員№],DBGenzai[カナ],"",0,1)</f>
        <v/>
      </c>
      <c r="L104" s="3" t="str">
        <f>_xlfn.XLOOKUP($C104,DBGenzai[社員№],DBGenzai[性別],"",0,1)</f>
        <v/>
      </c>
      <c r="M104" s="3" t="str">
        <f t="shared" ca="1" si="9"/>
        <v/>
      </c>
      <c r="N104" s="3" t="str">
        <f t="shared" si="10"/>
        <v/>
      </c>
      <c r="O104" s="3" t="str">
        <f t="shared" si="10"/>
        <v/>
      </c>
      <c r="P104" s="3" t="str">
        <f t="shared" si="10"/>
        <v/>
      </c>
      <c r="Q104" s="3" t="str">
        <f t="shared" si="11"/>
        <v/>
      </c>
      <c r="R104" s="3" t="str">
        <f t="shared" si="12"/>
        <v/>
      </c>
    </row>
    <row r="105" spans="1:18" ht="18">
      <c r="A105">
        <f>SUBTOTAL(103,$K$9:K105)</f>
        <v>97</v>
      </c>
      <c r="B105">
        <v>97</v>
      </c>
      <c r="C105" t="str">
        <f>_xlfn.XLOOKUP(ライン&amp;B105,Filtro!A:A,Filtro!D:D,"",0,1)</f>
        <v/>
      </c>
      <c r="D105" t="str">
        <f>_xlfn.XLOOKUP(C105,DBGenzai[社員№],DBGenzai[現在],"",0,1)</f>
        <v/>
      </c>
      <c r="E105" s="23" t="str">
        <f>_xlfn.XLOOKUP($C105,DBGenzai[社員№],DBGenzai[生年月日],"",0,1)</f>
        <v/>
      </c>
      <c r="F105" t="str">
        <f t="shared" ca="1" si="8"/>
        <v/>
      </c>
      <c r="G105" t="str">
        <f>_xlfn.XLOOKUP(C105,DBGenzai[社員№],DBGenzai[請求単価],"",0,1)</f>
        <v/>
      </c>
      <c r="H105" s="57" t="str">
        <f>_xlfn.XLOOKUP($C105,DBGenzai[社員№],DBGenzai[入社日],"",0,1)</f>
        <v/>
      </c>
      <c r="I105" s="57" t="str">
        <f>IF(D105="退社",_xlfn.XLOOKUP($C105,DBGenzai[社員№],DBGenzai[退社日],"",0,1),"")</f>
        <v/>
      </c>
      <c r="K105" s="21" t="str">
        <f>_xlfn.XLOOKUP($C105,DBGenzai[社員№],DBGenzai[カナ],"",0,1)</f>
        <v/>
      </c>
      <c r="L105" s="3" t="str">
        <f>_xlfn.XLOOKUP($C105,DBGenzai[社員№],DBGenzai[性別],"",0,1)</f>
        <v/>
      </c>
      <c r="M105" s="3" t="str">
        <f t="shared" ca="1" si="9"/>
        <v/>
      </c>
      <c r="N105" s="3" t="str">
        <f t="shared" si="10"/>
        <v/>
      </c>
      <c r="O105" s="3" t="str">
        <f t="shared" si="10"/>
        <v/>
      </c>
      <c r="P105" s="3" t="str">
        <f t="shared" si="10"/>
        <v/>
      </c>
      <c r="Q105" s="3" t="str">
        <f t="shared" si="11"/>
        <v/>
      </c>
      <c r="R105" s="3" t="str">
        <f t="shared" si="12"/>
        <v/>
      </c>
    </row>
    <row r="106" spans="1:18" ht="18">
      <c r="A106">
        <f>SUBTOTAL(103,$K$9:K106)</f>
        <v>98</v>
      </c>
      <c r="B106">
        <v>98</v>
      </c>
      <c r="C106" t="str">
        <f>_xlfn.XLOOKUP(ライン&amp;B106,Filtro!A:A,Filtro!D:D,"",0,1)</f>
        <v/>
      </c>
      <c r="D106" t="str">
        <f>_xlfn.XLOOKUP(C106,DBGenzai[社員№],DBGenzai[現在],"",0,1)</f>
        <v/>
      </c>
      <c r="E106" s="23" t="str">
        <f>_xlfn.XLOOKUP($C106,DBGenzai[社員№],DBGenzai[生年月日],"",0,1)</f>
        <v/>
      </c>
      <c r="F106" t="str">
        <f t="shared" ca="1" si="8"/>
        <v/>
      </c>
      <c r="G106" t="str">
        <f>_xlfn.XLOOKUP(C106,DBGenzai[社員№],DBGenzai[請求単価],"",0,1)</f>
        <v/>
      </c>
      <c r="H106" s="57" t="str">
        <f>_xlfn.XLOOKUP($C106,DBGenzai[社員№],DBGenzai[入社日],"",0,1)</f>
        <v/>
      </c>
      <c r="I106" s="57" t="str">
        <f>IF(D106="退社",_xlfn.XLOOKUP($C106,DBGenzai[社員№],DBGenzai[退社日],"",0,1),"")</f>
        <v/>
      </c>
      <c r="K106" s="21" t="str">
        <f>_xlfn.XLOOKUP($C106,DBGenzai[社員№],DBGenzai[カナ],"",0,1)</f>
        <v/>
      </c>
      <c r="L106" s="3" t="str">
        <f>_xlfn.XLOOKUP($C106,DBGenzai[社員№],DBGenzai[性別],"",0,1)</f>
        <v/>
      </c>
      <c r="M106" s="3" t="str">
        <f t="shared" ca="1" si="9"/>
        <v/>
      </c>
      <c r="N106" s="3" t="str">
        <f t="shared" si="10"/>
        <v/>
      </c>
      <c r="O106" s="3" t="str">
        <f t="shared" si="10"/>
        <v/>
      </c>
      <c r="P106" s="3" t="str">
        <f t="shared" si="10"/>
        <v/>
      </c>
      <c r="Q106" s="3" t="str">
        <f t="shared" si="11"/>
        <v/>
      </c>
      <c r="R106" s="3" t="str">
        <f t="shared" si="12"/>
        <v/>
      </c>
    </row>
    <row r="107" spans="1:18" ht="18">
      <c r="A107">
        <f>SUBTOTAL(103,$K$9:K107)</f>
        <v>99</v>
      </c>
      <c r="B107">
        <v>99</v>
      </c>
      <c r="C107" t="str">
        <f>_xlfn.XLOOKUP(ライン&amp;B107,Filtro!A:A,Filtro!D:D,"",0,1)</f>
        <v/>
      </c>
      <c r="D107" t="str">
        <f>_xlfn.XLOOKUP(C107,DBGenzai[社員№],DBGenzai[現在],"",0,1)</f>
        <v/>
      </c>
      <c r="E107" s="23" t="str">
        <f>_xlfn.XLOOKUP($C107,DBGenzai[社員№],DBGenzai[生年月日],"",0,1)</f>
        <v/>
      </c>
      <c r="F107" t="str">
        <f t="shared" ca="1" si="8"/>
        <v/>
      </c>
      <c r="G107" t="str">
        <f>_xlfn.XLOOKUP(C107,DBGenzai[社員№],DBGenzai[請求単価],"",0,1)</f>
        <v/>
      </c>
      <c r="H107" s="57" t="str">
        <f>_xlfn.XLOOKUP($C107,DBGenzai[社員№],DBGenzai[入社日],"",0,1)</f>
        <v/>
      </c>
      <c r="I107" s="57" t="str">
        <f>IF(D107="退社",_xlfn.XLOOKUP($C107,DBGenzai[社員№],DBGenzai[退社日],"",0,1),"")</f>
        <v/>
      </c>
      <c r="K107" s="21" t="str">
        <f>_xlfn.XLOOKUP($C107,DBGenzai[社員№],DBGenzai[カナ],"",0,1)</f>
        <v/>
      </c>
      <c r="L107" s="3" t="str">
        <f>_xlfn.XLOOKUP($C107,DBGenzai[社員№],DBGenzai[性別],"",0,1)</f>
        <v/>
      </c>
      <c r="M107" s="3" t="str">
        <f t="shared" ca="1" si="9"/>
        <v/>
      </c>
      <c r="N107" s="3" t="str">
        <f t="shared" si="10"/>
        <v/>
      </c>
      <c r="O107" s="3" t="str">
        <f t="shared" si="10"/>
        <v/>
      </c>
      <c r="P107" s="3" t="str">
        <f t="shared" si="10"/>
        <v/>
      </c>
      <c r="Q107" s="3" t="str">
        <f t="shared" si="11"/>
        <v/>
      </c>
      <c r="R107" s="3" t="str">
        <f t="shared" si="12"/>
        <v/>
      </c>
    </row>
  </sheetData>
  <mergeCells count="1">
    <mergeCell ref="K2:M2"/>
  </mergeCells>
  <phoneticPr fontId="1"/>
  <conditionalFormatting sqref="J9:J57">
    <cfRule type="cellIs" dxfId="14" priority="1" operator="equal">
      <formula>0</formula>
    </cfRule>
  </conditionalFormatting>
  <pageMargins left="0.25" right="0.25" top="0.75" bottom="0.75" header="0.3" footer="0.3"/>
  <pageSetup paperSize="9" scale="67"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A161BC2AD50D441B11A7F9234F6C254" ma:contentTypeVersion="9" ma:contentTypeDescription="Create a new document." ma:contentTypeScope="" ma:versionID="0dac175ff32ab83a6b4bb4fe9b65bb39">
  <xsd:schema xmlns:xsd="http://www.w3.org/2001/XMLSchema" xmlns:xs="http://www.w3.org/2001/XMLSchema" xmlns:p="http://schemas.microsoft.com/office/2006/metadata/properties" xmlns:ns3="365a6240-f6f2-4bcb-9931-d1bd4ec22d88" targetNamespace="http://schemas.microsoft.com/office/2006/metadata/properties" ma:root="true" ma:fieldsID="62e2bc4cedbb267d92009a190d7b4b1f" ns3:_="">
    <xsd:import namespace="365a6240-f6f2-4bcb-9931-d1bd4ec22d8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a6240-f6f2-4bcb-9931-d1bd4ec22d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486AF0C-56DD-4A02-B0CB-DBB8CECD13F7}">
  <ds:schemaRefs>
    <ds:schemaRef ds:uri="http://schemas.microsoft.com/DataMashup"/>
  </ds:schemaRefs>
</ds:datastoreItem>
</file>

<file path=customXml/itemProps2.xml><?xml version="1.0" encoding="utf-8"?>
<ds:datastoreItem xmlns:ds="http://schemas.openxmlformats.org/officeDocument/2006/customXml" ds:itemID="{105D19CA-CBFD-4971-BE75-B66B490F910C}">
  <ds:schemaRefs>
    <ds:schemaRef ds:uri="http://schemas.microsoft.com/office/2006/metadata/properties"/>
    <ds:schemaRef ds:uri="http://www.w3.org/2000/xmlns/"/>
  </ds:schemaRefs>
</ds:datastoreItem>
</file>

<file path=customXml/itemProps3.xml><?xml version="1.0" encoding="utf-8"?>
<ds:datastoreItem xmlns:ds="http://schemas.openxmlformats.org/officeDocument/2006/customXml" ds:itemID="{8B3897E7-DAA7-4534-94B5-04ADBF54EA29}">
  <ds:schemaRefs>
    <ds:schemaRef ds:uri="http://schemas.microsoft.com/office/2006/metadata/contentType"/>
    <ds:schemaRef ds:uri="http://schemas.microsoft.com/office/2006/metadata/properties/metaAttributes"/>
    <ds:schemaRef ds:uri="http://www.w3.org/2000/xmlns/"/>
    <ds:schemaRef ds:uri="http://www.w3.org/2001/XMLSchema"/>
    <ds:schemaRef ds:uri="365a6240-f6f2-4bcb-9931-d1bd4ec22d88"/>
  </ds:schemaRefs>
</ds:datastoreItem>
</file>

<file path=customXml/itemProps4.xml><?xml version="1.0" encoding="utf-8"?>
<ds:datastoreItem xmlns:ds="http://schemas.openxmlformats.org/officeDocument/2006/customXml" ds:itemID="{23ECE8C4-DD04-4029-8B3E-DEAF5321F0C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Excel iOS</Application>
  <DocSecurity>0</DocSecurity>
  <ScaleCrop>false</ScaleCrop>
  <HeadingPairs>
    <vt:vector size="4" baseType="variant">
      <vt:variant>
        <vt:lpstr>Hojas de cálculo</vt:lpstr>
      </vt:variant>
      <vt:variant>
        <vt:i4>18</vt:i4>
      </vt:variant>
      <vt:variant>
        <vt:lpstr>Rangos con nombre</vt:lpstr>
      </vt:variant>
      <vt:variant>
        <vt:i4>27</vt:i4>
      </vt:variant>
    </vt:vector>
  </HeadingPairs>
  <TitlesOfParts>
    <vt:vector size="45" baseType="lpstr">
      <vt:lpstr>契約書 (Filtro)</vt:lpstr>
      <vt:lpstr>DBGenzai</vt:lpstr>
      <vt:lpstr>Filtro</vt:lpstr>
      <vt:lpstr>Trasformacion</vt:lpstr>
      <vt:lpstr>TBKaisha</vt:lpstr>
      <vt:lpstr>個別契約書X</vt:lpstr>
      <vt:lpstr>ListaDinamicas</vt:lpstr>
      <vt:lpstr>通知書</vt:lpstr>
      <vt:lpstr>通知書(別々)</vt:lpstr>
      <vt:lpstr>通知書Genzai</vt:lpstr>
      <vt:lpstr>DAICHO</vt:lpstr>
      <vt:lpstr>派遣元管理台帳</vt:lpstr>
      <vt:lpstr>就業条件明示書</vt:lpstr>
      <vt:lpstr>契約書</vt:lpstr>
      <vt:lpstr>雇入れ時の待遇情報</vt:lpstr>
      <vt:lpstr> タイムシート</vt:lpstr>
      <vt:lpstr>就業状況報告書（本社)</vt:lpstr>
      <vt:lpstr>通知書TOTAL</vt:lpstr>
      <vt:lpstr>DAICHO!Área_de_impresión</vt:lpstr>
      <vt:lpstr>Trasformacion!Área_de_impresión</vt:lpstr>
      <vt:lpstr>契約書!Área_de_impresión</vt:lpstr>
      <vt:lpstr>契約書 (Filtro)!Área_de_impresión</vt:lpstr>
      <vt:lpstr>個別契約書X!Área_de_impresión</vt:lpstr>
      <vt:lpstr>就業条件明示書!Área_de_impresión</vt:lpstr>
      <vt:lpstr>就業状況報告書（本社)!Área_de_impresión</vt:lpstr>
      <vt:lpstr>通知書!Área_de_impresión</vt:lpstr>
      <vt:lpstr>通知書(別々)!Área_de_impresión</vt:lpstr>
      <vt:lpstr>派遣元管理台帳!Área_de_impresión</vt:lpstr>
      <vt:lpstr>CONSECUTIVO</vt:lpstr>
      <vt:lpstr>DateStart</vt:lpstr>
      <vt:lpstr>HakenKikanE</vt:lpstr>
      <vt:lpstr>HakenKikanMenos</vt:lpstr>
      <vt:lpstr>HakenkikanS</vt:lpstr>
      <vt:lpstr>Info</vt:lpstr>
      <vt:lpstr>契約書 (Filtro)!KaishaInfo</vt:lpstr>
      <vt:lpstr>KaishaInfo</vt:lpstr>
      <vt:lpstr>Ncopy</vt:lpstr>
      <vt:lpstr>DBGenzai!Títulos_a_imprimir</vt:lpstr>
      <vt:lpstr>ライン</vt:lpstr>
      <vt:lpstr>契約期限</vt:lpstr>
      <vt:lpstr>工場名</vt:lpstr>
      <vt:lpstr>時給単価</vt:lpstr>
      <vt:lpstr>派遣先</vt:lpstr>
      <vt:lpstr>現入社</vt:lpstr>
      <vt:lpstr>配属先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Kenji Kaneshrio</dc:creator>
  <cp:lastModifiedBy>Kenji Kaneshrio</cp:lastModifiedBy>
  <cp:lastPrinted>2025-12-04T07:30:25Z</cp:lastPrinted>
  <dcterms:created xsi:type="dcterms:W3CDTF">2022-09-23T08:11:22Z</dcterms:created>
  <dcterms:modified xsi:type="dcterms:W3CDTF">2025-12-04T08:47:43Z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0x010100CA161BC2AD50D441B11A7F9234F6C254</vt:lpwstr>
  </property>
</Properties>
</file>