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an Luis\CMR\2020\"/>
    </mc:Choice>
  </mc:AlternateContent>
  <xr:revisionPtr revIDLastSave="0" documentId="13_ncr:1_{119A0D88-9966-466C-B7B6-58AF265E9323}" xr6:coauthVersionLast="45" xr6:coauthVersionMax="45" xr10:uidLastSave="{00000000-0000-0000-0000-000000000000}"/>
  <bookViews>
    <workbookView xWindow="-120" yWindow="-120" windowWidth="15600" windowHeight="11310" tabRatio="819" firstSheet="3" activeTab="4" xr2:uid="{00000000-000D-0000-FFFF-FFFF00000000}"/>
  </bookViews>
  <sheets>
    <sheet name="Daily Report" sheetId="10" state="hidden" r:id="rId1"/>
    <sheet name="Formulas" sheetId="2" state="hidden" r:id="rId2"/>
    <sheet name="bulk water" sheetId="15" state="hidden" r:id="rId3"/>
    <sheet name="Water Balance" sheetId="9" r:id="rId4"/>
    <sheet name="CMR" sheetId="1" r:id="rId5"/>
    <sheet name="W.B. Input Data" sheetId="8" r:id="rId6"/>
    <sheet name="W.B.Input data main" sheetId="11" r:id="rId7"/>
    <sheet name="W.B.Input data ind." sheetId="13" r:id="rId8"/>
    <sheet name="W.B.Main" sheetId="12" r:id="rId9"/>
    <sheet name="W.B.Ind." sheetId="14" r:id="rId10"/>
  </sheets>
  <externalReferences>
    <externalReference r:id="rId11"/>
  </externalReferences>
  <definedNames>
    <definedName name="_xlnm.Print_Area" localSheetId="4">CMR!$A$1:$BD$151</definedName>
    <definedName name="_xlnm.Print_Area" localSheetId="5">'W.B. Input Data'!$B$2:$E$58</definedName>
    <definedName name="_xlnm.Print_Area" localSheetId="3">'Water Balance'!$B$2:$F$28</definedName>
  </definedNames>
  <calcPr calcId="181029"/>
</workbook>
</file>

<file path=xl/calcChain.xml><?xml version="1.0" encoding="utf-8"?>
<calcChain xmlns="http://schemas.openxmlformats.org/spreadsheetml/2006/main">
  <c r="AX122" i="1" l="1"/>
  <c r="AX121" i="1"/>
  <c r="BD110" i="1" l="1"/>
  <c r="BD109" i="1"/>
  <c r="BD108" i="1"/>
  <c r="BD107" i="1"/>
  <c r="BD106" i="1"/>
  <c r="BD105" i="1"/>
  <c r="BD104" i="1"/>
  <c r="BD103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D91" i="1"/>
  <c r="BC100" i="1"/>
  <c r="BC99" i="1"/>
  <c r="BC97" i="1"/>
  <c r="BC96" i="1"/>
  <c r="BC95" i="1"/>
  <c r="BC94" i="1"/>
  <c r="BC91" i="1"/>
  <c r="BC90" i="1"/>
  <c r="BC89" i="1"/>
  <c r="BC88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A63" i="1" l="1"/>
  <c r="BA62" i="1"/>
  <c r="BA61" i="1"/>
  <c r="BA60" i="1"/>
  <c r="BA59" i="1"/>
  <c r="BC59" i="1" s="1"/>
  <c r="BA58" i="1"/>
  <c r="BA57" i="1"/>
  <c r="BC57" i="1" s="1"/>
  <c r="BA56" i="1"/>
  <c r="BC56" i="1" s="1"/>
  <c r="BA55" i="1"/>
  <c r="BA54" i="1"/>
  <c r="BA53" i="1"/>
  <c r="BC53" i="1" s="1"/>
  <c r="AY65" i="1"/>
  <c r="AW64" i="1"/>
  <c r="AU64" i="1"/>
  <c r="BC148" i="1"/>
  <c r="BC147" i="1"/>
  <c r="BC146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8" i="1"/>
  <c r="BC127" i="1"/>
  <c r="BC126" i="1"/>
  <c r="BC125" i="1"/>
  <c r="BC124" i="1"/>
  <c r="BC123" i="1"/>
  <c r="BC122" i="1"/>
  <c r="BC121" i="1"/>
  <c r="BC120" i="1"/>
  <c r="BD49" i="1"/>
  <c r="BD48" i="1"/>
  <c r="BD45" i="1"/>
  <c r="BD43" i="1"/>
  <c r="BD42" i="1"/>
  <c r="BD30" i="1"/>
  <c r="BD29" i="1"/>
  <c r="BD28" i="1"/>
  <c r="BD27" i="1"/>
  <c r="BD26" i="1"/>
  <c r="BD25" i="1"/>
  <c r="BD24" i="1"/>
  <c r="BD23" i="1"/>
  <c r="BD21" i="1"/>
  <c r="BD5" i="1"/>
  <c r="BC63" i="1"/>
  <c r="BC62" i="1"/>
  <c r="BC61" i="1"/>
  <c r="BC60" i="1"/>
  <c r="BC58" i="1"/>
  <c r="BC55" i="1"/>
  <c r="BC54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2" i="1"/>
  <c r="BC30" i="1"/>
  <c r="BC29" i="1"/>
  <c r="BC28" i="1"/>
  <c r="BC27" i="1"/>
  <c r="BC26" i="1"/>
  <c r="BC25" i="1"/>
  <c r="BC24" i="1"/>
  <c r="BC23" i="1"/>
  <c r="BC22" i="1"/>
  <c r="BC21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B148" i="1"/>
  <c r="BB147" i="1"/>
  <c r="BB146" i="1"/>
  <c r="BA143" i="1"/>
  <c r="BB110" i="1"/>
  <c r="BB109" i="1"/>
  <c r="BB108" i="1"/>
  <c r="BB107" i="1"/>
  <c r="BB106" i="1"/>
  <c r="BB105" i="1"/>
  <c r="BB104" i="1"/>
  <c r="BB103" i="1"/>
  <c r="BB91" i="1"/>
  <c r="BB64" i="1"/>
  <c r="BB49" i="1"/>
  <c r="BB48" i="1"/>
  <c r="BB45" i="1"/>
  <c r="BB43" i="1"/>
  <c r="BB42" i="1"/>
  <c r="BB30" i="1"/>
  <c r="BB29" i="1"/>
  <c r="BB28" i="1"/>
  <c r="BB27" i="1"/>
  <c r="BB26" i="1"/>
  <c r="BB25" i="1"/>
  <c r="BB24" i="1"/>
  <c r="BB23" i="1"/>
  <c r="BB21" i="1"/>
  <c r="BB5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8" i="1"/>
  <c r="BA127" i="1"/>
  <c r="BA126" i="1"/>
  <c r="BA125" i="1"/>
  <c r="BA124" i="1"/>
  <c r="BA123" i="1"/>
  <c r="BA122" i="1"/>
  <c r="BA121" i="1"/>
  <c r="BA120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0" i="1"/>
  <c r="BA99" i="1"/>
  <c r="BA97" i="1"/>
  <c r="BA96" i="1"/>
  <c r="BA95" i="1"/>
  <c r="BA94" i="1"/>
  <c r="BA91" i="1"/>
  <c r="BA90" i="1"/>
  <c r="BA89" i="1"/>
  <c r="BA88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1" i="1"/>
  <c r="BA70" i="1"/>
  <c r="BA69" i="1"/>
  <c r="BA68" i="1"/>
  <c r="BA64" i="1"/>
  <c r="BC64" i="1" s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2" i="1"/>
  <c r="BA30" i="1"/>
  <c r="BA29" i="1"/>
  <c r="BA28" i="1"/>
  <c r="BA27" i="1"/>
  <c r="BA26" i="1"/>
  <c r="BA25" i="1"/>
  <c r="BA24" i="1"/>
  <c r="BA23" i="1"/>
  <c r="BA22" i="1"/>
  <c r="BA21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38" i="1"/>
  <c r="BA37" i="1"/>
  <c r="BA36" i="1"/>
  <c r="BA35" i="1"/>
  <c r="BA34" i="1"/>
  <c r="BA33" i="1"/>
  <c r="AU63" i="1" l="1"/>
  <c r="AU106" i="1" l="1"/>
  <c r="R129" i="1" l="1"/>
  <c r="L129" i="1"/>
  <c r="AY77" i="1"/>
  <c r="AU77" i="1"/>
  <c r="S75" i="1"/>
  <c r="Q75" i="1"/>
  <c r="AM65" i="1"/>
  <c r="AI102" i="1"/>
  <c r="O77" i="1"/>
  <c r="K77" i="1"/>
  <c r="AY75" i="1"/>
  <c r="AW75" i="1"/>
  <c r="AU75" i="1"/>
  <c r="AZ65" i="1"/>
  <c r="AN65" i="1"/>
  <c r="AX64" i="1"/>
  <c r="AV64" i="1"/>
  <c r="AW63" i="1"/>
  <c r="AU68" i="1" l="1"/>
  <c r="AY70" i="1" l="1"/>
  <c r="C46" i="11" l="1"/>
  <c r="AW77" i="1" l="1"/>
  <c r="C34" i="13" l="1"/>
  <c r="AW14" i="1" l="1"/>
  <c r="AW16" i="1" s="1"/>
  <c r="AQ13" i="1"/>
  <c r="AZ148" i="1"/>
  <c r="AY148" i="1"/>
  <c r="AW148" i="1"/>
  <c r="AV148" i="1"/>
  <c r="AU148" i="1"/>
  <c r="AZ143" i="1"/>
  <c r="AX143" i="1"/>
  <c r="AY142" i="1"/>
  <c r="AW142" i="1"/>
  <c r="AV142" i="1"/>
  <c r="AU142" i="1"/>
  <c r="AX134" i="1"/>
  <c r="AX133" i="1"/>
  <c r="AZ132" i="1"/>
  <c r="AY97" i="1" s="1"/>
  <c r="AY132" i="1"/>
  <c r="AW132" i="1"/>
  <c r="AV132" i="1"/>
  <c r="AU97" i="1" s="1"/>
  <c r="AU132" i="1"/>
  <c r="AV128" i="1"/>
  <c r="AZ128" i="1" s="1"/>
  <c r="AX127" i="1"/>
  <c r="AZ126" i="1"/>
  <c r="AZ131" i="1" s="1"/>
  <c r="AX126" i="1"/>
  <c r="AV126" i="1"/>
  <c r="AV131" i="1" s="1"/>
  <c r="AZ125" i="1"/>
  <c r="AZ130" i="1" s="1"/>
  <c r="AX125" i="1"/>
  <c r="AV125" i="1"/>
  <c r="AV130" i="1" s="1"/>
  <c r="AZ124" i="1"/>
  <c r="AX124" i="1"/>
  <c r="AV124" i="1"/>
  <c r="AX123" i="1"/>
  <c r="AV123" i="1"/>
  <c r="AZ120" i="1"/>
  <c r="AX120" i="1"/>
  <c r="AW120" i="1"/>
  <c r="AV120" i="1"/>
  <c r="AU120" i="1"/>
  <c r="AY116" i="1"/>
  <c r="AW116" i="1"/>
  <c r="AZ115" i="1"/>
  <c r="AY115" i="1"/>
  <c r="AX115" i="1"/>
  <c r="AW115" i="1"/>
  <c r="AV115" i="1"/>
  <c r="AU116" i="1" s="1"/>
  <c r="AU115" i="1"/>
  <c r="AZ110" i="1"/>
  <c r="AY110" i="1"/>
  <c r="AX110" i="1"/>
  <c r="AW110" i="1"/>
  <c r="AV110" i="1"/>
  <c r="AU110" i="1"/>
  <c r="AY106" i="1"/>
  <c r="AW106" i="1"/>
  <c r="AY90" i="1"/>
  <c r="AY95" i="1" s="1"/>
  <c r="AY96" i="1" s="1"/>
  <c r="AW90" i="1"/>
  <c r="AW94" i="1" s="1"/>
  <c r="AU90" i="1"/>
  <c r="AU94" i="1" s="1"/>
  <c r="AY85" i="1"/>
  <c r="AW85" i="1"/>
  <c r="AU85" i="1"/>
  <c r="AY79" i="1"/>
  <c r="AY63" i="1" s="1"/>
  <c r="AW79" i="1"/>
  <c r="AY80" i="1"/>
  <c r="AW80" i="1"/>
  <c r="AU80" i="1"/>
  <c r="AU56" i="1"/>
  <c r="AY46" i="1"/>
  <c r="AY47" i="1" s="1"/>
  <c r="AW46" i="1"/>
  <c r="AW47" i="1" s="1"/>
  <c r="AU46" i="1"/>
  <c r="AU47" i="1" s="1"/>
  <c r="AY41" i="1"/>
  <c r="AW41" i="1"/>
  <c r="AU41" i="1"/>
  <c r="AW38" i="1"/>
  <c r="AW37" i="1"/>
  <c r="AY36" i="1"/>
  <c r="AW35" i="1"/>
  <c r="AY33" i="1"/>
  <c r="AX28" i="1"/>
  <c r="AU27" i="1"/>
  <c r="AX26" i="1"/>
  <c r="AU26" i="1"/>
  <c r="AX25" i="1"/>
  <c r="AW25" i="1"/>
  <c r="AX23" i="1"/>
  <c r="AY14" i="1"/>
  <c r="AY16" i="1" s="1"/>
  <c r="AU14" i="1"/>
  <c r="AU16" i="1" s="1"/>
  <c r="AU9" i="1"/>
  <c r="AY9" i="1"/>
  <c r="AW9" i="1"/>
  <c r="AW6" i="1"/>
  <c r="AX132" i="1" l="1"/>
  <c r="AW97" i="1" s="1"/>
  <c r="AY120" i="1"/>
  <c r="AX131" i="1"/>
  <c r="AX130" i="1"/>
  <c r="AU78" i="1"/>
  <c r="AU95" i="1"/>
  <c r="AU96" i="1" s="1"/>
  <c r="AW95" i="1"/>
  <c r="AW96" i="1" s="1"/>
  <c r="AW76" i="1"/>
  <c r="AW78" i="1"/>
  <c r="AY94" i="1"/>
  <c r="AY76" i="1"/>
  <c r="AY78" i="1"/>
  <c r="AU79" i="1"/>
  <c r="AU76" i="1"/>
  <c r="BC38" i="1" l="1"/>
  <c r="BC37" i="1"/>
  <c r="BC36" i="1"/>
  <c r="BC35" i="1"/>
  <c r="BC34" i="1"/>
  <c r="BC33" i="1"/>
  <c r="AJ115" i="1" l="1"/>
  <c r="AI116" i="1" s="1"/>
  <c r="AI115" i="1"/>
  <c r="AI106" i="1"/>
  <c r="AQ77" i="1" l="1"/>
  <c r="AQ75" i="1"/>
  <c r="AS77" i="1"/>
  <c r="AS75" i="1"/>
  <c r="AO10" i="1" l="1"/>
  <c r="AR24" i="1"/>
  <c r="AO132" i="1" l="1"/>
  <c r="AR23" i="1"/>
  <c r="AR25" i="1"/>
  <c r="AR27" i="1"/>
  <c r="AT148" i="1"/>
  <c r="AS148" i="1"/>
  <c r="AQ148" i="1"/>
  <c r="AP148" i="1"/>
  <c r="AO148" i="1"/>
  <c r="AT143" i="1"/>
  <c r="AR143" i="1"/>
  <c r="AS142" i="1"/>
  <c r="AQ142" i="1"/>
  <c r="AP142" i="1"/>
  <c r="AO142" i="1"/>
  <c r="AR134" i="1"/>
  <c r="AR133" i="1"/>
  <c r="AT132" i="1"/>
  <c r="AS97" i="1" s="1"/>
  <c r="AS132" i="1"/>
  <c r="AQ132" i="1"/>
  <c r="AP132" i="1"/>
  <c r="AP128" i="1"/>
  <c r="AT128" i="1" s="1"/>
  <c r="AR127" i="1"/>
  <c r="AT126" i="1"/>
  <c r="AT131" i="1" s="1"/>
  <c r="AR126" i="1"/>
  <c r="AP126" i="1"/>
  <c r="AT125" i="1"/>
  <c r="AT130" i="1" s="1"/>
  <c r="AR125" i="1"/>
  <c r="AP125" i="1"/>
  <c r="AP130" i="1" s="1"/>
  <c r="AT124" i="1"/>
  <c r="AR124" i="1"/>
  <c r="AP124" i="1"/>
  <c r="AT123" i="1"/>
  <c r="AR123" i="1"/>
  <c r="AP123" i="1"/>
  <c r="AS122" i="1"/>
  <c r="AS121" i="1"/>
  <c r="AT120" i="1"/>
  <c r="AR120" i="1"/>
  <c r="AQ120" i="1"/>
  <c r="AP120" i="1"/>
  <c r="AO120" i="1"/>
  <c r="AT115" i="1"/>
  <c r="AS116" i="1" s="1"/>
  <c r="AS115" i="1"/>
  <c r="AR115" i="1"/>
  <c r="AQ116" i="1" s="1"/>
  <c r="AQ115" i="1"/>
  <c r="AP115" i="1"/>
  <c r="AO116" i="1" s="1"/>
  <c r="AO115" i="1"/>
  <c r="AT110" i="1"/>
  <c r="AS110" i="1"/>
  <c r="AR110" i="1"/>
  <c r="AQ110" i="1"/>
  <c r="AP110" i="1"/>
  <c r="AO110" i="1"/>
  <c r="AS106" i="1"/>
  <c r="AQ106" i="1"/>
  <c r="AO106" i="1"/>
  <c r="AS90" i="1"/>
  <c r="AS94" i="1" s="1"/>
  <c r="AQ90" i="1"/>
  <c r="AQ95" i="1" s="1"/>
  <c r="AQ96" i="1" s="1"/>
  <c r="AO90" i="1"/>
  <c r="AS85" i="1"/>
  <c r="AQ85" i="1"/>
  <c r="AO83" i="1"/>
  <c r="AO85" i="1" s="1"/>
  <c r="AO82" i="1"/>
  <c r="AS80" i="1"/>
  <c r="AQ80" i="1"/>
  <c r="AS79" i="1"/>
  <c r="AQ79" i="1"/>
  <c r="AS78" i="1"/>
  <c r="AQ78" i="1"/>
  <c r="AO77" i="1"/>
  <c r="AS76" i="1"/>
  <c r="AQ76" i="1"/>
  <c r="AO75" i="1"/>
  <c r="AS46" i="1"/>
  <c r="AS47" i="1" s="1"/>
  <c r="AQ46" i="1"/>
  <c r="AQ47" i="1" s="1"/>
  <c r="AO46" i="1"/>
  <c r="AO47" i="1" s="1"/>
  <c r="AS41" i="1"/>
  <c r="AQ41" i="1"/>
  <c r="AO41" i="1"/>
  <c r="AQ38" i="1"/>
  <c r="AQ37" i="1"/>
  <c r="AS36" i="1"/>
  <c r="AQ35" i="1"/>
  <c r="AQ34" i="1"/>
  <c r="AS33" i="1"/>
  <c r="AR30" i="1"/>
  <c r="AR28" i="1"/>
  <c r="AO27" i="1"/>
  <c r="AR26" i="1"/>
  <c r="AO26" i="1"/>
  <c r="AQ25" i="1"/>
  <c r="AS14" i="1"/>
  <c r="AS16" i="1" s="1"/>
  <c r="AO14" i="1"/>
  <c r="AO16" i="1" s="1"/>
  <c r="AQ14" i="1"/>
  <c r="AQ16" i="1" s="1"/>
  <c r="AS9" i="1"/>
  <c r="AQ9" i="1"/>
  <c r="AO9" i="1"/>
  <c r="AQ6" i="1"/>
  <c r="AO94" i="1" l="1"/>
  <c r="AP131" i="1"/>
  <c r="AO97" i="1"/>
  <c r="AR131" i="1"/>
  <c r="AR130" i="1"/>
  <c r="AS120" i="1"/>
  <c r="AS95" i="1"/>
  <c r="AS96" i="1" s="1"/>
  <c r="AO80" i="1"/>
  <c r="AO76" i="1"/>
  <c r="AO78" i="1"/>
  <c r="AQ94" i="1"/>
  <c r="AR132" i="1"/>
  <c r="AQ97" i="1" s="1"/>
  <c r="AO79" i="1"/>
  <c r="AO95" i="1"/>
  <c r="AO96" i="1" l="1"/>
  <c r="AM70" i="1"/>
  <c r="AK70" i="1"/>
  <c r="AI68" i="1" l="1"/>
  <c r="AI83" i="1" l="1"/>
  <c r="AI82" i="1"/>
  <c r="AI77" i="1" l="1"/>
  <c r="AI75" i="1"/>
  <c r="AD115" i="1" l="1"/>
  <c r="AC116" i="1" s="1"/>
  <c r="AC115" i="1"/>
  <c r="AD110" i="1"/>
  <c r="AC110" i="1"/>
  <c r="AC106" i="1"/>
  <c r="AK13" i="1" l="1"/>
  <c r="AK17" i="1"/>
  <c r="AM132" i="1" l="1"/>
  <c r="AI132" i="1"/>
  <c r="AK38" i="1"/>
  <c r="AK37" i="1"/>
  <c r="AN148" i="1"/>
  <c r="AM148" i="1"/>
  <c r="AK148" i="1"/>
  <c r="AJ148" i="1"/>
  <c r="AI148" i="1"/>
  <c r="AL143" i="1"/>
  <c r="AN143" i="1" s="1"/>
  <c r="AM142" i="1"/>
  <c r="AK142" i="1"/>
  <c r="AJ142" i="1"/>
  <c r="AI142" i="1"/>
  <c r="AL134" i="1"/>
  <c r="AL131" i="1" s="1"/>
  <c r="AL133" i="1"/>
  <c r="AN132" i="1"/>
  <c r="AM97" i="1" s="1"/>
  <c r="AK132" i="1"/>
  <c r="AJ132" i="1"/>
  <c r="AJ128" i="1"/>
  <c r="AL127" i="1"/>
  <c r="AN126" i="1"/>
  <c r="AN131" i="1" s="1"/>
  <c r="AL126" i="1"/>
  <c r="AJ126" i="1"/>
  <c r="AN125" i="1"/>
  <c r="AN130" i="1" s="1"/>
  <c r="AL125" i="1"/>
  <c r="AJ125" i="1"/>
  <c r="AN124" i="1"/>
  <c r="AL124" i="1"/>
  <c r="AJ124" i="1"/>
  <c r="AN123" i="1"/>
  <c r="AL123" i="1"/>
  <c r="AJ123" i="1"/>
  <c r="AM122" i="1"/>
  <c r="AM121" i="1"/>
  <c r="AN120" i="1"/>
  <c r="AL120" i="1"/>
  <c r="AK120" i="1"/>
  <c r="AJ120" i="1"/>
  <c r="AI120" i="1"/>
  <c r="AN115" i="1"/>
  <c r="AM116" i="1" s="1"/>
  <c r="AM115" i="1"/>
  <c r="AL115" i="1"/>
  <c r="AK116" i="1" s="1"/>
  <c r="AK115" i="1"/>
  <c r="AN110" i="1"/>
  <c r="AM110" i="1"/>
  <c r="AL110" i="1"/>
  <c r="AK110" i="1"/>
  <c r="AJ110" i="1"/>
  <c r="AI110" i="1"/>
  <c r="AM106" i="1"/>
  <c r="AK106" i="1"/>
  <c r="AM90" i="1"/>
  <c r="AM95" i="1" s="1"/>
  <c r="AM96" i="1" s="1"/>
  <c r="AK90" i="1"/>
  <c r="AK95" i="1" s="1"/>
  <c r="AK96" i="1" s="1"/>
  <c r="AI90" i="1"/>
  <c r="AM85" i="1"/>
  <c r="AK85" i="1"/>
  <c r="AI85" i="1"/>
  <c r="AM80" i="1"/>
  <c r="AK80" i="1"/>
  <c r="AI80" i="1"/>
  <c r="AM78" i="1"/>
  <c r="AK78" i="1"/>
  <c r="AI78" i="1"/>
  <c r="AM76" i="1"/>
  <c r="AK76" i="1"/>
  <c r="AI76" i="1"/>
  <c r="AM46" i="1"/>
  <c r="AM47" i="1" s="1"/>
  <c r="AK46" i="1"/>
  <c r="AK47" i="1" s="1"/>
  <c r="AI46" i="1"/>
  <c r="AM79" i="1"/>
  <c r="AK79" i="1"/>
  <c r="AI79" i="1"/>
  <c r="AM41" i="1"/>
  <c r="AK41" i="1"/>
  <c r="AI41" i="1"/>
  <c r="AM36" i="1"/>
  <c r="AK35" i="1"/>
  <c r="AK34" i="1"/>
  <c r="AM33" i="1"/>
  <c r="AL30" i="1"/>
  <c r="AL28" i="1"/>
  <c r="AL27" i="1"/>
  <c r="AI27" i="1"/>
  <c r="AL26" i="1"/>
  <c r="AI26" i="1"/>
  <c r="AK25" i="1"/>
  <c r="AL25" i="1"/>
  <c r="AL24" i="1"/>
  <c r="AL23" i="1"/>
  <c r="AM14" i="1"/>
  <c r="AM16" i="1" s="1"/>
  <c r="AK14" i="1"/>
  <c r="AK16" i="1" s="1"/>
  <c r="AI14" i="1"/>
  <c r="AM9" i="1"/>
  <c r="AK9" i="1"/>
  <c r="AI9" i="1"/>
  <c r="AK6" i="1"/>
  <c r="AI47" i="1" l="1"/>
  <c r="AI94" i="1"/>
  <c r="AI16" i="1"/>
  <c r="AN128" i="1"/>
  <c r="AJ130" i="1"/>
  <c r="AI97" i="1"/>
  <c r="AJ131" i="1"/>
  <c r="AM120" i="1"/>
  <c r="AL132" i="1"/>
  <c r="AK97" i="1" s="1"/>
  <c r="AL130" i="1"/>
  <c r="AI95" i="1"/>
  <c r="AK94" i="1"/>
  <c r="AM94" i="1"/>
  <c r="AI96" i="1" l="1"/>
  <c r="W116" i="1"/>
  <c r="Z115" i="1"/>
  <c r="X115" i="1"/>
  <c r="W115" i="1"/>
  <c r="X110" i="1"/>
  <c r="W110" i="1"/>
  <c r="AH24" i="1" l="1"/>
  <c r="AD24" i="1"/>
  <c r="AD25" i="1"/>
  <c r="C28" i="8" l="1"/>
  <c r="AF134" i="1" l="1"/>
  <c r="AF133" i="1"/>
  <c r="AD126" i="1"/>
  <c r="AD125" i="1"/>
  <c r="C8" i="11" l="1"/>
  <c r="AC132" i="1"/>
  <c r="AF26" i="1"/>
  <c r="AF25" i="1"/>
  <c r="AH148" i="1"/>
  <c r="AG148" i="1"/>
  <c r="AE148" i="1"/>
  <c r="AD148" i="1"/>
  <c r="AC148" i="1"/>
  <c r="AF143" i="1"/>
  <c r="AH143" i="1" s="1"/>
  <c r="AG142" i="1"/>
  <c r="AE142" i="1"/>
  <c r="AD142" i="1"/>
  <c r="AC142" i="1"/>
  <c r="AF132" i="1"/>
  <c r="AE97" i="1" s="1"/>
  <c r="AH132" i="1"/>
  <c r="AG97" i="1" s="1"/>
  <c r="AG132" i="1"/>
  <c r="AE132" i="1"/>
  <c r="AD132" i="1"/>
  <c r="AD131" i="1"/>
  <c r="AD130" i="1"/>
  <c r="AF127" i="1"/>
  <c r="AH126" i="1"/>
  <c r="AH131" i="1" s="1"/>
  <c r="AH125" i="1"/>
  <c r="AH130" i="1" s="1"/>
  <c r="AH124" i="1"/>
  <c r="AD124" i="1"/>
  <c r="AH123" i="1"/>
  <c r="AD123" i="1"/>
  <c r="AG122" i="1"/>
  <c r="AG121" i="1"/>
  <c r="AF123" i="1"/>
  <c r="AH120" i="1"/>
  <c r="AF120" i="1"/>
  <c r="AE120" i="1"/>
  <c r="AD120" i="1"/>
  <c r="AC120" i="1"/>
  <c r="AH115" i="1"/>
  <c r="AG116" i="1" s="1"/>
  <c r="AG115" i="1"/>
  <c r="AF115" i="1"/>
  <c r="AE116" i="1" s="1"/>
  <c r="AE115" i="1"/>
  <c r="AH110" i="1"/>
  <c r="AG110" i="1"/>
  <c r="AF110" i="1"/>
  <c r="AE110" i="1"/>
  <c r="AG106" i="1"/>
  <c r="AE106" i="1"/>
  <c r="AG90" i="1"/>
  <c r="AG95" i="1" s="1"/>
  <c r="AG96" i="1" s="1"/>
  <c r="AE90" i="1"/>
  <c r="AE95" i="1" s="1"/>
  <c r="AE96" i="1" s="1"/>
  <c r="AC90" i="1"/>
  <c r="AF124" i="1"/>
  <c r="AF125" i="1"/>
  <c r="AF130" i="1" s="1"/>
  <c r="AG85" i="1"/>
  <c r="AE85" i="1"/>
  <c r="AC85" i="1"/>
  <c r="AG78" i="1"/>
  <c r="AC78" i="1"/>
  <c r="AG76" i="1"/>
  <c r="AG80" i="1"/>
  <c r="AE79" i="1"/>
  <c r="AG41" i="1"/>
  <c r="AE41" i="1"/>
  <c r="AC41" i="1"/>
  <c r="AG36" i="1"/>
  <c r="AE35" i="1"/>
  <c r="AE34" i="1"/>
  <c r="AG33" i="1"/>
  <c r="AF30" i="1"/>
  <c r="AC30" i="1"/>
  <c r="AF29" i="1"/>
  <c r="AF28" i="1"/>
  <c r="AF27" i="1"/>
  <c r="AC27" i="1"/>
  <c r="AC26" i="1"/>
  <c r="AE25" i="1"/>
  <c r="AF24" i="1"/>
  <c r="AF23" i="1"/>
  <c r="AG14" i="1"/>
  <c r="AG16" i="1" s="1"/>
  <c r="AC14" i="1"/>
  <c r="AE14" i="1"/>
  <c r="AE16" i="1" s="1"/>
  <c r="AE9" i="1"/>
  <c r="AG9" i="1"/>
  <c r="AC9" i="1"/>
  <c r="AE6" i="1"/>
  <c r="AC95" i="1" l="1"/>
  <c r="AC16" i="1"/>
  <c r="AC97" i="1"/>
  <c r="AG120" i="1"/>
  <c r="AG46" i="1"/>
  <c r="AG47" i="1" s="1"/>
  <c r="AG79" i="1"/>
  <c r="AE80" i="1"/>
  <c r="AC94" i="1"/>
  <c r="AF126" i="1"/>
  <c r="AF131" i="1" s="1"/>
  <c r="AC76" i="1"/>
  <c r="AE94" i="1"/>
  <c r="AE46" i="1"/>
  <c r="AE47" i="1" s="1"/>
  <c r="AE76" i="1"/>
  <c r="AE78" i="1"/>
  <c r="AG94" i="1"/>
  <c r="AC96" i="1" l="1"/>
  <c r="O19" i="15"/>
  <c r="O20" i="15" s="1"/>
  <c r="N17" i="15"/>
  <c r="D14" i="15"/>
  <c r="U77" i="1" l="1"/>
  <c r="S77" i="1" l="1"/>
  <c r="Q77" i="1"/>
  <c r="U75" i="1"/>
  <c r="T122" i="1" l="1"/>
  <c r="T121" i="1"/>
  <c r="S40" i="1" l="1"/>
  <c r="U122" i="1" l="1"/>
  <c r="U121" i="1"/>
  <c r="R127" i="1"/>
  <c r="T124" i="1" l="1"/>
  <c r="T123" i="1"/>
  <c r="R124" i="1"/>
  <c r="R123" i="1"/>
  <c r="V126" i="1"/>
  <c r="V125" i="1"/>
  <c r="T126" i="1"/>
  <c r="T125" i="1"/>
  <c r="R126" i="1"/>
  <c r="S10" i="1"/>
  <c r="S90" i="1"/>
  <c r="Q90" i="1"/>
  <c r="U90" i="1"/>
  <c r="S142" i="1"/>
  <c r="V148" i="1" l="1"/>
  <c r="U148" i="1"/>
  <c r="S148" i="1"/>
  <c r="R148" i="1"/>
  <c r="Q148" i="1"/>
  <c r="T143" i="1"/>
  <c r="V143" i="1" s="1"/>
  <c r="U142" i="1"/>
  <c r="Q142" i="1"/>
  <c r="R135" i="1"/>
  <c r="T134" i="1"/>
  <c r="T131" i="1" s="1"/>
  <c r="T133" i="1"/>
  <c r="V132" i="1"/>
  <c r="U97" i="1" s="1"/>
  <c r="U132" i="1"/>
  <c r="S132" i="1"/>
  <c r="R132" i="1"/>
  <c r="Q132" i="1"/>
  <c r="R131" i="1"/>
  <c r="T127" i="1"/>
  <c r="V131" i="1"/>
  <c r="V130" i="1"/>
  <c r="R125" i="1"/>
  <c r="V124" i="1"/>
  <c r="V123" i="1"/>
  <c r="V120" i="1"/>
  <c r="T120" i="1"/>
  <c r="S120" i="1"/>
  <c r="R120" i="1"/>
  <c r="Q120" i="1"/>
  <c r="V115" i="1"/>
  <c r="U116" i="1" s="1"/>
  <c r="U115" i="1"/>
  <c r="T115" i="1"/>
  <c r="S116" i="1" s="1"/>
  <c r="S115" i="1"/>
  <c r="R115" i="1"/>
  <c r="Q116" i="1" s="1"/>
  <c r="Q115" i="1"/>
  <c r="V110" i="1"/>
  <c r="U110" i="1"/>
  <c r="T110" i="1"/>
  <c r="S110" i="1"/>
  <c r="R110" i="1"/>
  <c r="Q110" i="1"/>
  <c r="U106" i="1"/>
  <c r="S106" i="1"/>
  <c r="Q106" i="1"/>
  <c r="U95" i="1"/>
  <c r="U96" i="1" s="1"/>
  <c r="Q95" i="1"/>
  <c r="U94" i="1"/>
  <c r="Q94" i="1"/>
  <c r="S95" i="1"/>
  <c r="S96" i="1" s="1"/>
  <c r="U85" i="1"/>
  <c r="S85" i="1"/>
  <c r="Q85" i="1"/>
  <c r="U78" i="1"/>
  <c r="S78" i="1"/>
  <c r="Q78" i="1"/>
  <c r="U76" i="1"/>
  <c r="S76" i="1"/>
  <c r="Q76" i="1"/>
  <c r="U44" i="1"/>
  <c r="U80" i="1" s="1"/>
  <c r="S44" i="1"/>
  <c r="T128" i="1" s="1"/>
  <c r="U41" i="1"/>
  <c r="S41" i="1"/>
  <c r="Q41" i="1"/>
  <c r="S38" i="1"/>
  <c r="S37" i="1"/>
  <c r="U36" i="1"/>
  <c r="S35" i="1"/>
  <c r="S34" i="1"/>
  <c r="U33" i="1"/>
  <c r="T30" i="1"/>
  <c r="Q30" i="1"/>
  <c r="T29" i="1"/>
  <c r="Q29" i="1"/>
  <c r="T28" i="1"/>
  <c r="Q28" i="1"/>
  <c r="T27" i="1"/>
  <c r="Q27" i="1"/>
  <c r="T26" i="1"/>
  <c r="Q26" i="1"/>
  <c r="T25" i="1"/>
  <c r="Q25" i="1"/>
  <c r="T24" i="1"/>
  <c r="Q24" i="1"/>
  <c r="T23" i="1"/>
  <c r="U14" i="1"/>
  <c r="U16" i="1" s="1"/>
  <c r="S14" i="1"/>
  <c r="S16" i="1" s="1"/>
  <c r="Q14" i="1"/>
  <c r="U9" i="1"/>
  <c r="S9" i="1"/>
  <c r="Q9" i="1"/>
  <c r="S6" i="1"/>
  <c r="Q16" i="1" l="1"/>
  <c r="Q96" i="1"/>
  <c r="R130" i="1"/>
  <c r="U79" i="1"/>
  <c r="Q97" i="1"/>
  <c r="T135" i="1"/>
  <c r="S46" i="1"/>
  <c r="S47" i="1" s="1"/>
  <c r="S80" i="1"/>
  <c r="U46" i="1"/>
  <c r="U47" i="1" s="1"/>
  <c r="S79" i="1"/>
  <c r="T132" i="1"/>
  <c r="S97" i="1" s="1"/>
  <c r="U120" i="1"/>
  <c r="T130" i="1"/>
  <c r="S94" i="1"/>
  <c r="R142" i="1"/>
  <c r="L143" i="1"/>
  <c r="L141" i="1"/>
  <c r="L139" i="1"/>
  <c r="L138" i="1"/>
  <c r="L137" i="1"/>
  <c r="K142" i="1" l="1"/>
  <c r="M10" i="1" l="1"/>
  <c r="B12" i="15" l="1"/>
  <c r="C13" i="15" s="1"/>
  <c r="D13" i="15" s="1"/>
  <c r="D12" i="15" l="1"/>
  <c r="M40" i="1" l="1"/>
  <c r="N30" i="1" l="1"/>
  <c r="N29" i="1"/>
  <c r="N28" i="1"/>
  <c r="N27" i="1"/>
  <c r="N26" i="1"/>
  <c r="N25" i="1"/>
  <c r="N24" i="1"/>
  <c r="N23" i="1"/>
  <c r="N122" i="1" l="1"/>
  <c r="N121" i="1"/>
  <c r="M89" i="1"/>
  <c r="M88" i="1"/>
  <c r="O132" i="1" l="1"/>
  <c r="O142" i="1"/>
  <c r="M142" i="1"/>
  <c r="M132" i="1"/>
  <c r="M120" i="1"/>
  <c r="M17" i="1" l="1"/>
  <c r="K17" i="1"/>
  <c r="M77" i="1"/>
  <c r="M75" i="1"/>
  <c r="M76" i="1" s="1"/>
  <c r="O75" i="1"/>
  <c r="K75" i="1"/>
  <c r="L124" i="1" l="1"/>
  <c r="N134" i="1" l="1"/>
  <c r="M6" i="1"/>
  <c r="D11" i="15" l="1"/>
  <c r="BC71" i="1" l="1"/>
  <c r="BC70" i="1"/>
  <c r="BC69" i="1"/>
  <c r="BC68" i="1"/>
  <c r="BC65" i="1"/>
  <c r="P148" i="1"/>
  <c r="O148" i="1"/>
  <c r="M148" i="1"/>
  <c r="L148" i="1"/>
  <c r="K148" i="1"/>
  <c r="N143" i="1"/>
  <c r="P143" i="1" s="1"/>
  <c r="L132" i="1"/>
  <c r="K132" i="1"/>
  <c r="L127" i="1"/>
  <c r="L135" i="1" s="1"/>
  <c r="N135" i="1" s="1"/>
  <c r="P126" i="1"/>
  <c r="P131" i="1" s="1"/>
  <c r="N126" i="1"/>
  <c r="N131" i="1" s="1"/>
  <c r="L126" i="1"/>
  <c r="P125" i="1"/>
  <c r="N125" i="1"/>
  <c r="L125" i="1"/>
  <c r="P124" i="1"/>
  <c r="N124" i="1"/>
  <c r="P123" i="1"/>
  <c r="N123" i="1"/>
  <c r="L123" i="1"/>
  <c r="P120" i="1"/>
  <c r="N120" i="1"/>
  <c r="L120" i="1"/>
  <c r="K120" i="1"/>
  <c r="O120" i="1" s="1"/>
  <c r="P115" i="1"/>
  <c r="O116" i="1" s="1"/>
  <c r="O115" i="1"/>
  <c r="N115" i="1"/>
  <c r="M116" i="1" s="1"/>
  <c r="M115" i="1"/>
  <c r="L115" i="1"/>
  <c r="K116" i="1" s="1"/>
  <c r="K115" i="1"/>
  <c r="P110" i="1"/>
  <c r="O110" i="1"/>
  <c r="N110" i="1"/>
  <c r="M110" i="1"/>
  <c r="L110" i="1"/>
  <c r="K110" i="1"/>
  <c r="O106" i="1"/>
  <c r="M106" i="1"/>
  <c r="K106" i="1"/>
  <c r="O90" i="1"/>
  <c r="O94" i="1" s="1"/>
  <c r="M90" i="1"/>
  <c r="M95" i="1" s="1"/>
  <c r="M96" i="1" s="1"/>
  <c r="K90" i="1"/>
  <c r="K94" i="1" s="1"/>
  <c r="O85" i="1"/>
  <c r="M85" i="1"/>
  <c r="K85" i="1"/>
  <c r="O78" i="1"/>
  <c r="K78" i="1"/>
  <c r="O76" i="1"/>
  <c r="K76" i="1"/>
  <c r="O79" i="1"/>
  <c r="M46" i="1"/>
  <c r="M47" i="1" s="1"/>
  <c r="O41" i="1"/>
  <c r="M41" i="1"/>
  <c r="K41" i="1"/>
  <c r="M38" i="1"/>
  <c r="M37" i="1"/>
  <c r="O36" i="1"/>
  <c r="M35" i="1"/>
  <c r="M34" i="1"/>
  <c r="O33" i="1"/>
  <c r="K30" i="1"/>
  <c r="K29" i="1"/>
  <c r="K28" i="1"/>
  <c r="K27" i="1"/>
  <c r="K26" i="1"/>
  <c r="K25" i="1"/>
  <c r="K24" i="1"/>
  <c r="M14" i="1"/>
  <c r="M16" i="1" s="1"/>
  <c r="K14" i="1"/>
  <c r="K16" i="1" s="1"/>
  <c r="O14" i="1"/>
  <c r="O16" i="1" s="1"/>
  <c r="O9" i="1"/>
  <c r="M9" i="1"/>
  <c r="K9" i="1"/>
  <c r="L142" i="1" l="1"/>
  <c r="N127" i="1"/>
  <c r="L131" i="1"/>
  <c r="L130" i="1"/>
  <c r="K97" i="1"/>
  <c r="M80" i="1"/>
  <c r="M94" i="1"/>
  <c r="O95" i="1"/>
  <c r="O96" i="1" s="1"/>
  <c r="M79" i="1"/>
  <c r="M78" i="1"/>
  <c r="O80" i="1"/>
  <c r="N128" i="1"/>
  <c r="K95" i="1"/>
  <c r="O46" i="1"/>
  <c r="O47" i="1" s="1"/>
  <c r="K96" i="1" l="1"/>
  <c r="C9" i="8" l="1"/>
  <c r="C10" i="8"/>
  <c r="C11" i="8"/>
  <c r="C17" i="8"/>
  <c r="C18" i="8"/>
  <c r="C19" i="8"/>
  <c r="C26" i="8"/>
  <c r="C27" i="8"/>
  <c r="C31" i="8"/>
  <c r="C32" i="8"/>
  <c r="C33" i="8"/>
  <c r="C35" i="8"/>
  <c r="C36" i="8"/>
  <c r="C37" i="8"/>
  <c r="C38" i="8"/>
  <c r="AD128" i="1" l="1"/>
  <c r="AH128" i="1" s="1"/>
  <c r="AC80" i="1"/>
  <c r="AC79" i="1"/>
  <c r="AC46" i="1"/>
  <c r="R128" i="1"/>
  <c r="Q80" i="1"/>
  <c r="Q46" i="1"/>
  <c r="Q47" i="1" s="1"/>
  <c r="Q79" i="1"/>
  <c r="K79" i="1"/>
  <c r="L128" i="1"/>
  <c r="K46" i="1"/>
  <c r="K80" i="1"/>
  <c r="AC47" i="1" l="1"/>
  <c r="V128" i="1"/>
  <c r="P128" i="1"/>
  <c r="K47" i="1"/>
  <c r="C9" i="15"/>
  <c r="B9" i="15" l="1"/>
  <c r="C10" i="15" s="1"/>
  <c r="D10" i="15" s="1"/>
  <c r="C8" i="15"/>
  <c r="D8" i="15" s="1"/>
  <c r="D9" i="15" l="1"/>
  <c r="C7" i="15"/>
  <c r="D7" i="15" s="1"/>
  <c r="BD65" i="1" l="1"/>
  <c r="H6" i="15" l="1"/>
  <c r="I6" i="15" s="1"/>
  <c r="C6" i="15" l="1"/>
  <c r="D6" i="15" s="1"/>
  <c r="I5" i="15" l="1"/>
  <c r="D5" i="15"/>
  <c r="C57" i="8" l="1"/>
  <c r="C56" i="8"/>
  <c r="C55" i="8"/>
  <c r="C54" i="8"/>
  <c r="C53" i="8"/>
  <c r="C52" i="8"/>
  <c r="C51" i="8"/>
  <c r="C50" i="8"/>
  <c r="C49" i="8"/>
  <c r="C46" i="8"/>
  <c r="C44" i="8"/>
  <c r="C21" i="8"/>
  <c r="B3" i="8"/>
  <c r="C16" i="13"/>
  <c r="C16" i="11"/>
  <c r="C16" i="8" l="1"/>
  <c r="B3" i="14" l="1"/>
  <c r="B3" i="12" s="1"/>
  <c r="B3" i="13" s="1"/>
  <c r="C15" i="8" l="1"/>
  <c r="C15" i="13"/>
  <c r="C20" i="8"/>
  <c r="E9" i="9" s="1"/>
  <c r="C15" i="11"/>
  <c r="C20" i="13"/>
  <c r="E9" i="14" s="1"/>
  <c r="C25" i="8"/>
  <c r="E12" i="9" s="1"/>
  <c r="AU54" i="1" s="1"/>
  <c r="C30" i="8"/>
  <c r="C34" i="8"/>
  <c r="C48" i="8"/>
  <c r="E24" i="9" s="1"/>
  <c r="C8" i="8"/>
  <c r="B17" i="9" s="1"/>
  <c r="C20" i="11"/>
  <c r="E9" i="12" s="1"/>
  <c r="C25" i="11"/>
  <c r="E12" i="12" s="1"/>
  <c r="AW54" i="1" s="1"/>
  <c r="C30" i="11"/>
  <c r="C34" i="11"/>
  <c r="C48" i="11"/>
  <c r="E24" i="12" s="1"/>
  <c r="AW58" i="1" s="1"/>
  <c r="C8" i="13"/>
  <c r="C25" i="13"/>
  <c r="E12" i="14" s="1"/>
  <c r="AY54" i="1" s="1"/>
  <c r="C30" i="13"/>
  <c r="C48" i="13"/>
  <c r="E24" i="14" s="1"/>
  <c r="AY58" i="1" s="1"/>
  <c r="C45" i="11"/>
  <c r="E21" i="12" s="1"/>
  <c r="AW57" i="1" s="1"/>
  <c r="C45" i="13"/>
  <c r="E21" i="14" s="1"/>
  <c r="AY57" i="1" s="1"/>
  <c r="B2" i="14"/>
  <c r="C43" i="13"/>
  <c r="B2" i="12"/>
  <c r="C43" i="11"/>
  <c r="B3" i="9"/>
  <c r="B2" i="9"/>
  <c r="C45" i="8"/>
  <c r="E21" i="9" s="1"/>
  <c r="AU57" i="1" s="1"/>
  <c r="C43" i="8"/>
  <c r="E18" i="9" s="1"/>
  <c r="AU58" i="1" l="1"/>
  <c r="E6" i="9"/>
  <c r="AU53" i="1" s="1"/>
  <c r="E6" i="12"/>
  <c r="E6" i="14"/>
  <c r="B17" i="14"/>
  <c r="E25" i="14" s="1"/>
  <c r="B17" i="12"/>
  <c r="E25" i="12" s="1"/>
  <c r="D20" i="9"/>
  <c r="D21" i="9" s="1"/>
  <c r="E18" i="12"/>
  <c r="D20" i="12" s="1"/>
  <c r="E18" i="14"/>
  <c r="E19" i="9"/>
  <c r="C29" i="13"/>
  <c r="E15" i="14" s="1"/>
  <c r="AY55" i="1" s="1"/>
  <c r="C29" i="11"/>
  <c r="E15" i="12" s="1"/>
  <c r="AW55" i="1" s="1"/>
  <c r="C29" i="8"/>
  <c r="E15" i="9" s="1"/>
  <c r="AU55" i="1" s="1"/>
  <c r="E13" i="9"/>
  <c r="E10" i="9"/>
  <c r="E22" i="9"/>
  <c r="E25" i="9"/>
  <c r="AY53" i="1" l="1"/>
  <c r="AW53" i="1"/>
  <c r="E7" i="9"/>
  <c r="F8" i="9"/>
  <c r="F9" i="9" s="1"/>
  <c r="D8" i="9"/>
  <c r="D9" i="9" s="1"/>
  <c r="F8" i="12"/>
  <c r="F9" i="12" s="1"/>
  <c r="D8" i="12"/>
  <c r="D9" i="12" s="1"/>
  <c r="E22" i="12"/>
  <c r="E10" i="12"/>
  <c r="E13" i="12"/>
  <c r="D8" i="14"/>
  <c r="D9" i="14" s="1"/>
  <c r="F8" i="14"/>
  <c r="F9" i="14" s="1"/>
  <c r="E19" i="12"/>
  <c r="E7" i="14"/>
  <c r="E22" i="14"/>
  <c r="E13" i="14"/>
  <c r="E10" i="14"/>
  <c r="E7" i="12"/>
  <c r="D21" i="12"/>
  <c r="D20" i="14"/>
  <c r="D21" i="14" s="1"/>
  <c r="E19" i="14"/>
  <c r="D14" i="14"/>
  <c r="E16" i="14"/>
  <c r="E16" i="12"/>
  <c r="D14" i="12"/>
  <c r="D15" i="12" s="1"/>
  <c r="E16" i="9"/>
  <c r="D14" i="9"/>
  <c r="D15" i="9" s="1"/>
  <c r="C11" i="14" l="1"/>
  <c r="C12" i="14" s="1"/>
  <c r="D15" i="14"/>
  <c r="C11" i="12"/>
  <c r="C11" i="9"/>
  <c r="C23" i="9" s="1"/>
  <c r="C23" i="14" l="1"/>
  <c r="D26" i="14" s="1"/>
  <c r="C12" i="9"/>
  <c r="C12" i="12"/>
  <c r="C23" i="12"/>
  <c r="D26" i="9"/>
  <c r="C24" i="9"/>
  <c r="C24" i="14" l="1"/>
  <c r="D27" i="14"/>
  <c r="E27" i="14"/>
  <c r="C24" i="12"/>
  <c r="D26" i="12"/>
  <c r="E27" i="9"/>
  <c r="AU59" i="1" s="1"/>
  <c r="D27" i="9"/>
  <c r="AY59" i="1" l="1"/>
  <c r="C58" i="13"/>
  <c r="F20" i="14"/>
  <c r="E28" i="14"/>
  <c r="E27" i="12"/>
  <c r="D27" i="12"/>
  <c r="F20" i="9"/>
  <c r="E28" i="9"/>
  <c r="AU62" i="1" s="1"/>
  <c r="C58" i="8"/>
  <c r="AY60" i="1" l="1"/>
  <c r="AU60" i="1"/>
  <c r="AY62" i="1"/>
  <c r="AW59" i="1"/>
  <c r="F21" i="9"/>
  <c r="F21" i="14"/>
  <c r="C58" i="11"/>
  <c r="F20" i="12"/>
  <c r="E28" i="12"/>
  <c r="AW60" i="1" l="1"/>
  <c r="AT129" i="1"/>
  <c r="AY61" i="1"/>
  <c r="AZ129" i="1" s="1"/>
  <c r="AU61" i="1"/>
  <c r="AV129" i="1" s="1"/>
  <c r="BA129" i="1" s="1"/>
  <c r="BC129" i="1" s="1"/>
  <c r="AW62" i="1"/>
  <c r="AH129" i="1"/>
  <c r="AN129" i="1"/>
  <c r="V129" i="1"/>
  <c r="F21" i="12"/>
  <c r="AW61" i="1" l="1"/>
  <c r="AP129" i="1"/>
  <c r="AJ129" i="1"/>
  <c r="T129" i="1"/>
  <c r="BD64" i="1"/>
  <c r="P130" i="1" l="1"/>
  <c r="P132" i="1"/>
  <c r="O97" i="1" s="1"/>
  <c r="N133" i="1"/>
  <c r="N132" i="1" s="1"/>
  <c r="M97" i="1" s="1"/>
  <c r="N130" i="1" l="1"/>
</calcChain>
</file>

<file path=xl/sharedStrings.xml><?xml version="1.0" encoding="utf-8"?>
<sst xmlns="http://schemas.openxmlformats.org/spreadsheetml/2006/main" count="1903" uniqueCount="618">
  <si>
    <t>NAME OF BRANCH</t>
  </si>
  <si>
    <t>COMPARATIVE MONTHLY REPORT AS OF ______________________</t>
  </si>
  <si>
    <t>Total Brgys in Franchise Area / Total Economically Feasible Brgys</t>
  </si>
  <si>
    <t>A.</t>
  </si>
  <si>
    <t>A.1</t>
  </si>
  <si>
    <t>A.2</t>
  </si>
  <si>
    <t>A.3</t>
  </si>
  <si>
    <t>MARKET GROWTH AND CUSTOMER SERVICE</t>
  </si>
  <si>
    <t>Total Billed Customers</t>
  </si>
  <si>
    <t>Total Unbilled Customers</t>
  </si>
  <si>
    <t>Beginning Balance</t>
  </si>
  <si>
    <t>New Applications</t>
  </si>
  <si>
    <t>Subtotal</t>
  </si>
  <si>
    <t>Services Rendered</t>
  </si>
  <si>
    <t>Pending Customers</t>
  </si>
  <si>
    <t>Total JO Accomplished / Unaccomplished for Pressure Issues</t>
  </si>
  <si>
    <t>Total JO Accomplished / Unaccomplished for Availability Issues</t>
  </si>
  <si>
    <t>Total JO Accomplished / Unaccomplished for Quality Issues</t>
  </si>
  <si>
    <t>Total JO for Delayed Response - Due to Customers / Due to Branch</t>
  </si>
  <si>
    <t>A.4</t>
  </si>
  <si>
    <t>A.5</t>
  </si>
  <si>
    <t>A.6</t>
  </si>
  <si>
    <t>A.7</t>
  </si>
  <si>
    <t>A.8</t>
  </si>
  <si>
    <t>A.9</t>
  </si>
  <si>
    <t>A.10</t>
  </si>
  <si>
    <t>A.11</t>
  </si>
  <si>
    <t>A.12</t>
  </si>
  <si>
    <t>A.13</t>
  </si>
  <si>
    <t>A.14</t>
  </si>
  <si>
    <t>A.15</t>
  </si>
  <si>
    <t>B.</t>
  </si>
  <si>
    <t>B.1</t>
  </si>
  <si>
    <t>No. of Operating Days in Month</t>
  </si>
  <si>
    <t>Total Operating Hours for All Pumps</t>
  </si>
  <si>
    <t>Ave. Operating Hours Per Day</t>
  </si>
  <si>
    <t>UNIT</t>
  </si>
  <si>
    <t>THIS MONTH</t>
  </si>
  <si>
    <t>Total Production Output from All Pumps</t>
  </si>
  <si>
    <t>No. of Pumps</t>
  </si>
  <si>
    <t>Monthly Bacti Test of Pumps: Total Passed / Total Failed</t>
  </si>
  <si>
    <t>Annual P-Chem of Pumps: Total Passed / Total Failed</t>
  </si>
  <si>
    <t>No. of Repairs and Maintenance or Overhauls during Month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</si>
  <si>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</si>
  <si>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</si>
  <si>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</si>
  <si>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</si>
  <si>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</si>
  <si>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</si>
  <si>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</si>
  <si>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</si>
  <si>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</si>
  <si>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</si>
  <si>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</si>
  <si>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Total Cost of Repairs and Maintenance for Pumps Only</t>
  </si>
  <si>
    <t>B.13</t>
  </si>
  <si>
    <t>C.</t>
  </si>
  <si>
    <t>ELECTRICAL CONSUMPTION</t>
  </si>
  <si>
    <t>C.1</t>
  </si>
  <si>
    <t>No. of Electric Billing Days</t>
  </si>
  <si>
    <t>Total Electric Consumption for All Pumps</t>
  </si>
  <si>
    <t>Total Electric Bill for All Pumps</t>
  </si>
  <si>
    <t>Cost per KWH</t>
  </si>
  <si>
    <t>Electric Cost per Cubic Meter</t>
  </si>
  <si>
    <t>No. of Generator Sets</t>
  </si>
  <si>
    <t>Total No. of Hours of Power Outage</t>
  </si>
  <si>
    <t>Total Production during Power Outage</t>
  </si>
  <si>
    <t>Total Cost of Diesel Spent during Power Outage</t>
  </si>
  <si>
    <t>Cost of Diesel per Cubic Meter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</si>
  <si>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</si>
  <si>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</si>
  <si>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</si>
  <si>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</si>
  <si>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</si>
  <si>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</si>
  <si>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</si>
  <si>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</si>
  <si>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</si>
  <si>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D.</t>
  </si>
  <si>
    <t>CUSTOMERS CONSUMPTION</t>
  </si>
  <si>
    <t>D.1</t>
  </si>
  <si>
    <t>Total Residential Consumption</t>
  </si>
  <si>
    <t>Total Commercial Consumption</t>
  </si>
  <si>
    <t>Total Billed Volume from Residential &amp; Commercial Sales</t>
  </si>
  <si>
    <t>D.2</t>
  </si>
  <si>
    <t>D.3</t>
  </si>
  <si>
    <t>D.4</t>
  </si>
  <si>
    <t>D.5</t>
  </si>
  <si>
    <t>D.6</t>
  </si>
  <si>
    <t>D.7</t>
  </si>
  <si>
    <t>D.8</t>
  </si>
  <si>
    <t>E.</t>
  </si>
  <si>
    <t>WATER BALANCE</t>
  </si>
  <si>
    <t>E.1</t>
  </si>
  <si>
    <t>Revenue Water</t>
  </si>
  <si>
    <t>Unbilled Metered Consumption</t>
  </si>
  <si>
    <t>Unbilled Unmetered Consumption</t>
  </si>
  <si>
    <t>Unauthorized Consumption</t>
  </si>
  <si>
    <t>Metering Inacuracies</t>
  </si>
  <si>
    <t>Accounted Leakage</t>
  </si>
  <si>
    <t>Unaccounted Leakage</t>
  </si>
  <si>
    <t>Total Non-Revenue Water</t>
  </si>
  <si>
    <t>Percentage of Line Loss</t>
  </si>
  <si>
    <t>Total No. of Pipe Bursts</t>
  </si>
  <si>
    <t>E.2</t>
  </si>
  <si>
    <t>E.3</t>
  </si>
  <si>
    <t>E.4</t>
  </si>
  <si>
    <t>E.5</t>
  </si>
  <si>
    <t>E.6</t>
  </si>
  <si>
    <t>E.7</t>
  </si>
  <si>
    <t>E.8</t>
  </si>
  <si>
    <t>E.9</t>
  </si>
  <si>
    <t>E.10</t>
  </si>
  <si>
    <t>E.11</t>
  </si>
  <si>
    <t>F.1</t>
  </si>
  <si>
    <t>F.2</t>
  </si>
  <si>
    <t>G.</t>
  </si>
  <si>
    <t>INCOME STATEMENT</t>
  </si>
  <si>
    <t>G.1</t>
  </si>
  <si>
    <t>Income from Water Services - Residential</t>
  </si>
  <si>
    <t>Income from Water Services - Commercial</t>
  </si>
  <si>
    <t>Income from Water Services - Bulk Water</t>
  </si>
  <si>
    <t>Income from Water Services - Lorry</t>
  </si>
  <si>
    <t>Income from Water Services - Others</t>
  </si>
  <si>
    <t>Income from Plumbing Services</t>
  </si>
  <si>
    <t>Income from Plumbing Materials</t>
  </si>
  <si>
    <t>Other Income</t>
  </si>
  <si>
    <t>Gross Revenue</t>
  </si>
  <si>
    <t>Gross Profit</t>
  </si>
  <si>
    <t>Income from Operations</t>
  </si>
  <si>
    <t>Gross Profit Margin (GPM)</t>
  </si>
  <si>
    <t>Income from Operations Margin (IOM)</t>
  </si>
  <si>
    <t>G.2</t>
  </si>
  <si>
    <t>G.3</t>
  </si>
  <si>
    <t>G.4</t>
  </si>
  <si>
    <t>G.5</t>
  </si>
  <si>
    <t>G.6</t>
  </si>
  <si>
    <t>G.7</t>
  </si>
  <si>
    <t>G.8</t>
  </si>
  <si>
    <t>G.9</t>
  </si>
  <si>
    <t>G.10</t>
  </si>
  <si>
    <t>G.11</t>
  </si>
  <si>
    <t>H.</t>
  </si>
  <si>
    <t>BALANCE SHEET</t>
  </si>
  <si>
    <t>H.1</t>
  </si>
  <si>
    <t>Total Collections for the Month</t>
  </si>
  <si>
    <t>Aging of A/R - 1 to 30 Days</t>
  </si>
  <si>
    <t>Aging of A/R - 31 to 60 Days</t>
  </si>
  <si>
    <t>Aging of A/R - 61 to 90 Days</t>
  </si>
  <si>
    <t>Aging of A/R - 90 Days and Over</t>
  </si>
  <si>
    <t>Total Aging of Accounts Receivables</t>
  </si>
  <si>
    <t>Past Due Rate</t>
  </si>
  <si>
    <t>A/R - Disconnected</t>
  </si>
  <si>
    <t>Materials and Supplies Inventory</t>
  </si>
  <si>
    <t>Guaranty Deposit - Active</t>
  </si>
  <si>
    <t>Guaranty Deposit - Disconnected</t>
  </si>
  <si>
    <t>H.2</t>
  </si>
  <si>
    <t>H.3</t>
  </si>
  <si>
    <t>H.4</t>
  </si>
  <si>
    <t>H.5</t>
  </si>
  <si>
    <t>H.6</t>
  </si>
  <si>
    <t>DERIVED QUICK RATIOS</t>
  </si>
  <si>
    <t>Production Cost per Cubic Meter</t>
  </si>
  <si>
    <t>Customer Maintenance Cost per Cubic Meter</t>
  </si>
  <si>
    <t>Total Cost per Cubic Meter</t>
  </si>
  <si>
    <t>Return on Fixed Asset</t>
  </si>
  <si>
    <t>Total Cost of NRW based on Total Cost per Cubic Meter</t>
  </si>
  <si>
    <t>Total Cost of Line Loss based on Ave. Price per Cubic Meter</t>
  </si>
  <si>
    <t>Brgy</t>
  </si>
  <si>
    <t>HH</t>
  </si>
  <si>
    <t>JO</t>
  </si>
  <si>
    <t>Customer</t>
  </si>
  <si>
    <t>Pump</t>
  </si>
  <si>
    <t>Day</t>
  </si>
  <si>
    <t>Hour</t>
  </si>
  <si>
    <t>PSI</t>
  </si>
  <si>
    <t>Cum</t>
  </si>
  <si>
    <t>Test</t>
  </si>
  <si>
    <t>Repair</t>
  </si>
  <si>
    <t>Peso</t>
  </si>
  <si>
    <t>KWH</t>
  </si>
  <si>
    <t>Unit</t>
  </si>
  <si>
    <t>Volume of Lorry Sales / Selling Price</t>
  </si>
  <si>
    <t>Cum / Peso</t>
  </si>
  <si>
    <t>%</t>
  </si>
  <si>
    <t>Burst</t>
  </si>
  <si>
    <t>INC (DEC)</t>
  </si>
  <si>
    <t>Total Bulk Water Bought / Price Per Cum of Bulk Water</t>
  </si>
  <si>
    <t>WATER SUPPLY</t>
  </si>
  <si>
    <t>Total Water Supply Available for Consumption</t>
  </si>
  <si>
    <t>C.11</t>
  </si>
  <si>
    <t>Total Cost of Repairs and Maintenance for Genset Only</t>
  </si>
  <si>
    <t>Volume of Industrial Sales / Ave. Selling Price per Cum</t>
  </si>
  <si>
    <t>Volume of Bulk Water Sales / Selling Price per Cum</t>
  </si>
  <si>
    <t>D.9</t>
  </si>
  <si>
    <t>E.12</t>
  </si>
  <si>
    <t>F.</t>
  </si>
  <si>
    <t>F.3</t>
  </si>
  <si>
    <t>F.4</t>
  </si>
  <si>
    <t>F.5</t>
  </si>
  <si>
    <t>F.6</t>
  </si>
  <si>
    <t>F.7</t>
  </si>
  <si>
    <t>F.8</t>
  </si>
  <si>
    <t>F.9</t>
  </si>
  <si>
    <t>F.10</t>
  </si>
  <si>
    <t>F.11</t>
  </si>
  <si>
    <t>F.12</t>
  </si>
  <si>
    <t>F.13</t>
  </si>
  <si>
    <t>F.14</t>
  </si>
  <si>
    <t>F.15</t>
  </si>
  <si>
    <t>+</t>
  </si>
  <si>
    <t>=</t>
  </si>
  <si>
    <t>-</t>
  </si>
  <si>
    <t>Total Customers</t>
  </si>
  <si>
    <t>A.16</t>
  </si>
  <si>
    <t>Disconnections</t>
  </si>
  <si>
    <t>D.10</t>
  </si>
  <si>
    <t>Ave. Consumption per Customer (Residential &amp; Commercial Only)</t>
  </si>
  <si>
    <t>Ave. Price per Cubic Meter (Residential &amp; Commercial Only)</t>
  </si>
  <si>
    <t>Ave. Monthly Water Bill (Residential &amp; Commercial Only)</t>
  </si>
  <si>
    <t>Adjustments to Previous Month's Customer Consumption (+/-)</t>
  </si>
  <si>
    <t>Engineering and Operating Expenses</t>
  </si>
  <si>
    <t>General and Admin Expenses</t>
  </si>
  <si>
    <t>SOURCE DOCUMENTS</t>
  </si>
  <si>
    <t>Municipal Records</t>
  </si>
  <si>
    <t>Branch Records</t>
  </si>
  <si>
    <t>Billing Statistics</t>
  </si>
  <si>
    <t>Customer Service Records</t>
  </si>
  <si>
    <t>Previous CMR</t>
  </si>
  <si>
    <t>Derived from CMR</t>
  </si>
  <si>
    <t>FORMULA / REMARKS</t>
  </si>
  <si>
    <t>Pump Operators Report</t>
  </si>
  <si>
    <t>Billing from Supplier</t>
  </si>
  <si>
    <t>Lab Test Results</t>
  </si>
  <si>
    <t>Accounting</t>
  </si>
  <si>
    <t>Operations Supervisor</t>
  </si>
  <si>
    <t>Electric Bill</t>
  </si>
  <si>
    <t>Water Balance</t>
  </si>
  <si>
    <t>Income Statement</t>
  </si>
  <si>
    <t>Balance Sheet</t>
  </si>
  <si>
    <t>Economic feasibility of a barangay is a judgment call by the Branch Manager</t>
  </si>
  <si>
    <t>Sum of all Operating Hours of All Pumps</t>
  </si>
  <si>
    <t>Sum of all Flow Meter Readings of All Pumps for the Month</t>
  </si>
  <si>
    <t>Sum of all KWH readings of all pumps for the month</t>
  </si>
  <si>
    <t>Sum of all electric bills of all pumps for the month</t>
  </si>
  <si>
    <t>Total Electric Bill for all pumps (C.3) divided by Total Electric Consumption (C.2)</t>
  </si>
  <si>
    <t>Total Cost of Diesel (C.9) divided by Total Production during Power Outage (C.8)</t>
  </si>
  <si>
    <t>Sum of Residential &amp; Commercial Income (F.1+F.2) divided by Total Billed Volume (D.3)</t>
  </si>
  <si>
    <t>E.13</t>
  </si>
  <si>
    <t>Percent of Non-Revenue Water</t>
  </si>
  <si>
    <t>Percentage of Non-Revenue Water</t>
  </si>
  <si>
    <t>Total Volume of Water Sold</t>
  </si>
  <si>
    <t>Indicate if Adjustment is higher or lower by putting a (+) or (-) sign</t>
  </si>
  <si>
    <t>Gross Profit (F.11) divided by Gross Revenue (F.9)</t>
  </si>
  <si>
    <t>Income from Operations (F.13) divided by Gross Revenue (F.9)</t>
  </si>
  <si>
    <t>A.17</t>
  </si>
  <si>
    <t>Percentage of Service Coverage</t>
  </si>
  <si>
    <t>Total HH Population in Brgys w Pipe Network (A.3) divided by Billed Customers (A.5)</t>
  </si>
  <si>
    <t>Sum of Total Production Output from All Pumps (B.7) plus Bought Bulk Water (B.8)</t>
  </si>
  <si>
    <t>Sum of Residential &amp; Commercial Income (F.1+F.2) divided by Billed Customers (A.5)</t>
  </si>
  <si>
    <t>Total Brgys with Pipe Network</t>
  </si>
  <si>
    <t>Total HH Population in Brgys with Pipe Network</t>
  </si>
  <si>
    <t>Engineering &amp; Operating Expenses (F.10) divided by Total Water Supply Available (B.9)</t>
  </si>
  <si>
    <t>General &amp; Admin Expenses (F.12) divided by Total Volume of Water Sold (D.7)</t>
  </si>
  <si>
    <t>Sum of E&amp;O and G&amp;A Expenses (F.10+F.12) divided by Total Water Supply (B.9)</t>
  </si>
  <si>
    <t>Income from Operations (F.13) divided by Net Book Value of PPE</t>
  </si>
  <si>
    <t>Total NRW (E.9) multiplied by Total Cost per Cubic Meter (H.3)</t>
  </si>
  <si>
    <t>Total Unaccounted Leakage (E.7) multiplied by Ave. Price per Cubic Meter (D.9)</t>
  </si>
  <si>
    <t>Billed Metered Consumption</t>
  </si>
  <si>
    <t>Billed Authorized</t>
  </si>
  <si>
    <t>Revenue</t>
  </si>
  <si>
    <t>Consumption</t>
  </si>
  <si>
    <t>Water</t>
  </si>
  <si>
    <t>Billed Unmetered Consumption</t>
  </si>
  <si>
    <t>Authorized</t>
  </si>
  <si>
    <t>Unbilled Authorized</t>
  </si>
  <si>
    <t>SUPPLY</t>
  </si>
  <si>
    <t>Commercial /</t>
  </si>
  <si>
    <t>Non-Revenue</t>
  </si>
  <si>
    <t>Apparent Losses</t>
  </si>
  <si>
    <t>Metering Inaccuracies</t>
  </si>
  <si>
    <t>Losses</t>
  </si>
  <si>
    <t>Real /Physical</t>
  </si>
  <si>
    <t>Cubic</t>
  </si>
  <si>
    <t>Remarks</t>
  </si>
  <si>
    <t>Meter</t>
  </si>
  <si>
    <t>I. Supply</t>
  </si>
  <si>
    <t xml:space="preserve">        - Pump Production</t>
  </si>
  <si>
    <t xml:space="preserve">        - Pump Drain (add back)</t>
  </si>
  <si>
    <t xml:space="preserve">        - Purchased Bulk Water</t>
  </si>
  <si>
    <t>II. Authorized Consumption</t>
  </si>
  <si>
    <t>II.A. Billed Authorized Consumption</t>
  </si>
  <si>
    <t>II.A.1. Billed Metered Consumption</t>
  </si>
  <si>
    <t xml:space="preserve">        - Customer's Consumption</t>
  </si>
  <si>
    <t>- Residential</t>
  </si>
  <si>
    <t>- Commercial</t>
  </si>
  <si>
    <t>II.A.2. Billed Unmetered Consumption</t>
  </si>
  <si>
    <t xml:space="preserve">        - Bulk Water</t>
  </si>
  <si>
    <t xml:space="preserve">        - Lorry</t>
  </si>
  <si>
    <t xml:space="preserve">        - Contractor's Usage</t>
  </si>
  <si>
    <t>II.B. Unbilled Authorized Consumption</t>
  </si>
  <si>
    <t>II.B.1. Unbilled Metered Consumption</t>
  </si>
  <si>
    <t xml:space="preserve">        - Office Usage</t>
  </si>
  <si>
    <t xml:space="preserve">        - Pump Houses Usage</t>
  </si>
  <si>
    <t xml:space="preserve">        - Discount to Customers</t>
  </si>
  <si>
    <t>II.B.2. Unbilled Unmetered Consumption</t>
  </si>
  <si>
    <t xml:space="preserve">        - Service Connection Draining</t>
  </si>
  <si>
    <t xml:space="preserve">              - Tapping</t>
  </si>
  <si>
    <t xml:space="preserve">              - Plug Connection</t>
  </si>
  <si>
    <t xml:space="preserve">              - Relocate Meter</t>
  </si>
  <si>
    <t xml:space="preserve">        - Pump/Line Draining</t>
  </si>
  <si>
    <t xml:space="preserve">              - Line Draining - Mainline</t>
  </si>
  <si>
    <t xml:space="preserve">              - Line Draining - Meter Stand</t>
  </si>
  <si>
    <t xml:space="preserve">              - Pump Draining</t>
  </si>
  <si>
    <t xml:space="preserve">              - Backwash</t>
  </si>
  <si>
    <t xml:space="preserve">        - Fire Usage</t>
  </si>
  <si>
    <t>III. Water Losses</t>
  </si>
  <si>
    <t>III.A. Commercial/Apparent Losses</t>
  </si>
  <si>
    <t>III.A.1. Unauthorized Consumption</t>
  </si>
  <si>
    <t xml:space="preserve">        - Illegal Connection</t>
  </si>
  <si>
    <t>III.A.2. Metering Inaccuracies</t>
  </si>
  <si>
    <t>III.B. Real/Physical Losses</t>
  </si>
  <si>
    <t>III.B.1 Accounted Leakage</t>
  </si>
  <si>
    <t xml:space="preserve">        - Busted Service Pipes</t>
  </si>
  <si>
    <t xml:space="preserve">        - Busted Mainlines</t>
  </si>
  <si>
    <t xml:space="preserve">        - Busted Meter Stand</t>
  </si>
  <si>
    <t xml:space="preserve">        - Tail Piece Leak</t>
  </si>
  <si>
    <t xml:space="preserve">        - Gate Valve Leak</t>
  </si>
  <si>
    <t xml:space="preserve">        - Disconnect Mainline</t>
  </si>
  <si>
    <t xml:space="preserve">        - Disconnect Meter Stand</t>
  </si>
  <si>
    <t xml:space="preserve">        - Installation of Appurtenances</t>
  </si>
  <si>
    <t xml:space="preserve">        - Interconnection of Mainline</t>
  </si>
  <si>
    <t xml:space="preserve">III.B.2 Unaccounted Leakage </t>
  </si>
  <si>
    <t>Note: Fill-up the Yellow Cell</t>
  </si>
  <si>
    <t>Test Results at Source</t>
  </si>
  <si>
    <t>Test Results at Source. For P-Chem, even if one parameter only fails, considered Failed</t>
  </si>
  <si>
    <t>Ave. Consumption per Customer per Day (Residential &amp; Com Only)</t>
  </si>
  <si>
    <t>D.11</t>
  </si>
  <si>
    <t>A.18</t>
  </si>
  <si>
    <t>Date</t>
  </si>
  <si>
    <t>Ave. Conumption per Customer per Day (Residential &amp; Com Only)</t>
  </si>
  <si>
    <t>Repairs and Maintenance Cost (Mainline &amp; Service Connections)</t>
  </si>
  <si>
    <t>E.14</t>
  </si>
  <si>
    <t>Consumption of Unbilled Customers</t>
  </si>
  <si>
    <t>CMRVR</t>
  </si>
  <si>
    <t>Total Billed Volume from Res &amp; Com Sales (D.3) divided by Billed Customers (A.5)</t>
  </si>
  <si>
    <t>Total Unbilled Customers should include Residential and Commercial Customers only</t>
  </si>
  <si>
    <t>Total Billed Customers should include Residential and Commercial Customers only</t>
  </si>
  <si>
    <t>New Applications should include Residential and Commercial Customers Only</t>
  </si>
  <si>
    <t>Disconnections should include Residential and Commercial Customers Only</t>
  </si>
  <si>
    <t>Activity is considered "delayed" if it has been pending for at least 7 days.</t>
  </si>
  <si>
    <t>Total Electric Bill for all pumps (C.3) divided by Total Production Output All Pumps (B.7)</t>
  </si>
  <si>
    <t>Ave. Consumption per Customer (D.8) divided by No. of Operating Days in Month (B.2)</t>
  </si>
  <si>
    <t>Total NRW (E.8) divided by Total Volume of Water Available for Consumption (B.9)</t>
  </si>
  <si>
    <t>Unaccounted Leakage (E.7) divided by Total Water Supply Available (B.9)</t>
  </si>
  <si>
    <t>Only include R&amp;M costs in service connections that were shouldered by the company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</si>
  <si>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</si>
  <si>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</si>
  <si>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</si>
  <si>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</si>
  <si>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</si>
  <si>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</si>
  <si>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</si>
  <si>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</si>
  <si>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</si>
  <si>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</si>
  <si>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</si>
  <si>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</si>
  <si>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</si>
  <si>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</si>
  <si>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</si>
  <si>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</si>
  <si>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</si>
  <si>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</si>
  <si>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</si>
  <si>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</si>
  <si>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</si>
  <si>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</si>
  <si>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</si>
  <si>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</si>
  <si>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</si>
  <si>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</si>
  <si>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</si>
  <si>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</si>
  <si>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</si>
  <si>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</si>
  <si>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</si>
  <si>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Total Production Output from All Pumps (including Pump Drain)</t>
  </si>
  <si>
    <t>G.12</t>
  </si>
  <si>
    <t>Net Book Value of PPE</t>
  </si>
  <si>
    <t>F.16</t>
  </si>
  <si>
    <t>Sales Discount</t>
  </si>
  <si>
    <t>Income from Bulk Water</t>
  </si>
  <si>
    <t>Income from Lorry Sales</t>
  </si>
  <si>
    <t>Income from Other Water Services</t>
  </si>
  <si>
    <t>Less: Sales Discount</t>
  </si>
  <si>
    <t>Total Monthly Production</t>
  </si>
  <si>
    <t>A.19</t>
  </si>
  <si>
    <t>Total JO Accomplished / Unaccomplished for Other Issues</t>
  </si>
  <si>
    <t>1st Meter Reading Day of the Month / 1st Billing Day of the Month</t>
  </si>
  <si>
    <t>B.14</t>
  </si>
  <si>
    <t>Ave. Daily Production</t>
  </si>
  <si>
    <t>Ave. Production per Day</t>
  </si>
  <si>
    <t>Total Water Supply Available (B.9) divided by No. Of Operating Days (B.2)</t>
  </si>
  <si>
    <t>PSI Range from Source (Lowest and Highest)</t>
  </si>
  <si>
    <t>Ave. PSI Range from Source (Lowest and Highest)</t>
  </si>
  <si>
    <t>B.15</t>
  </si>
  <si>
    <t>B.16</t>
  </si>
  <si>
    <t>PSI Range from Distribution Network (Lowest and Highest)</t>
  </si>
  <si>
    <t>Ave. PSI Range from Distribution Network (Lowest and Highest)</t>
  </si>
  <si>
    <t>Get average of all lowest PSI / Get average of all highest PSI from Source/s</t>
  </si>
  <si>
    <t>Lowest PSI reading for the month / Highest PSI reading for the month from Source/s</t>
  </si>
  <si>
    <t>Lowest PSI reading for the month / Highest PSI reading for the month from Distribution</t>
  </si>
  <si>
    <t>Get average of all lowest PSI / Get average of all highest PSI from Distribution Network</t>
  </si>
  <si>
    <t xml:space="preserve">        - Meter Test (Under Registering or Under Read)</t>
  </si>
  <si>
    <t>Adjustments to Previous Month's Customer Consumption (Overage)</t>
  </si>
  <si>
    <t>[Total Operating Hours for All Pumps (B.4) / No. of Operating Days (B.2)] / No. of Pumps (B.1)</t>
  </si>
  <si>
    <t>Total Collections for the Day</t>
  </si>
  <si>
    <t>Non-Revenue Water</t>
  </si>
  <si>
    <t>Income from Residential &amp; Commercial Customers</t>
  </si>
  <si>
    <t>BILLING STATISTICS</t>
  </si>
  <si>
    <t>No. of Customers with Zero Consumption</t>
  </si>
  <si>
    <t>No. of Customers with High Bill (P1000 and above)</t>
  </si>
  <si>
    <t>CUSTOMER SATISFACTION</t>
  </si>
  <si>
    <t>DMA 1: NRW % / NRW Volume</t>
  </si>
  <si>
    <t>DMA 2: NRW % / NRW Volume</t>
  </si>
  <si>
    <t>DMA 3: NRW % / NRW Volume</t>
  </si>
  <si>
    <t>DMA 4: NRW % / NRW Volume</t>
  </si>
  <si>
    <t>% / Cum</t>
  </si>
  <si>
    <t>C.12</t>
  </si>
  <si>
    <t>C.13</t>
  </si>
  <si>
    <t>C.14</t>
  </si>
  <si>
    <t>C.15</t>
  </si>
  <si>
    <t>C.16</t>
  </si>
  <si>
    <t>GPM</t>
  </si>
  <si>
    <t>C.2.A</t>
  </si>
  <si>
    <t>C.2.B</t>
  </si>
  <si>
    <t>C.2.C</t>
  </si>
  <si>
    <t>C.2.D</t>
  </si>
  <si>
    <t>C.17</t>
  </si>
  <si>
    <t>C.2.E</t>
  </si>
  <si>
    <t>D.12.1</t>
  </si>
  <si>
    <t>D.12.2</t>
  </si>
  <si>
    <t>D.12.3</t>
  </si>
  <si>
    <t>D.12.4</t>
  </si>
  <si>
    <t>D.13</t>
  </si>
  <si>
    <t>D.14</t>
  </si>
  <si>
    <t>D.15</t>
  </si>
  <si>
    <t>D.16</t>
  </si>
  <si>
    <t>H.7</t>
  </si>
  <si>
    <t>H.8</t>
  </si>
  <si>
    <t>H.9</t>
  </si>
  <si>
    <t>H.10</t>
  </si>
  <si>
    <t>I.</t>
  </si>
  <si>
    <t>J.</t>
  </si>
  <si>
    <t>BALIPURE</t>
  </si>
  <si>
    <t>J.1</t>
  </si>
  <si>
    <t>Number of 350 mL boxes sold</t>
  </si>
  <si>
    <t>J.2</t>
  </si>
  <si>
    <t>Number of 500 mL boxes sold</t>
  </si>
  <si>
    <t>Box</t>
  </si>
  <si>
    <t>J.3</t>
  </si>
  <si>
    <t>Branch Target for the Month</t>
  </si>
  <si>
    <t>Book / Customer</t>
  </si>
  <si>
    <t>No. of Books / Customer of With Persistent Water Quality Problems</t>
  </si>
  <si>
    <t>No. of Customers with Isolated Persistent Water Quality Problems</t>
  </si>
  <si>
    <t>No. of Books/Customers with 20 to &lt;24 hours of Water Supply</t>
  </si>
  <si>
    <t>No. of Customers with 12 to &lt;20 hours of Water Supply</t>
  </si>
  <si>
    <t>No. of Customers with less than 12 hours of Water Supply</t>
  </si>
  <si>
    <t>No. of Books / Customers with 24 hrs (min 10/16 psi) of Water Supply</t>
  </si>
  <si>
    <t>No. of Customers with 16 psi peak hours</t>
  </si>
  <si>
    <t>No. of Customers with 10 psi to &lt;16 psi at peak hours</t>
  </si>
  <si>
    <t>No. of Books/Customers with above 16 psi at peak hours</t>
  </si>
  <si>
    <t>Projected</t>
  </si>
  <si>
    <t>Actual</t>
  </si>
  <si>
    <t>FINANCIAL PERFORMANCE</t>
  </si>
  <si>
    <t>J.4</t>
  </si>
  <si>
    <t>Total Boxes sold</t>
  </si>
  <si>
    <t>Electric Consumption per Day</t>
  </si>
  <si>
    <t>I.4</t>
  </si>
  <si>
    <t>I.5</t>
  </si>
  <si>
    <t>I.7</t>
  </si>
  <si>
    <t>I.8</t>
  </si>
  <si>
    <t>I.9</t>
  </si>
  <si>
    <t>I.10</t>
  </si>
  <si>
    <t>I.11</t>
  </si>
  <si>
    <t>I.12</t>
  </si>
  <si>
    <t>I.13</t>
  </si>
  <si>
    <t>I.14</t>
  </si>
  <si>
    <t>I.15</t>
  </si>
  <si>
    <t>Number of Linear Meters of Pipelines in the Distribution Network</t>
  </si>
  <si>
    <t>lm</t>
  </si>
  <si>
    <t>SAN LUIS</t>
  </si>
  <si>
    <t>Number of Customers with below 10 psi at peak hours</t>
  </si>
  <si>
    <t>Cum/Peso</t>
  </si>
  <si>
    <t>Ave. Consumption per Customer per Day (Res &amp; Com Only)</t>
  </si>
  <si>
    <t>1 Month Bills Over the GD / % of 1 Bills Over GD</t>
  </si>
  <si>
    <t>Bills / %</t>
  </si>
  <si>
    <t>2 Month Bills Over the GD / % of 2 Month Bills Over GD</t>
  </si>
  <si>
    <t>3 Months+ Bills Over the GD / % of 3 Months+ Bills Over the GD</t>
  </si>
  <si>
    <t>Total Number of Bills Over the GD / % Total Amount Over GD</t>
  </si>
  <si>
    <t>1 Month Bills: Total Amount of GD / Total Amount of Bills Over GD</t>
  </si>
  <si>
    <t>Peso / Peso</t>
  </si>
  <si>
    <t>2 Month Bills: Total Amount of GD / Total Amount of Bills Over GD</t>
  </si>
  <si>
    <t>3 Month+ Bills: Total Amount of GD / Total Amount of Bills Over GD</t>
  </si>
  <si>
    <t>All Bills: Total Amount of GD / Total Amount of All Bills Over GD</t>
  </si>
  <si>
    <t>I.16</t>
  </si>
  <si>
    <t>Franchise Fee</t>
  </si>
  <si>
    <t>BCBI-SAN LUIS</t>
  </si>
  <si>
    <t>clear/odorless</t>
  </si>
  <si>
    <t>sandy</t>
  </si>
  <si>
    <t>Efficiency: KWH Consumption per Cubic Meter Produced</t>
  </si>
  <si>
    <t>K.</t>
  </si>
  <si>
    <t>COMPETITION</t>
  </si>
  <si>
    <t>K.1</t>
  </si>
  <si>
    <t>Name of Competitor/s in the exact same geographic service area</t>
  </si>
  <si>
    <t>NAME</t>
  </si>
  <si>
    <t>NONE</t>
  </si>
  <si>
    <t>K.2</t>
  </si>
  <si>
    <t>Name of Competitor/s threatening to enter our geographic service area</t>
  </si>
  <si>
    <t>DECEMBER</t>
  </si>
  <si>
    <t>JANUARY</t>
  </si>
  <si>
    <t>Billed Customers (Residential)</t>
  </si>
  <si>
    <t>Billed Customers (Commercial)</t>
  </si>
  <si>
    <t>Average Daily Consumption (Residential)</t>
  </si>
  <si>
    <t>Average Daily Consumption (Commercial)</t>
  </si>
  <si>
    <t>Total Monthly Customer Consumption (Residential)</t>
  </si>
  <si>
    <t>Total Monthly Customer Consumption (Commercial)</t>
  </si>
  <si>
    <t>Average Price per Cubic Meter (Residential)</t>
  </si>
  <si>
    <t>Average Price per Cubic Meter (Commercial)</t>
  </si>
  <si>
    <t>Income from Commercial Customers</t>
  </si>
  <si>
    <t>Income from Residential Customers</t>
  </si>
  <si>
    <t>I.1.1</t>
  </si>
  <si>
    <t>I.1.2</t>
  </si>
  <si>
    <t>I.2.1</t>
  </si>
  <si>
    <t>I.2.2</t>
  </si>
  <si>
    <t>I.3.1</t>
  </si>
  <si>
    <t>I.3.2</t>
  </si>
  <si>
    <t>I.6.1.</t>
  </si>
  <si>
    <t>I.6.2</t>
  </si>
  <si>
    <t>I.7.1</t>
  </si>
  <si>
    <t>I.7.2</t>
  </si>
  <si>
    <t>Total Bulk Sales</t>
  </si>
  <si>
    <t>C.2.F</t>
  </si>
  <si>
    <t>H.11</t>
  </si>
  <si>
    <t>H.12</t>
  </si>
  <si>
    <t>H.13</t>
  </si>
  <si>
    <t>H.14</t>
  </si>
  <si>
    <t>H.15</t>
  </si>
  <si>
    <t>H.16</t>
  </si>
  <si>
    <t>H.17</t>
  </si>
  <si>
    <t>W.B. input</t>
  </si>
  <si>
    <t xml:space="preserve"> </t>
  </si>
  <si>
    <t>JANUARY (main system)</t>
  </si>
  <si>
    <t>JANUARY (independent)</t>
  </si>
  <si>
    <t xml:space="preserve">                - Bulk Water</t>
  </si>
  <si>
    <t xml:space="preserve">               - Bulk Water</t>
  </si>
  <si>
    <t>COMPARATIVE MONTHLY REPORT AS OF APRIL 2019</t>
  </si>
  <si>
    <t>BWSI - CLPI BRANCHES, INC. - SAN LIS BRANCH</t>
  </si>
  <si>
    <t>San Simon</t>
  </si>
  <si>
    <t>Pump 5: Free Flow GPM / Description of Water Quality (Sta. Monica/400/6/10/16 40HP)</t>
  </si>
  <si>
    <t>Pump 6: Free Flow GPM/ Description of Water Quality  (Sto. Rosario/350gpm/4/28/18 20HP)</t>
  </si>
  <si>
    <t>Present</t>
  </si>
  <si>
    <t>SALE</t>
  </si>
  <si>
    <t>BOUGHT</t>
  </si>
  <si>
    <t>Pump 2: Free Flow GPM / Description of Water Quality (San Juan/395gpm/7/23/15 20HP)</t>
  </si>
  <si>
    <t>Pump 1: Free Flow GPM /  Description of Water Quality (San Roque/678 gpm/4/24/19 40HP Motor, 30 HP Pump)</t>
  </si>
  <si>
    <t>Pump 3: Free Flow GPM / Description of Water Quality (Sto. Tomas/624/7/30/13 40HP)</t>
  </si>
  <si>
    <t>Total Cost of Non-Revenue Water based on Electric Cost per Cum</t>
  </si>
  <si>
    <t>Pump 4: Free Flow GPM / Description of Water Quality (Sto. Nino/423/10/31/19 30HP)</t>
  </si>
  <si>
    <t>Nov 28</t>
  </si>
  <si>
    <t>Dec 3</t>
  </si>
  <si>
    <t>`</t>
  </si>
  <si>
    <t>DECEMBER (main system)</t>
  </si>
  <si>
    <t>DECEMBER (independent)</t>
  </si>
  <si>
    <t>BPHIS MOBPBPH</t>
  </si>
  <si>
    <t>Jan 2</t>
  </si>
  <si>
    <t>Jan 6</t>
  </si>
  <si>
    <t>Feb 3</t>
  </si>
  <si>
    <t>Feb 6</t>
  </si>
  <si>
    <t>11/29/2019</t>
  </si>
  <si>
    <t>10/31/2019</t>
  </si>
  <si>
    <t>FEBRUARY</t>
  </si>
  <si>
    <t>FEBRUARY (main system)</t>
  </si>
  <si>
    <t>FEBRUARY (independent)</t>
  </si>
  <si>
    <t>MARCH</t>
  </si>
  <si>
    <t>MARCH (main system)</t>
  </si>
  <si>
    <t>MARCH (independent)</t>
  </si>
  <si>
    <t>Mar 2</t>
  </si>
  <si>
    <t>Mar 5</t>
  </si>
  <si>
    <t>Apr 2</t>
  </si>
  <si>
    <t>Apr 6</t>
  </si>
  <si>
    <t>APRIL</t>
  </si>
  <si>
    <t>APRIL (main system)</t>
  </si>
  <si>
    <t>APRIL (independent)</t>
  </si>
  <si>
    <t xml:space="preserve">    </t>
  </si>
  <si>
    <t>x</t>
  </si>
  <si>
    <t>r</t>
  </si>
  <si>
    <t>Apr 30</t>
  </si>
  <si>
    <t>May 2</t>
  </si>
  <si>
    <t>MAY</t>
  </si>
  <si>
    <t>MAY (main system)</t>
  </si>
  <si>
    <t>MAY (independent)</t>
  </si>
  <si>
    <t>PERCENT</t>
  </si>
  <si>
    <t>June 4</t>
  </si>
  <si>
    <t>JUNE</t>
  </si>
  <si>
    <t>JUNE (main system)</t>
  </si>
  <si>
    <t>JUNE (independent)</t>
  </si>
  <si>
    <t>Jul 1</t>
  </si>
  <si>
    <t>Jul 4</t>
  </si>
  <si>
    <t>JULY</t>
  </si>
  <si>
    <t>JULY (main system)</t>
  </si>
  <si>
    <t>JULY (independent)</t>
  </si>
  <si>
    <t>COMPARATIVE MONTHLY REPORT AS OF JULY 2020</t>
  </si>
  <si>
    <t>JULY 2020</t>
  </si>
  <si>
    <t>Aging of A/R - 31 to 44 Days</t>
  </si>
  <si>
    <t>Aging of A/R - 45 to 90 Days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</si>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</sst>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_(* #,##0_);_(* \(#,##0\);_(* &quot;-&quot;??_);_(@_)"/>
    <numFmt numFmtId="167" formatCode="#,##0.0"/>
    <numFmt numFmtId="168" formatCode="0.0%"/>
    <numFmt numFmtId="169" formatCode="_-* #,##0_-;\-* #,##0_-;_-* &quot;-&quot;??_-;_-@_-"/>
  </numFmts>
  <fonts count="3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164" fontId="17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325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6" borderId="0" xfId="17" applyFill="1"/>
    <xf numFmtId="0" fontId="19" fillId="4" borderId="5" xfId="17" applyFont="1" applyFill="1" applyBorder="1"/>
    <xf numFmtId="0" fontId="16" fillId="4" borderId="6" xfId="17" applyFill="1" applyBorder="1"/>
    <xf numFmtId="0" fontId="16" fillId="4" borderId="7" xfId="17" applyFill="1" applyBorder="1"/>
    <xf numFmtId="0" fontId="19" fillId="4" borderId="8" xfId="17" applyFont="1" applyFill="1" applyBorder="1"/>
    <xf numFmtId="0" fontId="16" fillId="4" borderId="0" xfId="17" applyFill="1" applyBorder="1"/>
    <xf numFmtId="10" fontId="16" fillId="4" borderId="0" xfId="17" applyNumberFormat="1" applyFill="1" applyBorder="1"/>
    <xf numFmtId="0" fontId="16" fillId="4" borderId="9" xfId="17" applyFill="1" applyBorder="1"/>
    <xf numFmtId="0" fontId="16" fillId="4" borderId="10" xfId="17" applyFill="1" applyBorder="1"/>
    <xf numFmtId="0" fontId="16" fillId="4" borderId="11" xfId="17" applyFill="1" applyBorder="1"/>
    <xf numFmtId="0" fontId="16" fillId="4" borderId="12" xfId="17" applyFill="1" applyBorder="1"/>
    <xf numFmtId="0" fontId="16" fillId="7" borderId="13" xfId="17" applyFill="1" applyBorder="1" applyAlignment="1">
      <alignment horizontal="center"/>
    </xf>
    <xf numFmtId="0" fontId="16" fillId="8" borderId="13" xfId="17" applyFill="1" applyBorder="1" applyAlignment="1">
      <alignment horizontal="center"/>
    </xf>
    <xf numFmtId="0" fontId="16" fillId="5" borderId="13" xfId="17" applyFill="1" applyBorder="1" applyAlignment="1">
      <alignment horizontal="center"/>
    </xf>
    <xf numFmtId="0" fontId="16" fillId="9" borderId="13" xfId="17" applyFill="1" applyBorder="1" applyAlignment="1">
      <alignment horizontal="center"/>
    </xf>
    <xf numFmtId="0" fontId="16" fillId="7" borderId="14" xfId="17" applyFill="1" applyBorder="1" applyAlignment="1">
      <alignment horizontal="center"/>
    </xf>
    <xf numFmtId="0" fontId="16" fillId="8" borderId="14" xfId="17" applyFill="1" applyBorder="1" applyAlignment="1">
      <alignment horizontal="center"/>
    </xf>
    <xf numFmtId="0" fontId="16" fillId="5" borderId="14" xfId="17" applyFill="1" applyBorder="1" applyAlignment="1">
      <alignment horizontal="center"/>
    </xf>
    <xf numFmtId="3" fontId="11" fillId="5" borderId="14" xfId="17" applyNumberFormat="1" applyFont="1" applyFill="1" applyBorder="1" applyAlignment="1">
      <alignment horizontal="center"/>
    </xf>
    <xf numFmtId="0" fontId="16" fillId="9" borderId="14" xfId="17" applyFill="1" applyBorder="1" applyAlignment="1">
      <alignment horizontal="center"/>
    </xf>
    <xf numFmtId="10" fontId="11" fillId="5" borderId="15" xfId="21" applyNumberFormat="1" applyFont="1" applyFill="1" applyBorder="1" applyAlignment="1">
      <alignment horizontal="center"/>
    </xf>
    <xf numFmtId="3" fontId="11" fillId="9" borderId="14" xfId="17" applyNumberFormat="1" applyFont="1" applyFill="1" applyBorder="1" applyAlignment="1">
      <alignment horizontal="center"/>
    </xf>
    <xf numFmtId="3" fontId="16" fillId="6" borderId="0" xfId="17" applyNumberFormat="1" applyFill="1"/>
    <xf numFmtId="10" fontId="16" fillId="6" borderId="0" xfId="17" applyNumberFormat="1" applyFill="1"/>
    <xf numFmtId="10" fontId="11" fillId="5" borderId="14" xfId="21" applyNumberFormat="1" applyFont="1" applyFill="1" applyBorder="1" applyAlignment="1">
      <alignment horizontal="center"/>
    </xf>
    <xf numFmtId="10" fontId="11" fillId="9" borderId="14" xfId="21" applyNumberFormat="1" applyFont="1" applyFill="1" applyBorder="1" applyAlignment="1">
      <alignment horizontal="center"/>
    </xf>
    <xf numFmtId="0" fontId="16" fillId="5" borderId="15" xfId="17" applyFill="1" applyBorder="1" applyAlignment="1">
      <alignment horizontal="center"/>
    </xf>
    <xf numFmtId="0" fontId="16" fillId="9" borderId="15" xfId="17" applyFill="1" applyBorder="1" applyAlignment="1">
      <alignment horizontal="center"/>
    </xf>
    <xf numFmtId="3" fontId="11" fillId="8" borderId="14" xfId="17" applyNumberFormat="1" applyFont="1" applyFill="1" applyBorder="1" applyAlignment="1">
      <alignment horizontal="center"/>
    </xf>
    <xf numFmtId="0" fontId="16" fillId="10" borderId="13" xfId="17" applyFill="1" applyBorder="1" applyAlignment="1">
      <alignment horizontal="center"/>
    </xf>
    <xf numFmtId="0" fontId="16" fillId="11" borderId="13" xfId="17" applyFill="1" applyBorder="1" applyAlignment="1">
      <alignment horizontal="center"/>
    </xf>
    <xf numFmtId="10" fontId="11" fillId="8" borderId="14" xfId="21" applyNumberFormat="1" applyFont="1" applyFill="1" applyBorder="1" applyAlignment="1">
      <alignment horizontal="center"/>
    </xf>
    <xf numFmtId="0" fontId="16" fillId="10" borderId="14" xfId="17" applyFill="1" applyBorder="1" applyAlignment="1">
      <alignment horizontal="center"/>
    </xf>
    <xf numFmtId="3" fontId="11" fillId="10" borderId="14" xfId="17" applyNumberFormat="1" applyFont="1" applyFill="1" applyBorder="1" applyAlignment="1">
      <alignment horizontal="center"/>
    </xf>
    <xf numFmtId="0" fontId="16" fillId="11" borderId="14" xfId="17" applyFill="1" applyBorder="1" applyAlignment="1">
      <alignment horizontal="center"/>
    </xf>
    <xf numFmtId="10" fontId="11" fillId="10" borderId="15" xfId="21" applyNumberFormat="1" applyFont="1" applyFill="1" applyBorder="1" applyAlignment="1">
      <alignment horizontal="center"/>
    </xf>
    <xf numFmtId="10" fontId="11" fillId="10" borderId="14" xfId="21" applyNumberFormat="1" applyFont="1" applyFill="1" applyBorder="1" applyAlignment="1">
      <alignment horizontal="center"/>
    </xf>
    <xf numFmtId="0" fontId="16" fillId="8" borderId="15" xfId="17" applyFill="1" applyBorder="1" applyAlignment="1">
      <alignment horizontal="center"/>
    </xf>
    <xf numFmtId="0" fontId="16" fillId="10" borderId="15" xfId="17" applyFill="1" applyBorder="1" applyAlignment="1">
      <alignment horizontal="center"/>
    </xf>
    <xf numFmtId="3" fontId="11" fillId="7" borderId="14" xfId="17" applyNumberFormat="1" applyFont="1" applyFill="1" applyBorder="1" applyAlignment="1">
      <alignment horizontal="center"/>
    </xf>
    <xf numFmtId="0" fontId="16" fillId="12" borderId="13" xfId="17" applyFill="1" applyBorder="1" applyAlignment="1">
      <alignment horizontal="center"/>
    </xf>
    <xf numFmtId="0" fontId="16" fillId="13" borderId="13" xfId="17" applyFill="1" applyBorder="1" applyAlignment="1">
      <alignment horizontal="center"/>
    </xf>
    <xf numFmtId="10" fontId="11" fillId="7" borderId="14" xfId="21" applyNumberFormat="1" applyFont="1" applyFill="1" applyBorder="1" applyAlignment="1">
      <alignment horizontal="center"/>
    </xf>
    <xf numFmtId="0" fontId="16" fillId="12" borderId="14" xfId="17" applyFill="1" applyBorder="1" applyAlignment="1">
      <alignment horizontal="center"/>
    </xf>
    <xf numFmtId="0" fontId="16" fillId="13" borderId="14" xfId="17" applyFill="1" applyBorder="1" applyAlignment="1">
      <alignment horizontal="center"/>
    </xf>
    <xf numFmtId="3" fontId="11" fillId="13" borderId="14" xfId="17" applyNumberFormat="1" applyFont="1" applyFill="1" applyBorder="1" applyAlignment="1">
      <alignment horizontal="center"/>
    </xf>
    <xf numFmtId="0" fontId="11" fillId="7" borderId="14" xfId="17" applyFont="1" applyFill="1" applyBorder="1" applyAlignment="1">
      <alignment horizontal="center"/>
    </xf>
    <xf numFmtId="165" fontId="11" fillId="13" borderId="15" xfId="21" applyNumberFormat="1" applyFont="1" applyFill="1" applyBorder="1" applyAlignment="1">
      <alignment horizontal="center"/>
    </xf>
    <xf numFmtId="3" fontId="11" fillId="11" borderId="14" xfId="17" applyNumberFormat="1" applyFont="1" applyFill="1" applyBorder="1" applyAlignment="1">
      <alignment horizontal="center"/>
    </xf>
    <xf numFmtId="165" fontId="11" fillId="13" borderId="14" xfId="21" applyNumberFormat="1" applyFont="1" applyFill="1" applyBorder="1" applyAlignment="1">
      <alignment horizontal="center"/>
    </xf>
    <xf numFmtId="10" fontId="11" fillId="11" borderId="14" xfId="21" applyNumberFormat="1" applyFont="1" applyFill="1" applyBorder="1" applyAlignment="1">
      <alignment horizontal="center"/>
    </xf>
    <xf numFmtId="0" fontId="16" fillId="13" borderId="15" xfId="17" applyFill="1" applyBorder="1" applyAlignment="1">
      <alignment horizontal="center"/>
    </xf>
    <xf numFmtId="3" fontId="11" fillId="12" borderId="14" xfId="17" applyNumberFormat="1" applyFont="1" applyFill="1" applyBorder="1" applyAlignment="1">
      <alignment horizontal="center"/>
    </xf>
    <xf numFmtId="0" fontId="16" fillId="13" borderId="5" xfId="17" applyFill="1" applyBorder="1" applyAlignment="1">
      <alignment horizontal="center"/>
    </xf>
    <xf numFmtId="0" fontId="16" fillId="11" borderId="9" xfId="17" applyFill="1" applyBorder="1" applyAlignment="1">
      <alignment horizontal="center"/>
    </xf>
    <xf numFmtId="10" fontId="11" fillId="12" borderId="14" xfId="21" applyNumberFormat="1" applyFont="1" applyFill="1" applyBorder="1" applyAlignment="1">
      <alignment horizontal="center"/>
    </xf>
    <xf numFmtId="0" fontId="16" fillId="13" borderId="8" xfId="17" applyFill="1" applyBorder="1" applyAlignment="1">
      <alignment horizontal="center"/>
    </xf>
    <xf numFmtId="10" fontId="11" fillId="13" borderId="15" xfId="21" applyNumberFormat="1" applyFont="1" applyFill="1" applyBorder="1" applyAlignment="1">
      <alignment horizontal="center"/>
    </xf>
    <xf numFmtId="3" fontId="11" fillId="13" borderId="8" xfId="17" applyNumberFormat="1" applyFont="1" applyFill="1" applyBorder="1" applyAlignment="1">
      <alignment horizontal="center"/>
    </xf>
    <xf numFmtId="3" fontId="16" fillId="13" borderId="14" xfId="17" applyNumberFormat="1" applyFont="1" applyFill="1" applyBorder="1" applyAlignment="1">
      <alignment horizontal="center"/>
    </xf>
    <xf numFmtId="10" fontId="11" fillId="13" borderId="8" xfId="21" applyNumberFormat="1" applyFont="1" applyFill="1" applyBorder="1" applyAlignment="1">
      <alignment horizontal="center"/>
    </xf>
    <xf numFmtId="3" fontId="11" fillId="13" borderId="14" xfId="21" applyNumberFormat="1" applyFont="1" applyFill="1" applyBorder="1" applyAlignment="1">
      <alignment horizontal="center"/>
    </xf>
    <xf numFmtId="0" fontId="16" fillId="7" borderId="15" xfId="17" applyFill="1" applyBorder="1" applyAlignment="1">
      <alignment horizontal="center"/>
    </xf>
    <xf numFmtId="0" fontId="16" fillId="12" borderId="15" xfId="17" applyFill="1" applyBorder="1" applyAlignment="1">
      <alignment horizontal="center"/>
    </xf>
    <xf numFmtId="0" fontId="16" fillId="13" borderId="10" xfId="17" applyFill="1" applyBorder="1" applyAlignment="1">
      <alignment horizontal="center"/>
    </xf>
    <xf numFmtId="0" fontId="16" fillId="11" borderId="12" xfId="17" applyFill="1" applyBorder="1" applyAlignment="1">
      <alignment horizontal="center"/>
    </xf>
    <xf numFmtId="0" fontId="20" fillId="6" borderId="0" xfId="17" applyFont="1" applyFill="1"/>
    <xf numFmtId="0" fontId="21" fillId="14" borderId="16" xfId="17" applyFont="1" applyFill="1" applyBorder="1" applyProtection="1">
      <protection locked="0"/>
    </xf>
    <xf numFmtId="0" fontId="15" fillId="15" borderId="17" xfId="17" applyFont="1" applyFill="1" applyBorder="1"/>
    <xf numFmtId="0" fontId="15" fillId="15" borderId="18" xfId="17" applyFont="1" applyFill="1" applyBorder="1"/>
    <xf numFmtId="0" fontId="21" fillId="14" borderId="19" xfId="17" quotePrefix="1" applyFont="1" applyFill="1" applyBorder="1" applyProtection="1">
      <protection locked="0"/>
    </xf>
    <xf numFmtId="0" fontId="15" fillId="15" borderId="0" xfId="17" applyFont="1" applyFill="1" applyBorder="1"/>
    <xf numFmtId="0" fontId="15" fillId="15" borderId="20" xfId="17" applyFont="1" applyFill="1" applyBorder="1"/>
    <xf numFmtId="0" fontId="15" fillId="15" borderId="19" xfId="17" applyFont="1" applyFill="1" applyBorder="1"/>
    <xf numFmtId="0" fontId="21" fillId="15" borderId="0" xfId="17" applyFont="1" applyFill="1" applyBorder="1" applyAlignment="1">
      <alignment horizontal="center"/>
    </xf>
    <xf numFmtId="0" fontId="15" fillId="15" borderId="21" xfId="17" applyFont="1" applyFill="1" applyBorder="1"/>
    <xf numFmtId="0" fontId="21" fillId="15" borderId="22" xfId="17" applyFont="1" applyFill="1" applyBorder="1" applyAlignment="1">
      <alignment horizontal="center"/>
    </xf>
    <xf numFmtId="0" fontId="15" fillId="15" borderId="22" xfId="17" applyFont="1" applyFill="1" applyBorder="1"/>
    <xf numFmtId="0" fontId="16" fillId="16" borderId="0" xfId="17" applyFill="1"/>
    <xf numFmtId="0" fontId="20" fillId="16" borderId="0" xfId="17" applyFont="1" applyFill="1"/>
    <xf numFmtId="0" fontId="22" fillId="7" borderId="1" xfId="17" applyFont="1" applyFill="1" applyBorder="1"/>
    <xf numFmtId="166" fontId="23" fillId="7" borderId="1" xfId="22" applyNumberFormat="1" applyFont="1" applyFill="1" applyBorder="1" applyProtection="1">
      <protection hidden="1"/>
    </xf>
    <xf numFmtId="0" fontId="16" fillId="17" borderId="1" xfId="17" applyFill="1" applyBorder="1" applyAlignment="1">
      <alignment horizontal="left" indent="1"/>
    </xf>
    <xf numFmtId="166" fontId="24" fillId="14" borderId="1" xfId="22" applyNumberFormat="1" applyFont="1" applyFill="1" applyBorder="1" applyProtection="1">
      <protection locked="0"/>
    </xf>
    <xf numFmtId="0" fontId="16" fillId="14" borderId="1" xfId="17" applyFill="1" applyBorder="1" applyProtection="1">
      <protection locked="0"/>
    </xf>
    <xf numFmtId="0" fontId="16" fillId="7" borderId="1" xfId="17" applyFill="1" applyBorder="1"/>
    <xf numFmtId="0" fontId="16" fillId="8" borderId="1" xfId="17" applyFill="1" applyBorder="1"/>
    <xf numFmtId="0" fontId="22" fillId="9" borderId="1" xfId="17" applyFont="1" applyFill="1" applyBorder="1" applyAlignment="1">
      <alignment horizontal="left" indent="3"/>
    </xf>
    <xf numFmtId="166" fontId="23" fillId="9" borderId="1" xfId="22" applyNumberFormat="1" applyFont="1" applyFill="1" applyBorder="1" applyProtection="1">
      <protection hidden="1"/>
    </xf>
    <xf numFmtId="0" fontId="16" fillId="9" borderId="1" xfId="17" applyFill="1" applyBorder="1" applyProtection="1">
      <protection locked="0"/>
    </xf>
    <xf numFmtId="166" fontId="16" fillId="6" borderId="0" xfId="17" applyNumberFormat="1" applyFill="1"/>
    <xf numFmtId="0" fontId="24" fillId="5" borderId="1" xfId="17" applyFont="1" applyFill="1" applyBorder="1" applyAlignment="1">
      <alignment horizontal="left" indent="1"/>
    </xf>
    <xf numFmtId="166" fontId="25" fillId="5" borderId="1" xfId="22" applyNumberFormat="1" applyFont="1" applyFill="1" applyBorder="1" applyProtection="1">
      <protection hidden="1"/>
    </xf>
    <xf numFmtId="0" fontId="26" fillId="5" borderId="0" xfId="17" applyFont="1" applyFill="1"/>
    <xf numFmtId="0" fontId="24" fillId="5" borderId="1" xfId="17" applyFont="1" applyFill="1" applyBorder="1" applyProtection="1">
      <protection locked="0"/>
    </xf>
    <xf numFmtId="0" fontId="16" fillId="17" borderId="1" xfId="17" quotePrefix="1" applyFill="1" applyBorder="1" applyAlignment="1">
      <alignment horizontal="left" indent="5"/>
    </xf>
    <xf numFmtId="166" fontId="16" fillId="14" borderId="1" xfId="22" applyNumberFormat="1" applyFont="1" applyFill="1" applyBorder="1" applyProtection="1">
      <protection locked="0"/>
    </xf>
    <xf numFmtId="0" fontId="16" fillId="5" borderId="1" xfId="17" applyFill="1" applyBorder="1" applyAlignment="1">
      <alignment horizontal="left" indent="1"/>
    </xf>
    <xf numFmtId="166" fontId="27" fillId="5" borderId="1" xfId="22" applyNumberFormat="1" applyFont="1" applyFill="1" applyBorder="1" applyProtection="1">
      <protection hidden="1"/>
    </xf>
    <xf numFmtId="0" fontId="16" fillId="5" borderId="1" xfId="17" applyFill="1" applyBorder="1" applyProtection="1">
      <protection locked="0"/>
    </xf>
    <xf numFmtId="0" fontId="16" fillId="17" borderId="1" xfId="17" applyFill="1" applyBorder="1" applyAlignment="1">
      <alignment horizontal="left"/>
    </xf>
    <xf numFmtId="0" fontId="16" fillId="17" borderId="1" xfId="17" applyFill="1" applyBorder="1"/>
    <xf numFmtId="166" fontId="16" fillId="16" borderId="0" xfId="22" applyNumberFormat="1" applyFont="1" applyFill="1"/>
    <xf numFmtId="0" fontId="26" fillId="0" borderId="0" xfId="17" applyFont="1" applyFill="1"/>
    <xf numFmtId="0" fontId="24" fillId="0" borderId="0" xfId="17" applyFont="1" applyFill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0" borderId="0" xfId="0" applyProtection="1">
      <protection locked="0"/>
    </xf>
    <xf numFmtId="0" fontId="11" fillId="0" borderId="0" xfId="0" applyFont="1" applyAlignment="1" applyProtection="1">
      <alignment horizontal="left"/>
      <protection locked="0"/>
    </xf>
    <xf numFmtId="0" fontId="0" fillId="0" borderId="1" xfId="0" applyFont="1" applyBorder="1"/>
    <xf numFmtId="3" fontId="0" fillId="0" borderId="1" xfId="0" applyNumberFormat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3" fontId="0" fillId="18" borderId="1" xfId="0" applyNumberFormat="1" applyFill="1" applyBorder="1" applyAlignment="1" applyProtection="1">
      <alignment horizontal="center"/>
      <protection locked="0"/>
    </xf>
    <xf numFmtId="0" fontId="0" fillId="18" borderId="1" xfId="0" applyFont="1" applyFill="1" applyBorder="1"/>
    <xf numFmtId="4" fontId="0" fillId="18" borderId="1" xfId="0" applyNumberFormat="1" applyFill="1" applyBorder="1" applyAlignment="1" applyProtection="1">
      <alignment horizontal="center"/>
      <protection locked="0"/>
    </xf>
    <xf numFmtId="3" fontId="0" fillId="0" borderId="1" xfId="0" applyNumberFormat="1" applyFill="1" applyBorder="1" applyAlignment="1" applyProtection="1">
      <alignment horizontal="center"/>
    </xf>
    <xf numFmtId="0" fontId="0" fillId="0" borderId="1" xfId="0" applyNumberFormat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3" fontId="0" fillId="0" borderId="1" xfId="0" applyNumberFormat="1" applyBorder="1" applyAlignment="1" applyProtection="1">
      <alignment horizontal="center"/>
    </xf>
    <xf numFmtId="4" fontId="0" fillId="0" borderId="1" xfId="0" applyNumberFormat="1" applyBorder="1" applyAlignment="1" applyProtection="1">
      <alignment horizontal="center"/>
    </xf>
    <xf numFmtId="166" fontId="16" fillId="7" borderId="1" xfId="17" applyNumberFormat="1" applyFill="1" applyBorder="1" applyProtection="1">
      <protection locked="0"/>
    </xf>
    <xf numFmtId="0" fontId="10" fillId="14" borderId="1" xfId="17" applyFont="1" applyFill="1" applyBorder="1" applyProtection="1">
      <protection locked="0"/>
    </xf>
    <xf numFmtId="0" fontId="9" fillId="6" borderId="0" xfId="17" applyFont="1" applyFill="1"/>
    <xf numFmtId="166" fontId="16" fillId="14" borderId="1" xfId="17" applyNumberFormat="1" applyFill="1" applyBorder="1" applyProtection="1">
      <protection locked="0"/>
    </xf>
    <xf numFmtId="0" fontId="8" fillId="6" borderId="0" xfId="17" applyFont="1" applyFill="1"/>
    <xf numFmtId="166" fontId="24" fillId="5" borderId="1" xfId="17" applyNumberFormat="1" applyFont="1" applyFill="1" applyBorder="1" applyProtection="1">
      <protection locked="0"/>
    </xf>
    <xf numFmtId="0" fontId="7" fillId="17" borderId="1" xfId="17" applyFont="1" applyFill="1" applyBorder="1" applyAlignment="1">
      <alignment horizontal="left" indent="1"/>
    </xf>
    <xf numFmtId="164" fontId="16" fillId="6" borderId="0" xfId="17" applyNumberFormat="1" applyFill="1"/>
    <xf numFmtId="9" fontId="16" fillId="6" borderId="0" xfId="128" applyFont="1" applyFill="1"/>
    <xf numFmtId="10" fontId="16" fillId="6" borderId="0" xfId="128" applyNumberFormat="1" applyFont="1" applyFill="1"/>
    <xf numFmtId="0" fontId="30" fillId="0" borderId="1" xfId="0" applyFont="1" applyFill="1" applyBorder="1" applyAlignment="1">
      <alignment horizontal="center"/>
    </xf>
    <xf numFmtId="9" fontId="30" fillId="0" borderId="1" xfId="128" applyFont="1" applyFill="1" applyBorder="1" applyAlignment="1">
      <alignment horizontal="center"/>
    </xf>
    <xf numFmtId="0" fontId="31" fillId="0" borderId="1" xfId="17" applyFont="1" applyFill="1" applyBorder="1"/>
    <xf numFmtId="166" fontId="30" fillId="0" borderId="1" xfId="127" applyNumberFormat="1" applyFont="1" applyFill="1" applyBorder="1" applyAlignment="1">
      <alignment horizontal="center"/>
    </xf>
    <xf numFmtId="0" fontId="30" fillId="0" borderId="1" xfId="17" applyFont="1" applyFill="1" applyBorder="1"/>
    <xf numFmtId="0" fontId="31" fillId="0" borderId="0" xfId="0" applyFont="1" applyFill="1" applyAlignment="1" applyProtection="1">
      <alignment horizontal="left"/>
      <protection locked="0"/>
    </xf>
    <xf numFmtId="0" fontId="30" fillId="0" borderId="0" xfId="0" applyFont="1" applyFill="1"/>
    <xf numFmtId="0" fontId="30" fillId="0" borderId="0" xfId="0" applyFont="1" applyFill="1" applyProtection="1">
      <protection locked="0"/>
    </xf>
    <xf numFmtId="0" fontId="30" fillId="0" borderId="0" xfId="0" applyFont="1" applyFill="1" applyAlignment="1">
      <alignment horizontal="center"/>
    </xf>
    <xf numFmtId="3" fontId="30" fillId="0" borderId="0" xfId="0" applyNumberFormat="1" applyFont="1" applyFill="1"/>
    <xf numFmtId="164" fontId="30" fillId="0" borderId="0" xfId="127" applyFont="1" applyFill="1"/>
    <xf numFmtId="4" fontId="30" fillId="0" borderId="0" xfId="0" applyNumberFormat="1" applyFont="1" applyFill="1"/>
    <xf numFmtId="169" fontId="30" fillId="0" borderId="0" xfId="0" applyNumberFormat="1" applyFont="1" applyFill="1"/>
    <xf numFmtId="0" fontId="31" fillId="0" borderId="0" xfId="0" applyFont="1" applyFill="1" applyAlignment="1">
      <alignment horizontal="center"/>
    </xf>
    <xf numFmtId="0" fontId="31" fillId="0" borderId="2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31" fillId="0" borderId="1" xfId="0" applyFont="1" applyFill="1" applyBorder="1"/>
    <xf numFmtId="0" fontId="30" fillId="0" borderId="1" xfId="0" applyFont="1" applyFill="1" applyBorder="1"/>
    <xf numFmtId="1" fontId="30" fillId="0" borderId="1" xfId="0" applyNumberFormat="1" applyFont="1" applyFill="1" applyBorder="1" applyAlignment="1">
      <alignment horizontal="center"/>
    </xf>
    <xf numFmtId="3" fontId="30" fillId="0" borderId="1" xfId="0" applyNumberFormat="1" applyFont="1" applyFill="1" applyBorder="1" applyAlignment="1" applyProtection="1">
      <alignment horizontal="center"/>
      <protection locked="0"/>
    </xf>
    <xf numFmtId="9" fontId="30" fillId="0" borderId="1" xfId="0" applyNumberFormat="1" applyFont="1" applyFill="1" applyBorder="1" applyAlignment="1">
      <alignment horizontal="center"/>
    </xf>
    <xf numFmtId="3" fontId="30" fillId="0" borderId="1" xfId="0" applyNumberFormat="1" applyFont="1" applyFill="1" applyBorder="1" applyAlignment="1">
      <alignment horizontal="center"/>
    </xf>
    <xf numFmtId="168" fontId="30" fillId="0" borderId="1" xfId="0" applyNumberFormat="1" applyFont="1" applyFill="1" applyBorder="1" applyAlignment="1">
      <alignment horizontal="center"/>
    </xf>
    <xf numFmtId="0" fontId="30" fillId="0" borderId="0" xfId="0" applyFont="1" applyFill="1" applyBorder="1"/>
    <xf numFmtId="2" fontId="30" fillId="0" borderId="1" xfId="0" applyNumberFormat="1" applyFont="1" applyFill="1" applyBorder="1" applyAlignment="1">
      <alignment horizontal="center"/>
    </xf>
    <xf numFmtId="4" fontId="30" fillId="0" borderId="1" xfId="0" applyNumberFormat="1" applyFont="1" applyFill="1" applyBorder="1" applyAlignment="1" applyProtection="1">
      <alignment horizontal="center"/>
      <protection locked="0"/>
    </xf>
    <xf numFmtId="10" fontId="30" fillId="0" borderId="0" xfId="128" applyNumberFormat="1" applyFont="1" applyFill="1"/>
    <xf numFmtId="10" fontId="30" fillId="0" borderId="1" xfId="0" applyNumberFormat="1" applyFont="1" applyFill="1" applyBorder="1" applyAlignment="1">
      <alignment horizontal="center"/>
    </xf>
    <xf numFmtId="0" fontId="30" fillId="0" borderId="3" xfId="0" applyFont="1" applyFill="1" applyBorder="1" applyAlignment="1">
      <alignment horizontal="center"/>
    </xf>
    <xf numFmtId="0" fontId="30" fillId="0" borderId="24" xfId="0" applyFont="1" applyFill="1" applyBorder="1"/>
    <xf numFmtId="0" fontId="30" fillId="0" borderId="4" xfId="0" applyFont="1" applyFill="1" applyBorder="1"/>
    <xf numFmtId="0" fontId="30" fillId="0" borderId="1" xfId="0" applyFont="1" applyFill="1" applyBorder="1" applyAlignment="1">
      <alignment vertical="center"/>
    </xf>
    <xf numFmtId="3" fontId="30" fillId="0" borderId="1" xfId="0" applyNumberFormat="1" applyFont="1" applyFill="1" applyBorder="1" applyAlignment="1" applyProtection="1">
      <protection locked="0"/>
    </xf>
    <xf numFmtId="169" fontId="30" fillId="0" borderId="1" xfId="0" applyNumberFormat="1" applyFont="1" applyFill="1" applyBorder="1" applyAlignment="1">
      <alignment horizontal="center"/>
    </xf>
    <xf numFmtId="169" fontId="30" fillId="0" borderId="1" xfId="127" applyNumberFormat="1" applyFont="1" applyFill="1" applyBorder="1" applyAlignment="1">
      <alignment horizontal="center"/>
    </xf>
    <xf numFmtId="43" fontId="30" fillId="0" borderId="1" xfId="127" applyNumberFormat="1" applyFont="1" applyFill="1" applyBorder="1" applyAlignment="1">
      <alignment horizontal="center"/>
    </xf>
    <xf numFmtId="2" fontId="30" fillId="0" borderId="1" xfId="128" applyNumberFormat="1" applyFont="1" applyFill="1" applyBorder="1" applyAlignment="1">
      <alignment horizontal="right"/>
    </xf>
    <xf numFmtId="9" fontId="30" fillId="0" borderId="1" xfId="128" applyFont="1" applyFill="1" applyBorder="1" applyAlignment="1">
      <alignment horizontal="right"/>
    </xf>
    <xf numFmtId="10" fontId="30" fillId="0" borderId="1" xfId="128" applyNumberFormat="1" applyFont="1" applyFill="1" applyBorder="1" applyAlignment="1">
      <alignment horizontal="right"/>
    </xf>
    <xf numFmtId="9" fontId="30" fillId="0" borderId="1" xfId="128" applyNumberFormat="1" applyFont="1" applyFill="1" applyBorder="1" applyAlignment="1">
      <alignment horizontal="right"/>
    </xf>
    <xf numFmtId="2" fontId="30" fillId="0" borderId="0" xfId="0" applyNumberFormat="1" applyFont="1" applyFill="1"/>
    <xf numFmtId="164" fontId="30" fillId="0" borderId="1" xfId="0" applyNumberFormat="1" applyFont="1" applyFill="1" applyBorder="1" applyAlignment="1">
      <alignment horizontal="center"/>
    </xf>
    <xf numFmtId="43" fontId="30" fillId="0" borderId="0" xfId="0" applyNumberFormat="1" applyFont="1" applyFill="1"/>
    <xf numFmtId="164" fontId="30" fillId="0" borderId="0" xfId="0" applyNumberFormat="1" applyFont="1" applyFill="1" applyAlignment="1">
      <alignment horizontal="center"/>
    </xf>
    <xf numFmtId="0" fontId="30" fillId="5" borderId="1" xfId="0" applyFont="1" applyFill="1" applyBorder="1"/>
    <xf numFmtId="0" fontId="30" fillId="5" borderId="1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1" fillId="2" borderId="1" xfId="0" applyFont="1" applyFill="1" applyBorder="1"/>
    <xf numFmtId="0" fontId="30" fillId="2" borderId="1" xfId="0" applyFont="1" applyFill="1" applyBorder="1"/>
    <xf numFmtId="0" fontId="30" fillId="2" borderId="1" xfId="0" applyFont="1" applyFill="1" applyBorder="1" applyAlignment="1">
      <alignment horizontal="center"/>
    </xf>
    <xf numFmtId="9" fontId="30" fillId="2" borderId="1" xfId="0" applyNumberFormat="1" applyFont="1" applyFill="1" applyBorder="1" applyAlignment="1">
      <alignment horizontal="center"/>
    </xf>
    <xf numFmtId="0" fontId="30" fillId="19" borderId="1" xfId="0" applyFont="1" applyFill="1" applyBorder="1" applyAlignment="1">
      <alignment horizontal="center"/>
    </xf>
    <xf numFmtId="0" fontId="30" fillId="19" borderId="1" xfId="0" applyFont="1" applyFill="1" applyBorder="1"/>
    <xf numFmtId="0" fontId="30" fillId="20" borderId="1" xfId="0" applyFont="1" applyFill="1" applyBorder="1" applyAlignment="1">
      <alignment horizontal="center"/>
    </xf>
    <xf numFmtId="0" fontId="30" fillId="20" borderId="1" xfId="0" applyFont="1" applyFill="1" applyBorder="1"/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3" fontId="3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0" fillId="0" borderId="1" xfId="127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6" borderId="0" xfId="17" applyFont="1" applyFill="1"/>
    <xf numFmtId="10" fontId="30" fillId="0" borderId="1" xfId="128" applyNumberFormat="1" applyFont="1" applyFill="1" applyBorder="1" applyAlignment="1">
      <alignment horizontal="center"/>
    </xf>
    <xf numFmtId="1" fontId="30" fillId="0" borderId="0" xfId="0" applyNumberFormat="1" applyFont="1" applyFill="1"/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7" fontId="30" fillId="0" borderId="1" xfId="0" quotePrefix="1" applyNumberFormat="1" applyFont="1" applyFill="1" applyBorder="1" applyAlignment="1" applyProtection="1">
      <alignment horizontal="center"/>
      <protection locked="0"/>
    </xf>
    <xf numFmtId="17" fontId="21" fillId="14" borderId="19" xfId="17" quotePrefix="1" applyNumberFormat="1" applyFont="1" applyFill="1" applyBorder="1" applyProtection="1">
      <protection locked="0"/>
    </xf>
    <xf numFmtId="0" fontId="11" fillId="0" borderId="1" xfId="0" applyFont="1" applyBorder="1" applyAlignment="1">
      <alignment horizontal="center" vertical="center"/>
    </xf>
    <xf numFmtId="17" fontId="30" fillId="0" borderId="1" xfId="0" quotePrefix="1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4" fontId="0" fillId="0" borderId="1" xfId="0" applyNumberFormat="1" applyBorder="1"/>
    <xf numFmtId="0" fontId="11" fillId="0" borderId="1" xfId="0" applyFont="1" applyBorder="1" applyAlignment="1">
      <alignment horizontal="center" vertical="center"/>
    </xf>
    <xf numFmtId="0" fontId="4" fillId="8" borderId="1" xfId="17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30" fillId="0" borderId="1" xfId="127" applyNumberFormat="1" applyFont="1" applyFill="1" applyBorder="1" applyAlignment="1">
      <alignment horizontal="center"/>
    </xf>
    <xf numFmtId="166" fontId="3" fillId="14" borderId="1" xfId="22" applyNumberFormat="1" applyFont="1" applyFill="1" applyBorder="1" applyProtection="1">
      <protection locked="0"/>
    </xf>
    <xf numFmtId="13" fontId="30" fillId="0" borderId="0" xfId="127" applyNumberFormat="1" applyFont="1" applyFill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3" fontId="2" fillId="6" borderId="0" xfId="17" applyNumberFormat="1" applyFont="1" applyFill="1"/>
    <xf numFmtId="166" fontId="1" fillId="14" borderId="1" xfId="22" applyNumberFormat="1" applyFont="1" applyFill="1" applyBorder="1" applyProtection="1">
      <protection locked="0"/>
    </xf>
    <xf numFmtId="4" fontId="30" fillId="0" borderId="1" xfId="0" applyNumberFormat="1" applyFont="1" applyFill="1" applyBorder="1" applyAlignment="1" applyProtection="1">
      <protection locked="0"/>
    </xf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3" fontId="30" fillId="0" borderId="1" xfId="0" applyNumberFormat="1" applyFont="1" applyBorder="1" applyAlignment="1">
      <alignment horizontal="center"/>
    </xf>
    <xf numFmtId="3" fontId="30" fillId="0" borderId="1" xfId="0" applyNumberFormat="1" applyFont="1" applyBorder="1" applyProtection="1">
      <protection locked="0"/>
    </xf>
    <xf numFmtId="43" fontId="30" fillId="0" borderId="1" xfId="0" applyNumberFormat="1" applyFont="1" applyFill="1" applyBorder="1" applyAlignment="1">
      <alignment horizontal="center"/>
    </xf>
    <xf numFmtId="164" fontId="30" fillId="0" borderId="0" xfId="0" applyNumberFormat="1" applyFont="1" applyFill="1"/>
    <xf numFmtId="4" fontId="0" fillId="0" borderId="3" xfId="0" applyNumberFormat="1" applyBorder="1" applyAlignment="1" applyProtection="1">
      <alignment horizontal="center"/>
    </xf>
    <xf numFmtId="4" fontId="0" fillId="0" borderId="4" xfId="0" applyNumberFormat="1" applyBorder="1" applyAlignment="1" applyProtection="1">
      <alignment horizontal="center"/>
    </xf>
    <xf numFmtId="10" fontId="0" fillId="0" borderId="3" xfId="0" applyNumberFormat="1" applyBorder="1" applyAlignment="1" applyProtection="1">
      <alignment horizontal="center"/>
    </xf>
    <xf numFmtId="10" fontId="0" fillId="0" borderId="4" xfId="0" applyNumberFormat="1" applyBorder="1" applyAlignment="1" applyProtection="1">
      <alignment horizontal="center"/>
    </xf>
    <xf numFmtId="4" fontId="0" fillId="18" borderId="3" xfId="0" applyNumberFormat="1" applyFill="1" applyBorder="1" applyAlignment="1">
      <alignment horizontal="center"/>
    </xf>
    <xf numFmtId="4" fontId="0" fillId="18" borderId="4" xfId="0" applyNumberFormat="1" applyFill="1" applyBorder="1" applyAlignment="1">
      <alignment horizontal="center"/>
    </xf>
    <xf numFmtId="4" fontId="0" fillId="18" borderId="3" xfId="0" applyNumberFormat="1" applyFill="1" applyBorder="1" applyAlignment="1" applyProtection="1">
      <alignment horizontal="center"/>
      <protection locked="0"/>
    </xf>
    <xf numFmtId="4" fontId="0" fillId="18" borderId="4" xfId="0" applyNumberFormat="1" applyFill="1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</xf>
    <xf numFmtId="3" fontId="0" fillId="0" borderId="4" xfId="0" applyNumberFormat="1" applyBorder="1" applyAlignment="1" applyProtection="1">
      <alignment horizontal="center"/>
    </xf>
    <xf numFmtId="3" fontId="0" fillId="18" borderId="3" xfId="0" applyNumberFormat="1" applyFill="1" applyBorder="1" applyAlignment="1" applyProtection="1">
      <alignment horizontal="center"/>
      <protection locked="0"/>
    </xf>
    <xf numFmtId="3" fontId="0" fillId="18" borderId="4" xfId="0" applyNumberFormat="1" applyFill="1" applyBorder="1" applyAlignment="1" applyProtection="1">
      <alignment horizontal="center"/>
      <protection locked="0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18" borderId="3" xfId="0" applyNumberFormat="1" applyFill="1" applyBorder="1" applyAlignment="1">
      <alignment horizontal="center"/>
    </xf>
    <xf numFmtId="3" fontId="0" fillId="18" borderId="4" xfId="0" applyNumberFormat="1" applyFill="1" applyBorder="1" applyAlignment="1">
      <alignment horizontal="center"/>
    </xf>
    <xf numFmtId="3" fontId="0" fillId="0" borderId="3" xfId="0" applyNumberFormat="1" applyFont="1" applyBorder="1" applyAlignment="1" applyProtection="1">
      <alignment horizontal="center"/>
    </xf>
    <xf numFmtId="3" fontId="0" fillId="0" borderId="4" xfId="0" applyNumberFormat="1" applyFont="1" applyBorder="1" applyAlignment="1" applyProtection="1">
      <alignment horizontal="center"/>
    </xf>
    <xf numFmtId="167" fontId="0" fillId="0" borderId="3" xfId="0" applyNumberFormat="1" applyBorder="1" applyAlignment="1" applyProtection="1">
      <alignment horizontal="center"/>
    </xf>
    <xf numFmtId="167" fontId="0" fillId="0" borderId="4" xfId="0" applyNumberFormat="1" applyBorder="1" applyAlignment="1" applyProtection="1">
      <alignment horizontal="center"/>
    </xf>
    <xf numFmtId="3" fontId="0" fillId="18" borderId="3" xfId="0" applyNumberFormat="1" applyFill="1" applyBorder="1" applyAlignment="1" applyProtection="1">
      <alignment horizontal="center"/>
    </xf>
    <xf numFmtId="3" fontId="0" fillId="18" borderId="4" xfId="0" applyNumberFormat="1" applyFill="1" applyBorder="1" applyAlignment="1" applyProtection="1">
      <alignment horizontal="center"/>
    </xf>
    <xf numFmtId="9" fontId="0" fillId="0" borderId="3" xfId="0" applyNumberFormat="1" applyBorder="1" applyAlignment="1" applyProtection="1">
      <alignment horizontal="center"/>
    </xf>
    <xf numFmtId="9" fontId="0" fillId="0" borderId="4" xfId="0" applyNumberFormat="1" applyBorder="1" applyAlignment="1" applyProtection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10" fontId="30" fillId="0" borderId="3" xfId="128" applyNumberFormat="1" applyFont="1" applyFill="1" applyBorder="1" applyAlignment="1" applyProtection="1">
      <alignment horizontal="center"/>
      <protection locked="0"/>
    </xf>
    <xf numFmtId="10" fontId="30" fillId="0" borderId="4" xfId="128" applyNumberFormat="1" applyFont="1" applyFill="1" applyBorder="1" applyAlignment="1" applyProtection="1">
      <alignment horizontal="center"/>
      <protection locked="0"/>
    </xf>
    <xf numFmtId="4" fontId="33" fillId="0" borderId="3" xfId="0" applyNumberFormat="1" applyFont="1" applyBorder="1" applyAlignment="1" applyProtection="1">
      <alignment horizontal="center"/>
      <protection locked="0"/>
    </xf>
    <xf numFmtId="4" fontId="33" fillId="0" borderId="4" xfId="0" applyNumberFormat="1" applyFont="1" applyBorder="1" applyAlignment="1" applyProtection="1">
      <alignment horizontal="center"/>
      <protection locked="0"/>
    </xf>
    <xf numFmtId="4" fontId="30" fillId="0" borderId="3" xfId="0" applyNumberFormat="1" applyFont="1" applyFill="1" applyBorder="1" applyAlignment="1" applyProtection="1">
      <alignment horizontal="center"/>
      <protection locked="0"/>
    </xf>
    <xf numFmtId="4" fontId="30" fillId="0" borderId="4" xfId="0" applyNumberFormat="1" applyFont="1" applyFill="1" applyBorder="1" applyAlignment="1" applyProtection="1">
      <alignment horizontal="center"/>
      <protection locked="0"/>
    </xf>
    <xf numFmtId="3" fontId="30" fillId="0" borderId="3" xfId="0" applyNumberFormat="1" applyFont="1" applyFill="1" applyBorder="1" applyAlignment="1" applyProtection="1">
      <alignment horizontal="center"/>
      <protection locked="0"/>
    </xf>
    <xf numFmtId="3" fontId="30" fillId="0" borderId="4" xfId="0" applyNumberFormat="1" applyFont="1" applyFill="1" applyBorder="1" applyAlignment="1" applyProtection="1">
      <alignment horizontal="center"/>
      <protection locked="0"/>
    </xf>
    <xf numFmtId="4" fontId="30" fillId="0" borderId="3" xfId="0" applyNumberFormat="1" applyFont="1" applyFill="1" applyBorder="1" applyAlignment="1">
      <alignment horizontal="center"/>
    </xf>
    <xf numFmtId="4" fontId="30" fillId="0" borderId="4" xfId="0" applyNumberFormat="1" applyFont="1" applyFill="1" applyBorder="1" applyAlignment="1">
      <alignment horizontal="center"/>
    </xf>
    <xf numFmtId="3" fontId="30" fillId="0" borderId="3" xfId="0" applyNumberFormat="1" applyFont="1" applyFill="1" applyBorder="1" applyAlignment="1">
      <alignment horizontal="center"/>
    </xf>
    <xf numFmtId="3" fontId="30" fillId="0" borderId="4" xfId="0" applyNumberFormat="1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167" fontId="30" fillId="0" borderId="3" xfId="0" applyNumberFormat="1" applyFont="1" applyFill="1" applyBorder="1" applyAlignment="1" applyProtection="1">
      <alignment horizontal="center"/>
      <protection locked="0"/>
    </xf>
    <xf numFmtId="167" fontId="30" fillId="0" borderId="4" xfId="0" applyNumberFormat="1" applyFont="1" applyFill="1" applyBorder="1" applyAlignment="1" applyProtection="1">
      <alignment horizontal="center"/>
      <protection locked="0"/>
    </xf>
    <xf numFmtId="10" fontId="30" fillId="0" borderId="3" xfId="0" applyNumberFormat="1" applyFont="1" applyFill="1" applyBorder="1" applyAlignment="1">
      <alignment horizontal="center"/>
    </xf>
    <xf numFmtId="10" fontId="30" fillId="0" borderId="4" xfId="0" applyNumberFormat="1" applyFont="1" applyFill="1" applyBorder="1" applyAlignment="1">
      <alignment horizontal="center"/>
    </xf>
    <xf numFmtId="2" fontId="30" fillId="0" borderId="3" xfId="0" applyNumberFormat="1" applyFont="1" applyFill="1" applyBorder="1" applyAlignment="1">
      <alignment horizontal="center"/>
    </xf>
    <xf numFmtId="2" fontId="30" fillId="0" borderId="4" xfId="0" applyNumberFormat="1" applyFont="1" applyFill="1" applyBorder="1" applyAlignment="1">
      <alignment horizontal="center"/>
    </xf>
    <xf numFmtId="4" fontId="30" fillId="0" borderId="3" xfId="0" applyNumberFormat="1" applyFont="1" applyFill="1" applyBorder="1" applyAlignment="1" applyProtection="1">
      <alignment horizontal="center"/>
    </xf>
    <xf numFmtId="4" fontId="30" fillId="0" borderId="4" xfId="0" applyNumberFormat="1" applyFont="1" applyFill="1" applyBorder="1" applyAlignment="1" applyProtection="1">
      <alignment horizontal="center"/>
    </xf>
    <xf numFmtId="3" fontId="30" fillId="0" borderId="3" xfId="0" applyNumberFormat="1" applyFont="1" applyFill="1" applyBorder="1" applyAlignment="1" applyProtection="1">
      <alignment horizontal="center"/>
    </xf>
    <xf numFmtId="3" fontId="30" fillId="0" borderId="4" xfId="0" applyNumberFormat="1" applyFont="1" applyFill="1" applyBorder="1" applyAlignment="1" applyProtection="1">
      <alignment horizontal="center"/>
    </xf>
    <xf numFmtId="9" fontId="30" fillId="0" borderId="3" xfId="0" applyNumberFormat="1" applyFont="1" applyFill="1" applyBorder="1" applyAlignment="1">
      <alignment horizontal="center"/>
    </xf>
    <xf numFmtId="9" fontId="30" fillId="0" borderId="4" xfId="0" applyNumberFormat="1" applyFont="1" applyFill="1" applyBorder="1" applyAlignment="1">
      <alignment horizontal="center"/>
    </xf>
    <xf numFmtId="164" fontId="30" fillId="0" borderId="3" xfId="127" applyFont="1" applyFill="1" applyBorder="1" applyAlignment="1"/>
    <xf numFmtId="164" fontId="30" fillId="0" borderId="4" xfId="127" applyFont="1" applyFill="1" applyBorder="1" applyAlignment="1"/>
    <xf numFmtId="1" fontId="30" fillId="0" borderId="3" xfId="0" applyNumberFormat="1" applyFont="1" applyFill="1" applyBorder="1" applyAlignment="1">
      <alignment horizontal="center"/>
    </xf>
    <xf numFmtId="1" fontId="30" fillId="0" borderId="4" xfId="0" applyNumberFormat="1" applyFont="1" applyFill="1" applyBorder="1" applyAlignment="1">
      <alignment horizontal="center"/>
    </xf>
    <xf numFmtId="1" fontId="30" fillId="0" borderId="3" xfId="0" applyNumberFormat="1" applyFont="1" applyFill="1" applyBorder="1" applyAlignment="1">
      <alignment horizontal="center" vertical="center" wrapText="1"/>
    </xf>
    <xf numFmtId="1" fontId="30" fillId="0" borderId="4" xfId="0" applyNumberFormat="1" applyFont="1" applyFill="1" applyBorder="1" applyAlignment="1">
      <alignment horizontal="center" vertical="center" wrapText="1"/>
    </xf>
    <xf numFmtId="10" fontId="30" fillId="0" borderId="3" xfId="128" applyNumberFormat="1" applyFont="1" applyFill="1" applyBorder="1" applyAlignment="1">
      <alignment horizontal="center"/>
    </xf>
    <xf numFmtId="10" fontId="30" fillId="0" borderId="4" xfId="128" applyNumberFormat="1" applyFont="1" applyFill="1" applyBorder="1" applyAlignment="1">
      <alignment horizontal="center"/>
    </xf>
    <xf numFmtId="9" fontId="30" fillId="0" borderId="3" xfId="0" applyNumberFormat="1" applyFont="1" applyFill="1" applyBorder="1" applyAlignment="1">
      <alignment horizontal="center" vertical="center"/>
    </xf>
    <xf numFmtId="9" fontId="30" fillId="0" borderId="4" xfId="0" applyNumberFormat="1" applyFont="1" applyFill="1" applyBorder="1" applyAlignment="1">
      <alignment horizontal="center" vertical="center"/>
    </xf>
    <xf numFmtId="43" fontId="30" fillId="0" borderId="3" xfId="128" applyNumberFormat="1" applyFont="1" applyFill="1" applyBorder="1" applyAlignment="1">
      <alignment horizontal="center"/>
    </xf>
    <xf numFmtId="9" fontId="30" fillId="0" borderId="4" xfId="128" applyFont="1" applyFill="1" applyBorder="1" applyAlignment="1">
      <alignment horizontal="center"/>
    </xf>
    <xf numFmtId="9" fontId="30" fillId="0" borderId="3" xfId="128" applyFont="1" applyFill="1" applyBorder="1" applyAlignment="1">
      <alignment horizontal="center"/>
    </xf>
    <xf numFmtId="10" fontId="30" fillId="0" borderId="3" xfId="0" applyNumberFormat="1" applyFont="1" applyFill="1" applyBorder="1" applyAlignment="1" applyProtection="1">
      <alignment horizontal="center"/>
      <protection locked="0"/>
    </xf>
    <xf numFmtId="10" fontId="30" fillId="0" borderId="4" xfId="0" applyNumberFormat="1" applyFont="1" applyFill="1" applyBorder="1" applyAlignment="1" applyProtection="1">
      <alignment horizontal="center"/>
      <protection locked="0"/>
    </xf>
    <xf numFmtId="0" fontId="22" fillId="8" borderId="1" xfId="17" applyFont="1" applyFill="1" applyBorder="1" applyAlignment="1">
      <alignment horizontal="left" indent="1"/>
    </xf>
    <xf numFmtId="0" fontId="28" fillId="9" borderId="19" xfId="17" applyFont="1" applyFill="1" applyBorder="1" applyAlignment="1" applyProtection="1">
      <alignment horizontal="left"/>
      <protection hidden="1"/>
    </xf>
    <xf numFmtId="0" fontId="28" fillId="9" borderId="0" xfId="17" applyFont="1" applyFill="1" applyBorder="1" applyAlignment="1" applyProtection="1">
      <alignment horizontal="left"/>
      <protection hidden="1"/>
    </xf>
    <xf numFmtId="0" fontId="21" fillId="15" borderId="20" xfId="17" applyFont="1" applyFill="1" applyBorder="1" applyAlignment="1">
      <alignment horizontal="center"/>
    </xf>
    <xf numFmtId="0" fontId="21" fillId="15" borderId="23" xfId="17" applyFont="1" applyFill="1" applyBorder="1" applyAlignment="1">
      <alignment horizontal="center"/>
    </xf>
    <xf numFmtId="0" fontId="22" fillId="7" borderId="1" xfId="17" applyFont="1" applyFill="1" applyBorder="1" applyAlignment="1">
      <alignment horizontal="left"/>
    </xf>
  </cellXfs>
  <cellStyles count="133">
    <cellStyle name="Comma" xfId="127" builtinId="3"/>
    <cellStyle name="Comma 2" xfId="19" xr:uid="{00000000-0005-0000-0000-000001000000}"/>
    <cellStyle name="Comma 2 2" xfId="130" xr:uid="{00000000-0005-0000-0000-000002000000}"/>
    <cellStyle name="Comma 3" xfId="22" xr:uid="{00000000-0005-0000-0000-000003000000}"/>
    <cellStyle name="Comma 3 2" xfId="132" xr:uid="{00000000-0005-0000-0000-000004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 2" xfId="20" xr:uid="{00000000-0005-0000-0000-00007D000000}"/>
    <cellStyle name="Normal" xfId="0" builtinId="0"/>
    <cellStyle name="Normal 2" xfId="17" xr:uid="{00000000-0005-0000-0000-00007F000000}"/>
    <cellStyle name="Normal 2 2" xfId="129" xr:uid="{00000000-0005-0000-0000-000080000000}"/>
    <cellStyle name="Percent" xfId="128" builtinId="5"/>
    <cellStyle name="Percent 2" xfId="18" xr:uid="{00000000-0005-0000-0000-000082000000}"/>
    <cellStyle name="Percent 3" xfId="21" xr:uid="{00000000-0005-0000-0000-000083000000}"/>
    <cellStyle name="Percent 3 2" xfId="131" xr:uid="{00000000-0005-0000-0000-000084000000}"/>
  </cellStyles>
  <dxfs count="0"/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an%20Luis/My%20Documents/Downloads/CMR%20FINANCIAL%20JANUAR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eport"/>
      <sheetName val="CMR"/>
      <sheetName val="Updated Formulas"/>
      <sheetName val="W.B. Input Data"/>
      <sheetName val="Water Balance"/>
    </sheetNames>
    <sheetDataSet>
      <sheetData sheetId="0" refreshError="1"/>
      <sheetData sheetId="1" refreshError="1">
        <row r="127">
          <cell r="F127">
            <v>5244.23</v>
          </cell>
        </row>
        <row r="128">
          <cell r="F128">
            <v>30378.6</v>
          </cell>
        </row>
        <row r="129">
          <cell r="F129">
            <v>20714.000000000015</v>
          </cell>
        </row>
        <row r="131">
          <cell r="F131">
            <v>-4676</v>
          </cell>
        </row>
        <row r="133">
          <cell r="F133">
            <v>95287.936600000001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16"/>
  <sheetViews>
    <sheetView zoomScale="75" zoomScaleNormal="75" zoomScalePageLayoutView="75" workbookViewId="0">
      <selection activeCell="G11" sqref="G11:H11"/>
    </sheetView>
  </sheetViews>
  <sheetFormatPr defaultColWidth="11" defaultRowHeight="15.75" x14ac:dyDescent="0.25"/>
  <cols>
    <col min="1" max="1" width="4.625" style="1" customWidth="1"/>
    <col min="2" max="2" width="2.25" customWidth="1"/>
    <col min="3" max="3" width="55.625" customWidth="1"/>
    <col min="4" max="4" width="10.5" style="1" customWidth="1"/>
    <col min="5" max="5" width="12" style="1" customWidth="1"/>
    <col min="6" max="6" width="11" style="1"/>
    <col min="7" max="7" width="12" style="1" customWidth="1"/>
    <col min="8" max="8" width="11" style="1"/>
    <col min="9" max="9" width="12" style="1" customWidth="1"/>
    <col min="10" max="10" width="11" style="1"/>
    <col min="11" max="11" width="12" style="1" customWidth="1"/>
    <col min="12" max="12" width="11" style="1"/>
    <col min="13" max="13" width="12" style="1" customWidth="1"/>
    <col min="14" max="14" width="11" style="1"/>
    <col min="15" max="15" width="12" style="1" customWidth="1"/>
    <col min="16" max="16" width="11" style="1"/>
    <col min="17" max="17" width="12" style="1" customWidth="1"/>
    <col min="18" max="18" width="11" style="1"/>
    <col min="19" max="19" width="12" style="1" customWidth="1"/>
    <col min="20" max="20" width="11" style="1"/>
    <col min="21" max="21" width="12" style="1" customWidth="1"/>
    <col min="22" max="22" width="11" style="1"/>
    <col min="23" max="23" width="12" style="1" customWidth="1"/>
    <col min="24" max="24" width="11" style="1"/>
    <col min="25" max="25" width="12" style="1" customWidth="1"/>
    <col min="26" max="26" width="11" style="1"/>
    <col min="27" max="27" width="12" style="1" customWidth="1"/>
    <col min="28" max="28" width="11" style="1"/>
    <col min="29" max="29" width="12" style="1" customWidth="1"/>
    <col min="30" max="30" width="11" style="1"/>
    <col min="31" max="31" width="12" style="1" customWidth="1"/>
    <col min="32" max="32" width="11" style="1"/>
    <col min="33" max="33" width="12" style="1" customWidth="1"/>
    <col min="34" max="34" width="11" style="1"/>
    <col min="35" max="35" width="12" style="1" customWidth="1"/>
    <col min="36" max="36" width="11" style="1"/>
    <col min="37" max="37" width="12" style="1" customWidth="1"/>
    <col min="38" max="38" width="11" style="1"/>
    <col min="39" max="39" width="12" style="1" customWidth="1"/>
    <col min="40" max="40" width="11" style="1"/>
    <col min="41" max="41" width="12" style="1" customWidth="1"/>
    <col min="42" max="42" width="11" style="1"/>
    <col min="43" max="43" width="12" style="1" customWidth="1"/>
    <col min="44" max="44" width="11" style="1"/>
    <col min="45" max="45" width="12" style="1" customWidth="1"/>
    <col min="46" max="46" width="11" style="1"/>
    <col min="47" max="47" width="12" style="1" customWidth="1"/>
    <col min="48" max="48" width="11" style="1"/>
    <col min="49" max="49" width="12" style="1" customWidth="1"/>
    <col min="50" max="50" width="11" style="1"/>
    <col min="51" max="51" width="12" style="1" customWidth="1"/>
    <col min="52" max="52" width="11" style="1"/>
    <col min="53" max="53" width="12" style="1" customWidth="1"/>
    <col min="54" max="54" width="11" style="1"/>
    <col min="55" max="55" width="12" style="1" customWidth="1"/>
    <col min="56" max="56" width="11" style="1"/>
    <col min="57" max="57" width="12" style="1" customWidth="1"/>
    <col min="58" max="58" width="11" style="1"/>
    <col min="59" max="59" width="12" style="1" customWidth="1"/>
    <col min="60" max="60" width="11" style="1"/>
    <col min="61" max="61" width="12" style="1" customWidth="1"/>
    <col min="62" max="62" width="11" style="1"/>
    <col min="63" max="63" width="12" style="1" customWidth="1"/>
    <col min="64" max="64" width="11" style="1"/>
    <col min="65" max="65" width="12" style="1" customWidth="1"/>
    <col min="66" max="66" width="11" style="1"/>
  </cols>
  <sheetData>
    <row r="1" spans="1:66" x14ac:dyDescent="0.25">
      <c r="A1" s="127" t="s">
        <v>558</v>
      </c>
      <c r="C1" s="126"/>
    </row>
    <row r="2" spans="1:66" x14ac:dyDescent="0.25">
      <c r="A2" s="127" t="s">
        <v>557</v>
      </c>
      <c r="C2" s="126"/>
    </row>
    <row r="3" spans="1:66" x14ac:dyDescent="0.25">
      <c r="A3" s="2"/>
      <c r="D3" s="130" t="s">
        <v>36</v>
      </c>
      <c r="E3" s="274" t="s">
        <v>356</v>
      </c>
      <c r="F3" s="274"/>
      <c r="G3" s="274" t="s">
        <v>357</v>
      </c>
      <c r="H3" s="274"/>
      <c r="I3" s="274" t="s">
        <v>358</v>
      </c>
      <c r="J3" s="274"/>
      <c r="K3" s="274" t="s">
        <v>359</v>
      </c>
      <c r="L3" s="274"/>
      <c r="M3" s="274" t="s">
        <v>360</v>
      </c>
      <c r="N3" s="274"/>
      <c r="O3" s="274" t="s">
        <v>361</v>
      </c>
      <c r="P3" s="274"/>
      <c r="Q3" s="274" t="s">
        <v>362</v>
      </c>
      <c r="R3" s="274"/>
      <c r="S3" s="274" t="s">
        <v>363</v>
      </c>
      <c r="T3" s="274"/>
      <c r="U3" s="274" t="s">
        <v>364</v>
      </c>
      <c r="V3" s="274"/>
      <c r="W3" s="274" t="s">
        <v>365</v>
      </c>
      <c r="X3" s="274"/>
      <c r="Y3" s="274" t="s">
        <v>366</v>
      </c>
      <c r="Z3" s="274"/>
      <c r="AA3" s="274" t="s">
        <v>367</v>
      </c>
      <c r="AB3" s="274"/>
      <c r="AC3" s="274" t="s">
        <v>368</v>
      </c>
      <c r="AD3" s="274"/>
      <c r="AE3" s="274" t="s">
        <v>369</v>
      </c>
      <c r="AF3" s="274"/>
      <c r="AG3" s="274" t="s">
        <v>370</v>
      </c>
      <c r="AH3" s="274"/>
      <c r="AI3" s="274" t="s">
        <v>371</v>
      </c>
      <c r="AJ3" s="274"/>
      <c r="AK3" s="274" t="s">
        <v>372</v>
      </c>
      <c r="AL3" s="274"/>
      <c r="AM3" s="274" t="s">
        <v>373</v>
      </c>
      <c r="AN3" s="274"/>
      <c r="AO3" s="274" t="s">
        <v>374</v>
      </c>
      <c r="AP3" s="274"/>
      <c r="AQ3" s="274" t="s">
        <v>375</v>
      </c>
      <c r="AR3" s="274"/>
      <c r="AS3" s="274" t="s">
        <v>376</v>
      </c>
      <c r="AT3" s="274"/>
      <c r="AU3" s="274" t="s">
        <v>377</v>
      </c>
      <c r="AV3" s="274"/>
      <c r="AW3" s="274" t="s">
        <v>378</v>
      </c>
      <c r="AX3" s="274"/>
      <c r="AY3" s="274" t="s">
        <v>379</v>
      </c>
      <c r="AZ3" s="274"/>
      <c r="BA3" s="274" t="s">
        <v>380</v>
      </c>
      <c r="BB3" s="274"/>
      <c r="BC3" s="274" t="s">
        <v>381</v>
      </c>
      <c r="BD3" s="274"/>
      <c r="BE3" s="274" t="s">
        <v>382</v>
      </c>
      <c r="BF3" s="274"/>
      <c r="BG3" s="274" t="s">
        <v>383</v>
      </c>
      <c r="BH3" s="274"/>
      <c r="BI3" s="274" t="s">
        <v>384</v>
      </c>
      <c r="BJ3" s="274"/>
      <c r="BK3" s="274" t="s">
        <v>385</v>
      </c>
      <c r="BL3" s="274"/>
      <c r="BM3" s="274" t="s">
        <v>386</v>
      </c>
      <c r="BN3" s="274"/>
    </row>
    <row r="4" spans="1:66" x14ac:dyDescent="0.25">
      <c r="A4" s="8" t="s">
        <v>3</v>
      </c>
      <c r="B4" s="9" t="s">
        <v>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spans="1:66" x14ac:dyDescent="0.25">
      <c r="A5" s="6" t="s">
        <v>4</v>
      </c>
      <c r="B5" s="5"/>
      <c r="C5" s="5" t="s">
        <v>2</v>
      </c>
      <c r="D5" s="6" t="s">
        <v>168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</row>
    <row r="6" spans="1:66" x14ac:dyDescent="0.25">
      <c r="A6" s="6" t="s">
        <v>5</v>
      </c>
      <c r="B6" s="5"/>
      <c r="C6" s="5" t="s">
        <v>260</v>
      </c>
      <c r="D6" s="6" t="s">
        <v>168</v>
      </c>
      <c r="E6" s="256"/>
      <c r="F6" s="257"/>
      <c r="G6" s="256"/>
      <c r="H6" s="257"/>
      <c r="I6" s="256"/>
      <c r="J6" s="257"/>
      <c r="K6" s="256"/>
      <c r="L6" s="257"/>
      <c r="M6" s="256"/>
      <c r="N6" s="257"/>
      <c r="O6" s="256"/>
      <c r="P6" s="257"/>
      <c r="Q6" s="256"/>
      <c r="R6" s="257"/>
      <c r="S6" s="256"/>
      <c r="T6" s="257"/>
      <c r="U6" s="256"/>
      <c r="V6" s="257"/>
      <c r="W6" s="256"/>
      <c r="X6" s="257"/>
      <c r="Y6" s="256"/>
      <c r="Z6" s="257"/>
      <c r="AA6" s="256"/>
      <c r="AB6" s="257"/>
      <c r="AC6" s="256"/>
      <c r="AD6" s="257"/>
      <c r="AE6" s="256"/>
      <c r="AF6" s="257"/>
      <c r="AG6" s="256"/>
      <c r="AH6" s="257"/>
      <c r="AI6" s="256"/>
      <c r="AJ6" s="257"/>
      <c r="AK6" s="256"/>
      <c r="AL6" s="257"/>
      <c r="AM6" s="256"/>
      <c r="AN6" s="257"/>
      <c r="AO6" s="256"/>
      <c r="AP6" s="257"/>
      <c r="AQ6" s="256"/>
      <c r="AR6" s="257"/>
      <c r="AS6" s="256"/>
      <c r="AT6" s="257"/>
      <c r="AU6" s="256"/>
      <c r="AV6" s="257"/>
      <c r="AW6" s="256"/>
      <c r="AX6" s="257"/>
      <c r="AY6" s="256"/>
      <c r="AZ6" s="257"/>
      <c r="BA6" s="256"/>
      <c r="BB6" s="257"/>
      <c r="BC6" s="256"/>
      <c r="BD6" s="257"/>
      <c r="BE6" s="256"/>
      <c r="BF6" s="257"/>
      <c r="BG6" s="256"/>
      <c r="BH6" s="257"/>
      <c r="BI6" s="256"/>
      <c r="BJ6" s="257"/>
      <c r="BK6" s="256"/>
      <c r="BL6" s="257"/>
      <c r="BM6" s="256"/>
      <c r="BN6" s="257"/>
    </row>
    <row r="7" spans="1:66" x14ac:dyDescent="0.25">
      <c r="A7" s="6" t="s">
        <v>6</v>
      </c>
      <c r="B7" s="5"/>
      <c r="C7" s="5" t="s">
        <v>261</v>
      </c>
      <c r="D7" s="6" t="s">
        <v>169</v>
      </c>
      <c r="E7" s="256"/>
      <c r="F7" s="257"/>
      <c r="G7" s="256"/>
      <c r="H7" s="257"/>
      <c r="I7" s="256"/>
      <c r="J7" s="257"/>
      <c r="K7" s="256"/>
      <c r="L7" s="257"/>
      <c r="M7" s="256"/>
      <c r="N7" s="257"/>
      <c r="O7" s="256"/>
      <c r="P7" s="257"/>
      <c r="Q7" s="256"/>
      <c r="R7" s="257"/>
      <c r="S7" s="256"/>
      <c r="T7" s="257"/>
      <c r="U7" s="256"/>
      <c r="V7" s="257"/>
      <c r="W7" s="256"/>
      <c r="X7" s="257"/>
      <c r="Y7" s="256"/>
      <c r="Z7" s="257"/>
      <c r="AA7" s="256"/>
      <c r="AB7" s="257"/>
      <c r="AC7" s="256"/>
      <c r="AD7" s="257"/>
      <c r="AE7" s="256"/>
      <c r="AF7" s="257"/>
      <c r="AG7" s="256"/>
      <c r="AH7" s="257"/>
      <c r="AI7" s="256"/>
      <c r="AJ7" s="257"/>
      <c r="AK7" s="256"/>
      <c r="AL7" s="257"/>
      <c r="AM7" s="256"/>
      <c r="AN7" s="257"/>
      <c r="AO7" s="256"/>
      <c r="AP7" s="257"/>
      <c r="AQ7" s="256"/>
      <c r="AR7" s="257"/>
      <c r="AS7" s="256"/>
      <c r="AT7" s="257"/>
      <c r="AU7" s="256"/>
      <c r="AV7" s="257"/>
      <c r="AW7" s="256"/>
      <c r="AX7" s="257"/>
      <c r="AY7" s="256"/>
      <c r="AZ7" s="257"/>
      <c r="BA7" s="256"/>
      <c r="BB7" s="257"/>
      <c r="BC7" s="256"/>
      <c r="BD7" s="257"/>
      <c r="BE7" s="256"/>
      <c r="BF7" s="257"/>
      <c r="BG7" s="256"/>
      <c r="BH7" s="257"/>
      <c r="BI7" s="256"/>
      <c r="BJ7" s="257"/>
      <c r="BK7" s="256"/>
      <c r="BL7" s="257"/>
      <c r="BM7" s="256"/>
      <c r="BN7" s="257"/>
    </row>
    <row r="8" spans="1:66" x14ac:dyDescent="0.25">
      <c r="A8" s="6" t="s">
        <v>19</v>
      </c>
      <c r="B8" s="5"/>
      <c r="C8" s="5" t="s">
        <v>256</v>
      </c>
      <c r="D8" s="6" t="s">
        <v>184</v>
      </c>
      <c r="E8" s="272"/>
      <c r="F8" s="273"/>
      <c r="G8" s="272"/>
      <c r="H8" s="273"/>
      <c r="I8" s="272"/>
      <c r="J8" s="273"/>
      <c r="K8" s="272"/>
      <c r="L8" s="273"/>
      <c r="M8" s="272"/>
      <c r="N8" s="273"/>
      <c r="O8" s="272"/>
      <c r="P8" s="273"/>
      <c r="Q8" s="272"/>
      <c r="R8" s="273"/>
      <c r="S8" s="272"/>
      <c r="T8" s="273"/>
      <c r="U8" s="272"/>
      <c r="V8" s="273"/>
      <c r="W8" s="272"/>
      <c r="X8" s="273"/>
      <c r="Y8" s="272"/>
      <c r="Z8" s="273"/>
      <c r="AA8" s="272"/>
      <c r="AB8" s="273"/>
      <c r="AC8" s="272"/>
      <c r="AD8" s="273"/>
      <c r="AE8" s="272"/>
      <c r="AF8" s="273"/>
      <c r="AG8" s="272"/>
      <c r="AH8" s="273"/>
      <c r="AI8" s="272"/>
      <c r="AJ8" s="273"/>
      <c r="AK8" s="272"/>
      <c r="AL8" s="273"/>
      <c r="AM8" s="272"/>
      <c r="AN8" s="273"/>
      <c r="AO8" s="272"/>
      <c r="AP8" s="273"/>
      <c r="AQ8" s="272"/>
      <c r="AR8" s="273"/>
      <c r="AS8" s="272"/>
      <c r="AT8" s="273"/>
      <c r="AU8" s="272"/>
      <c r="AV8" s="273"/>
      <c r="AW8" s="272"/>
      <c r="AX8" s="273"/>
      <c r="AY8" s="272"/>
      <c r="AZ8" s="273"/>
      <c r="BA8" s="272"/>
      <c r="BB8" s="273"/>
      <c r="BC8" s="272"/>
      <c r="BD8" s="273"/>
      <c r="BE8" s="272"/>
      <c r="BF8" s="273"/>
      <c r="BG8" s="272"/>
      <c r="BH8" s="273"/>
      <c r="BI8" s="272"/>
      <c r="BJ8" s="273"/>
      <c r="BK8" s="272"/>
      <c r="BL8" s="273"/>
      <c r="BM8" s="272"/>
      <c r="BN8" s="273"/>
    </row>
    <row r="9" spans="1:66" x14ac:dyDescent="0.25">
      <c r="A9" s="6" t="s">
        <v>20</v>
      </c>
      <c r="B9" s="5"/>
      <c r="C9" s="17" t="s">
        <v>8</v>
      </c>
      <c r="D9" s="6" t="s">
        <v>171</v>
      </c>
      <c r="E9" s="256"/>
      <c r="F9" s="257"/>
      <c r="G9" s="256"/>
      <c r="H9" s="257"/>
      <c r="I9" s="256"/>
      <c r="J9" s="257"/>
      <c r="K9" s="256"/>
      <c r="L9" s="257"/>
      <c r="M9" s="256"/>
      <c r="N9" s="257"/>
      <c r="O9" s="256"/>
      <c r="P9" s="257"/>
      <c r="Q9" s="256"/>
      <c r="R9" s="257"/>
      <c r="S9" s="256"/>
      <c r="T9" s="257"/>
      <c r="U9" s="256"/>
      <c r="V9" s="257"/>
      <c r="W9" s="256"/>
      <c r="X9" s="257"/>
      <c r="Y9" s="256"/>
      <c r="Z9" s="257"/>
      <c r="AA9" s="256"/>
      <c r="AB9" s="257"/>
      <c r="AC9" s="256"/>
      <c r="AD9" s="257"/>
      <c r="AE9" s="256"/>
      <c r="AF9" s="257"/>
      <c r="AG9" s="256"/>
      <c r="AH9" s="257"/>
      <c r="AI9" s="256"/>
      <c r="AJ9" s="257"/>
      <c r="AK9" s="256"/>
      <c r="AL9" s="257"/>
      <c r="AM9" s="256"/>
      <c r="AN9" s="257"/>
      <c r="AO9" s="256"/>
      <c r="AP9" s="257"/>
      <c r="AQ9" s="256"/>
      <c r="AR9" s="257"/>
      <c r="AS9" s="256"/>
      <c r="AT9" s="257"/>
      <c r="AU9" s="256"/>
      <c r="AV9" s="257"/>
      <c r="AW9" s="256"/>
      <c r="AX9" s="257"/>
      <c r="AY9" s="256"/>
      <c r="AZ9" s="257"/>
      <c r="BA9" s="256"/>
      <c r="BB9" s="257"/>
      <c r="BC9" s="256"/>
      <c r="BD9" s="257"/>
      <c r="BE9" s="256"/>
      <c r="BF9" s="257"/>
      <c r="BG9" s="256"/>
      <c r="BH9" s="257"/>
      <c r="BI9" s="256"/>
      <c r="BJ9" s="257"/>
      <c r="BK9" s="256"/>
      <c r="BL9" s="257"/>
      <c r="BM9" s="256"/>
      <c r="BN9" s="257"/>
    </row>
    <row r="10" spans="1:66" x14ac:dyDescent="0.25">
      <c r="A10" s="6" t="s">
        <v>21</v>
      </c>
      <c r="B10" s="5"/>
      <c r="C10" s="5" t="s">
        <v>9</v>
      </c>
      <c r="D10" s="6" t="s">
        <v>171</v>
      </c>
      <c r="E10" s="256"/>
      <c r="F10" s="257"/>
      <c r="G10" s="256"/>
      <c r="H10" s="257"/>
      <c r="I10" s="256"/>
      <c r="J10" s="257"/>
      <c r="K10" s="256"/>
      <c r="L10" s="257"/>
      <c r="M10" s="256"/>
      <c r="N10" s="257"/>
      <c r="O10" s="256"/>
      <c r="P10" s="257"/>
      <c r="Q10" s="256"/>
      <c r="R10" s="257"/>
      <c r="S10" s="256"/>
      <c r="T10" s="257"/>
      <c r="U10" s="256"/>
      <c r="V10" s="257"/>
      <c r="W10" s="256"/>
      <c r="X10" s="257"/>
      <c r="Y10" s="256"/>
      <c r="Z10" s="257"/>
      <c r="AA10" s="256"/>
      <c r="AB10" s="257"/>
      <c r="AC10" s="256"/>
      <c r="AD10" s="257"/>
      <c r="AE10" s="256"/>
      <c r="AF10" s="257"/>
      <c r="AG10" s="256"/>
      <c r="AH10" s="257"/>
      <c r="AI10" s="256"/>
      <c r="AJ10" s="257"/>
      <c r="AK10" s="256"/>
      <c r="AL10" s="257"/>
      <c r="AM10" s="256"/>
      <c r="AN10" s="257"/>
      <c r="AO10" s="256"/>
      <c r="AP10" s="257"/>
      <c r="AQ10" s="256"/>
      <c r="AR10" s="257"/>
      <c r="AS10" s="256"/>
      <c r="AT10" s="257"/>
      <c r="AU10" s="256"/>
      <c r="AV10" s="257"/>
      <c r="AW10" s="256"/>
      <c r="AX10" s="257"/>
      <c r="AY10" s="256"/>
      <c r="AZ10" s="257"/>
      <c r="BA10" s="256"/>
      <c r="BB10" s="257"/>
      <c r="BC10" s="256"/>
      <c r="BD10" s="257"/>
      <c r="BE10" s="256"/>
      <c r="BF10" s="257"/>
      <c r="BG10" s="256"/>
      <c r="BH10" s="257"/>
      <c r="BI10" s="256"/>
      <c r="BJ10" s="257"/>
      <c r="BK10" s="256"/>
      <c r="BL10" s="257"/>
      <c r="BM10" s="256"/>
      <c r="BN10" s="257"/>
    </row>
    <row r="11" spans="1:66" x14ac:dyDescent="0.25">
      <c r="A11" s="6" t="s">
        <v>22</v>
      </c>
      <c r="B11" s="5"/>
      <c r="C11" s="124" t="s">
        <v>10</v>
      </c>
      <c r="D11" s="125" t="s">
        <v>171</v>
      </c>
      <c r="E11" s="258"/>
      <c r="F11" s="259"/>
      <c r="G11" s="258"/>
      <c r="H11" s="259"/>
      <c r="I11" s="258"/>
      <c r="J11" s="259"/>
      <c r="K11" s="258"/>
      <c r="L11" s="259"/>
      <c r="M11" s="258"/>
      <c r="N11" s="259"/>
      <c r="O11" s="258"/>
      <c r="P11" s="259"/>
      <c r="Q11" s="258"/>
      <c r="R11" s="259"/>
      <c r="S11" s="258"/>
      <c r="T11" s="259"/>
      <c r="U11" s="258"/>
      <c r="V11" s="259"/>
      <c r="W11" s="258"/>
      <c r="X11" s="259"/>
      <c r="Y11" s="258"/>
      <c r="Z11" s="259"/>
      <c r="AA11" s="258"/>
      <c r="AB11" s="259"/>
      <c r="AC11" s="258"/>
      <c r="AD11" s="259"/>
      <c r="AE11" s="258"/>
      <c r="AF11" s="259"/>
      <c r="AG11" s="258"/>
      <c r="AH11" s="259"/>
      <c r="AI11" s="258"/>
      <c r="AJ11" s="259"/>
      <c r="AK11" s="258"/>
      <c r="AL11" s="259"/>
      <c r="AM11" s="258"/>
      <c r="AN11" s="259"/>
      <c r="AO11" s="258"/>
      <c r="AP11" s="259"/>
      <c r="AQ11" s="258"/>
      <c r="AR11" s="259"/>
      <c r="AS11" s="258"/>
      <c r="AT11" s="259"/>
      <c r="AU11" s="258"/>
      <c r="AV11" s="259"/>
      <c r="AW11" s="258"/>
      <c r="AX11" s="259"/>
      <c r="AY11" s="258"/>
      <c r="AZ11" s="259"/>
      <c r="BA11" s="258"/>
      <c r="BB11" s="259"/>
      <c r="BC11" s="258"/>
      <c r="BD11" s="259"/>
      <c r="BE11" s="258"/>
      <c r="BF11" s="259"/>
      <c r="BG11" s="258"/>
      <c r="BH11" s="259"/>
      <c r="BI11" s="258"/>
      <c r="BJ11" s="259"/>
      <c r="BK11" s="258"/>
      <c r="BL11" s="259"/>
      <c r="BM11" s="258"/>
      <c r="BN11" s="259"/>
    </row>
    <row r="12" spans="1:66" x14ac:dyDescent="0.25">
      <c r="A12" s="6" t="s">
        <v>23</v>
      </c>
      <c r="B12" s="5" t="s">
        <v>210</v>
      </c>
      <c r="C12" s="124" t="s">
        <v>11</v>
      </c>
      <c r="D12" s="125" t="s">
        <v>171</v>
      </c>
      <c r="E12" s="258"/>
      <c r="F12" s="259"/>
      <c r="G12" s="258"/>
      <c r="H12" s="259"/>
      <c r="I12" s="258"/>
      <c r="J12" s="259"/>
      <c r="K12" s="258"/>
      <c r="L12" s="259"/>
      <c r="M12" s="258"/>
      <c r="N12" s="259"/>
      <c r="O12" s="258"/>
      <c r="P12" s="259"/>
      <c r="Q12" s="258"/>
      <c r="R12" s="259"/>
      <c r="S12" s="258"/>
      <c r="T12" s="259"/>
      <c r="U12" s="258"/>
      <c r="V12" s="259"/>
      <c r="W12" s="258"/>
      <c r="X12" s="259"/>
      <c r="Y12" s="258"/>
      <c r="Z12" s="259"/>
      <c r="AA12" s="258"/>
      <c r="AB12" s="259"/>
      <c r="AC12" s="258"/>
      <c r="AD12" s="259"/>
      <c r="AE12" s="258"/>
      <c r="AF12" s="259"/>
      <c r="AG12" s="258"/>
      <c r="AH12" s="259"/>
      <c r="AI12" s="258"/>
      <c r="AJ12" s="259"/>
      <c r="AK12" s="258"/>
      <c r="AL12" s="259"/>
      <c r="AM12" s="258"/>
      <c r="AN12" s="259"/>
      <c r="AO12" s="258"/>
      <c r="AP12" s="259"/>
      <c r="AQ12" s="258"/>
      <c r="AR12" s="259"/>
      <c r="AS12" s="258"/>
      <c r="AT12" s="259"/>
      <c r="AU12" s="258"/>
      <c r="AV12" s="259"/>
      <c r="AW12" s="258"/>
      <c r="AX12" s="259"/>
      <c r="AY12" s="258"/>
      <c r="AZ12" s="259"/>
      <c r="BA12" s="258"/>
      <c r="BB12" s="259"/>
      <c r="BC12" s="258"/>
      <c r="BD12" s="259"/>
      <c r="BE12" s="258"/>
      <c r="BF12" s="259"/>
      <c r="BG12" s="258"/>
      <c r="BH12" s="259"/>
      <c r="BI12" s="258"/>
      <c r="BJ12" s="259"/>
      <c r="BK12" s="258"/>
      <c r="BL12" s="259"/>
      <c r="BM12" s="258"/>
      <c r="BN12" s="259"/>
    </row>
    <row r="13" spans="1:66" x14ac:dyDescent="0.25">
      <c r="A13" s="6" t="s">
        <v>24</v>
      </c>
      <c r="B13" s="5" t="s">
        <v>211</v>
      </c>
      <c r="C13" s="124" t="s">
        <v>12</v>
      </c>
      <c r="D13" s="125" t="s">
        <v>171</v>
      </c>
      <c r="E13" s="270"/>
      <c r="F13" s="271"/>
      <c r="G13" s="270"/>
      <c r="H13" s="271"/>
      <c r="I13" s="270"/>
      <c r="J13" s="271"/>
      <c r="K13" s="270"/>
      <c r="L13" s="271"/>
      <c r="M13" s="270"/>
      <c r="N13" s="271"/>
      <c r="O13" s="270"/>
      <c r="P13" s="271"/>
      <c r="Q13" s="270"/>
      <c r="R13" s="271"/>
      <c r="S13" s="270"/>
      <c r="T13" s="271"/>
      <c r="U13" s="270"/>
      <c r="V13" s="271"/>
      <c r="W13" s="270"/>
      <c r="X13" s="271"/>
      <c r="Y13" s="270"/>
      <c r="Z13" s="271"/>
      <c r="AA13" s="270"/>
      <c r="AB13" s="271"/>
      <c r="AC13" s="270"/>
      <c r="AD13" s="271"/>
      <c r="AE13" s="270"/>
      <c r="AF13" s="271"/>
      <c r="AG13" s="270"/>
      <c r="AH13" s="271"/>
      <c r="AI13" s="270"/>
      <c r="AJ13" s="271"/>
      <c r="AK13" s="270"/>
      <c r="AL13" s="271"/>
      <c r="AM13" s="270"/>
      <c r="AN13" s="271"/>
      <c r="AO13" s="270"/>
      <c r="AP13" s="271"/>
      <c r="AQ13" s="270"/>
      <c r="AR13" s="271"/>
      <c r="AS13" s="270"/>
      <c r="AT13" s="271"/>
      <c r="AU13" s="270"/>
      <c r="AV13" s="271"/>
      <c r="AW13" s="270"/>
      <c r="AX13" s="271"/>
      <c r="AY13" s="270"/>
      <c r="AZ13" s="271"/>
      <c r="BA13" s="270"/>
      <c r="BB13" s="271"/>
      <c r="BC13" s="270"/>
      <c r="BD13" s="271"/>
      <c r="BE13" s="270"/>
      <c r="BF13" s="271"/>
      <c r="BG13" s="270"/>
      <c r="BH13" s="271"/>
      <c r="BI13" s="270"/>
      <c r="BJ13" s="271"/>
      <c r="BK13" s="270"/>
      <c r="BL13" s="271"/>
      <c r="BM13" s="270"/>
      <c r="BN13" s="271"/>
    </row>
    <row r="14" spans="1:66" x14ac:dyDescent="0.25">
      <c r="A14" s="6" t="s">
        <v>25</v>
      </c>
      <c r="B14" s="5" t="s">
        <v>212</v>
      </c>
      <c r="C14" s="124" t="s">
        <v>215</v>
      </c>
      <c r="D14" s="125" t="s">
        <v>171</v>
      </c>
      <c r="E14" s="258"/>
      <c r="F14" s="259"/>
      <c r="G14" s="258"/>
      <c r="H14" s="259"/>
      <c r="I14" s="258"/>
      <c r="J14" s="259"/>
      <c r="K14" s="258"/>
      <c r="L14" s="259"/>
      <c r="M14" s="258"/>
      <c r="N14" s="259"/>
      <c r="O14" s="258"/>
      <c r="P14" s="259"/>
      <c r="Q14" s="258"/>
      <c r="R14" s="259"/>
      <c r="S14" s="258"/>
      <c r="T14" s="259"/>
      <c r="U14" s="258"/>
      <c r="V14" s="259"/>
      <c r="W14" s="258"/>
      <c r="X14" s="259"/>
      <c r="Y14" s="258"/>
      <c r="Z14" s="259"/>
      <c r="AA14" s="258"/>
      <c r="AB14" s="259"/>
      <c r="AC14" s="258"/>
      <c r="AD14" s="259"/>
      <c r="AE14" s="258"/>
      <c r="AF14" s="259"/>
      <c r="AG14" s="258"/>
      <c r="AH14" s="259"/>
      <c r="AI14" s="258"/>
      <c r="AJ14" s="259"/>
      <c r="AK14" s="258"/>
      <c r="AL14" s="259"/>
      <c r="AM14" s="258"/>
      <c r="AN14" s="259"/>
      <c r="AO14" s="258"/>
      <c r="AP14" s="259"/>
      <c r="AQ14" s="258"/>
      <c r="AR14" s="259"/>
      <c r="AS14" s="258"/>
      <c r="AT14" s="259"/>
      <c r="AU14" s="258"/>
      <c r="AV14" s="259"/>
      <c r="AW14" s="258"/>
      <c r="AX14" s="259"/>
      <c r="AY14" s="258"/>
      <c r="AZ14" s="259"/>
      <c r="BA14" s="258"/>
      <c r="BB14" s="259"/>
      <c r="BC14" s="258"/>
      <c r="BD14" s="259"/>
      <c r="BE14" s="258"/>
      <c r="BF14" s="259"/>
      <c r="BG14" s="258"/>
      <c r="BH14" s="259"/>
      <c r="BI14" s="258"/>
      <c r="BJ14" s="259"/>
      <c r="BK14" s="258"/>
      <c r="BL14" s="259"/>
      <c r="BM14" s="258"/>
      <c r="BN14" s="259"/>
    </row>
    <row r="15" spans="1:66" x14ac:dyDescent="0.25">
      <c r="A15" s="6" t="s">
        <v>26</v>
      </c>
      <c r="B15" s="5" t="s">
        <v>211</v>
      </c>
      <c r="C15" s="124" t="s">
        <v>213</v>
      </c>
      <c r="D15" s="125" t="s">
        <v>171</v>
      </c>
      <c r="E15" s="264"/>
      <c r="F15" s="265"/>
      <c r="G15" s="264"/>
      <c r="H15" s="265"/>
      <c r="I15" s="264"/>
      <c r="J15" s="265"/>
      <c r="K15" s="264"/>
      <c r="L15" s="265"/>
      <c r="M15" s="264"/>
      <c r="N15" s="265"/>
      <c r="O15" s="264"/>
      <c r="P15" s="265"/>
      <c r="Q15" s="264"/>
      <c r="R15" s="265"/>
      <c r="S15" s="264"/>
      <c r="T15" s="265"/>
      <c r="U15" s="264"/>
      <c r="V15" s="265"/>
      <c r="W15" s="264"/>
      <c r="X15" s="265"/>
      <c r="Y15" s="264"/>
      <c r="Z15" s="265"/>
      <c r="AA15" s="264"/>
      <c r="AB15" s="265"/>
      <c r="AC15" s="264"/>
      <c r="AD15" s="265"/>
      <c r="AE15" s="264"/>
      <c r="AF15" s="265"/>
      <c r="AG15" s="264"/>
      <c r="AH15" s="265"/>
      <c r="AI15" s="264"/>
      <c r="AJ15" s="265"/>
      <c r="AK15" s="264"/>
      <c r="AL15" s="265"/>
      <c r="AM15" s="264"/>
      <c r="AN15" s="265"/>
      <c r="AO15" s="264"/>
      <c r="AP15" s="265"/>
      <c r="AQ15" s="264"/>
      <c r="AR15" s="265"/>
      <c r="AS15" s="264"/>
      <c r="AT15" s="265"/>
      <c r="AU15" s="264"/>
      <c r="AV15" s="265"/>
      <c r="AW15" s="264"/>
      <c r="AX15" s="265"/>
      <c r="AY15" s="264"/>
      <c r="AZ15" s="265"/>
      <c r="BA15" s="264"/>
      <c r="BB15" s="265"/>
      <c r="BC15" s="264"/>
      <c r="BD15" s="265"/>
      <c r="BE15" s="264"/>
      <c r="BF15" s="265"/>
      <c r="BG15" s="264"/>
      <c r="BH15" s="265"/>
      <c r="BI15" s="264"/>
      <c r="BJ15" s="265"/>
      <c r="BK15" s="264"/>
      <c r="BL15" s="265"/>
      <c r="BM15" s="264"/>
      <c r="BN15" s="265"/>
    </row>
    <row r="16" spans="1:66" x14ac:dyDescent="0.25">
      <c r="A16" s="6" t="s">
        <v>27</v>
      </c>
      <c r="B16" s="5"/>
      <c r="C16" s="124" t="s">
        <v>13</v>
      </c>
      <c r="D16" s="125" t="s">
        <v>171</v>
      </c>
      <c r="E16" s="258"/>
      <c r="F16" s="259"/>
      <c r="G16" s="258"/>
      <c r="H16" s="259"/>
      <c r="I16" s="258"/>
      <c r="J16" s="259"/>
      <c r="K16" s="258"/>
      <c r="L16" s="259"/>
      <c r="M16" s="258"/>
      <c r="N16" s="259"/>
      <c r="O16" s="258"/>
      <c r="P16" s="259"/>
      <c r="Q16" s="258"/>
      <c r="R16" s="259"/>
      <c r="S16" s="258"/>
      <c r="T16" s="259"/>
      <c r="U16" s="258"/>
      <c r="V16" s="259"/>
      <c r="W16" s="258"/>
      <c r="X16" s="259"/>
      <c r="Y16" s="258"/>
      <c r="Z16" s="259"/>
      <c r="AA16" s="258"/>
      <c r="AB16" s="259"/>
      <c r="AC16" s="258"/>
      <c r="AD16" s="259"/>
      <c r="AE16" s="258"/>
      <c r="AF16" s="259"/>
      <c r="AG16" s="258"/>
      <c r="AH16" s="259"/>
      <c r="AI16" s="258"/>
      <c r="AJ16" s="259"/>
      <c r="AK16" s="258"/>
      <c r="AL16" s="259"/>
      <c r="AM16" s="258"/>
      <c r="AN16" s="259"/>
      <c r="AO16" s="258"/>
      <c r="AP16" s="259"/>
      <c r="AQ16" s="258"/>
      <c r="AR16" s="259"/>
      <c r="AS16" s="258"/>
      <c r="AT16" s="259"/>
      <c r="AU16" s="258"/>
      <c r="AV16" s="259"/>
      <c r="AW16" s="258"/>
      <c r="AX16" s="259"/>
      <c r="AY16" s="258"/>
      <c r="AZ16" s="259"/>
      <c r="BA16" s="258"/>
      <c r="BB16" s="259"/>
      <c r="BC16" s="258"/>
      <c r="BD16" s="259"/>
      <c r="BE16" s="258"/>
      <c r="BF16" s="259"/>
      <c r="BG16" s="258"/>
      <c r="BH16" s="259"/>
      <c r="BI16" s="258"/>
      <c r="BJ16" s="259"/>
      <c r="BK16" s="258"/>
      <c r="BL16" s="259"/>
      <c r="BM16" s="258"/>
      <c r="BN16" s="259"/>
    </row>
    <row r="17" spans="1:66" x14ac:dyDescent="0.25">
      <c r="A17" s="6" t="s">
        <v>28</v>
      </c>
      <c r="B17" s="5"/>
      <c r="C17" s="124" t="s">
        <v>14</v>
      </c>
      <c r="D17" s="125" t="s">
        <v>171</v>
      </c>
      <c r="E17" s="258"/>
      <c r="F17" s="259"/>
      <c r="G17" s="258"/>
      <c r="H17" s="259"/>
      <c r="I17" s="258"/>
      <c r="J17" s="259"/>
      <c r="K17" s="258"/>
      <c r="L17" s="259"/>
      <c r="M17" s="258"/>
      <c r="N17" s="259"/>
      <c r="O17" s="258"/>
      <c r="P17" s="259"/>
      <c r="Q17" s="258"/>
      <c r="R17" s="259"/>
      <c r="S17" s="258"/>
      <c r="T17" s="259"/>
      <c r="U17" s="258"/>
      <c r="V17" s="259"/>
      <c r="W17" s="258"/>
      <c r="X17" s="259"/>
      <c r="Y17" s="258"/>
      <c r="Z17" s="259"/>
      <c r="AA17" s="258"/>
      <c r="AB17" s="259"/>
      <c r="AC17" s="258"/>
      <c r="AD17" s="259"/>
      <c r="AE17" s="258"/>
      <c r="AF17" s="259"/>
      <c r="AG17" s="258"/>
      <c r="AH17" s="259"/>
      <c r="AI17" s="258"/>
      <c r="AJ17" s="259"/>
      <c r="AK17" s="258"/>
      <c r="AL17" s="259"/>
      <c r="AM17" s="258"/>
      <c r="AN17" s="259"/>
      <c r="AO17" s="258"/>
      <c r="AP17" s="259"/>
      <c r="AQ17" s="258"/>
      <c r="AR17" s="259"/>
      <c r="AS17" s="258"/>
      <c r="AT17" s="259"/>
      <c r="AU17" s="258"/>
      <c r="AV17" s="259"/>
      <c r="AW17" s="258"/>
      <c r="AX17" s="259"/>
      <c r="AY17" s="258"/>
      <c r="AZ17" s="259"/>
      <c r="BA17" s="258"/>
      <c r="BB17" s="259"/>
      <c r="BC17" s="258"/>
      <c r="BD17" s="259"/>
      <c r="BE17" s="258"/>
      <c r="BF17" s="259"/>
      <c r="BG17" s="258"/>
      <c r="BH17" s="259"/>
      <c r="BI17" s="258"/>
      <c r="BJ17" s="259"/>
      <c r="BK17" s="258"/>
      <c r="BL17" s="259"/>
      <c r="BM17" s="258"/>
      <c r="BN17" s="259"/>
    </row>
    <row r="18" spans="1:66" x14ac:dyDescent="0.25">
      <c r="A18" s="6" t="s">
        <v>29</v>
      </c>
      <c r="B18" s="5"/>
      <c r="C18" s="124" t="s">
        <v>17</v>
      </c>
      <c r="D18" s="125" t="s">
        <v>170</v>
      </c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</row>
    <row r="19" spans="1:66" x14ac:dyDescent="0.25">
      <c r="A19" s="6" t="s">
        <v>30</v>
      </c>
      <c r="B19" s="5"/>
      <c r="C19" s="124" t="s">
        <v>16</v>
      </c>
      <c r="D19" s="125" t="s">
        <v>170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</row>
    <row r="20" spans="1:66" x14ac:dyDescent="0.25">
      <c r="A20" s="6" t="s">
        <v>214</v>
      </c>
      <c r="B20" s="5"/>
      <c r="C20" s="124" t="s">
        <v>15</v>
      </c>
      <c r="D20" s="125" t="s">
        <v>170</v>
      </c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</row>
    <row r="21" spans="1:66" x14ac:dyDescent="0.25">
      <c r="A21" s="6" t="s">
        <v>255</v>
      </c>
      <c r="B21" s="5"/>
      <c r="C21" s="124" t="s">
        <v>398</v>
      </c>
      <c r="D21" s="125" t="s">
        <v>170</v>
      </c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</row>
    <row r="22" spans="1:66" x14ac:dyDescent="0.25">
      <c r="A22" s="6" t="s">
        <v>255</v>
      </c>
      <c r="B22" s="5"/>
      <c r="C22" s="124" t="s">
        <v>18</v>
      </c>
      <c r="D22" s="125" t="s">
        <v>170</v>
      </c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</row>
    <row r="23" spans="1:66" x14ac:dyDescent="0.25">
      <c r="A23" s="6" t="s">
        <v>397</v>
      </c>
      <c r="B23" s="5"/>
      <c r="C23" s="5" t="s">
        <v>399</v>
      </c>
      <c r="D23" s="6" t="s">
        <v>339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</row>
    <row r="24" spans="1:66" x14ac:dyDescent="0.25">
      <c r="A24" s="12" t="s">
        <v>31</v>
      </c>
      <c r="B24" s="13" t="s">
        <v>188</v>
      </c>
      <c r="C24" s="14"/>
      <c r="D24" s="15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</row>
    <row r="25" spans="1:66" x14ac:dyDescent="0.25">
      <c r="A25" s="6" t="s">
        <v>32</v>
      </c>
      <c r="B25" s="5"/>
      <c r="C25" s="5" t="s">
        <v>39</v>
      </c>
      <c r="D25" s="6" t="s">
        <v>172</v>
      </c>
      <c r="E25" s="256"/>
      <c r="F25" s="257"/>
      <c r="G25" s="256"/>
      <c r="H25" s="257"/>
      <c r="I25" s="256"/>
      <c r="J25" s="257"/>
      <c r="K25" s="256"/>
      <c r="L25" s="257"/>
      <c r="M25" s="256"/>
      <c r="N25" s="257"/>
      <c r="O25" s="256"/>
      <c r="P25" s="257"/>
      <c r="Q25" s="256"/>
      <c r="R25" s="257"/>
      <c r="S25" s="256"/>
      <c r="T25" s="257"/>
      <c r="U25" s="256"/>
      <c r="V25" s="257"/>
      <c r="W25" s="256"/>
      <c r="X25" s="257"/>
      <c r="Y25" s="256"/>
      <c r="Z25" s="257"/>
      <c r="AA25" s="256"/>
      <c r="AB25" s="257"/>
      <c r="AC25" s="256"/>
      <c r="AD25" s="257"/>
      <c r="AE25" s="256"/>
      <c r="AF25" s="257"/>
      <c r="AG25" s="256"/>
      <c r="AH25" s="257"/>
      <c r="AI25" s="256"/>
      <c r="AJ25" s="257"/>
      <c r="AK25" s="256"/>
      <c r="AL25" s="257"/>
      <c r="AM25" s="256"/>
      <c r="AN25" s="257"/>
      <c r="AO25" s="256"/>
      <c r="AP25" s="257"/>
      <c r="AQ25" s="256"/>
      <c r="AR25" s="257"/>
      <c r="AS25" s="256"/>
      <c r="AT25" s="257"/>
      <c r="AU25" s="256"/>
      <c r="AV25" s="257"/>
      <c r="AW25" s="256"/>
      <c r="AX25" s="257"/>
      <c r="AY25" s="256"/>
      <c r="AZ25" s="257"/>
      <c r="BA25" s="256"/>
      <c r="BB25" s="257"/>
      <c r="BC25" s="256"/>
      <c r="BD25" s="257"/>
      <c r="BE25" s="256"/>
      <c r="BF25" s="257"/>
      <c r="BG25" s="256"/>
      <c r="BH25" s="257"/>
      <c r="BI25" s="256"/>
      <c r="BJ25" s="257"/>
      <c r="BK25" s="256"/>
      <c r="BL25" s="257"/>
      <c r="BM25" s="256"/>
      <c r="BN25" s="257"/>
    </row>
    <row r="26" spans="1:66" x14ac:dyDescent="0.25">
      <c r="A26" s="6" t="s">
        <v>43</v>
      </c>
      <c r="B26" s="5"/>
      <c r="C26" s="5" t="s">
        <v>33</v>
      </c>
      <c r="D26" s="6" t="s">
        <v>173</v>
      </c>
      <c r="E26" s="256"/>
      <c r="F26" s="257"/>
      <c r="G26" s="256"/>
      <c r="H26" s="257"/>
      <c r="I26" s="256"/>
      <c r="J26" s="257"/>
      <c r="K26" s="256"/>
      <c r="L26" s="257"/>
      <c r="M26" s="256"/>
      <c r="N26" s="257"/>
      <c r="O26" s="256"/>
      <c r="P26" s="257"/>
      <c r="Q26" s="256"/>
      <c r="R26" s="257"/>
      <c r="S26" s="256"/>
      <c r="T26" s="257"/>
      <c r="U26" s="256"/>
      <c r="V26" s="257"/>
      <c r="W26" s="256"/>
      <c r="X26" s="257"/>
      <c r="Y26" s="256"/>
      <c r="Z26" s="257"/>
      <c r="AA26" s="256"/>
      <c r="AB26" s="257"/>
      <c r="AC26" s="256"/>
      <c r="AD26" s="257"/>
      <c r="AE26" s="256"/>
      <c r="AF26" s="257"/>
      <c r="AG26" s="256"/>
      <c r="AH26" s="257"/>
      <c r="AI26" s="256"/>
      <c r="AJ26" s="257"/>
      <c r="AK26" s="256"/>
      <c r="AL26" s="257"/>
      <c r="AM26" s="256"/>
      <c r="AN26" s="257"/>
      <c r="AO26" s="256"/>
      <c r="AP26" s="257"/>
      <c r="AQ26" s="256"/>
      <c r="AR26" s="257"/>
      <c r="AS26" s="256"/>
      <c r="AT26" s="257"/>
      <c r="AU26" s="256"/>
      <c r="AV26" s="257"/>
      <c r="AW26" s="256"/>
      <c r="AX26" s="257"/>
      <c r="AY26" s="256"/>
      <c r="AZ26" s="257"/>
      <c r="BA26" s="256"/>
      <c r="BB26" s="257"/>
      <c r="BC26" s="256"/>
      <c r="BD26" s="257"/>
      <c r="BE26" s="256"/>
      <c r="BF26" s="257"/>
      <c r="BG26" s="256"/>
      <c r="BH26" s="257"/>
      <c r="BI26" s="256"/>
      <c r="BJ26" s="257"/>
      <c r="BK26" s="256"/>
      <c r="BL26" s="257"/>
      <c r="BM26" s="256"/>
      <c r="BN26" s="257"/>
    </row>
    <row r="27" spans="1:66" x14ac:dyDescent="0.25">
      <c r="A27" s="6" t="s">
        <v>44</v>
      </c>
      <c r="B27" s="5"/>
      <c r="C27" s="124" t="s">
        <v>34</v>
      </c>
      <c r="D27" s="125" t="s">
        <v>174</v>
      </c>
      <c r="E27" s="258"/>
      <c r="F27" s="259"/>
      <c r="G27" s="258"/>
      <c r="H27" s="259"/>
      <c r="I27" s="258"/>
      <c r="J27" s="259"/>
      <c r="K27" s="258"/>
      <c r="L27" s="259"/>
      <c r="M27" s="258"/>
      <c r="N27" s="259"/>
      <c r="O27" s="258"/>
      <c r="P27" s="259"/>
      <c r="Q27" s="258"/>
      <c r="R27" s="259"/>
      <c r="S27" s="258"/>
      <c r="T27" s="259"/>
      <c r="U27" s="258"/>
      <c r="V27" s="259"/>
      <c r="W27" s="258"/>
      <c r="X27" s="259"/>
      <c r="Y27" s="258"/>
      <c r="Z27" s="259"/>
      <c r="AA27" s="258"/>
      <c r="AB27" s="259"/>
      <c r="AC27" s="258"/>
      <c r="AD27" s="259"/>
      <c r="AE27" s="258"/>
      <c r="AF27" s="259"/>
      <c r="AG27" s="258"/>
      <c r="AH27" s="259"/>
      <c r="AI27" s="258"/>
      <c r="AJ27" s="259"/>
      <c r="AK27" s="258"/>
      <c r="AL27" s="259"/>
      <c r="AM27" s="258"/>
      <c r="AN27" s="259"/>
      <c r="AO27" s="258"/>
      <c r="AP27" s="259"/>
      <c r="AQ27" s="258"/>
      <c r="AR27" s="259"/>
      <c r="AS27" s="258"/>
      <c r="AT27" s="259"/>
      <c r="AU27" s="258"/>
      <c r="AV27" s="259"/>
      <c r="AW27" s="258"/>
      <c r="AX27" s="259"/>
      <c r="AY27" s="258"/>
      <c r="AZ27" s="259"/>
      <c r="BA27" s="258"/>
      <c r="BB27" s="259"/>
      <c r="BC27" s="258"/>
      <c r="BD27" s="259"/>
      <c r="BE27" s="258"/>
      <c r="BF27" s="259"/>
      <c r="BG27" s="258"/>
      <c r="BH27" s="259"/>
      <c r="BI27" s="258"/>
      <c r="BJ27" s="259"/>
      <c r="BK27" s="258"/>
      <c r="BL27" s="259"/>
      <c r="BM27" s="258"/>
      <c r="BN27" s="259"/>
    </row>
    <row r="28" spans="1:66" x14ac:dyDescent="0.25">
      <c r="A28" s="6" t="s">
        <v>45</v>
      </c>
      <c r="B28" s="5"/>
      <c r="C28" s="124" t="s">
        <v>35</v>
      </c>
      <c r="D28" s="125" t="s">
        <v>174</v>
      </c>
      <c r="E28" s="270"/>
      <c r="F28" s="271"/>
      <c r="G28" s="270"/>
      <c r="H28" s="271"/>
      <c r="I28" s="270"/>
      <c r="J28" s="271"/>
      <c r="K28" s="270"/>
      <c r="L28" s="271"/>
      <c r="M28" s="270"/>
      <c r="N28" s="271"/>
      <c r="O28" s="270"/>
      <c r="P28" s="271"/>
      <c r="Q28" s="270"/>
      <c r="R28" s="271"/>
      <c r="S28" s="270"/>
      <c r="T28" s="271"/>
      <c r="U28" s="270"/>
      <c r="V28" s="271"/>
      <c r="W28" s="270"/>
      <c r="X28" s="271"/>
      <c r="Y28" s="270"/>
      <c r="Z28" s="271"/>
      <c r="AA28" s="270"/>
      <c r="AB28" s="271"/>
      <c r="AC28" s="270"/>
      <c r="AD28" s="271"/>
      <c r="AE28" s="270"/>
      <c r="AF28" s="271"/>
      <c r="AG28" s="270"/>
      <c r="AH28" s="271"/>
      <c r="AI28" s="270"/>
      <c r="AJ28" s="271"/>
      <c r="AK28" s="270"/>
      <c r="AL28" s="271"/>
      <c r="AM28" s="270"/>
      <c r="AN28" s="271"/>
      <c r="AO28" s="270"/>
      <c r="AP28" s="271"/>
      <c r="AQ28" s="270"/>
      <c r="AR28" s="271"/>
      <c r="AS28" s="270"/>
      <c r="AT28" s="271"/>
      <c r="AU28" s="270"/>
      <c r="AV28" s="271"/>
      <c r="AW28" s="270"/>
      <c r="AX28" s="271"/>
      <c r="AY28" s="270"/>
      <c r="AZ28" s="271"/>
      <c r="BA28" s="270"/>
      <c r="BB28" s="271"/>
      <c r="BC28" s="270"/>
      <c r="BD28" s="271"/>
      <c r="BE28" s="270"/>
      <c r="BF28" s="271"/>
      <c r="BG28" s="270"/>
      <c r="BH28" s="271"/>
      <c r="BI28" s="270"/>
      <c r="BJ28" s="271"/>
      <c r="BK28" s="270"/>
      <c r="BL28" s="271"/>
      <c r="BM28" s="270"/>
      <c r="BN28" s="271"/>
    </row>
    <row r="29" spans="1:66" x14ac:dyDescent="0.25">
      <c r="A29" s="6" t="s">
        <v>46</v>
      </c>
      <c r="B29" s="5"/>
      <c r="C29" s="124" t="s">
        <v>404</v>
      </c>
      <c r="D29" s="125" t="s">
        <v>175</v>
      </c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</row>
    <row r="30" spans="1:66" x14ac:dyDescent="0.25">
      <c r="A30" s="6" t="s">
        <v>47</v>
      </c>
      <c r="B30" s="5"/>
      <c r="C30" s="124" t="s">
        <v>405</v>
      </c>
      <c r="D30" s="125" t="s">
        <v>175</v>
      </c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</row>
    <row r="31" spans="1:66" x14ac:dyDescent="0.25">
      <c r="A31" s="6" t="s">
        <v>48</v>
      </c>
      <c r="B31" s="5"/>
      <c r="C31" s="124" t="s">
        <v>408</v>
      </c>
      <c r="D31" s="125" t="s">
        <v>175</v>
      </c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</row>
    <row r="32" spans="1:66" x14ac:dyDescent="0.25">
      <c r="A32" s="6" t="s">
        <v>49</v>
      </c>
      <c r="B32" s="5"/>
      <c r="C32" s="124" t="s">
        <v>409</v>
      </c>
      <c r="D32" s="125" t="s">
        <v>175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</row>
    <row r="33" spans="1:66" x14ac:dyDescent="0.25">
      <c r="A33" s="6" t="s">
        <v>50</v>
      </c>
      <c r="B33" s="5"/>
      <c r="C33" s="124" t="s">
        <v>387</v>
      </c>
      <c r="D33" s="125" t="s">
        <v>176</v>
      </c>
      <c r="E33" s="258"/>
      <c r="F33" s="259"/>
      <c r="G33" s="258"/>
      <c r="H33" s="259"/>
      <c r="I33" s="258"/>
      <c r="J33" s="259"/>
      <c r="K33" s="258"/>
      <c r="L33" s="259"/>
      <c r="M33" s="258"/>
      <c r="N33" s="259"/>
      <c r="O33" s="258"/>
      <c r="P33" s="259"/>
      <c r="Q33" s="258"/>
      <c r="R33" s="259"/>
      <c r="S33" s="258"/>
      <c r="T33" s="259"/>
      <c r="U33" s="258"/>
      <c r="V33" s="259"/>
      <c r="W33" s="258"/>
      <c r="X33" s="259"/>
      <c r="Y33" s="258"/>
      <c r="Z33" s="259"/>
      <c r="AA33" s="258"/>
      <c r="AB33" s="259"/>
      <c r="AC33" s="258"/>
      <c r="AD33" s="259"/>
      <c r="AE33" s="258"/>
      <c r="AF33" s="259"/>
      <c r="AG33" s="258"/>
      <c r="AH33" s="259"/>
      <c r="AI33" s="258"/>
      <c r="AJ33" s="259"/>
      <c r="AK33" s="258"/>
      <c r="AL33" s="259"/>
      <c r="AM33" s="258"/>
      <c r="AN33" s="259"/>
      <c r="AO33" s="258"/>
      <c r="AP33" s="259"/>
      <c r="AQ33" s="258"/>
      <c r="AR33" s="259"/>
      <c r="AS33" s="258"/>
      <c r="AT33" s="259"/>
      <c r="AU33" s="258"/>
      <c r="AV33" s="259"/>
      <c r="AW33" s="258"/>
      <c r="AX33" s="259"/>
      <c r="AY33" s="258"/>
      <c r="AZ33" s="259"/>
      <c r="BA33" s="258"/>
      <c r="BB33" s="259"/>
      <c r="BC33" s="258"/>
      <c r="BD33" s="259"/>
      <c r="BE33" s="258"/>
      <c r="BF33" s="259"/>
      <c r="BG33" s="258"/>
      <c r="BH33" s="259"/>
      <c r="BI33" s="258"/>
      <c r="BJ33" s="259"/>
      <c r="BK33" s="258"/>
      <c r="BL33" s="259"/>
      <c r="BM33" s="258"/>
      <c r="BN33" s="259"/>
    </row>
    <row r="34" spans="1:66" x14ac:dyDescent="0.25">
      <c r="A34" s="6" t="s">
        <v>51</v>
      </c>
      <c r="B34" s="5" t="s">
        <v>210</v>
      </c>
      <c r="C34" s="5" t="s">
        <v>187</v>
      </c>
      <c r="D34" s="6" t="s">
        <v>176</v>
      </c>
      <c r="E34" s="137"/>
      <c r="F34" s="138"/>
      <c r="G34" s="137"/>
      <c r="H34" s="138"/>
      <c r="I34" s="137"/>
      <c r="J34" s="138"/>
      <c r="K34" s="137"/>
      <c r="L34" s="138"/>
      <c r="M34" s="137"/>
      <c r="N34" s="138"/>
      <c r="O34" s="137"/>
      <c r="P34" s="138"/>
      <c r="Q34" s="137"/>
      <c r="R34" s="138"/>
      <c r="S34" s="137"/>
      <c r="T34" s="138"/>
      <c r="U34" s="137"/>
      <c r="V34" s="138"/>
      <c r="W34" s="137"/>
      <c r="X34" s="138"/>
      <c r="Y34" s="137"/>
      <c r="Z34" s="138"/>
      <c r="AA34" s="137"/>
      <c r="AB34" s="138"/>
      <c r="AC34" s="137"/>
      <c r="AD34" s="138"/>
      <c r="AE34" s="137"/>
      <c r="AF34" s="138"/>
      <c r="AG34" s="137"/>
      <c r="AH34" s="138"/>
      <c r="AI34" s="137"/>
      <c r="AJ34" s="138"/>
      <c r="AK34" s="137"/>
      <c r="AL34" s="138"/>
      <c r="AM34" s="137"/>
      <c r="AN34" s="138"/>
      <c r="AO34" s="137"/>
      <c r="AP34" s="138"/>
      <c r="AQ34" s="137"/>
      <c r="AR34" s="138"/>
      <c r="AS34" s="137"/>
      <c r="AT34" s="138"/>
      <c r="AU34" s="137"/>
      <c r="AV34" s="138"/>
      <c r="AW34" s="137"/>
      <c r="AX34" s="138"/>
      <c r="AY34" s="137"/>
      <c r="AZ34" s="138"/>
      <c r="BA34" s="137"/>
      <c r="BB34" s="138"/>
      <c r="BC34" s="137"/>
      <c r="BD34" s="138"/>
      <c r="BE34" s="137"/>
      <c r="BF34" s="138"/>
      <c r="BG34" s="137"/>
      <c r="BH34" s="138"/>
      <c r="BI34" s="137"/>
      <c r="BJ34" s="138"/>
      <c r="BK34" s="137"/>
      <c r="BL34" s="138"/>
      <c r="BM34" s="137"/>
      <c r="BN34" s="138"/>
    </row>
    <row r="35" spans="1:66" x14ac:dyDescent="0.25">
      <c r="A35" s="6" t="s">
        <v>52</v>
      </c>
      <c r="B35" s="5" t="s">
        <v>211</v>
      </c>
      <c r="C35" s="17" t="s">
        <v>189</v>
      </c>
      <c r="D35" s="6" t="s">
        <v>176</v>
      </c>
      <c r="E35" s="256"/>
      <c r="F35" s="257"/>
      <c r="G35" s="256"/>
      <c r="H35" s="257"/>
      <c r="I35" s="256"/>
      <c r="J35" s="257"/>
      <c r="K35" s="256"/>
      <c r="L35" s="257"/>
      <c r="M35" s="256"/>
      <c r="N35" s="257"/>
      <c r="O35" s="256"/>
      <c r="P35" s="257"/>
      <c r="Q35" s="256"/>
      <c r="R35" s="257"/>
      <c r="S35" s="256"/>
      <c r="T35" s="257"/>
      <c r="U35" s="256"/>
      <c r="V35" s="257"/>
      <c r="W35" s="256"/>
      <c r="X35" s="257"/>
      <c r="Y35" s="256"/>
      <c r="Z35" s="257"/>
      <c r="AA35" s="256"/>
      <c r="AB35" s="257"/>
      <c r="AC35" s="256"/>
      <c r="AD35" s="257"/>
      <c r="AE35" s="256"/>
      <c r="AF35" s="257"/>
      <c r="AG35" s="256"/>
      <c r="AH35" s="257"/>
      <c r="AI35" s="256"/>
      <c r="AJ35" s="257"/>
      <c r="AK35" s="256"/>
      <c r="AL35" s="257"/>
      <c r="AM35" s="256"/>
      <c r="AN35" s="257"/>
      <c r="AO35" s="256"/>
      <c r="AP35" s="257"/>
      <c r="AQ35" s="256"/>
      <c r="AR35" s="257"/>
      <c r="AS35" s="256"/>
      <c r="AT35" s="257"/>
      <c r="AU35" s="256"/>
      <c r="AV35" s="257"/>
      <c r="AW35" s="256"/>
      <c r="AX35" s="257"/>
      <c r="AY35" s="256"/>
      <c r="AZ35" s="257"/>
      <c r="BA35" s="256"/>
      <c r="BB35" s="257"/>
      <c r="BC35" s="256"/>
      <c r="BD35" s="257"/>
      <c r="BE35" s="256"/>
      <c r="BF35" s="257"/>
      <c r="BG35" s="256"/>
      <c r="BH35" s="257"/>
      <c r="BI35" s="256"/>
      <c r="BJ35" s="257"/>
      <c r="BK35" s="256"/>
      <c r="BL35" s="257"/>
      <c r="BM35" s="256"/>
      <c r="BN35" s="257"/>
    </row>
    <row r="36" spans="1:66" x14ac:dyDescent="0.25">
      <c r="A36" s="6" t="s">
        <v>53</v>
      </c>
      <c r="B36" s="5"/>
      <c r="C36" s="132" t="s">
        <v>401</v>
      </c>
      <c r="D36" s="125" t="s">
        <v>176</v>
      </c>
      <c r="E36" s="264"/>
      <c r="F36" s="265"/>
      <c r="G36" s="264"/>
      <c r="H36" s="265"/>
      <c r="I36" s="264"/>
      <c r="J36" s="265"/>
      <c r="K36" s="264"/>
      <c r="L36" s="265"/>
      <c r="M36" s="264"/>
      <c r="N36" s="265"/>
      <c r="O36" s="264"/>
      <c r="P36" s="265"/>
      <c r="Q36" s="264"/>
      <c r="R36" s="265"/>
      <c r="S36" s="264"/>
      <c r="T36" s="265"/>
      <c r="U36" s="264"/>
      <c r="V36" s="265"/>
      <c r="W36" s="264"/>
      <c r="X36" s="265"/>
      <c r="Y36" s="264"/>
      <c r="Z36" s="265"/>
      <c r="AA36" s="264"/>
      <c r="AB36" s="265"/>
      <c r="AC36" s="264"/>
      <c r="AD36" s="265"/>
      <c r="AE36" s="264"/>
      <c r="AF36" s="265"/>
      <c r="AG36" s="264"/>
      <c r="AH36" s="265"/>
      <c r="AI36" s="264"/>
      <c r="AJ36" s="265"/>
      <c r="AK36" s="264"/>
      <c r="AL36" s="265"/>
      <c r="AM36" s="264"/>
      <c r="AN36" s="265"/>
      <c r="AO36" s="264"/>
      <c r="AP36" s="265"/>
      <c r="AQ36" s="264"/>
      <c r="AR36" s="265"/>
      <c r="AS36" s="264"/>
      <c r="AT36" s="265"/>
      <c r="AU36" s="264"/>
      <c r="AV36" s="265"/>
      <c r="AW36" s="264"/>
      <c r="AX36" s="265"/>
      <c r="AY36" s="264"/>
      <c r="AZ36" s="265"/>
      <c r="BA36" s="264"/>
      <c r="BB36" s="265"/>
      <c r="BC36" s="264"/>
      <c r="BD36" s="265"/>
      <c r="BE36" s="264"/>
      <c r="BF36" s="265"/>
      <c r="BG36" s="264"/>
      <c r="BH36" s="265"/>
      <c r="BI36" s="264"/>
      <c r="BJ36" s="265"/>
      <c r="BK36" s="264"/>
      <c r="BL36" s="265"/>
      <c r="BM36" s="264"/>
      <c r="BN36" s="265"/>
    </row>
    <row r="37" spans="1:66" x14ac:dyDescent="0.25">
      <c r="A37" s="6" t="s">
        <v>55</v>
      </c>
      <c r="B37" s="5"/>
      <c r="C37" s="5" t="s">
        <v>40</v>
      </c>
      <c r="D37" s="6" t="s">
        <v>177</v>
      </c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  <c r="BF37" s="129"/>
      <c r="BG37" s="129"/>
      <c r="BH37" s="129"/>
      <c r="BI37" s="129"/>
      <c r="BJ37" s="129"/>
      <c r="BK37" s="129"/>
      <c r="BL37" s="129"/>
      <c r="BM37" s="129"/>
      <c r="BN37" s="129"/>
    </row>
    <row r="38" spans="1:66" x14ac:dyDescent="0.25">
      <c r="A38" s="6" t="s">
        <v>400</v>
      </c>
      <c r="B38" s="5"/>
      <c r="C38" s="5" t="s">
        <v>41</v>
      </c>
      <c r="D38" s="6" t="s">
        <v>177</v>
      </c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  <c r="BF38" s="129"/>
      <c r="BG38" s="129"/>
      <c r="BH38" s="129"/>
      <c r="BI38" s="129"/>
      <c r="BJ38" s="129"/>
      <c r="BK38" s="129"/>
      <c r="BL38" s="129"/>
      <c r="BM38" s="129"/>
      <c r="BN38" s="129"/>
    </row>
    <row r="39" spans="1:66" x14ac:dyDescent="0.25">
      <c r="A39" s="6" t="s">
        <v>406</v>
      </c>
      <c r="B39" s="5"/>
      <c r="C39" s="124" t="s">
        <v>42</v>
      </c>
      <c r="D39" s="125" t="s">
        <v>178</v>
      </c>
      <c r="E39" s="258"/>
      <c r="F39" s="259"/>
      <c r="G39" s="258"/>
      <c r="H39" s="259"/>
      <c r="I39" s="258"/>
      <c r="J39" s="259"/>
      <c r="K39" s="258"/>
      <c r="L39" s="259"/>
      <c r="M39" s="258"/>
      <c r="N39" s="259"/>
      <c r="O39" s="258"/>
      <c r="P39" s="259"/>
      <c r="Q39" s="258"/>
      <c r="R39" s="259"/>
      <c r="S39" s="258"/>
      <c r="T39" s="259"/>
      <c r="U39" s="258"/>
      <c r="V39" s="259"/>
      <c r="W39" s="258"/>
      <c r="X39" s="259"/>
      <c r="Y39" s="258"/>
      <c r="Z39" s="259"/>
      <c r="AA39" s="258"/>
      <c r="AB39" s="259"/>
      <c r="AC39" s="258"/>
      <c r="AD39" s="259"/>
      <c r="AE39" s="258"/>
      <c r="AF39" s="259"/>
      <c r="AG39" s="258"/>
      <c r="AH39" s="259"/>
      <c r="AI39" s="258"/>
      <c r="AJ39" s="259"/>
      <c r="AK39" s="258"/>
      <c r="AL39" s="259"/>
      <c r="AM39" s="258"/>
      <c r="AN39" s="259"/>
      <c r="AO39" s="258"/>
      <c r="AP39" s="259"/>
      <c r="AQ39" s="258"/>
      <c r="AR39" s="259"/>
      <c r="AS39" s="258"/>
      <c r="AT39" s="259"/>
      <c r="AU39" s="258"/>
      <c r="AV39" s="259"/>
      <c r="AW39" s="258"/>
      <c r="AX39" s="259"/>
      <c r="AY39" s="258"/>
      <c r="AZ39" s="259"/>
      <c r="BA39" s="258"/>
      <c r="BB39" s="259"/>
      <c r="BC39" s="258"/>
      <c r="BD39" s="259"/>
      <c r="BE39" s="258"/>
      <c r="BF39" s="259"/>
      <c r="BG39" s="258"/>
      <c r="BH39" s="259"/>
      <c r="BI39" s="258"/>
      <c r="BJ39" s="259"/>
      <c r="BK39" s="258"/>
      <c r="BL39" s="259"/>
      <c r="BM39" s="258"/>
      <c r="BN39" s="259"/>
    </row>
    <row r="40" spans="1:66" x14ac:dyDescent="0.25">
      <c r="A40" s="6" t="s">
        <v>407</v>
      </c>
      <c r="B40" s="5"/>
      <c r="C40" s="124" t="s">
        <v>54</v>
      </c>
      <c r="D40" s="125" t="s">
        <v>179</v>
      </c>
      <c r="E40" s="254"/>
      <c r="F40" s="255"/>
      <c r="G40" s="254"/>
      <c r="H40" s="255"/>
      <c r="I40" s="254"/>
      <c r="J40" s="255"/>
      <c r="K40" s="254"/>
      <c r="L40" s="255"/>
      <c r="M40" s="254"/>
      <c r="N40" s="255"/>
      <c r="O40" s="254"/>
      <c r="P40" s="255"/>
      <c r="Q40" s="254"/>
      <c r="R40" s="255"/>
      <c r="S40" s="254"/>
      <c r="T40" s="255"/>
      <c r="U40" s="254"/>
      <c r="V40" s="255"/>
      <c r="W40" s="254"/>
      <c r="X40" s="255"/>
      <c r="Y40" s="254"/>
      <c r="Z40" s="255"/>
      <c r="AA40" s="254"/>
      <c r="AB40" s="255"/>
      <c r="AC40" s="254"/>
      <c r="AD40" s="255"/>
      <c r="AE40" s="254"/>
      <c r="AF40" s="255"/>
      <c r="AG40" s="254"/>
      <c r="AH40" s="255"/>
      <c r="AI40" s="254"/>
      <c r="AJ40" s="255"/>
      <c r="AK40" s="254"/>
      <c r="AL40" s="255"/>
      <c r="AM40" s="254"/>
      <c r="AN40" s="255"/>
      <c r="AO40" s="254"/>
      <c r="AP40" s="255"/>
      <c r="AQ40" s="254"/>
      <c r="AR40" s="255"/>
      <c r="AS40" s="254"/>
      <c r="AT40" s="255"/>
      <c r="AU40" s="254"/>
      <c r="AV40" s="255"/>
      <c r="AW40" s="254"/>
      <c r="AX40" s="255"/>
      <c r="AY40" s="254"/>
      <c r="AZ40" s="255"/>
      <c r="BA40" s="254"/>
      <c r="BB40" s="255"/>
      <c r="BC40" s="254"/>
      <c r="BD40" s="255"/>
      <c r="BE40" s="254"/>
      <c r="BF40" s="255"/>
      <c r="BG40" s="254"/>
      <c r="BH40" s="255"/>
      <c r="BI40" s="254"/>
      <c r="BJ40" s="255"/>
      <c r="BK40" s="254"/>
      <c r="BL40" s="255"/>
      <c r="BM40" s="254"/>
      <c r="BN40" s="255"/>
    </row>
    <row r="41" spans="1:66" x14ac:dyDescent="0.25">
      <c r="A41" s="12" t="s">
        <v>56</v>
      </c>
      <c r="B41" s="13" t="s">
        <v>57</v>
      </c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</row>
    <row r="42" spans="1:66" x14ac:dyDescent="0.25">
      <c r="A42" s="6" t="s">
        <v>58</v>
      </c>
      <c r="B42" s="5"/>
      <c r="C42" s="5" t="s">
        <v>59</v>
      </c>
      <c r="D42" s="6" t="s">
        <v>173</v>
      </c>
      <c r="E42" s="268"/>
      <c r="F42" s="269"/>
      <c r="G42" s="268"/>
      <c r="H42" s="269"/>
      <c r="I42" s="268"/>
      <c r="J42" s="269"/>
      <c r="K42" s="268"/>
      <c r="L42" s="269"/>
      <c r="M42" s="268"/>
      <c r="N42" s="269"/>
      <c r="O42" s="268"/>
      <c r="P42" s="269"/>
      <c r="Q42" s="268"/>
      <c r="R42" s="269"/>
      <c r="S42" s="268"/>
      <c r="T42" s="269"/>
      <c r="U42" s="268"/>
      <c r="V42" s="269"/>
      <c r="W42" s="268"/>
      <c r="X42" s="269"/>
      <c r="Y42" s="268"/>
      <c r="Z42" s="269"/>
      <c r="AA42" s="268"/>
      <c r="AB42" s="269"/>
      <c r="AC42" s="268"/>
      <c r="AD42" s="269"/>
      <c r="AE42" s="268"/>
      <c r="AF42" s="269"/>
      <c r="AG42" s="268"/>
      <c r="AH42" s="269"/>
      <c r="AI42" s="268"/>
      <c r="AJ42" s="269"/>
      <c r="AK42" s="268"/>
      <c r="AL42" s="269"/>
      <c r="AM42" s="268"/>
      <c r="AN42" s="269"/>
      <c r="AO42" s="268"/>
      <c r="AP42" s="269"/>
      <c r="AQ42" s="268"/>
      <c r="AR42" s="269"/>
      <c r="AS42" s="268"/>
      <c r="AT42" s="269"/>
      <c r="AU42" s="268"/>
      <c r="AV42" s="269"/>
      <c r="AW42" s="268"/>
      <c r="AX42" s="269"/>
      <c r="AY42" s="268"/>
      <c r="AZ42" s="269"/>
      <c r="BA42" s="268"/>
      <c r="BB42" s="269"/>
      <c r="BC42" s="268"/>
      <c r="BD42" s="269"/>
      <c r="BE42" s="268"/>
      <c r="BF42" s="269"/>
      <c r="BG42" s="268"/>
      <c r="BH42" s="269"/>
      <c r="BI42" s="268"/>
      <c r="BJ42" s="269"/>
      <c r="BK42" s="268"/>
      <c r="BL42" s="269"/>
      <c r="BM42" s="268"/>
      <c r="BN42" s="269"/>
    </row>
    <row r="43" spans="1:66" x14ac:dyDescent="0.25">
      <c r="A43" s="6" t="s">
        <v>69</v>
      </c>
      <c r="B43" s="5"/>
      <c r="C43" s="5" t="s">
        <v>60</v>
      </c>
      <c r="D43" s="6" t="s">
        <v>180</v>
      </c>
      <c r="E43" s="268"/>
      <c r="F43" s="269"/>
      <c r="G43" s="268"/>
      <c r="H43" s="269"/>
      <c r="I43" s="268"/>
      <c r="J43" s="269"/>
      <c r="K43" s="268"/>
      <c r="L43" s="269"/>
      <c r="M43" s="268"/>
      <c r="N43" s="269"/>
      <c r="O43" s="268"/>
      <c r="P43" s="269"/>
      <c r="Q43" s="268"/>
      <c r="R43" s="269"/>
      <c r="S43" s="268"/>
      <c r="T43" s="269"/>
      <c r="U43" s="268"/>
      <c r="V43" s="269"/>
      <c r="W43" s="268"/>
      <c r="X43" s="269"/>
      <c r="Y43" s="268"/>
      <c r="Z43" s="269"/>
      <c r="AA43" s="268"/>
      <c r="AB43" s="269"/>
      <c r="AC43" s="268"/>
      <c r="AD43" s="269"/>
      <c r="AE43" s="268"/>
      <c r="AF43" s="269"/>
      <c r="AG43" s="268"/>
      <c r="AH43" s="269"/>
      <c r="AI43" s="268"/>
      <c r="AJ43" s="269"/>
      <c r="AK43" s="268"/>
      <c r="AL43" s="269"/>
      <c r="AM43" s="268"/>
      <c r="AN43" s="269"/>
      <c r="AO43" s="268"/>
      <c r="AP43" s="269"/>
      <c r="AQ43" s="268"/>
      <c r="AR43" s="269"/>
      <c r="AS43" s="268"/>
      <c r="AT43" s="269"/>
      <c r="AU43" s="268"/>
      <c r="AV43" s="269"/>
      <c r="AW43" s="268"/>
      <c r="AX43" s="269"/>
      <c r="AY43" s="268"/>
      <c r="AZ43" s="269"/>
      <c r="BA43" s="268"/>
      <c r="BB43" s="269"/>
      <c r="BC43" s="268"/>
      <c r="BD43" s="269"/>
      <c r="BE43" s="268"/>
      <c r="BF43" s="269"/>
      <c r="BG43" s="268"/>
      <c r="BH43" s="269"/>
      <c r="BI43" s="268"/>
      <c r="BJ43" s="269"/>
      <c r="BK43" s="268"/>
      <c r="BL43" s="269"/>
      <c r="BM43" s="268"/>
      <c r="BN43" s="269"/>
    </row>
    <row r="44" spans="1:66" x14ac:dyDescent="0.25">
      <c r="A44" s="6" t="s">
        <v>70</v>
      </c>
      <c r="B44" s="5"/>
      <c r="C44" s="5" t="s">
        <v>61</v>
      </c>
      <c r="D44" s="6" t="s">
        <v>179</v>
      </c>
      <c r="E44" s="248"/>
      <c r="F44" s="249"/>
      <c r="G44" s="248"/>
      <c r="H44" s="249"/>
      <c r="I44" s="248"/>
      <c r="J44" s="249"/>
      <c r="K44" s="248"/>
      <c r="L44" s="249"/>
      <c r="M44" s="248"/>
      <c r="N44" s="249"/>
      <c r="O44" s="248"/>
      <c r="P44" s="249"/>
      <c r="Q44" s="248"/>
      <c r="R44" s="249"/>
      <c r="S44" s="248"/>
      <c r="T44" s="249"/>
      <c r="U44" s="248"/>
      <c r="V44" s="249"/>
      <c r="W44" s="248"/>
      <c r="X44" s="249"/>
      <c r="Y44" s="248"/>
      <c r="Z44" s="249"/>
      <c r="AA44" s="248"/>
      <c r="AB44" s="249"/>
      <c r="AC44" s="248"/>
      <c r="AD44" s="249"/>
      <c r="AE44" s="248"/>
      <c r="AF44" s="249"/>
      <c r="AG44" s="248"/>
      <c r="AH44" s="249"/>
      <c r="AI44" s="248"/>
      <c r="AJ44" s="249"/>
      <c r="AK44" s="248"/>
      <c r="AL44" s="249"/>
      <c r="AM44" s="248"/>
      <c r="AN44" s="249"/>
      <c r="AO44" s="248"/>
      <c r="AP44" s="249"/>
      <c r="AQ44" s="248"/>
      <c r="AR44" s="249"/>
      <c r="AS44" s="248"/>
      <c r="AT44" s="249"/>
      <c r="AU44" s="248"/>
      <c r="AV44" s="249"/>
      <c r="AW44" s="248"/>
      <c r="AX44" s="249"/>
      <c r="AY44" s="248"/>
      <c r="AZ44" s="249"/>
      <c r="BA44" s="248"/>
      <c r="BB44" s="249"/>
      <c r="BC44" s="248"/>
      <c r="BD44" s="249"/>
      <c r="BE44" s="248"/>
      <c r="BF44" s="249"/>
      <c r="BG44" s="248"/>
      <c r="BH44" s="249"/>
      <c r="BI44" s="248"/>
      <c r="BJ44" s="249"/>
      <c r="BK44" s="248"/>
      <c r="BL44" s="249"/>
      <c r="BM44" s="248"/>
      <c r="BN44" s="249"/>
    </row>
    <row r="45" spans="1:66" x14ac:dyDescent="0.25">
      <c r="A45" s="6" t="s">
        <v>71</v>
      </c>
      <c r="B45" s="5"/>
      <c r="C45" s="17" t="s">
        <v>62</v>
      </c>
      <c r="D45" s="6" t="s">
        <v>180</v>
      </c>
      <c r="E45" s="248"/>
      <c r="F45" s="249"/>
      <c r="G45" s="248"/>
      <c r="H45" s="249"/>
      <c r="I45" s="248"/>
      <c r="J45" s="249"/>
      <c r="K45" s="248"/>
      <c r="L45" s="249"/>
      <c r="M45" s="248"/>
      <c r="N45" s="249"/>
      <c r="O45" s="248"/>
      <c r="P45" s="249"/>
      <c r="Q45" s="248"/>
      <c r="R45" s="249"/>
      <c r="S45" s="248"/>
      <c r="T45" s="249"/>
      <c r="U45" s="248"/>
      <c r="V45" s="249"/>
      <c r="W45" s="248"/>
      <c r="X45" s="249"/>
      <c r="Y45" s="248"/>
      <c r="Z45" s="249"/>
      <c r="AA45" s="248"/>
      <c r="AB45" s="249"/>
      <c r="AC45" s="248"/>
      <c r="AD45" s="249"/>
      <c r="AE45" s="248"/>
      <c r="AF45" s="249"/>
      <c r="AG45" s="248"/>
      <c r="AH45" s="249"/>
      <c r="AI45" s="248"/>
      <c r="AJ45" s="249"/>
      <c r="AK45" s="248"/>
      <c r="AL45" s="249"/>
      <c r="AM45" s="248"/>
      <c r="AN45" s="249"/>
      <c r="AO45" s="248"/>
      <c r="AP45" s="249"/>
      <c r="AQ45" s="248"/>
      <c r="AR45" s="249"/>
      <c r="AS45" s="248"/>
      <c r="AT45" s="249"/>
      <c r="AU45" s="248"/>
      <c r="AV45" s="249"/>
      <c r="AW45" s="248"/>
      <c r="AX45" s="249"/>
      <c r="AY45" s="248"/>
      <c r="AZ45" s="249"/>
      <c r="BA45" s="248"/>
      <c r="BB45" s="249"/>
      <c r="BC45" s="248"/>
      <c r="BD45" s="249"/>
      <c r="BE45" s="248"/>
      <c r="BF45" s="249"/>
      <c r="BG45" s="248"/>
      <c r="BH45" s="249"/>
      <c r="BI45" s="248"/>
      <c r="BJ45" s="249"/>
      <c r="BK45" s="248"/>
      <c r="BL45" s="249"/>
      <c r="BM45" s="248"/>
      <c r="BN45" s="249"/>
    </row>
    <row r="46" spans="1:66" x14ac:dyDescent="0.25">
      <c r="A46" s="6" t="s">
        <v>72</v>
      </c>
      <c r="B46" s="5"/>
      <c r="C46" s="17" t="s">
        <v>63</v>
      </c>
      <c r="D46" s="6" t="s">
        <v>179</v>
      </c>
      <c r="E46" s="248"/>
      <c r="F46" s="249"/>
      <c r="G46" s="248"/>
      <c r="H46" s="249"/>
      <c r="I46" s="248"/>
      <c r="J46" s="249"/>
      <c r="K46" s="248"/>
      <c r="L46" s="249"/>
      <c r="M46" s="248"/>
      <c r="N46" s="249"/>
      <c r="O46" s="248"/>
      <c r="P46" s="249"/>
      <c r="Q46" s="248"/>
      <c r="R46" s="249"/>
      <c r="S46" s="248"/>
      <c r="T46" s="249"/>
      <c r="U46" s="248"/>
      <c r="V46" s="249"/>
      <c r="W46" s="248"/>
      <c r="X46" s="249"/>
      <c r="Y46" s="248"/>
      <c r="Z46" s="249"/>
      <c r="AA46" s="248"/>
      <c r="AB46" s="249"/>
      <c r="AC46" s="248"/>
      <c r="AD46" s="249"/>
      <c r="AE46" s="248"/>
      <c r="AF46" s="249"/>
      <c r="AG46" s="248"/>
      <c r="AH46" s="249"/>
      <c r="AI46" s="248"/>
      <c r="AJ46" s="249"/>
      <c r="AK46" s="248"/>
      <c r="AL46" s="249"/>
      <c r="AM46" s="248"/>
      <c r="AN46" s="249"/>
      <c r="AO46" s="248"/>
      <c r="AP46" s="249"/>
      <c r="AQ46" s="248"/>
      <c r="AR46" s="249"/>
      <c r="AS46" s="248"/>
      <c r="AT46" s="249"/>
      <c r="AU46" s="248"/>
      <c r="AV46" s="249"/>
      <c r="AW46" s="248"/>
      <c r="AX46" s="249"/>
      <c r="AY46" s="248"/>
      <c r="AZ46" s="249"/>
      <c r="BA46" s="248"/>
      <c r="BB46" s="249"/>
      <c r="BC46" s="248"/>
      <c r="BD46" s="249"/>
      <c r="BE46" s="248"/>
      <c r="BF46" s="249"/>
      <c r="BG46" s="248"/>
      <c r="BH46" s="249"/>
      <c r="BI46" s="248"/>
      <c r="BJ46" s="249"/>
      <c r="BK46" s="248"/>
      <c r="BL46" s="249"/>
      <c r="BM46" s="248"/>
      <c r="BN46" s="249"/>
    </row>
    <row r="47" spans="1:66" x14ac:dyDescent="0.25">
      <c r="A47" s="6" t="s">
        <v>73</v>
      </c>
      <c r="B47" s="5"/>
      <c r="C47" s="5" t="s">
        <v>64</v>
      </c>
      <c r="D47" s="6" t="s">
        <v>181</v>
      </c>
      <c r="E47" s="256"/>
      <c r="F47" s="257"/>
      <c r="G47" s="256"/>
      <c r="H47" s="257"/>
      <c r="I47" s="256"/>
      <c r="J47" s="257"/>
      <c r="K47" s="256"/>
      <c r="L47" s="257"/>
      <c r="M47" s="256"/>
      <c r="N47" s="257"/>
      <c r="O47" s="256"/>
      <c r="P47" s="257"/>
      <c r="Q47" s="256"/>
      <c r="R47" s="257"/>
      <c r="S47" s="256"/>
      <c r="T47" s="257"/>
      <c r="U47" s="256"/>
      <c r="V47" s="257"/>
      <c r="W47" s="256"/>
      <c r="X47" s="257"/>
      <c r="Y47" s="256"/>
      <c r="Z47" s="257"/>
      <c r="AA47" s="256"/>
      <c r="AB47" s="257"/>
      <c r="AC47" s="256"/>
      <c r="AD47" s="257"/>
      <c r="AE47" s="256"/>
      <c r="AF47" s="257"/>
      <c r="AG47" s="256"/>
      <c r="AH47" s="257"/>
      <c r="AI47" s="256"/>
      <c r="AJ47" s="257"/>
      <c r="AK47" s="256"/>
      <c r="AL47" s="257"/>
      <c r="AM47" s="256"/>
      <c r="AN47" s="257"/>
      <c r="AO47" s="256"/>
      <c r="AP47" s="257"/>
      <c r="AQ47" s="256"/>
      <c r="AR47" s="257"/>
      <c r="AS47" s="256"/>
      <c r="AT47" s="257"/>
      <c r="AU47" s="256"/>
      <c r="AV47" s="257"/>
      <c r="AW47" s="256"/>
      <c r="AX47" s="257"/>
      <c r="AY47" s="256"/>
      <c r="AZ47" s="257"/>
      <c r="BA47" s="256"/>
      <c r="BB47" s="257"/>
      <c r="BC47" s="256"/>
      <c r="BD47" s="257"/>
      <c r="BE47" s="256"/>
      <c r="BF47" s="257"/>
      <c r="BG47" s="256"/>
      <c r="BH47" s="257"/>
      <c r="BI47" s="256"/>
      <c r="BJ47" s="257"/>
      <c r="BK47" s="256"/>
      <c r="BL47" s="257"/>
      <c r="BM47" s="256"/>
      <c r="BN47" s="257"/>
    </row>
    <row r="48" spans="1:66" x14ac:dyDescent="0.25">
      <c r="A48" s="6" t="s">
        <v>74</v>
      </c>
      <c r="B48" s="5"/>
      <c r="C48" s="124" t="s">
        <v>65</v>
      </c>
      <c r="D48" s="125" t="s">
        <v>174</v>
      </c>
      <c r="E48" s="258"/>
      <c r="F48" s="259"/>
      <c r="G48" s="258"/>
      <c r="H48" s="259"/>
      <c r="I48" s="258"/>
      <c r="J48" s="259"/>
      <c r="K48" s="258"/>
      <c r="L48" s="259"/>
      <c r="M48" s="258"/>
      <c r="N48" s="259"/>
      <c r="O48" s="258"/>
      <c r="P48" s="259"/>
      <c r="Q48" s="258"/>
      <c r="R48" s="259"/>
      <c r="S48" s="258"/>
      <c r="T48" s="259"/>
      <c r="U48" s="258"/>
      <c r="V48" s="259"/>
      <c r="W48" s="258"/>
      <c r="X48" s="259"/>
      <c r="Y48" s="258"/>
      <c r="Z48" s="259"/>
      <c r="AA48" s="258"/>
      <c r="AB48" s="259"/>
      <c r="AC48" s="258"/>
      <c r="AD48" s="259"/>
      <c r="AE48" s="258"/>
      <c r="AF48" s="259"/>
      <c r="AG48" s="258"/>
      <c r="AH48" s="259"/>
      <c r="AI48" s="258"/>
      <c r="AJ48" s="259"/>
      <c r="AK48" s="258"/>
      <c r="AL48" s="259"/>
      <c r="AM48" s="258"/>
      <c r="AN48" s="259"/>
      <c r="AO48" s="258"/>
      <c r="AP48" s="259"/>
      <c r="AQ48" s="258"/>
      <c r="AR48" s="259"/>
      <c r="AS48" s="258"/>
      <c r="AT48" s="259"/>
      <c r="AU48" s="258"/>
      <c r="AV48" s="259"/>
      <c r="AW48" s="258"/>
      <c r="AX48" s="259"/>
      <c r="AY48" s="258"/>
      <c r="AZ48" s="259"/>
      <c r="BA48" s="258"/>
      <c r="BB48" s="259"/>
      <c r="BC48" s="258"/>
      <c r="BD48" s="259"/>
      <c r="BE48" s="258"/>
      <c r="BF48" s="259"/>
      <c r="BG48" s="258"/>
      <c r="BH48" s="259"/>
      <c r="BI48" s="258"/>
      <c r="BJ48" s="259"/>
      <c r="BK48" s="258"/>
      <c r="BL48" s="259"/>
      <c r="BM48" s="258"/>
      <c r="BN48" s="259"/>
    </row>
    <row r="49" spans="1:66" x14ac:dyDescent="0.25">
      <c r="A49" s="6" t="s">
        <v>75</v>
      </c>
      <c r="B49" s="5"/>
      <c r="C49" s="124" t="s">
        <v>66</v>
      </c>
      <c r="D49" s="125" t="s">
        <v>176</v>
      </c>
      <c r="E49" s="258"/>
      <c r="F49" s="259"/>
      <c r="G49" s="258"/>
      <c r="H49" s="259"/>
      <c r="I49" s="258"/>
      <c r="J49" s="259"/>
      <c r="K49" s="258"/>
      <c r="L49" s="259"/>
      <c r="M49" s="258"/>
      <c r="N49" s="259"/>
      <c r="O49" s="258"/>
      <c r="P49" s="259"/>
      <c r="Q49" s="258"/>
      <c r="R49" s="259"/>
      <c r="S49" s="258"/>
      <c r="T49" s="259"/>
      <c r="U49" s="258"/>
      <c r="V49" s="259"/>
      <c r="W49" s="258"/>
      <c r="X49" s="259"/>
      <c r="Y49" s="258"/>
      <c r="Z49" s="259"/>
      <c r="AA49" s="258"/>
      <c r="AB49" s="259"/>
      <c r="AC49" s="258"/>
      <c r="AD49" s="259"/>
      <c r="AE49" s="258"/>
      <c r="AF49" s="259"/>
      <c r="AG49" s="258"/>
      <c r="AH49" s="259"/>
      <c r="AI49" s="258"/>
      <c r="AJ49" s="259"/>
      <c r="AK49" s="258"/>
      <c r="AL49" s="259"/>
      <c r="AM49" s="258"/>
      <c r="AN49" s="259"/>
      <c r="AO49" s="258"/>
      <c r="AP49" s="259"/>
      <c r="AQ49" s="258"/>
      <c r="AR49" s="259"/>
      <c r="AS49" s="258"/>
      <c r="AT49" s="259"/>
      <c r="AU49" s="258"/>
      <c r="AV49" s="259"/>
      <c r="AW49" s="258"/>
      <c r="AX49" s="259"/>
      <c r="AY49" s="258"/>
      <c r="AZ49" s="259"/>
      <c r="BA49" s="258"/>
      <c r="BB49" s="259"/>
      <c r="BC49" s="258"/>
      <c r="BD49" s="259"/>
      <c r="BE49" s="258"/>
      <c r="BF49" s="259"/>
      <c r="BG49" s="258"/>
      <c r="BH49" s="259"/>
      <c r="BI49" s="258"/>
      <c r="BJ49" s="259"/>
      <c r="BK49" s="258"/>
      <c r="BL49" s="259"/>
      <c r="BM49" s="258"/>
      <c r="BN49" s="259"/>
    </row>
    <row r="50" spans="1:66" x14ac:dyDescent="0.25">
      <c r="A50" s="6" t="s">
        <v>76</v>
      </c>
      <c r="B50" s="5"/>
      <c r="C50" s="124" t="s">
        <v>67</v>
      </c>
      <c r="D50" s="125" t="s">
        <v>179</v>
      </c>
      <c r="E50" s="254"/>
      <c r="F50" s="255"/>
      <c r="G50" s="254"/>
      <c r="H50" s="255"/>
      <c r="I50" s="254"/>
      <c r="J50" s="255"/>
      <c r="K50" s="254"/>
      <c r="L50" s="255"/>
      <c r="M50" s="254"/>
      <c r="N50" s="255"/>
      <c r="O50" s="254"/>
      <c r="P50" s="255"/>
      <c r="Q50" s="254"/>
      <c r="R50" s="255"/>
      <c r="S50" s="254"/>
      <c r="T50" s="255"/>
      <c r="U50" s="254"/>
      <c r="V50" s="255"/>
      <c r="W50" s="254"/>
      <c r="X50" s="255"/>
      <c r="Y50" s="254"/>
      <c r="Z50" s="255"/>
      <c r="AA50" s="254"/>
      <c r="AB50" s="255"/>
      <c r="AC50" s="254"/>
      <c r="AD50" s="255"/>
      <c r="AE50" s="254"/>
      <c r="AF50" s="255"/>
      <c r="AG50" s="254"/>
      <c r="AH50" s="255"/>
      <c r="AI50" s="254"/>
      <c r="AJ50" s="255"/>
      <c r="AK50" s="254"/>
      <c r="AL50" s="255"/>
      <c r="AM50" s="254"/>
      <c r="AN50" s="255"/>
      <c r="AO50" s="254"/>
      <c r="AP50" s="255"/>
      <c r="AQ50" s="254"/>
      <c r="AR50" s="255"/>
      <c r="AS50" s="254"/>
      <c r="AT50" s="255"/>
      <c r="AU50" s="254"/>
      <c r="AV50" s="255"/>
      <c r="AW50" s="254"/>
      <c r="AX50" s="255"/>
      <c r="AY50" s="254"/>
      <c r="AZ50" s="255"/>
      <c r="BA50" s="254"/>
      <c r="BB50" s="255"/>
      <c r="BC50" s="254"/>
      <c r="BD50" s="255"/>
      <c r="BE50" s="254"/>
      <c r="BF50" s="255"/>
      <c r="BG50" s="254"/>
      <c r="BH50" s="255"/>
      <c r="BI50" s="254"/>
      <c r="BJ50" s="255"/>
      <c r="BK50" s="254"/>
      <c r="BL50" s="255"/>
      <c r="BM50" s="254"/>
      <c r="BN50" s="255"/>
    </row>
    <row r="51" spans="1:66" x14ac:dyDescent="0.25">
      <c r="A51" s="6" t="s">
        <v>77</v>
      </c>
      <c r="B51" s="5"/>
      <c r="C51" s="124" t="s">
        <v>68</v>
      </c>
      <c r="D51" s="125" t="s">
        <v>179</v>
      </c>
      <c r="E51" s="252"/>
      <c r="F51" s="253"/>
      <c r="G51" s="252"/>
      <c r="H51" s="253"/>
      <c r="I51" s="252"/>
      <c r="J51" s="253"/>
      <c r="K51" s="252"/>
      <c r="L51" s="253"/>
      <c r="M51" s="252"/>
      <c r="N51" s="253"/>
      <c r="O51" s="252"/>
      <c r="P51" s="253"/>
      <c r="Q51" s="252"/>
      <c r="R51" s="253"/>
      <c r="S51" s="252"/>
      <c r="T51" s="253"/>
      <c r="U51" s="252"/>
      <c r="V51" s="253"/>
      <c r="W51" s="252"/>
      <c r="X51" s="253"/>
      <c r="Y51" s="252"/>
      <c r="Z51" s="253"/>
      <c r="AA51" s="252"/>
      <c r="AB51" s="253"/>
      <c r="AC51" s="252"/>
      <c r="AD51" s="253"/>
      <c r="AE51" s="252"/>
      <c r="AF51" s="253"/>
      <c r="AG51" s="252"/>
      <c r="AH51" s="253"/>
      <c r="AI51" s="252"/>
      <c r="AJ51" s="253"/>
      <c r="AK51" s="252"/>
      <c r="AL51" s="253"/>
      <c r="AM51" s="252"/>
      <c r="AN51" s="253"/>
      <c r="AO51" s="252"/>
      <c r="AP51" s="253"/>
      <c r="AQ51" s="252"/>
      <c r="AR51" s="253"/>
      <c r="AS51" s="252"/>
      <c r="AT51" s="253"/>
      <c r="AU51" s="252"/>
      <c r="AV51" s="253"/>
      <c r="AW51" s="252"/>
      <c r="AX51" s="253"/>
      <c r="AY51" s="252"/>
      <c r="AZ51" s="253"/>
      <c r="BA51" s="252"/>
      <c r="BB51" s="253"/>
      <c r="BC51" s="252"/>
      <c r="BD51" s="253"/>
      <c r="BE51" s="252"/>
      <c r="BF51" s="253"/>
      <c r="BG51" s="252"/>
      <c r="BH51" s="253"/>
      <c r="BI51" s="252"/>
      <c r="BJ51" s="253"/>
      <c r="BK51" s="252"/>
      <c r="BL51" s="253"/>
      <c r="BM51" s="252"/>
      <c r="BN51" s="253"/>
    </row>
    <row r="52" spans="1:66" x14ac:dyDescent="0.25">
      <c r="A52" s="6" t="s">
        <v>190</v>
      </c>
      <c r="B52" s="5"/>
      <c r="C52" s="124" t="s">
        <v>191</v>
      </c>
      <c r="D52" s="125" t="s">
        <v>179</v>
      </c>
      <c r="E52" s="254"/>
      <c r="F52" s="255"/>
      <c r="G52" s="254"/>
      <c r="H52" s="255"/>
      <c r="I52" s="254"/>
      <c r="J52" s="255"/>
      <c r="K52" s="254"/>
      <c r="L52" s="255"/>
      <c r="M52" s="254"/>
      <c r="N52" s="255"/>
      <c r="O52" s="254"/>
      <c r="P52" s="255"/>
      <c r="Q52" s="254"/>
      <c r="R52" s="255"/>
      <c r="S52" s="254"/>
      <c r="T52" s="255"/>
      <c r="U52" s="254"/>
      <c r="V52" s="255"/>
      <c r="W52" s="254"/>
      <c r="X52" s="255"/>
      <c r="Y52" s="254"/>
      <c r="Z52" s="255"/>
      <c r="AA52" s="254"/>
      <c r="AB52" s="255"/>
      <c r="AC52" s="254"/>
      <c r="AD52" s="255"/>
      <c r="AE52" s="254"/>
      <c r="AF52" s="255"/>
      <c r="AG52" s="254"/>
      <c r="AH52" s="255"/>
      <c r="AI52" s="254"/>
      <c r="AJ52" s="255"/>
      <c r="AK52" s="254"/>
      <c r="AL52" s="255"/>
      <c r="AM52" s="254"/>
      <c r="AN52" s="255"/>
      <c r="AO52" s="254"/>
      <c r="AP52" s="255"/>
      <c r="AQ52" s="254"/>
      <c r="AR52" s="255"/>
      <c r="AS52" s="254"/>
      <c r="AT52" s="255"/>
      <c r="AU52" s="254"/>
      <c r="AV52" s="255"/>
      <c r="AW52" s="254"/>
      <c r="AX52" s="255"/>
      <c r="AY52" s="254"/>
      <c r="AZ52" s="255"/>
      <c r="BA52" s="254"/>
      <c r="BB52" s="255"/>
      <c r="BC52" s="254"/>
      <c r="BD52" s="255"/>
      <c r="BE52" s="254"/>
      <c r="BF52" s="255"/>
      <c r="BG52" s="254"/>
      <c r="BH52" s="255"/>
      <c r="BI52" s="254"/>
      <c r="BJ52" s="255"/>
      <c r="BK52" s="254"/>
      <c r="BL52" s="255"/>
      <c r="BM52" s="254"/>
      <c r="BN52" s="255"/>
    </row>
    <row r="53" spans="1:66" x14ac:dyDescent="0.25">
      <c r="A53" s="12" t="s">
        <v>78</v>
      </c>
      <c r="B53" s="13" t="s">
        <v>79</v>
      </c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</row>
    <row r="54" spans="1:66" x14ac:dyDescent="0.25">
      <c r="A54" s="6" t="s">
        <v>80</v>
      </c>
      <c r="B54" s="5"/>
      <c r="C54" s="5" t="s">
        <v>81</v>
      </c>
      <c r="D54" s="6" t="s">
        <v>176</v>
      </c>
      <c r="E54" s="256"/>
      <c r="F54" s="257"/>
      <c r="G54" s="256"/>
      <c r="H54" s="257"/>
      <c r="I54" s="256"/>
      <c r="J54" s="257"/>
      <c r="K54" s="256"/>
      <c r="L54" s="257"/>
      <c r="M54" s="256"/>
      <c r="N54" s="257"/>
      <c r="O54" s="256"/>
      <c r="P54" s="257"/>
      <c r="Q54" s="256"/>
      <c r="R54" s="257"/>
      <c r="S54" s="256"/>
      <c r="T54" s="257"/>
      <c r="U54" s="256"/>
      <c r="V54" s="257"/>
      <c r="W54" s="256"/>
      <c r="X54" s="257"/>
      <c r="Y54" s="256"/>
      <c r="Z54" s="257"/>
      <c r="AA54" s="256"/>
      <c r="AB54" s="257"/>
      <c r="AC54" s="256"/>
      <c r="AD54" s="257"/>
      <c r="AE54" s="256"/>
      <c r="AF54" s="257"/>
      <c r="AG54" s="256"/>
      <c r="AH54" s="257"/>
      <c r="AI54" s="256"/>
      <c r="AJ54" s="257"/>
      <c r="AK54" s="256"/>
      <c r="AL54" s="257"/>
      <c r="AM54" s="256"/>
      <c r="AN54" s="257"/>
      <c r="AO54" s="256"/>
      <c r="AP54" s="257"/>
      <c r="AQ54" s="256"/>
      <c r="AR54" s="257"/>
      <c r="AS54" s="256"/>
      <c r="AT54" s="257"/>
      <c r="AU54" s="256"/>
      <c r="AV54" s="257"/>
      <c r="AW54" s="256"/>
      <c r="AX54" s="257"/>
      <c r="AY54" s="256"/>
      <c r="AZ54" s="257"/>
      <c r="BA54" s="256"/>
      <c r="BB54" s="257"/>
      <c r="BC54" s="256"/>
      <c r="BD54" s="257"/>
      <c r="BE54" s="256"/>
      <c r="BF54" s="257"/>
      <c r="BG54" s="256"/>
      <c r="BH54" s="257"/>
      <c r="BI54" s="256"/>
      <c r="BJ54" s="257"/>
      <c r="BK54" s="256"/>
      <c r="BL54" s="257"/>
      <c r="BM54" s="256"/>
      <c r="BN54" s="257"/>
    </row>
    <row r="55" spans="1:66" x14ac:dyDescent="0.25">
      <c r="A55" s="6" t="s">
        <v>84</v>
      </c>
      <c r="B55" s="5" t="s">
        <v>210</v>
      </c>
      <c r="C55" s="5" t="s">
        <v>82</v>
      </c>
      <c r="D55" s="6" t="s">
        <v>176</v>
      </c>
      <c r="E55" s="256"/>
      <c r="F55" s="257"/>
      <c r="G55" s="256"/>
      <c r="H55" s="257"/>
      <c r="I55" s="256"/>
      <c r="J55" s="257"/>
      <c r="K55" s="256"/>
      <c r="L55" s="257"/>
      <c r="M55" s="256"/>
      <c r="N55" s="257"/>
      <c r="O55" s="256"/>
      <c r="P55" s="257"/>
      <c r="Q55" s="256"/>
      <c r="R55" s="257"/>
      <c r="S55" s="256"/>
      <c r="T55" s="257"/>
      <c r="U55" s="256"/>
      <c r="V55" s="257"/>
      <c r="W55" s="256"/>
      <c r="X55" s="257"/>
      <c r="Y55" s="256"/>
      <c r="Z55" s="257"/>
      <c r="AA55" s="256"/>
      <c r="AB55" s="257"/>
      <c r="AC55" s="256"/>
      <c r="AD55" s="257"/>
      <c r="AE55" s="256"/>
      <c r="AF55" s="257"/>
      <c r="AG55" s="256"/>
      <c r="AH55" s="257"/>
      <c r="AI55" s="256"/>
      <c r="AJ55" s="257"/>
      <c r="AK55" s="256"/>
      <c r="AL55" s="257"/>
      <c r="AM55" s="256"/>
      <c r="AN55" s="257"/>
      <c r="AO55" s="256"/>
      <c r="AP55" s="257"/>
      <c r="AQ55" s="256"/>
      <c r="AR55" s="257"/>
      <c r="AS55" s="256"/>
      <c r="AT55" s="257"/>
      <c r="AU55" s="256"/>
      <c r="AV55" s="257"/>
      <c r="AW55" s="256"/>
      <c r="AX55" s="257"/>
      <c r="AY55" s="256"/>
      <c r="AZ55" s="257"/>
      <c r="BA55" s="256"/>
      <c r="BB55" s="257"/>
      <c r="BC55" s="256"/>
      <c r="BD55" s="257"/>
      <c r="BE55" s="256"/>
      <c r="BF55" s="257"/>
      <c r="BG55" s="256"/>
      <c r="BH55" s="257"/>
      <c r="BI55" s="256"/>
      <c r="BJ55" s="257"/>
      <c r="BK55" s="256"/>
      <c r="BL55" s="257"/>
      <c r="BM55" s="256"/>
      <c r="BN55" s="257"/>
    </row>
    <row r="56" spans="1:66" x14ac:dyDescent="0.25">
      <c r="A56" s="6" t="s">
        <v>85</v>
      </c>
      <c r="B56" s="5" t="s">
        <v>211</v>
      </c>
      <c r="C56" s="17" t="s">
        <v>83</v>
      </c>
      <c r="D56" s="6" t="s">
        <v>176</v>
      </c>
      <c r="E56" s="256"/>
      <c r="F56" s="257"/>
      <c r="G56" s="256"/>
      <c r="H56" s="257"/>
      <c r="I56" s="256"/>
      <c r="J56" s="257"/>
      <c r="K56" s="256"/>
      <c r="L56" s="257"/>
      <c r="M56" s="256"/>
      <c r="N56" s="257"/>
      <c r="O56" s="256"/>
      <c r="P56" s="257"/>
      <c r="Q56" s="256"/>
      <c r="R56" s="257"/>
      <c r="S56" s="256"/>
      <c r="T56" s="257"/>
      <c r="U56" s="256"/>
      <c r="V56" s="257"/>
      <c r="W56" s="256"/>
      <c r="X56" s="257"/>
      <c r="Y56" s="256"/>
      <c r="Z56" s="257"/>
      <c r="AA56" s="256"/>
      <c r="AB56" s="257"/>
      <c r="AC56" s="256"/>
      <c r="AD56" s="257"/>
      <c r="AE56" s="256"/>
      <c r="AF56" s="257"/>
      <c r="AG56" s="256"/>
      <c r="AH56" s="257"/>
      <c r="AI56" s="256"/>
      <c r="AJ56" s="257"/>
      <c r="AK56" s="256"/>
      <c r="AL56" s="257"/>
      <c r="AM56" s="256"/>
      <c r="AN56" s="257"/>
      <c r="AO56" s="256"/>
      <c r="AP56" s="257"/>
      <c r="AQ56" s="256"/>
      <c r="AR56" s="257"/>
      <c r="AS56" s="256"/>
      <c r="AT56" s="257"/>
      <c r="AU56" s="256"/>
      <c r="AV56" s="257"/>
      <c r="AW56" s="256"/>
      <c r="AX56" s="257"/>
      <c r="AY56" s="256"/>
      <c r="AZ56" s="257"/>
      <c r="BA56" s="256"/>
      <c r="BB56" s="257"/>
      <c r="BC56" s="256"/>
      <c r="BD56" s="257"/>
      <c r="BE56" s="256"/>
      <c r="BF56" s="257"/>
      <c r="BG56" s="256"/>
      <c r="BH56" s="257"/>
      <c r="BI56" s="256"/>
      <c r="BJ56" s="257"/>
      <c r="BK56" s="256"/>
      <c r="BL56" s="257"/>
      <c r="BM56" s="256"/>
      <c r="BN56" s="257"/>
    </row>
    <row r="57" spans="1:66" x14ac:dyDescent="0.25">
      <c r="A57" s="6" t="s">
        <v>86</v>
      </c>
      <c r="B57" s="5" t="s">
        <v>210</v>
      </c>
      <c r="C57" s="5" t="s">
        <v>193</v>
      </c>
      <c r="D57" s="6" t="s">
        <v>183</v>
      </c>
      <c r="E57" s="137"/>
      <c r="F57" s="138"/>
      <c r="G57" s="137"/>
      <c r="H57" s="138"/>
      <c r="I57" s="137"/>
      <c r="J57" s="138"/>
      <c r="K57" s="137"/>
      <c r="L57" s="138"/>
      <c r="M57" s="137"/>
      <c r="N57" s="138"/>
      <c r="O57" s="137"/>
      <c r="P57" s="138"/>
      <c r="Q57" s="137"/>
      <c r="R57" s="138"/>
      <c r="S57" s="137"/>
      <c r="T57" s="138"/>
      <c r="U57" s="137"/>
      <c r="V57" s="138"/>
      <c r="W57" s="137"/>
      <c r="X57" s="138"/>
      <c r="Y57" s="137"/>
      <c r="Z57" s="138"/>
      <c r="AA57" s="137"/>
      <c r="AB57" s="138"/>
      <c r="AC57" s="137"/>
      <c r="AD57" s="138"/>
      <c r="AE57" s="137"/>
      <c r="AF57" s="138"/>
      <c r="AG57" s="137"/>
      <c r="AH57" s="138"/>
      <c r="AI57" s="137"/>
      <c r="AJ57" s="138"/>
      <c r="AK57" s="137"/>
      <c r="AL57" s="138"/>
      <c r="AM57" s="137"/>
      <c r="AN57" s="138"/>
      <c r="AO57" s="137"/>
      <c r="AP57" s="138"/>
      <c r="AQ57" s="137"/>
      <c r="AR57" s="138"/>
      <c r="AS57" s="137"/>
      <c r="AT57" s="138"/>
      <c r="AU57" s="137"/>
      <c r="AV57" s="138"/>
      <c r="AW57" s="137"/>
      <c r="AX57" s="138"/>
      <c r="AY57" s="137"/>
      <c r="AZ57" s="138"/>
      <c r="BA57" s="137"/>
      <c r="BB57" s="138"/>
      <c r="BC57" s="137"/>
      <c r="BD57" s="138"/>
      <c r="BE57" s="137"/>
      <c r="BF57" s="138"/>
      <c r="BG57" s="137"/>
      <c r="BH57" s="138"/>
      <c r="BI57" s="137"/>
      <c r="BJ57" s="138"/>
      <c r="BK57" s="137"/>
      <c r="BL57" s="138"/>
      <c r="BM57" s="137"/>
      <c r="BN57" s="138"/>
    </row>
    <row r="58" spans="1:66" x14ac:dyDescent="0.25">
      <c r="A58" s="6" t="s">
        <v>87</v>
      </c>
      <c r="B58" s="5" t="s">
        <v>210</v>
      </c>
      <c r="C58" s="124" t="s">
        <v>182</v>
      </c>
      <c r="D58" s="125" t="s">
        <v>183</v>
      </c>
      <c r="E58" s="131"/>
      <c r="F58" s="133"/>
      <c r="G58" s="131"/>
      <c r="H58" s="133"/>
      <c r="I58" s="131"/>
      <c r="J58" s="133"/>
      <c r="K58" s="131"/>
      <c r="L58" s="133"/>
      <c r="M58" s="131"/>
      <c r="N58" s="133"/>
      <c r="O58" s="131"/>
      <c r="P58" s="133"/>
      <c r="Q58" s="131"/>
      <c r="R58" s="133"/>
      <c r="S58" s="131"/>
      <c r="T58" s="133"/>
      <c r="U58" s="131"/>
      <c r="V58" s="133"/>
      <c r="W58" s="131"/>
      <c r="X58" s="133"/>
      <c r="Y58" s="131"/>
      <c r="Z58" s="133"/>
      <c r="AA58" s="131"/>
      <c r="AB58" s="133"/>
      <c r="AC58" s="131"/>
      <c r="AD58" s="133"/>
      <c r="AE58" s="131"/>
      <c r="AF58" s="133"/>
      <c r="AG58" s="131"/>
      <c r="AH58" s="133"/>
      <c r="AI58" s="131"/>
      <c r="AJ58" s="133"/>
      <c r="AK58" s="131"/>
      <c r="AL58" s="133"/>
      <c r="AM58" s="131"/>
      <c r="AN58" s="133"/>
      <c r="AO58" s="131"/>
      <c r="AP58" s="133"/>
      <c r="AQ58" s="131"/>
      <c r="AR58" s="133"/>
      <c r="AS58" s="131"/>
      <c r="AT58" s="133"/>
      <c r="AU58" s="131"/>
      <c r="AV58" s="133"/>
      <c r="AW58" s="131"/>
      <c r="AX58" s="133"/>
      <c r="AY58" s="131"/>
      <c r="AZ58" s="133"/>
      <c r="BA58" s="131"/>
      <c r="BB58" s="133"/>
      <c r="BC58" s="131"/>
      <c r="BD58" s="133"/>
      <c r="BE58" s="131"/>
      <c r="BF58" s="133"/>
      <c r="BG58" s="131"/>
      <c r="BH58" s="133"/>
      <c r="BI58" s="131"/>
      <c r="BJ58" s="133"/>
      <c r="BK58" s="131"/>
      <c r="BL58" s="133"/>
      <c r="BM58" s="131"/>
      <c r="BN58" s="133"/>
    </row>
    <row r="59" spans="1:66" x14ac:dyDescent="0.25">
      <c r="A59" s="6" t="s">
        <v>88</v>
      </c>
      <c r="B59" s="5" t="s">
        <v>210</v>
      </c>
      <c r="C59" s="5" t="s">
        <v>192</v>
      </c>
      <c r="D59" s="6" t="s">
        <v>183</v>
      </c>
      <c r="E59" s="137"/>
      <c r="F59" s="138"/>
      <c r="G59" s="137"/>
      <c r="H59" s="138"/>
      <c r="I59" s="137"/>
      <c r="J59" s="138"/>
      <c r="K59" s="137"/>
      <c r="L59" s="138"/>
      <c r="M59" s="137"/>
      <c r="N59" s="138"/>
      <c r="O59" s="137"/>
      <c r="P59" s="138"/>
      <c r="Q59" s="137"/>
      <c r="R59" s="138"/>
      <c r="S59" s="137"/>
      <c r="T59" s="138"/>
      <c r="U59" s="137"/>
      <c r="V59" s="138"/>
      <c r="W59" s="137"/>
      <c r="X59" s="138"/>
      <c r="Y59" s="137"/>
      <c r="Z59" s="138"/>
      <c r="AA59" s="137"/>
      <c r="AB59" s="138"/>
      <c r="AC59" s="137"/>
      <c r="AD59" s="138"/>
      <c r="AE59" s="137"/>
      <c r="AF59" s="138"/>
      <c r="AG59" s="137"/>
      <c r="AH59" s="138"/>
      <c r="AI59" s="137"/>
      <c r="AJ59" s="138"/>
      <c r="AK59" s="137"/>
      <c r="AL59" s="138"/>
      <c r="AM59" s="137"/>
      <c r="AN59" s="138"/>
      <c r="AO59" s="137"/>
      <c r="AP59" s="138"/>
      <c r="AQ59" s="137"/>
      <c r="AR59" s="138"/>
      <c r="AS59" s="137"/>
      <c r="AT59" s="138"/>
      <c r="AU59" s="137"/>
      <c r="AV59" s="138"/>
      <c r="AW59" s="137"/>
      <c r="AX59" s="138"/>
      <c r="AY59" s="137"/>
      <c r="AZ59" s="138"/>
      <c r="BA59" s="137"/>
      <c r="BB59" s="138"/>
      <c r="BC59" s="137"/>
      <c r="BD59" s="138"/>
      <c r="BE59" s="137"/>
      <c r="BF59" s="138"/>
      <c r="BG59" s="137"/>
      <c r="BH59" s="138"/>
      <c r="BI59" s="137"/>
      <c r="BJ59" s="138"/>
      <c r="BK59" s="137"/>
      <c r="BL59" s="138"/>
      <c r="BM59" s="137"/>
      <c r="BN59" s="138"/>
    </row>
    <row r="60" spans="1:66" x14ac:dyDescent="0.25">
      <c r="A60" s="6" t="s">
        <v>89</v>
      </c>
      <c r="B60" s="5" t="s">
        <v>211</v>
      </c>
      <c r="C60" s="17" t="s">
        <v>251</v>
      </c>
      <c r="D60" s="6" t="s">
        <v>176</v>
      </c>
      <c r="E60" s="266"/>
      <c r="F60" s="267"/>
      <c r="G60" s="266"/>
      <c r="H60" s="267"/>
      <c r="I60" s="266"/>
      <c r="J60" s="267"/>
      <c r="K60" s="266"/>
      <c r="L60" s="267"/>
      <c r="M60" s="266"/>
      <c r="N60" s="267"/>
      <c r="O60" s="266"/>
      <c r="P60" s="267"/>
      <c r="Q60" s="266"/>
      <c r="R60" s="267"/>
      <c r="S60" s="266"/>
      <c r="T60" s="267"/>
      <c r="U60" s="266"/>
      <c r="V60" s="267"/>
      <c r="W60" s="266"/>
      <c r="X60" s="267"/>
      <c r="Y60" s="266"/>
      <c r="Z60" s="267"/>
      <c r="AA60" s="266"/>
      <c r="AB60" s="267"/>
      <c r="AC60" s="266"/>
      <c r="AD60" s="267"/>
      <c r="AE60" s="266"/>
      <c r="AF60" s="267"/>
      <c r="AG60" s="266"/>
      <c r="AH60" s="267"/>
      <c r="AI60" s="266"/>
      <c r="AJ60" s="267"/>
      <c r="AK60" s="266"/>
      <c r="AL60" s="267"/>
      <c r="AM60" s="266"/>
      <c r="AN60" s="267"/>
      <c r="AO60" s="266"/>
      <c r="AP60" s="267"/>
      <c r="AQ60" s="266"/>
      <c r="AR60" s="267"/>
      <c r="AS60" s="266"/>
      <c r="AT60" s="267"/>
      <c r="AU60" s="266"/>
      <c r="AV60" s="267"/>
      <c r="AW60" s="266"/>
      <c r="AX60" s="267"/>
      <c r="AY60" s="266"/>
      <c r="AZ60" s="267"/>
      <c r="BA60" s="266"/>
      <c r="BB60" s="267"/>
      <c r="BC60" s="266"/>
      <c r="BD60" s="267"/>
      <c r="BE60" s="266"/>
      <c r="BF60" s="267"/>
      <c r="BG60" s="266"/>
      <c r="BH60" s="267"/>
      <c r="BI60" s="266"/>
      <c r="BJ60" s="267"/>
      <c r="BK60" s="266"/>
      <c r="BL60" s="267"/>
      <c r="BM60" s="266"/>
      <c r="BN60" s="267"/>
    </row>
    <row r="61" spans="1:66" x14ac:dyDescent="0.25">
      <c r="A61" s="6" t="s">
        <v>90</v>
      </c>
      <c r="B61" s="5"/>
      <c r="C61" s="17" t="s">
        <v>217</v>
      </c>
      <c r="D61" s="6" t="s">
        <v>176</v>
      </c>
      <c r="E61" s="248"/>
      <c r="F61" s="249"/>
      <c r="G61" s="248"/>
      <c r="H61" s="249"/>
      <c r="I61" s="248"/>
      <c r="J61" s="249"/>
      <c r="K61" s="248"/>
      <c r="L61" s="249"/>
      <c r="M61" s="248"/>
      <c r="N61" s="249"/>
      <c r="O61" s="248"/>
      <c r="P61" s="249"/>
      <c r="Q61" s="248"/>
      <c r="R61" s="249"/>
      <c r="S61" s="248"/>
      <c r="T61" s="249"/>
      <c r="U61" s="248"/>
      <c r="V61" s="249"/>
      <c r="W61" s="248"/>
      <c r="X61" s="249"/>
      <c r="Y61" s="248"/>
      <c r="Z61" s="249"/>
      <c r="AA61" s="248"/>
      <c r="AB61" s="249"/>
      <c r="AC61" s="248"/>
      <c r="AD61" s="249"/>
      <c r="AE61" s="248"/>
      <c r="AF61" s="249"/>
      <c r="AG61" s="248"/>
      <c r="AH61" s="249"/>
      <c r="AI61" s="248"/>
      <c r="AJ61" s="249"/>
      <c r="AK61" s="248"/>
      <c r="AL61" s="249"/>
      <c r="AM61" s="248"/>
      <c r="AN61" s="249"/>
      <c r="AO61" s="248"/>
      <c r="AP61" s="249"/>
      <c r="AQ61" s="248"/>
      <c r="AR61" s="249"/>
      <c r="AS61" s="248"/>
      <c r="AT61" s="249"/>
      <c r="AU61" s="248"/>
      <c r="AV61" s="249"/>
      <c r="AW61" s="248"/>
      <c r="AX61" s="249"/>
      <c r="AY61" s="248"/>
      <c r="AZ61" s="249"/>
      <c r="BA61" s="248"/>
      <c r="BB61" s="249"/>
      <c r="BC61" s="248"/>
      <c r="BD61" s="249"/>
      <c r="BE61" s="248"/>
      <c r="BF61" s="249"/>
      <c r="BG61" s="248"/>
      <c r="BH61" s="249"/>
      <c r="BI61" s="248"/>
      <c r="BJ61" s="249"/>
      <c r="BK61" s="248"/>
      <c r="BL61" s="249"/>
      <c r="BM61" s="248"/>
      <c r="BN61" s="249"/>
    </row>
    <row r="62" spans="1:66" x14ac:dyDescent="0.25">
      <c r="A62" s="6" t="s">
        <v>194</v>
      </c>
      <c r="B62" s="5"/>
      <c r="C62" s="17" t="s">
        <v>340</v>
      </c>
      <c r="D62" s="6" t="s">
        <v>176</v>
      </c>
      <c r="E62" s="248"/>
      <c r="F62" s="249"/>
      <c r="G62" s="248"/>
      <c r="H62" s="249"/>
      <c r="I62" s="248"/>
      <c r="J62" s="249"/>
      <c r="K62" s="248"/>
      <c r="L62" s="249"/>
      <c r="M62" s="248"/>
      <c r="N62" s="249"/>
      <c r="O62" s="248"/>
      <c r="P62" s="249"/>
      <c r="Q62" s="248"/>
      <c r="R62" s="249"/>
      <c r="S62" s="248"/>
      <c r="T62" s="249"/>
      <c r="U62" s="248"/>
      <c r="V62" s="249"/>
      <c r="W62" s="248"/>
      <c r="X62" s="249"/>
      <c r="Y62" s="248"/>
      <c r="Z62" s="249"/>
      <c r="AA62" s="248"/>
      <c r="AB62" s="249"/>
      <c r="AC62" s="248"/>
      <c r="AD62" s="249"/>
      <c r="AE62" s="248"/>
      <c r="AF62" s="249"/>
      <c r="AG62" s="248"/>
      <c r="AH62" s="249"/>
      <c r="AI62" s="248"/>
      <c r="AJ62" s="249"/>
      <c r="AK62" s="248"/>
      <c r="AL62" s="249"/>
      <c r="AM62" s="248"/>
      <c r="AN62" s="249"/>
      <c r="AO62" s="248"/>
      <c r="AP62" s="249"/>
      <c r="AQ62" s="248"/>
      <c r="AR62" s="249"/>
      <c r="AS62" s="248"/>
      <c r="AT62" s="249"/>
      <c r="AU62" s="248"/>
      <c r="AV62" s="249"/>
      <c r="AW62" s="248"/>
      <c r="AX62" s="249"/>
      <c r="AY62" s="248"/>
      <c r="AZ62" s="249"/>
      <c r="BA62" s="248"/>
      <c r="BB62" s="249"/>
      <c r="BC62" s="248"/>
      <c r="BD62" s="249"/>
      <c r="BE62" s="248"/>
      <c r="BF62" s="249"/>
      <c r="BG62" s="248"/>
      <c r="BH62" s="249"/>
      <c r="BI62" s="248"/>
      <c r="BJ62" s="249"/>
      <c r="BK62" s="248"/>
      <c r="BL62" s="249"/>
      <c r="BM62" s="248"/>
      <c r="BN62" s="249"/>
    </row>
    <row r="63" spans="1:66" x14ac:dyDescent="0.25">
      <c r="A63" s="6" t="s">
        <v>216</v>
      </c>
      <c r="B63" s="5"/>
      <c r="C63" s="17" t="s">
        <v>218</v>
      </c>
      <c r="D63" s="6" t="s">
        <v>179</v>
      </c>
      <c r="E63" s="248"/>
      <c r="F63" s="249"/>
      <c r="G63" s="248"/>
      <c r="H63" s="249"/>
      <c r="I63" s="248"/>
      <c r="J63" s="249"/>
      <c r="K63" s="248"/>
      <c r="L63" s="249"/>
      <c r="M63" s="248"/>
      <c r="N63" s="249"/>
      <c r="O63" s="248"/>
      <c r="P63" s="249"/>
      <c r="Q63" s="248"/>
      <c r="R63" s="249"/>
      <c r="S63" s="248"/>
      <c r="T63" s="249"/>
      <c r="U63" s="248"/>
      <c r="V63" s="249"/>
      <c r="W63" s="248"/>
      <c r="X63" s="249"/>
      <c r="Y63" s="248"/>
      <c r="Z63" s="249"/>
      <c r="AA63" s="248"/>
      <c r="AB63" s="249"/>
      <c r="AC63" s="248"/>
      <c r="AD63" s="249"/>
      <c r="AE63" s="248"/>
      <c r="AF63" s="249"/>
      <c r="AG63" s="248"/>
      <c r="AH63" s="249"/>
      <c r="AI63" s="248"/>
      <c r="AJ63" s="249"/>
      <c r="AK63" s="248"/>
      <c r="AL63" s="249"/>
      <c r="AM63" s="248"/>
      <c r="AN63" s="249"/>
      <c r="AO63" s="248"/>
      <c r="AP63" s="249"/>
      <c r="AQ63" s="248"/>
      <c r="AR63" s="249"/>
      <c r="AS63" s="248"/>
      <c r="AT63" s="249"/>
      <c r="AU63" s="248"/>
      <c r="AV63" s="249"/>
      <c r="AW63" s="248"/>
      <c r="AX63" s="249"/>
      <c r="AY63" s="248"/>
      <c r="AZ63" s="249"/>
      <c r="BA63" s="248"/>
      <c r="BB63" s="249"/>
      <c r="BC63" s="248"/>
      <c r="BD63" s="249"/>
      <c r="BE63" s="248"/>
      <c r="BF63" s="249"/>
      <c r="BG63" s="248"/>
      <c r="BH63" s="249"/>
      <c r="BI63" s="248"/>
      <c r="BJ63" s="249"/>
      <c r="BK63" s="248"/>
      <c r="BL63" s="249"/>
      <c r="BM63" s="248"/>
      <c r="BN63" s="249"/>
    </row>
    <row r="64" spans="1:66" x14ac:dyDescent="0.25">
      <c r="A64" s="6" t="s">
        <v>337</v>
      </c>
      <c r="B64" s="5"/>
      <c r="C64" s="17" t="s">
        <v>219</v>
      </c>
      <c r="D64" s="6" t="s">
        <v>179</v>
      </c>
      <c r="E64" s="248"/>
      <c r="F64" s="249"/>
      <c r="G64" s="248"/>
      <c r="H64" s="249"/>
      <c r="I64" s="248"/>
      <c r="J64" s="249"/>
      <c r="K64" s="248"/>
      <c r="L64" s="249"/>
      <c r="M64" s="248"/>
      <c r="N64" s="249"/>
      <c r="O64" s="248"/>
      <c r="P64" s="249"/>
      <c r="Q64" s="248"/>
      <c r="R64" s="249"/>
      <c r="S64" s="248"/>
      <c r="T64" s="249"/>
      <c r="U64" s="248"/>
      <c r="V64" s="249"/>
      <c r="W64" s="248"/>
      <c r="X64" s="249"/>
      <c r="Y64" s="248"/>
      <c r="Z64" s="249"/>
      <c r="AA64" s="248"/>
      <c r="AB64" s="249"/>
      <c r="AC64" s="248"/>
      <c r="AD64" s="249"/>
      <c r="AE64" s="248"/>
      <c r="AF64" s="249"/>
      <c r="AG64" s="248"/>
      <c r="AH64" s="249"/>
      <c r="AI64" s="248"/>
      <c r="AJ64" s="249"/>
      <c r="AK64" s="248"/>
      <c r="AL64" s="249"/>
      <c r="AM64" s="248"/>
      <c r="AN64" s="249"/>
      <c r="AO64" s="248"/>
      <c r="AP64" s="249"/>
      <c r="AQ64" s="248"/>
      <c r="AR64" s="249"/>
      <c r="AS64" s="248"/>
      <c r="AT64" s="249"/>
      <c r="AU64" s="248"/>
      <c r="AV64" s="249"/>
      <c r="AW64" s="248"/>
      <c r="AX64" s="249"/>
      <c r="AY64" s="248"/>
      <c r="AZ64" s="249"/>
      <c r="BA64" s="248"/>
      <c r="BB64" s="249"/>
      <c r="BC64" s="248"/>
      <c r="BD64" s="249"/>
      <c r="BE64" s="248"/>
      <c r="BF64" s="249"/>
      <c r="BG64" s="248"/>
      <c r="BH64" s="249"/>
      <c r="BI64" s="248"/>
      <c r="BJ64" s="249"/>
      <c r="BK64" s="248"/>
      <c r="BL64" s="249"/>
      <c r="BM64" s="248"/>
      <c r="BN64" s="249"/>
    </row>
    <row r="65" spans="1:66" x14ac:dyDescent="0.25">
      <c r="A65" s="12" t="s">
        <v>91</v>
      </c>
      <c r="B65" s="13" t="s">
        <v>92</v>
      </c>
      <c r="C65" s="14"/>
      <c r="D65" s="15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36"/>
      <c r="BG65" s="136"/>
      <c r="BH65" s="136"/>
      <c r="BI65" s="136"/>
      <c r="BJ65" s="136"/>
      <c r="BK65" s="136"/>
      <c r="BL65" s="136"/>
      <c r="BM65" s="136"/>
      <c r="BN65" s="136"/>
    </row>
    <row r="66" spans="1:66" x14ac:dyDescent="0.25">
      <c r="A66" s="6" t="s">
        <v>93</v>
      </c>
      <c r="B66" s="5"/>
      <c r="C66" s="5" t="s">
        <v>94</v>
      </c>
      <c r="D66" s="6" t="s">
        <v>176</v>
      </c>
      <c r="E66" s="256"/>
      <c r="F66" s="257"/>
      <c r="G66" s="256"/>
      <c r="H66" s="257"/>
      <c r="I66" s="256"/>
      <c r="J66" s="257"/>
      <c r="K66" s="256"/>
      <c r="L66" s="257"/>
      <c r="M66" s="256"/>
      <c r="N66" s="257"/>
      <c r="O66" s="256"/>
      <c r="P66" s="257"/>
      <c r="Q66" s="256"/>
      <c r="R66" s="257"/>
      <c r="S66" s="256"/>
      <c r="T66" s="257"/>
      <c r="U66" s="256"/>
      <c r="V66" s="257"/>
      <c r="W66" s="256"/>
      <c r="X66" s="257"/>
      <c r="Y66" s="256"/>
      <c r="Z66" s="257"/>
      <c r="AA66" s="256"/>
      <c r="AB66" s="257"/>
      <c r="AC66" s="256"/>
      <c r="AD66" s="257"/>
      <c r="AE66" s="256"/>
      <c r="AF66" s="257"/>
      <c r="AG66" s="256"/>
      <c r="AH66" s="257"/>
      <c r="AI66" s="256"/>
      <c r="AJ66" s="257"/>
      <c r="AK66" s="256"/>
      <c r="AL66" s="257"/>
      <c r="AM66" s="256"/>
      <c r="AN66" s="257"/>
      <c r="AO66" s="256"/>
      <c r="AP66" s="257"/>
      <c r="AQ66" s="256"/>
      <c r="AR66" s="257"/>
      <c r="AS66" s="256"/>
      <c r="AT66" s="257"/>
      <c r="AU66" s="256"/>
      <c r="AV66" s="257"/>
      <c r="AW66" s="256"/>
      <c r="AX66" s="257"/>
      <c r="AY66" s="256"/>
      <c r="AZ66" s="257"/>
      <c r="BA66" s="256"/>
      <c r="BB66" s="257"/>
      <c r="BC66" s="256"/>
      <c r="BD66" s="257"/>
      <c r="BE66" s="256"/>
      <c r="BF66" s="257"/>
      <c r="BG66" s="256"/>
      <c r="BH66" s="257"/>
      <c r="BI66" s="256"/>
      <c r="BJ66" s="257"/>
      <c r="BK66" s="256"/>
      <c r="BL66" s="257"/>
      <c r="BM66" s="256"/>
      <c r="BN66" s="257"/>
    </row>
    <row r="67" spans="1:66" x14ac:dyDescent="0.25">
      <c r="A67" s="6" t="s">
        <v>104</v>
      </c>
      <c r="B67" s="5"/>
      <c r="C67" s="5" t="s">
        <v>95</v>
      </c>
      <c r="D67" s="6" t="s">
        <v>176</v>
      </c>
      <c r="E67" s="256"/>
      <c r="F67" s="257"/>
      <c r="G67" s="256"/>
      <c r="H67" s="257"/>
      <c r="I67" s="256"/>
      <c r="J67" s="257"/>
      <c r="K67" s="256"/>
      <c r="L67" s="257"/>
      <c r="M67" s="256"/>
      <c r="N67" s="257"/>
      <c r="O67" s="256"/>
      <c r="P67" s="257"/>
      <c r="Q67" s="256"/>
      <c r="R67" s="257"/>
      <c r="S67" s="256"/>
      <c r="T67" s="257"/>
      <c r="U67" s="256"/>
      <c r="V67" s="257"/>
      <c r="W67" s="256"/>
      <c r="X67" s="257"/>
      <c r="Y67" s="256"/>
      <c r="Z67" s="257"/>
      <c r="AA67" s="256"/>
      <c r="AB67" s="257"/>
      <c r="AC67" s="256"/>
      <c r="AD67" s="257"/>
      <c r="AE67" s="256"/>
      <c r="AF67" s="257"/>
      <c r="AG67" s="256"/>
      <c r="AH67" s="257"/>
      <c r="AI67" s="256"/>
      <c r="AJ67" s="257"/>
      <c r="AK67" s="256"/>
      <c r="AL67" s="257"/>
      <c r="AM67" s="256"/>
      <c r="AN67" s="257"/>
      <c r="AO67" s="256"/>
      <c r="AP67" s="257"/>
      <c r="AQ67" s="256"/>
      <c r="AR67" s="257"/>
      <c r="AS67" s="256"/>
      <c r="AT67" s="257"/>
      <c r="AU67" s="256"/>
      <c r="AV67" s="257"/>
      <c r="AW67" s="256"/>
      <c r="AX67" s="257"/>
      <c r="AY67" s="256"/>
      <c r="AZ67" s="257"/>
      <c r="BA67" s="256"/>
      <c r="BB67" s="257"/>
      <c r="BC67" s="256"/>
      <c r="BD67" s="257"/>
      <c r="BE67" s="256"/>
      <c r="BF67" s="257"/>
      <c r="BG67" s="256"/>
      <c r="BH67" s="257"/>
      <c r="BI67" s="256"/>
      <c r="BJ67" s="257"/>
      <c r="BK67" s="256"/>
      <c r="BL67" s="257"/>
      <c r="BM67" s="256"/>
      <c r="BN67" s="257"/>
    </row>
    <row r="68" spans="1:66" x14ac:dyDescent="0.25">
      <c r="A68" s="6" t="s">
        <v>105</v>
      </c>
      <c r="B68" s="5" t="s">
        <v>210</v>
      </c>
      <c r="C68" s="124" t="s">
        <v>96</v>
      </c>
      <c r="D68" s="125" t="s">
        <v>176</v>
      </c>
      <c r="E68" s="264"/>
      <c r="F68" s="265"/>
      <c r="G68" s="264"/>
      <c r="H68" s="265"/>
      <c r="I68" s="264"/>
      <c r="J68" s="265"/>
      <c r="K68" s="264"/>
      <c r="L68" s="265"/>
      <c r="M68" s="264"/>
      <c r="N68" s="265"/>
      <c r="O68" s="264"/>
      <c r="P68" s="265"/>
      <c r="Q68" s="264"/>
      <c r="R68" s="265"/>
      <c r="S68" s="264"/>
      <c r="T68" s="265"/>
      <c r="U68" s="264"/>
      <c r="V68" s="265"/>
      <c r="W68" s="264"/>
      <c r="X68" s="265"/>
      <c r="Y68" s="264"/>
      <c r="Z68" s="265"/>
      <c r="AA68" s="264"/>
      <c r="AB68" s="265"/>
      <c r="AC68" s="264"/>
      <c r="AD68" s="265"/>
      <c r="AE68" s="264"/>
      <c r="AF68" s="265"/>
      <c r="AG68" s="264"/>
      <c r="AH68" s="265"/>
      <c r="AI68" s="264"/>
      <c r="AJ68" s="265"/>
      <c r="AK68" s="264"/>
      <c r="AL68" s="265"/>
      <c r="AM68" s="264"/>
      <c r="AN68" s="265"/>
      <c r="AO68" s="264"/>
      <c r="AP68" s="265"/>
      <c r="AQ68" s="264"/>
      <c r="AR68" s="265"/>
      <c r="AS68" s="264"/>
      <c r="AT68" s="265"/>
      <c r="AU68" s="264"/>
      <c r="AV68" s="265"/>
      <c r="AW68" s="264"/>
      <c r="AX68" s="265"/>
      <c r="AY68" s="264"/>
      <c r="AZ68" s="265"/>
      <c r="BA68" s="264"/>
      <c r="BB68" s="265"/>
      <c r="BC68" s="264"/>
      <c r="BD68" s="265"/>
      <c r="BE68" s="264"/>
      <c r="BF68" s="265"/>
      <c r="BG68" s="264"/>
      <c r="BH68" s="265"/>
      <c r="BI68" s="264"/>
      <c r="BJ68" s="265"/>
      <c r="BK68" s="264"/>
      <c r="BL68" s="265"/>
      <c r="BM68" s="264"/>
      <c r="BN68" s="265"/>
    </row>
    <row r="69" spans="1:66" x14ac:dyDescent="0.25">
      <c r="A69" s="6" t="s">
        <v>106</v>
      </c>
      <c r="B69" s="5" t="s">
        <v>210</v>
      </c>
      <c r="C69" s="124" t="s">
        <v>97</v>
      </c>
      <c r="D69" s="125" t="s">
        <v>176</v>
      </c>
      <c r="E69" s="264"/>
      <c r="F69" s="265"/>
      <c r="G69" s="264"/>
      <c r="H69" s="265"/>
      <c r="I69" s="264"/>
      <c r="J69" s="265"/>
      <c r="K69" s="264"/>
      <c r="L69" s="265"/>
      <c r="M69" s="264"/>
      <c r="N69" s="265"/>
      <c r="O69" s="264"/>
      <c r="P69" s="265"/>
      <c r="Q69" s="264"/>
      <c r="R69" s="265"/>
      <c r="S69" s="264"/>
      <c r="T69" s="265"/>
      <c r="U69" s="264"/>
      <c r="V69" s="265"/>
      <c r="W69" s="264"/>
      <c r="X69" s="265"/>
      <c r="Y69" s="264"/>
      <c r="Z69" s="265"/>
      <c r="AA69" s="264"/>
      <c r="AB69" s="265"/>
      <c r="AC69" s="264"/>
      <c r="AD69" s="265"/>
      <c r="AE69" s="264"/>
      <c r="AF69" s="265"/>
      <c r="AG69" s="264"/>
      <c r="AH69" s="265"/>
      <c r="AI69" s="264"/>
      <c r="AJ69" s="265"/>
      <c r="AK69" s="264"/>
      <c r="AL69" s="265"/>
      <c r="AM69" s="264"/>
      <c r="AN69" s="265"/>
      <c r="AO69" s="264"/>
      <c r="AP69" s="265"/>
      <c r="AQ69" s="264"/>
      <c r="AR69" s="265"/>
      <c r="AS69" s="264"/>
      <c r="AT69" s="265"/>
      <c r="AU69" s="264"/>
      <c r="AV69" s="265"/>
      <c r="AW69" s="264"/>
      <c r="AX69" s="265"/>
      <c r="AY69" s="264"/>
      <c r="AZ69" s="265"/>
      <c r="BA69" s="264"/>
      <c r="BB69" s="265"/>
      <c r="BC69" s="264"/>
      <c r="BD69" s="265"/>
      <c r="BE69" s="264"/>
      <c r="BF69" s="265"/>
      <c r="BG69" s="264"/>
      <c r="BH69" s="265"/>
      <c r="BI69" s="264"/>
      <c r="BJ69" s="265"/>
      <c r="BK69" s="264"/>
      <c r="BL69" s="265"/>
      <c r="BM69" s="264"/>
      <c r="BN69" s="265"/>
    </row>
    <row r="70" spans="1:66" x14ac:dyDescent="0.25">
      <c r="A70" s="6" t="s">
        <v>107</v>
      </c>
      <c r="B70" s="5" t="s">
        <v>210</v>
      </c>
      <c r="C70" s="124" t="s">
        <v>98</v>
      </c>
      <c r="D70" s="125" t="s">
        <v>176</v>
      </c>
      <c r="E70" s="264"/>
      <c r="F70" s="265"/>
      <c r="G70" s="264"/>
      <c r="H70" s="265"/>
      <c r="I70" s="264"/>
      <c r="J70" s="265"/>
      <c r="K70" s="264"/>
      <c r="L70" s="265"/>
      <c r="M70" s="264"/>
      <c r="N70" s="265"/>
      <c r="O70" s="264"/>
      <c r="P70" s="265"/>
      <c r="Q70" s="264"/>
      <c r="R70" s="265"/>
      <c r="S70" s="264"/>
      <c r="T70" s="265"/>
      <c r="U70" s="264"/>
      <c r="V70" s="265"/>
      <c r="W70" s="264"/>
      <c r="X70" s="265"/>
      <c r="Y70" s="264"/>
      <c r="Z70" s="265"/>
      <c r="AA70" s="264"/>
      <c r="AB70" s="265"/>
      <c r="AC70" s="264"/>
      <c r="AD70" s="265"/>
      <c r="AE70" s="264"/>
      <c r="AF70" s="265"/>
      <c r="AG70" s="264"/>
      <c r="AH70" s="265"/>
      <c r="AI70" s="264"/>
      <c r="AJ70" s="265"/>
      <c r="AK70" s="264"/>
      <c r="AL70" s="265"/>
      <c r="AM70" s="264"/>
      <c r="AN70" s="265"/>
      <c r="AO70" s="264"/>
      <c r="AP70" s="265"/>
      <c r="AQ70" s="264"/>
      <c r="AR70" s="265"/>
      <c r="AS70" s="264"/>
      <c r="AT70" s="265"/>
      <c r="AU70" s="264"/>
      <c r="AV70" s="265"/>
      <c r="AW70" s="264"/>
      <c r="AX70" s="265"/>
      <c r="AY70" s="264"/>
      <c r="AZ70" s="265"/>
      <c r="BA70" s="264"/>
      <c r="BB70" s="265"/>
      <c r="BC70" s="264"/>
      <c r="BD70" s="265"/>
      <c r="BE70" s="264"/>
      <c r="BF70" s="265"/>
      <c r="BG70" s="264"/>
      <c r="BH70" s="265"/>
      <c r="BI70" s="264"/>
      <c r="BJ70" s="265"/>
      <c r="BK70" s="264"/>
      <c r="BL70" s="265"/>
      <c r="BM70" s="264"/>
      <c r="BN70" s="265"/>
    </row>
    <row r="71" spans="1:66" x14ac:dyDescent="0.25">
      <c r="A71" s="6" t="s">
        <v>108</v>
      </c>
      <c r="B71" s="5" t="s">
        <v>210</v>
      </c>
      <c r="C71" s="124" t="s">
        <v>99</v>
      </c>
      <c r="D71" s="125" t="s">
        <v>176</v>
      </c>
      <c r="E71" s="264"/>
      <c r="F71" s="265"/>
      <c r="G71" s="264"/>
      <c r="H71" s="265"/>
      <c r="I71" s="264"/>
      <c r="J71" s="265"/>
      <c r="K71" s="264"/>
      <c r="L71" s="265"/>
      <c r="M71" s="264"/>
      <c r="N71" s="265"/>
      <c r="O71" s="264"/>
      <c r="P71" s="265"/>
      <c r="Q71" s="264"/>
      <c r="R71" s="265"/>
      <c r="S71" s="264"/>
      <c r="T71" s="265"/>
      <c r="U71" s="264"/>
      <c r="V71" s="265"/>
      <c r="W71" s="264"/>
      <c r="X71" s="265"/>
      <c r="Y71" s="264"/>
      <c r="Z71" s="265"/>
      <c r="AA71" s="264"/>
      <c r="AB71" s="265"/>
      <c r="AC71" s="264"/>
      <c r="AD71" s="265"/>
      <c r="AE71" s="264"/>
      <c r="AF71" s="265"/>
      <c r="AG71" s="264"/>
      <c r="AH71" s="265"/>
      <c r="AI71" s="264"/>
      <c r="AJ71" s="265"/>
      <c r="AK71" s="264"/>
      <c r="AL71" s="265"/>
      <c r="AM71" s="264"/>
      <c r="AN71" s="265"/>
      <c r="AO71" s="264"/>
      <c r="AP71" s="265"/>
      <c r="AQ71" s="264"/>
      <c r="AR71" s="265"/>
      <c r="AS71" s="264"/>
      <c r="AT71" s="265"/>
      <c r="AU71" s="264"/>
      <c r="AV71" s="265"/>
      <c r="AW71" s="264"/>
      <c r="AX71" s="265"/>
      <c r="AY71" s="264"/>
      <c r="AZ71" s="265"/>
      <c r="BA71" s="264"/>
      <c r="BB71" s="265"/>
      <c r="BC71" s="264"/>
      <c r="BD71" s="265"/>
      <c r="BE71" s="264"/>
      <c r="BF71" s="265"/>
      <c r="BG71" s="264"/>
      <c r="BH71" s="265"/>
      <c r="BI71" s="264"/>
      <c r="BJ71" s="265"/>
      <c r="BK71" s="264"/>
      <c r="BL71" s="265"/>
      <c r="BM71" s="264"/>
      <c r="BN71" s="265"/>
    </row>
    <row r="72" spans="1:66" x14ac:dyDescent="0.25">
      <c r="A72" s="6" t="s">
        <v>109</v>
      </c>
      <c r="B72" s="5" t="s">
        <v>210</v>
      </c>
      <c r="C72" s="5" t="s">
        <v>100</v>
      </c>
      <c r="D72" s="6" t="s">
        <v>176</v>
      </c>
      <c r="E72" s="262"/>
      <c r="F72" s="263"/>
      <c r="G72" s="262"/>
      <c r="H72" s="263"/>
      <c r="I72" s="262"/>
      <c r="J72" s="263"/>
      <c r="K72" s="262"/>
      <c r="L72" s="263"/>
      <c r="M72" s="262"/>
      <c r="N72" s="263"/>
      <c r="O72" s="262"/>
      <c r="P72" s="263"/>
      <c r="Q72" s="262"/>
      <c r="R72" s="263"/>
      <c r="S72" s="262"/>
      <c r="T72" s="263"/>
      <c r="U72" s="262"/>
      <c r="V72" s="263"/>
      <c r="W72" s="262"/>
      <c r="X72" s="263"/>
      <c r="Y72" s="262"/>
      <c r="Z72" s="263"/>
      <c r="AA72" s="262"/>
      <c r="AB72" s="263"/>
      <c r="AC72" s="262"/>
      <c r="AD72" s="263"/>
      <c r="AE72" s="262"/>
      <c r="AF72" s="263"/>
      <c r="AG72" s="262"/>
      <c r="AH72" s="263"/>
      <c r="AI72" s="262"/>
      <c r="AJ72" s="263"/>
      <c r="AK72" s="262"/>
      <c r="AL72" s="263"/>
      <c r="AM72" s="262"/>
      <c r="AN72" s="263"/>
      <c r="AO72" s="262"/>
      <c r="AP72" s="263"/>
      <c r="AQ72" s="262"/>
      <c r="AR72" s="263"/>
      <c r="AS72" s="262"/>
      <c r="AT72" s="263"/>
      <c r="AU72" s="262"/>
      <c r="AV72" s="263"/>
      <c r="AW72" s="262"/>
      <c r="AX72" s="263"/>
      <c r="AY72" s="262"/>
      <c r="AZ72" s="263"/>
      <c r="BA72" s="262"/>
      <c r="BB72" s="263"/>
      <c r="BC72" s="262"/>
      <c r="BD72" s="263"/>
      <c r="BE72" s="262"/>
      <c r="BF72" s="263"/>
      <c r="BG72" s="262"/>
      <c r="BH72" s="263"/>
      <c r="BI72" s="262"/>
      <c r="BJ72" s="263"/>
      <c r="BK72" s="262"/>
      <c r="BL72" s="263"/>
      <c r="BM72" s="262"/>
      <c r="BN72" s="263"/>
    </row>
    <row r="73" spans="1:66" x14ac:dyDescent="0.25">
      <c r="A73" s="6" t="s">
        <v>110</v>
      </c>
      <c r="B73" s="5" t="s">
        <v>211</v>
      </c>
      <c r="C73" s="17" t="s">
        <v>101</v>
      </c>
      <c r="D73" s="6" t="s">
        <v>176</v>
      </c>
      <c r="E73" s="262"/>
      <c r="F73" s="263"/>
      <c r="G73" s="262"/>
      <c r="H73" s="263"/>
      <c r="I73" s="262"/>
      <c r="J73" s="263"/>
      <c r="K73" s="262"/>
      <c r="L73" s="263"/>
      <c r="M73" s="262"/>
      <c r="N73" s="263"/>
      <c r="O73" s="262"/>
      <c r="P73" s="263"/>
      <c r="Q73" s="262"/>
      <c r="R73" s="263"/>
      <c r="S73" s="262"/>
      <c r="T73" s="263"/>
      <c r="U73" s="262"/>
      <c r="V73" s="263"/>
      <c r="W73" s="262"/>
      <c r="X73" s="263"/>
      <c r="Y73" s="262"/>
      <c r="Z73" s="263"/>
      <c r="AA73" s="262"/>
      <c r="AB73" s="263"/>
      <c r="AC73" s="262"/>
      <c r="AD73" s="263"/>
      <c r="AE73" s="262"/>
      <c r="AF73" s="263"/>
      <c r="AG73" s="262"/>
      <c r="AH73" s="263"/>
      <c r="AI73" s="262"/>
      <c r="AJ73" s="263"/>
      <c r="AK73" s="262"/>
      <c r="AL73" s="263"/>
      <c r="AM73" s="262"/>
      <c r="AN73" s="263"/>
      <c r="AO73" s="262"/>
      <c r="AP73" s="263"/>
      <c r="AQ73" s="262"/>
      <c r="AR73" s="263"/>
      <c r="AS73" s="262"/>
      <c r="AT73" s="263"/>
      <c r="AU73" s="262"/>
      <c r="AV73" s="263"/>
      <c r="AW73" s="262"/>
      <c r="AX73" s="263"/>
      <c r="AY73" s="262"/>
      <c r="AZ73" s="263"/>
      <c r="BA73" s="262"/>
      <c r="BB73" s="263"/>
      <c r="BC73" s="262"/>
      <c r="BD73" s="263"/>
      <c r="BE73" s="262"/>
      <c r="BF73" s="263"/>
      <c r="BG73" s="262"/>
      <c r="BH73" s="263"/>
      <c r="BI73" s="262"/>
      <c r="BJ73" s="263"/>
      <c r="BK73" s="262"/>
      <c r="BL73" s="263"/>
      <c r="BM73" s="262"/>
      <c r="BN73" s="263"/>
    </row>
    <row r="74" spans="1:66" x14ac:dyDescent="0.25">
      <c r="A74" s="6" t="s">
        <v>111</v>
      </c>
      <c r="B74" s="5"/>
      <c r="C74" s="17" t="s">
        <v>249</v>
      </c>
      <c r="D74" s="6" t="s">
        <v>184</v>
      </c>
      <c r="E74" s="260"/>
      <c r="F74" s="261"/>
      <c r="G74" s="260"/>
      <c r="H74" s="261"/>
      <c r="I74" s="260"/>
      <c r="J74" s="261"/>
      <c r="K74" s="260"/>
      <c r="L74" s="261"/>
      <c r="M74" s="260"/>
      <c r="N74" s="261"/>
      <c r="O74" s="260"/>
      <c r="P74" s="261"/>
      <c r="Q74" s="260"/>
      <c r="R74" s="261"/>
      <c r="S74" s="260"/>
      <c r="T74" s="261"/>
      <c r="U74" s="260"/>
      <c r="V74" s="261"/>
      <c r="W74" s="260"/>
      <c r="X74" s="261"/>
      <c r="Y74" s="260"/>
      <c r="Z74" s="261"/>
      <c r="AA74" s="260"/>
      <c r="AB74" s="261"/>
      <c r="AC74" s="260"/>
      <c r="AD74" s="261"/>
      <c r="AE74" s="260"/>
      <c r="AF74" s="261"/>
      <c r="AG74" s="260"/>
      <c r="AH74" s="261"/>
      <c r="AI74" s="260"/>
      <c r="AJ74" s="261"/>
      <c r="AK74" s="260"/>
      <c r="AL74" s="261"/>
      <c r="AM74" s="260"/>
      <c r="AN74" s="261"/>
      <c r="AO74" s="260"/>
      <c r="AP74" s="261"/>
      <c r="AQ74" s="260"/>
      <c r="AR74" s="261"/>
      <c r="AS74" s="260"/>
      <c r="AT74" s="261"/>
      <c r="AU74" s="260"/>
      <c r="AV74" s="261"/>
      <c r="AW74" s="260"/>
      <c r="AX74" s="261"/>
      <c r="AY74" s="260"/>
      <c r="AZ74" s="261"/>
      <c r="BA74" s="260"/>
      <c r="BB74" s="261"/>
      <c r="BC74" s="260"/>
      <c r="BD74" s="261"/>
      <c r="BE74" s="260"/>
      <c r="BF74" s="261"/>
      <c r="BG74" s="260"/>
      <c r="BH74" s="261"/>
      <c r="BI74" s="260"/>
      <c r="BJ74" s="261"/>
      <c r="BK74" s="260"/>
      <c r="BL74" s="261"/>
      <c r="BM74" s="260"/>
      <c r="BN74" s="261"/>
    </row>
    <row r="75" spans="1:66" x14ac:dyDescent="0.25">
      <c r="A75" s="6" t="s">
        <v>112</v>
      </c>
      <c r="B75" s="5"/>
      <c r="C75" s="17" t="s">
        <v>102</v>
      </c>
      <c r="D75" s="6" t="s">
        <v>184</v>
      </c>
      <c r="E75" s="260"/>
      <c r="F75" s="261"/>
      <c r="G75" s="260"/>
      <c r="H75" s="261"/>
      <c r="I75" s="260"/>
      <c r="J75" s="261"/>
      <c r="K75" s="260"/>
      <c r="L75" s="261"/>
      <c r="M75" s="260"/>
      <c r="N75" s="261"/>
      <c r="O75" s="260"/>
      <c r="P75" s="261"/>
      <c r="Q75" s="260"/>
      <c r="R75" s="261"/>
      <c r="S75" s="260"/>
      <c r="T75" s="261"/>
      <c r="U75" s="260"/>
      <c r="V75" s="261"/>
      <c r="W75" s="260"/>
      <c r="X75" s="261"/>
      <c r="Y75" s="260"/>
      <c r="Z75" s="261"/>
      <c r="AA75" s="260"/>
      <c r="AB75" s="261"/>
      <c r="AC75" s="260"/>
      <c r="AD75" s="261"/>
      <c r="AE75" s="260"/>
      <c r="AF75" s="261"/>
      <c r="AG75" s="260"/>
      <c r="AH75" s="261"/>
      <c r="AI75" s="260"/>
      <c r="AJ75" s="261"/>
      <c r="AK75" s="260"/>
      <c r="AL75" s="261"/>
      <c r="AM75" s="260"/>
      <c r="AN75" s="261"/>
      <c r="AO75" s="260"/>
      <c r="AP75" s="261"/>
      <c r="AQ75" s="260"/>
      <c r="AR75" s="261"/>
      <c r="AS75" s="260"/>
      <c r="AT75" s="261"/>
      <c r="AU75" s="260"/>
      <c r="AV75" s="261"/>
      <c r="AW75" s="260"/>
      <c r="AX75" s="261"/>
      <c r="AY75" s="260"/>
      <c r="AZ75" s="261"/>
      <c r="BA75" s="260"/>
      <c r="BB75" s="261"/>
      <c r="BC75" s="260"/>
      <c r="BD75" s="261"/>
      <c r="BE75" s="260"/>
      <c r="BF75" s="261"/>
      <c r="BG75" s="260"/>
      <c r="BH75" s="261"/>
      <c r="BI75" s="260"/>
      <c r="BJ75" s="261"/>
      <c r="BK75" s="260"/>
      <c r="BL75" s="261"/>
      <c r="BM75" s="260"/>
      <c r="BN75" s="261"/>
    </row>
    <row r="76" spans="1:66" x14ac:dyDescent="0.25">
      <c r="A76" s="6" t="s">
        <v>113</v>
      </c>
      <c r="B76" s="5"/>
      <c r="C76" s="124" t="s">
        <v>103</v>
      </c>
      <c r="D76" s="125" t="s">
        <v>185</v>
      </c>
      <c r="E76" s="254"/>
      <c r="F76" s="255"/>
      <c r="G76" s="254"/>
      <c r="H76" s="255"/>
      <c r="I76" s="254"/>
      <c r="J76" s="255"/>
      <c r="K76" s="254"/>
      <c r="L76" s="255"/>
      <c r="M76" s="254"/>
      <c r="N76" s="255"/>
      <c r="O76" s="254"/>
      <c r="P76" s="255"/>
      <c r="Q76" s="254"/>
      <c r="R76" s="255"/>
      <c r="S76" s="254"/>
      <c r="T76" s="255"/>
      <c r="U76" s="254"/>
      <c r="V76" s="255"/>
      <c r="W76" s="254"/>
      <c r="X76" s="255"/>
      <c r="Y76" s="254"/>
      <c r="Z76" s="255"/>
      <c r="AA76" s="254"/>
      <c r="AB76" s="255"/>
      <c r="AC76" s="254"/>
      <c r="AD76" s="255"/>
      <c r="AE76" s="254"/>
      <c r="AF76" s="255"/>
      <c r="AG76" s="254"/>
      <c r="AH76" s="255"/>
      <c r="AI76" s="254"/>
      <c r="AJ76" s="255"/>
      <c r="AK76" s="254"/>
      <c r="AL76" s="255"/>
      <c r="AM76" s="254"/>
      <c r="AN76" s="255"/>
      <c r="AO76" s="254"/>
      <c r="AP76" s="255"/>
      <c r="AQ76" s="254"/>
      <c r="AR76" s="255"/>
      <c r="AS76" s="254"/>
      <c r="AT76" s="255"/>
      <c r="AU76" s="254"/>
      <c r="AV76" s="255"/>
      <c r="AW76" s="254"/>
      <c r="AX76" s="255"/>
      <c r="AY76" s="254"/>
      <c r="AZ76" s="255"/>
      <c r="BA76" s="254"/>
      <c r="BB76" s="255"/>
      <c r="BC76" s="254"/>
      <c r="BD76" s="255"/>
      <c r="BE76" s="254"/>
      <c r="BF76" s="255"/>
      <c r="BG76" s="254"/>
      <c r="BH76" s="255"/>
      <c r="BI76" s="254"/>
      <c r="BJ76" s="255"/>
      <c r="BK76" s="254"/>
      <c r="BL76" s="255"/>
      <c r="BM76" s="254"/>
      <c r="BN76" s="255"/>
    </row>
    <row r="77" spans="1:66" x14ac:dyDescent="0.25">
      <c r="A77" s="6" t="s">
        <v>195</v>
      </c>
      <c r="B77" s="5"/>
      <c r="C77" s="124" t="s">
        <v>341</v>
      </c>
      <c r="D77" s="125" t="s">
        <v>179</v>
      </c>
      <c r="E77" s="254"/>
      <c r="F77" s="255"/>
      <c r="G77" s="254"/>
      <c r="H77" s="255"/>
      <c r="I77" s="254"/>
      <c r="J77" s="255"/>
      <c r="K77" s="254"/>
      <c r="L77" s="255"/>
      <c r="M77" s="254"/>
      <c r="N77" s="255"/>
      <c r="O77" s="254"/>
      <c r="P77" s="255"/>
      <c r="Q77" s="254"/>
      <c r="R77" s="255"/>
      <c r="S77" s="254"/>
      <c r="T77" s="255"/>
      <c r="U77" s="254"/>
      <c r="V77" s="255"/>
      <c r="W77" s="254"/>
      <c r="X77" s="255"/>
      <c r="Y77" s="254"/>
      <c r="Z77" s="255"/>
      <c r="AA77" s="254"/>
      <c r="AB77" s="255"/>
      <c r="AC77" s="254"/>
      <c r="AD77" s="255"/>
      <c r="AE77" s="254"/>
      <c r="AF77" s="255"/>
      <c r="AG77" s="254"/>
      <c r="AH77" s="255"/>
      <c r="AI77" s="254"/>
      <c r="AJ77" s="255"/>
      <c r="AK77" s="254"/>
      <c r="AL77" s="255"/>
      <c r="AM77" s="254"/>
      <c r="AN77" s="255"/>
      <c r="AO77" s="254"/>
      <c r="AP77" s="255"/>
      <c r="AQ77" s="254"/>
      <c r="AR77" s="255"/>
      <c r="AS77" s="254"/>
      <c r="AT77" s="255"/>
      <c r="AU77" s="254"/>
      <c r="AV77" s="255"/>
      <c r="AW77" s="254"/>
      <c r="AX77" s="255"/>
      <c r="AY77" s="254"/>
      <c r="AZ77" s="255"/>
      <c r="BA77" s="254"/>
      <c r="BB77" s="255"/>
      <c r="BC77" s="254"/>
      <c r="BD77" s="255"/>
      <c r="BE77" s="254"/>
      <c r="BF77" s="255"/>
      <c r="BG77" s="254"/>
      <c r="BH77" s="255"/>
      <c r="BI77" s="254"/>
      <c r="BJ77" s="255"/>
      <c r="BK77" s="254"/>
      <c r="BL77" s="255"/>
      <c r="BM77" s="254"/>
      <c r="BN77" s="255"/>
    </row>
    <row r="78" spans="1:66" x14ac:dyDescent="0.25">
      <c r="A78" s="6" t="s">
        <v>248</v>
      </c>
      <c r="B78" s="5"/>
      <c r="C78" s="124" t="s">
        <v>415</v>
      </c>
      <c r="D78" s="125" t="s">
        <v>176</v>
      </c>
      <c r="E78" s="258"/>
      <c r="F78" s="259"/>
      <c r="G78" s="258"/>
      <c r="H78" s="259"/>
      <c r="I78" s="258"/>
      <c r="J78" s="259"/>
      <c r="K78" s="258"/>
      <c r="L78" s="259"/>
      <c r="M78" s="258"/>
      <c r="N78" s="259"/>
      <c r="O78" s="258"/>
      <c r="P78" s="259"/>
      <c r="Q78" s="258"/>
      <c r="R78" s="259"/>
      <c r="S78" s="258"/>
      <c r="T78" s="259"/>
      <c r="U78" s="258"/>
      <c r="V78" s="259"/>
      <c r="W78" s="258"/>
      <c r="X78" s="259"/>
      <c r="Y78" s="258"/>
      <c r="Z78" s="259"/>
      <c r="AA78" s="258"/>
      <c r="AB78" s="259"/>
      <c r="AC78" s="258"/>
      <c r="AD78" s="259"/>
      <c r="AE78" s="258"/>
      <c r="AF78" s="259"/>
      <c r="AG78" s="258"/>
      <c r="AH78" s="259"/>
      <c r="AI78" s="258"/>
      <c r="AJ78" s="259"/>
      <c r="AK78" s="258"/>
      <c r="AL78" s="259"/>
      <c r="AM78" s="258"/>
      <c r="AN78" s="259"/>
      <c r="AO78" s="258"/>
      <c r="AP78" s="259"/>
      <c r="AQ78" s="258"/>
      <c r="AR78" s="259"/>
      <c r="AS78" s="258"/>
      <c r="AT78" s="259"/>
      <c r="AU78" s="258"/>
      <c r="AV78" s="259"/>
      <c r="AW78" s="258"/>
      <c r="AX78" s="259"/>
      <c r="AY78" s="258"/>
      <c r="AZ78" s="259"/>
      <c r="BA78" s="258"/>
      <c r="BB78" s="259"/>
      <c r="BC78" s="258"/>
      <c r="BD78" s="259"/>
      <c r="BE78" s="258"/>
      <c r="BF78" s="259"/>
      <c r="BG78" s="258"/>
      <c r="BH78" s="259"/>
      <c r="BI78" s="258"/>
      <c r="BJ78" s="259"/>
      <c r="BK78" s="258"/>
      <c r="BL78" s="259"/>
      <c r="BM78" s="258"/>
      <c r="BN78" s="259"/>
    </row>
    <row r="79" spans="1:66" x14ac:dyDescent="0.25">
      <c r="A79" s="6" t="s">
        <v>342</v>
      </c>
      <c r="B79" s="5"/>
      <c r="C79" s="5" t="s">
        <v>343</v>
      </c>
      <c r="D79" s="6" t="s">
        <v>176</v>
      </c>
      <c r="E79" s="256"/>
      <c r="F79" s="257"/>
      <c r="G79" s="256"/>
      <c r="H79" s="257"/>
      <c r="I79" s="256"/>
      <c r="J79" s="257"/>
      <c r="K79" s="256"/>
      <c r="L79" s="257"/>
      <c r="M79" s="256"/>
      <c r="N79" s="257"/>
      <c r="O79" s="256"/>
      <c r="P79" s="257"/>
      <c r="Q79" s="256"/>
      <c r="R79" s="257"/>
      <c r="S79" s="256"/>
      <c r="T79" s="257"/>
      <c r="U79" s="256"/>
      <c r="V79" s="257"/>
      <c r="W79" s="256"/>
      <c r="X79" s="257"/>
      <c r="Y79" s="256"/>
      <c r="Z79" s="257"/>
      <c r="AA79" s="256"/>
      <c r="AB79" s="257"/>
      <c r="AC79" s="256"/>
      <c r="AD79" s="257"/>
      <c r="AE79" s="256"/>
      <c r="AF79" s="257"/>
      <c r="AG79" s="256"/>
      <c r="AH79" s="257"/>
      <c r="AI79" s="256"/>
      <c r="AJ79" s="257"/>
      <c r="AK79" s="256"/>
      <c r="AL79" s="257"/>
      <c r="AM79" s="256"/>
      <c r="AN79" s="257"/>
      <c r="AO79" s="256"/>
      <c r="AP79" s="257"/>
      <c r="AQ79" s="256"/>
      <c r="AR79" s="257"/>
      <c r="AS79" s="256"/>
      <c r="AT79" s="257"/>
      <c r="AU79" s="256"/>
      <c r="AV79" s="257"/>
      <c r="AW79" s="256"/>
      <c r="AX79" s="257"/>
      <c r="AY79" s="256"/>
      <c r="AZ79" s="257"/>
      <c r="BA79" s="256"/>
      <c r="BB79" s="257"/>
      <c r="BC79" s="256"/>
      <c r="BD79" s="257"/>
      <c r="BE79" s="256"/>
      <c r="BF79" s="257"/>
      <c r="BG79" s="256"/>
      <c r="BH79" s="257"/>
      <c r="BI79" s="256"/>
      <c r="BJ79" s="257"/>
      <c r="BK79" s="256"/>
      <c r="BL79" s="257"/>
      <c r="BM79" s="256"/>
      <c r="BN79" s="257"/>
    </row>
    <row r="80" spans="1:66" x14ac:dyDescent="0.25">
      <c r="A80" s="12" t="s">
        <v>196</v>
      </c>
      <c r="B80" s="13" t="s">
        <v>117</v>
      </c>
      <c r="C80" s="14"/>
      <c r="D80" s="15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</row>
    <row r="81" spans="1:66" x14ac:dyDescent="0.25">
      <c r="A81" s="6" t="s">
        <v>114</v>
      </c>
      <c r="B81" s="5"/>
      <c r="C81" s="5" t="s">
        <v>119</v>
      </c>
      <c r="D81" s="6" t="s">
        <v>179</v>
      </c>
      <c r="E81" s="248"/>
      <c r="F81" s="249"/>
      <c r="G81" s="248"/>
      <c r="H81" s="249"/>
      <c r="I81" s="248"/>
      <c r="J81" s="249"/>
      <c r="K81" s="248"/>
      <c r="L81" s="249"/>
      <c r="M81" s="248"/>
      <c r="N81" s="249"/>
      <c r="O81" s="248"/>
      <c r="P81" s="249"/>
      <c r="Q81" s="248"/>
      <c r="R81" s="249"/>
      <c r="S81" s="248"/>
      <c r="T81" s="249"/>
      <c r="U81" s="248"/>
      <c r="V81" s="249"/>
      <c r="W81" s="248"/>
      <c r="X81" s="249"/>
      <c r="Y81" s="248"/>
      <c r="Z81" s="249"/>
      <c r="AA81" s="248"/>
      <c r="AB81" s="249"/>
      <c r="AC81" s="248"/>
      <c r="AD81" s="249"/>
      <c r="AE81" s="248"/>
      <c r="AF81" s="249"/>
      <c r="AG81" s="248"/>
      <c r="AH81" s="249"/>
      <c r="AI81" s="248"/>
      <c r="AJ81" s="249"/>
      <c r="AK81" s="248"/>
      <c r="AL81" s="249"/>
      <c r="AM81" s="248"/>
      <c r="AN81" s="249"/>
      <c r="AO81" s="248"/>
      <c r="AP81" s="249"/>
      <c r="AQ81" s="248"/>
      <c r="AR81" s="249"/>
      <c r="AS81" s="248"/>
      <c r="AT81" s="249"/>
      <c r="AU81" s="248"/>
      <c r="AV81" s="249"/>
      <c r="AW81" s="248"/>
      <c r="AX81" s="249"/>
      <c r="AY81" s="248"/>
      <c r="AZ81" s="249"/>
      <c r="BA81" s="248"/>
      <c r="BB81" s="249"/>
      <c r="BC81" s="248"/>
      <c r="BD81" s="249"/>
      <c r="BE81" s="248"/>
      <c r="BF81" s="249"/>
      <c r="BG81" s="248"/>
      <c r="BH81" s="249"/>
      <c r="BI81" s="248"/>
      <c r="BJ81" s="249"/>
      <c r="BK81" s="248"/>
      <c r="BL81" s="249"/>
      <c r="BM81" s="248"/>
      <c r="BN81" s="249"/>
    </row>
    <row r="82" spans="1:66" x14ac:dyDescent="0.25">
      <c r="A82" s="6" t="s">
        <v>115</v>
      </c>
      <c r="B82" s="5" t="s">
        <v>210</v>
      </c>
      <c r="C82" s="5" t="s">
        <v>120</v>
      </c>
      <c r="D82" s="6" t="s">
        <v>179</v>
      </c>
      <c r="E82" s="248"/>
      <c r="F82" s="249"/>
      <c r="G82" s="248"/>
      <c r="H82" s="249"/>
      <c r="I82" s="248"/>
      <c r="J82" s="249"/>
      <c r="K82" s="248"/>
      <c r="L82" s="249"/>
      <c r="M82" s="248"/>
      <c r="N82" s="249"/>
      <c r="O82" s="248"/>
      <c r="P82" s="249"/>
      <c r="Q82" s="248"/>
      <c r="R82" s="249"/>
      <c r="S82" s="248"/>
      <c r="T82" s="249"/>
      <c r="U82" s="248"/>
      <c r="V82" s="249"/>
      <c r="W82" s="248"/>
      <c r="X82" s="249"/>
      <c r="Y82" s="248"/>
      <c r="Z82" s="249"/>
      <c r="AA82" s="248"/>
      <c r="AB82" s="249"/>
      <c r="AC82" s="248"/>
      <c r="AD82" s="249"/>
      <c r="AE82" s="248"/>
      <c r="AF82" s="249"/>
      <c r="AG82" s="248"/>
      <c r="AH82" s="249"/>
      <c r="AI82" s="248"/>
      <c r="AJ82" s="249"/>
      <c r="AK82" s="248"/>
      <c r="AL82" s="249"/>
      <c r="AM82" s="248"/>
      <c r="AN82" s="249"/>
      <c r="AO82" s="248"/>
      <c r="AP82" s="249"/>
      <c r="AQ82" s="248"/>
      <c r="AR82" s="249"/>
      <c r="AS82" s="248"/>
      <c r="AT82" s="249"/>
      <c r="AU82" s="248"/>
      <c r="AV82" s="249"/>
      <c r="AW82" s="248"/>
      <c r="AX82" s="249"/>
      <c r="AY82" s="248"/>
      <c r="AZ82" s="249"/>
      <c r="BA82" s="248"/>
      <c r="BB82" s="249"/>
      <c r="BC82" s="248"/>
      <c r="BD82" s="249"/>
      <c r="BE82" s="248"/>
      <c r="BF82" s="249"/>
      <c r="BG82" s="248"/>
      <c r="BH82" s="249"/>
      <c r="BI82" s="248"/>
      <c r="BJ82" s="249"/>
      <c r="BK82" s="248"/>
      <c r="BL82" s="249"/>
      <c r="BM82" s="248"/>
      <c r="BN82" s="249"/>
    </row>
    <row r="83" spans="1:66" x14ac:dyDescent="0.25">
      <c r="A83" s="6" t="s">
        <v>197</v>
      </c>
      <c r="B83" s="5" t="s">
        <v>210</v>
      </c>
      <c r="C83" s="5" t="s">
        <v>121</v>
      </c>
      <c r="D83" s="6" t="s">
        <v>179</v>
      </c>
      <c r="E83" s="248"/>
      <c r="F83" s="249"/>
      <c r="G83" s="248"/>
      <c r="H83" s="249"/>
      <c r="I83" s="248"/>
      <c r="J83" s="249"/>
      <c r="K83" s="248"/>
      <c r="L83" s="249"/>
      <c r="M83" s="248"/>
      <c r="N83" s="249"/>
      <c r="O83" s="248"/>
      <c r="P83" s="249"/>
      <c r="Q83" s="248"/>
      <c r="R83" s="249"/>
      <c r="S83" s="248"/>
      <c r="T83" s="249"/>
      <c r="U83" s="248"/>
      <c r="V83" s="249"/>
      <c r="W83" s="248"/>
      <c r="X83" s="249"/>
      <c r="Y83" s="248"/>
      <c r="Z83" s="249"/>
      <c r="AA83" s="248"/>
      <c r="AB83" s="249"/>
      <c r="AC83" s="248"/>
      <c r="AD83" s="249"/>
      <c r="AE83" s="248"/>
      <c r="AF83" s="249"/>
      <c r="AG83" s="248"/>
      <c r="AH83" s="249"/>
      <c r="AI83" s="248"/>
      <c r="AJ83" s="249"/>
      <c r="AK83" s="248"/>
      <c r="AL83" s="249"/>
      <c r="AM83" s="248"/>
      <c r="AN83" s="249"/>
      <c r="AO83" s="248"/>
      <c r="AP83" s="249"/>
      <c r="AQ83" s="248"/>
      <c r="AR83" s="249"/>
      <c r="AS83" s="248"/>
      <c r="AT83" s="249"/>
      <c r="AU83" s="248"/>
      <c r="AV83" s="249"/>
      <c r="AW83" s="248"/>
      <c r="AX83" s="249"/>
      <c r="AY83" s="248"/>
      <c r="AZ83" s="249"/>
      <c r="BA83" s="248"/>
      <c r="BB83" s="249"/>
      <c r="BC83" s="248"/>
      <c r="BD83" s="249"/>
      <c r="BE83" s="248"/>
      <c r="BF83" s="249"/>
      <c r="BG83" s="248"/>
      <c r="BH83" s="249"/>
      <c r="BI83" s="248"/>
      <c r="BJ83" s="249"/>
      <c r="BK83" s="248"/>
      <c r="BL83" s="249"/>
      <c r="BM83" s="248"/>
      <c r="BN83" s="249"/>
    </row>
    <row r="84" spans="1:66" x14ac:dyDescent="0.25">
      <c r="A84" s="6" t="s">
        <v>198</v>
      </c>
      <c r="B84" s="5" t="s">
        <v>210</v>
      </c>
      <c r="C84" s="5" t="s">
        <v>122</v>
      </c>
      <c r="D84" s="6" t="s">
        <v>179</v>
      </c>
      <c r="E84" s="248"/>
      <c r="F84" s="249"/>
      <c r="G84" s="248"/>
      <c r="H84" s="249"/>
      <c r="I84" s="248"/>
      <c r="J84" s="249"/>
      <c r="K84" s="248"/>
      <c r="L84" s="249"/>
      <c r="M84" s="248"/>
      <c r="N84" s="249"/>
      <c r="O84" s="248"/>
      <c r="P84" s="249"/>
      <c r="Q84" s="248"/>
      <c r="R84" s="249"/>
      <c r="S84" s="248"/>
      <c r="T84" s="249"/>
      <c r="U84" s="248"/>
      <c r="V84" s="249"/>
      <c r="W84" s="248"/>
      <c r="X84" s="249"/>
      <c r="Y84" s="248"/>
      <c r="Z84" s="249"/>
      <c r="AA84" s="248"/>
      <c r="AB84" s="249"/>
      <c r="AC84" s="248"/>
      <c r="AD84" s="249"/>
      <c r="AE84" s="248"/>
      <c r="AF84" s="249"/>
      <c r="AG84" s="248"/>
      <c r="AH84" s="249"/>
      <c r="AI84" s="248"/>
      <c r="AJ84" s="249"/>
      <c r="AK84" s="248"/>
      <c r="AL84" s="249"/>
      <c r="AM84" s="248"/>
      <c r="AN84" s="249"/>
      <c r="AO84" s="248"/>
      <c r="AP84" s="249"/>
      <c r="AQ84" s="248"/>
      <c r="AR84" s="249"/>
      <c r="AS84" s="248"/>
      <c r="AT84" s="249"/>
      <c r="AU84" s="248"/>
      <c r="AV84" s="249"/>
      <c r="AW84" s="248"/>
      <c r="AX84" s="249"/>
      <c r="AY84" s="248"/>
      <c r="AZ84" s="249"/>
      <c r="BA84" s="248"/>
      <c r="BB84" s="249"/>
      <c r="BC84" s="248"/>
      <c r="BD84" s="249"/>
      <c r="BE84" s="248"/>
      <c r="BF84" s="249"/>
      <c r="BG84" s="248"/>
      <c r="BH84" s="249"/>
      <c r="BI84" s="248"/>
      <c r="BJ84" s="249"/>
      <c r="BK84" s="248"/>
      <c r="BL84" s="249"/>
      <c r="BM84" s="248"/>
      <c r="BN84" s="249"/>
    </row>
    <row r="85" spans="1:66" x14ac:dyDescent="0.25">
      <c r="A85" s="6" t="s">
        <v>199</v>
      </c>
      <c r="B85" s="5" t="s">
        <v>210</v>
      </c>
      <c r="C85" s="5" t="s">
        <v>123</v>
      </c>
      <c r="D85" s="6" t="s">
        <v>179</v>
      </c>
      <c r="E85" s="248"/>
      <c r="F85" s="249"/>
      <c r="G85" s="248"/>
      <c r="H85" s="249"/>
      <c r="I85" s="248"/>
      <c r="J85" s="249"/>
      <c r="K85" s="248"/>
      <c r="L85" s="249"/>
      <c r="M85" s="248"/>
      <c r="N85" s="249"/>
      <c r="O85" s="248"/>
      <c r="P85" s="249"/>
      <c r="Q85" s="248"/>
      <c r="R85" s="249"/>
      <c r="S85" s="248"/>
      <c r="T85" s="249"/>
      <c r="U85" s="248"/>
      <c r="V85" s="249"/>
      <c r="W85" s="248"/>
      <c r="X85" s="249"/>
      <c r="Y85" s="248"/>
      <c r="Z85" s="249"/>
      <c r="AA85" s="248"/>
      <c r="AB85" s="249"/>
      <c r="AC85" s="248"/>
      <c r="AD85" s="249"/>
      <c r="AE85" s="248"/>
      <c r="AF85" s="249"/>
      <c r="AG85" s="248"/>
      <c r="AH85" s="249"/>
      <c r="AI85" s="248"/>
      <c r="AJ85" s="249"/>
      <c r="AK85" s="248"/>
      <c r="AL85" s="249"/>
      <c r="AM85" s="248"/>
      <c r="AN85" s="249"/>
      <c r="AO85" s="248"/>
      <c r="AP85" s="249"/>
      <c r="AQ85" s="248"/>
      <c r="AR85" s="249"/>
      <c r="AS85" s="248"/>
      <c r="AT85" s="249"/>
      <c r="AU85" s="248"/>
      <c r="AV85" s="249"/>
      <c r="AW85" s="248"/>
      <c r="AX85" s="249"/>
      <c r="AY85" s="248"/>
      <c r="AZ85" s="249"/>
      <c r="BA85" s="248"/>
      <c r="BB85" s="249"/>
      <c r="BC85" s="248"/>
      <c r="BD85" s="249"/>
      <c r="BE85" s="248"/>
      <c r="BF85" s="249"/>
      <c r="BG85" s="248"/>
      <c r="BH85" s="249"/>
      <c r="BI85" s="248"/>
      <c r="BJ85" s="249"/>
      <c r="BK85" s="248"/>
      <c r="BL85" s="249"/>
      <c r="BM85" s="248"/>
      <c r="BN85" s="249"/>
    </row>
    <row r="86" spans="1:66" x14ac:dyDescent="0.25">
      <c r="A86" s="6" t="s">
        <v>200</v>
      </c>
      <c r="B86" s="5" t="s">
        <v>210</v>
      </c>
      <c r="C86" s="5" t="s">
        <v>124</v>
      </c>
      <c r="D86" s="6" t="s">
        <v>179</v>
      </c>
      <c r="E86" s="248"/>
      <c r="F86" s="249"/>
      <c r="G86" s="248"/>
      <c r="H86" s="249"/>
      <c r="I86" s="248"/>
      <c r="J86" s="249"/>
      <c r="K86" s="248"/>
      <c r="L86" s="249"/>
      <c r="M86" s="248"/>
      <c r="N86" s="249"/>
      <c r="O86" s="248"/>
      <c r="P86" s="249"/>
      <c r="Q86" s="248"/>
      <c r="R86" s="249"/>
      <c r="S86" s="248"/>
      <c r="T86" s="249"/>
      <c r="U86" s="248"/>
      <c r="V86" s="249"/>
      <c r="W86" s="248"/>
      <c r="X86" s="249"/>
      <c r="Y86" s="248"/>
      <c r="Z86" s="249"/>
      <c r="AA86" s="248"/>
      <c r="AB86" s="249"/>
      <c r="AC86" s="248"/>
      <c r="AD86" s="249"/>
      <c r="AE86" s="248"/>
      <c r="AF86" s="249"/>
      <c r="AG86" s="248"/>
      <c r="AH86" s="249"/>
      <c r="AI86" s="248"/>
      <c r="AJ86" s="249"/>
      <c r="AK86" s="248"/>
      <c r="AL86" s="249"/>
      <c r="AM86" s="248"/>
      <c r="AN86" s="249"/>
      <c r="AO86" s="248"/>
      <c r="AP86" s="249"/>
      <c r="AQ86" s="248"/>
      <c r="AR86" s="249"/>
      <c r="AS86" s="248"/>
      <c r="AT86" s="249"/>
      <c r="AU86" s="248"/>
      <c r="AV86" s="249"/>
      <c r="AW86" s="248"/>
      <c r="AX86" s="249"/>
      <c r="AY86" s="248"/>
      <c r="AZ86" s="249"/>
      <c r="BA86" s="248"/>
      <c r="BB86" s="249"/>
      <c r="BC86" s="248"/>
      <c r="BD86" s="249"/>
      <c r="BE86" s="248"/>
      <c r="BF86" s="249"/>
      <c r="BG86" s="248"/>
      <c r="BH86" s="249"/>
      <c r="BI86" s="248"/>
      <c r="BJ86" s="249"/>
      <c r="BK86" s="248"/>
      <c r="BL86" s="249"/>
      <c r="BM86" s="248"/>
      <c r="BN86" s="249"/>
    </row>
    <row r="87" spans="1:66" x14ac:dyDescent="0.25">
      <c r="A87" s="6" t="s">
        <v>201</v>
      </c>
      <c r="B87" s="5" t="s">
        <v>210</v>
      </c>
      <c r="C87" s="5" t="s">
        <v>125</v>
      </c>
      <c r="D87" s="6" t="s">
        <v>179</v>
      </c>
      <c r="E87" s="248"/>
      <c r="F87" s="249"/>
      <c r="G87" s="248"/>
      <c r="H87" s="249"/>
      <c r="I87" s="248"/>
      <c r="J87" s="249"/>
      <c r="K87" s="248"/>
      <c r="L87" s="249"/>
      <c r="M87" s="248"/>
      <c r="N87" s="249"/>
      <c r="O87" s="248"/>
      <c r="P87" s="249"/>
      <c r="Q87" s="248"/>
      <c r="R87" s="249"/>
      <c r="S87" s="248"/>
      <c r="T87" s="249"/>
      <c r="U87" s="248"/>
      <c r="V87" s="249"/>
      <c r="W87" s="248"/>
      <c r="X87" s="249"/>
      <c r="Y87" s="248"/>
      <c r="Z87" s="249"/>
      <c r="AA87" s="248"/>
      <c r="AB87" s="249"/>
      <c r="AC87" s="248"/>
      <c r="AD87" s="249"/>
      <c r="AE87" s="248"/>
      <c r="AF87" s="249"/>
      <c r="AG87" s="248"/>
      <c r="AH87" s="249"/>
      <c r="AI87" s="248"/>
      <c r="AJ87" s="249"/>
      <c r="AK87" s="248"/>
      <c r="AL87" s="249"/>
      <c r="AM87" s="248"/>
      <c r="AN87" s="249"/>
      <c r="AO87" s="248"/>
      <c r="AP87" s="249"/>
      <c r="AQ87" s="248"/>
      <c r="AR87" s="249"/>
      <c r="AS87" s="248"/>
      <c r="AT87" s="249"/>
      <c r="AU87" s="248"/>
      <c r="AV87" s="249"/>
      <c r="AW87" s="248"/>
      <c r="AX87" s="249"/>
      <c r="AY87" s="248"/>
      <c r="AZ87" s="249"/>
      <c r="BA87" s="248"/>
      <c r="BB87" s="249"/>
      <c r="BC87" s="248"/>
      <c r="BD87" s="249"/>
      <c r="BE87" s="248"/>
      <c r="BF87" s="249"/>
      <c r="BG87" s="248"/>
      <c r="BH87" s="249"/>
      <c r="BI87" s="248"/>
      <c r="BJ87" s="249"/>
      <c r="BK87" s="248"/>
      <c r="BL87" s="249"/>
      <c r="BM87" s="248"/>
      <c r="BN87" s="249"/>
    </row>
    <row r="88" spans="1:66" x14ac:dyDescent="0.25">
      <c r="A88" s="6" t="s">
        <v>202</v>
      </c>
      <c r="B88" s="5" t="s">
        <v>210</v>
      </c>
      <c r="C88" s="5" t="s">
        <v>126</v>
      </c>
      <c r="D88" s="6" t="s">
        <v>179</v>
      </c>
      <c r="E88" s="248"/>
      <c r="F88" s="249"/>
      <c r="G88" s="248"/>
      <c r="H88" s="249"/>
      <c r="I88" s="248"/>
      <c r="J88" s="249"/>
      <c r="K88" s="248"/>
      <c r="L88" s="249"/>
      <c r="M88" s="248"/>
      <c r="N88" s="249"/>
      <c r="O88" s="248"/>
      <c r="P88" s="249"/>
      <c r="Q88" s="248"/>
      <c r="R88" s="249"/>
      <c r="S88" s="248"/>
      <c r="T88" s="249"/>
      <c r="U88" s="248"/>
      <c r="V88" s="249"/>
      <c r="W88" s="248"/>
      <c r="X88" s="249"/>
      <c r="Y88" s="248"/>
      <c r="Z88" s="249"/>
      <c r="AA88" s="248"/>
      <c r="AB88" s="249"/>
      <c r="AC88" s="248"/>
      <c r="AD88" s="249"/>
      <c r="AE88" s="248"/>
      <c r="AF88" s="249"/>
      <c r="AG88" s="248"/>
      <c r="AH88" s="249"/>
      <c r="AI88" s="248"/>
      <c r="AJ88" s="249"/>
      <c r="AK88" s="248"/>
      <c r="AL88" s="249"/>
      <c r="AM88" s="248"/>
      <c r="AN88" s="249"/>
      <c r="AO88" s="248"/>
      <c r="AP88" s="249"/>
      <c r="AQ88" s="248"/>
      <c r="AR88" s="249"/>
      <c r="AS88" s="248"/>
      <c r="AT88" s="249"/>
      <c r="AU88" s="248"/>
      <c r="AV88" s="249"/>
      <c r="AW88" s="248"/>
      <c r="AX88" s="249"/>
      <c r="AY88" s="248"/>
      <c r="AZ88" s="249"/>
      <c r="BA88" s="248"/>
      <c r="BB88" s="249"/>
      <c r="BC88" s="248"/>
      <c r="BD88" s="249"/>
      <c r="BE88" s="248"/>
      <c r="BF88" s="249"/>
      <c r="BG88" s="248"/>
      <c r="BH88" s="249"/>
      <c r="BI88" s="248"/>
      <c r="BJ88" s="249"/>
      <c r="BK88" s="248"/>
      <c r="BL88" s="249"/>
      <c r="BM88" s="248"/>
      <c r="BN88" s="249"/>
    </row>
    <row r="89" spans="1:66" x14ac:dyDescent="0.25">
      <c r="A89" s="6" t="s">
        <v>203</v>
      </c>
      <c r="B89" s="5" t="s">
        <v>212</v>
      </c>
      <c r="C89" s="5" t="s">
        <v>391</v>
      </c>
      <c r="D89" s="6" t="s">
        <v>179</v>
      </c>
      <c r="E89" s="248"/>
      <c r="F89" s="249"/>
      <c r="G89" s="248"/>
      <c r="H89" s="249"/>
      <c r="I89" s="248"/>
      <c r="J89" s="249"/>
      <c r="K89" s="248"/>
      <c r="L89" s="249"/>
      <c r="M89" s="248"/>
      <c r="N89" s="249"/>
      <c r="O89" s="248"/>
      <c r="P89" s="249"/>
      <c r="Q89" s="248"/>
      <c r="R89" s="249"/>
      <c r="S89" s="248"/>
      <c r="T89" s="249"/>
      <c r="U89" s="248"/>
      <c r="V89" s="249"/>
      <c r="W89" s="248"/>
      <c r="X89" s="249"/>
      <c r="Y89" s="248"/>
      <c r="Z89" s="249"/>
      <c r="AA89" s="248"/>
      <c r="AB89" s="249"/>
      <c r="AC89" s="248"/>
      <c r="AD89" s="249"/>
      <c r="AE89" s="248"/>
      <c r="AF89" s="249"/>
      <c r="AG89" s="248"/>
      <c r="AH89" s="249"/>
      <c r="AI89" s="248"/>
      <c r="AJ89" s="249"/>
      <c r="AK89" s="248"/>
      <c r="AL89" s="249"/>
      <c r="AM89" s="248"/>
      <c r="AN89" s="249"/>
      <c r="AO89" s="248"/>
      <c r="AP89" s="249"/>
      <c r="AQ89" s="248"/>
      <c r="AR89" s="249"/>
      <c r="AS89" s="248"/>
      <c r="AT89" s="249"/>
      <c r="AU89" s="248"/>
      <c r="AV89" s="249"/>
      <c r="AW89" s="248"/>
      <c r="AX89" s="249"/>
      <c r="AY89" s="248"/>
      <c r="AZ89" s="249"/>
      <c r="BA89" s="248"/>
      <c r="BB89" s="249"/>
      <c r="BC89" s="248"/>
      <c r="BD89" s="249"/>
      <c r="BE89" s="248"/>
      <c r="BF89" s="249"/>
      <c r="BG89" s="248"/>
      <c r="BH89" s="249"/>
      <c r="BI89" s="248"/>
      <c r="BJ89" s="249"/>
      <c r="BK89" s="248"/>
      <c r="BL89" s="249"/>
      <c r="BM89" s="248"/>
      <c r="BN89" s="249"/>
    </row>
    <row r="90" spans="1:66" x14ac:dyDescent="0.25">
      <c r="A90" s="6" t="s">
        <v>204</v>
      </c>
      <c r="B90" s="5" t="s">
        <v>211</v>
      </c>
      <c r="C90" s="17" t="s">
        <v>127</v>
      </c>
      <c r="D90" s="6" t="s">
        <v>179</v>
      </c>
      <c r="E90" s="248"/>
      <c r="F90" s="249"/>
      <c r="G90" s="248"/>
      <c r="H90" s="249"/>
      <c r="I90" s="248"/>
      <c r="J90" s="249"/>
      <c r="K90" s="248"/>
      <c r="L90" s="249"/>
      <c r="M90" s="248"/>
      <c r="N90" s="249"/>
      <c r="O90" s="248"/>
      <c r="P90" s="249"/>
      <c r="Q90" s="248"/>
      <c r="R90" s="249"/>
      <c r="S90" s="248"/>
      <c r="T90" s="249"/>
      <c r="U90" s="248"/>
      <c r="V90" s="249"/>
      <c r="W90" s="248"/>
      <c r="X90" s="249"/>
      <c r="Y90" s="248"/>
      <c r="Z90" s="249"/>
      <c r="AA90" s="248"/>
      <c r="AB90" s="249"/>
      <c r="AC90" s="248"/>
      <c r="AD90" s="249"/>
      <c r="AE90" s="248"/>
      <c r="AF90" s="249"/>
      <c r="AG90" s="248"/>
      <c r="AH90" s="249"/>
      <c r="AI90" s="248"/>
      <c r="AJ90" s="249"/>
      <c r="AK90" s="248"/>
      <c r="AL90" s="249"/>
      <c r="AM90" s="248"/>
      <c r="AN90" s="249"/>
      <c r="AO90" s="248"/>
      <c r="AP90" s="249"/>
      <c r="AQ90" s="248"/>
      <c r="AR90" s="249"/>
      <c r="AS90" s="248"/>
      <c r="AT90" s="249"/>
      <c r="AU90" s="248"/>
      <c r="AV90" s="249"/>
      <c r="AW90" s="248"/>
      <c r="AX90" s="249"/>
      <c r="AY90" s="248"/>
      <c r="AZ90" s="249"/>
      <c r="BA90" s="248"/>
      <c r="BB90" s="249"/>
      <c r="BC90" s="248"/>
      <c r="BD90" s="249"/>
      <c r="BE90" s="248"/>
      <c r="BF90" s="249"/>
      <c r="BG90" s="248"/>
      <c r="BH90" s="249"/>
      <c r="BI90" s="248"/>
      <c r="BJ90" s="249"/>
      <c r="BK90" s="248"/>
      <c r="BL90" s="249"/>
      <c r="BM90" s="248"/>
      <c r="BN90" s="249"/>
    </row>
    <row r="91" spans="1:66" x14ac:dyDescent="0.25">
      <c r="A91" s="6" t="s">
        <v>205</v>
      </c>
      <c r="B91" s="5" t="s">
        <v>212</v>
      </c>
      <c r="C91" s="5" t="s">
        <v>221</v>
      </c>
      <c r="D91" s="6" t="s">
        <v>179</v>
      </c>
      <c r="E91" s="248"/>
      <c r="F91" s="249"/>
      <c r="G91" s="248"/>
      <c r="H91" s="249"/>
      <c r="I91" s="248"/>
      <c r="J91" s="249"/>
      <c r="K91" s="248"/>
      <c r="L91" s="249"/>
      <c r="M91" s="248"/>
      <c r="N91" s="249"/>
      <c r="O91" s="248"/>
      <c r="P91" s="249"/>
      <c r="Q91" s="248"/>
      <c r="R91" s="249"/>
      <c r="S91" s="248"/>
      <c r="T91" s="249"/>
      <c r="U91" s="248"/>
      <c r="V91" s="249"/>
      <c r="W91" s="248"/>
      <c r="X91" s="249"/>
      <c r="Y91" s="248"/>
      <c r="Z91" s="249"/>
      <c r="AA91" s="248"/>
      <c r="AB91" s="249"/>
      <c r="AC91" s="248"/>
      <c r="AD91" s="249"/>
      <c r="AE91" s="248"/>
      <c r="AF91" s="249"/>
      <c r="AG91" s="248"/>
      <c r="AH91" s="249"/>
      <c r="AI91" s="248"/>
      <c r="AJ91" s="249"/>
      <c r="AK91" s="248"/>
      <c r="AL91" s="249"/>
      <c r="AM91" s="248"/>
      <c r="AN91" s="249"/>
      <c r="AO91" s="248"/>
      <c r="AP91" s="249"/>
      <c r="AQ91" s="248"/>
      <c r="AR91" s="249"/>
      <c r="AS91" s="248"/>
      <c r="AT91" s="249"/>
      <c r="AU91" s="248"/>
      <c r="AV91" s="249"/>
      <c r="AW91" s="248"/>
      <c r="AX91" s="249"/>
      <c r="AY91" s="248"/>
      <c r="AZ91" s="249"/>
      <c r="BA91" s="248"/>
      <c r="BB91" s="249"/>
      <c r="BC91" s="248"/>
      <c r="BD91" s="249"/>
      <c r="BE91" s="248"/>
      <c r="BF91" s="249"/>
      <c r="BG91" s="248"/>
      <c r="BH91" s="249"/>
      <c r="BI91" s="248"/>
      <c r="BJ91" s="249"/>
      <c r="BK91" s="248"/>
      <c r="BL91" s="249"/>
      <c r="BM91" s="248"/>
      <c r="BN91" s="249"/>
    </row>
    <row r="92" spans="1:66" x14ac:dyDescent="0.25">
      <c r="A92" s="6" t="s">
        <v>206</v>
      </c>
      <c r="B92" s="5" t="s">
        <v>211</v>
      </c>
      <c r="C92" s="17" t="s">
        <v>128</v>
      </c>
      <c r="D92" s="6" t="s">
        <v>179</v>
      </c>
      <c r="E92" s="248"/>
      <c r="F92" s="249"/>
      <c r="G92" s="248"/>
      <c r="H92" s="249"/>
      <c r="I92" s="248"/>
      <c r="J92" s="249"/>
      <c r="K92" s="248"/>
      <c r="L92" s="249"/>
      <c r="M92" s="248"/>
      <c r="N92" s="249"/>
      <c r="O92" s="248"/>
      <c r="P92" s="249"/>
      <c r="Q92" s="248"/>
      <c r="R92" s="249"/>
      <c r="S92" s="248"/>
      <c r="T92" s="249"/>
      <c r="U92" s="248"/>
      <c r="V92" s="249"/>
      <c r="W92" s="248"/>
      <c r="X92" s="249"/>
      <c r="Y92" s="248"/>
      <c r="Z92" s="249"/>
      <c r="AA92" s="248"/>
      <c r="AB92" s="249"/>
      <c r="AC92" s="248"/>
      <c r="AD92" s="249"/>
      <c r="AE92" s="248"/>
      <c r="AF92" s="249"/>
      <c r="AG92" s="248"/>
      <c r="AH92" s="249"/>
      <c r="AI92" s="248"/>
      <c r="AJ92" s="249"/>
      <c r="AK92" s="248"/>
      <c r="AL92" s="249"/>
      <c r="AM92" s="248"/>
      <c r="AN92" s="249"/>
      <c r="AO92" s="248"/>
      <c r="AP92" s="249"/>
      <c r="AQ92" s="248"/>
      <c r="AR92" s="249"/>
      <c r="AS92" s="248"/>
      <c r="AT92" s="249"/>
      <c r="AU92" s="248"/>
      <c r="AV92" s="249"/>
      <c r="AW92" s="248"/>
      <c r="AX92" s="249"/>
      <c r="AY92" s="248"/>
      <c r="AZ92" s="249"/>
      <c r="BA92" s="248"/>
      <c r="BB92" s="249"/>
      <c r="BC92" s="248"/>
      <c r="BD92" s="249"/>
      <c r="BE92" s="248"/>
      <c r="BF92" s="249"/>
      <c r="BG92" s="248"/>
      <c r="BH92" s="249"/>
      <c r="BI92" s="248"/>
      <c r="BJ92" s="249"/>
      <c r="BK92" s="248"/>
      <c r="BL92" s="249"/>
      <c r="BM92" s="248"/>
      <c r="BN92" s="249"/>
    </row>
    <row r="93" spans="1:66" x14ac:dyDescent="0.25">
      <c r="A93" s="6" t="s">
        <v>207</v>
      </c>
      <c r="B93" s="5" t="s">
        <v>212</v>
      </c>
      <c r="C93" s="5" t="s">
        <v>222</v>
      </c>
      <c r="D93" s="6" t="s">
        <v>179</v>
      </c>
      <c r="E93" s="248"/>
      <c r="F93" s="249"/>
      <c r="G93" s="248"/>
      <c r="H93" s="249"/>
      <c r="I93" s="248"/>
      <c r="J93" s="249"/>
      <c r="K93" s="248"/>
      <c r="L93" s="249"/>
      <c r="M93" s="248"/>
      <c r="N93" s="249"/>
      <c r="O93" s="248"/>
      <c r="P93" s="249"/>
      <c r="Q93" s="248"/>
      <c r="R93" s="249"/>
      <c r="S93" s="248"/>
      <c r="T93" s="249"/>
      <c r="U93" s="248"/>
      <c r="V93" s="249"/>
      <c r="W93" s="248"/>
      <c r="X93" s="249"/>
      <c r="Y93" s="248"/>
      <c r="Z93" s="249"/>
      <c r="AA93" s="248"/>
      <c r="AB93" s="249"/>
      <c r="AC93" s="248"/>
      <c r="AD93" s="249"/>
      <c r="AE93" s="248"/>
      <c r="AF93" s="249"/>
      <c r="AG93" s="248"/>
      <c r="AH93" s="249"/>
      <c r="AI93" s="248"/>
      <c r="AJ93" s="249"/>
      <c r="AK93" s="248"/>
      <c r="AL93" s="249"/>
      <c r="AM93" s="248"/>
      <c r="AN93" s="249"/>
      <c r="AO93" s="248"/>
      <c r="AP93" s="249"/>
      <c r="AQ93" s="248"/>
      <c r="AR93" s="249"/>
      <c r="AS93" s="248"/>
      <c r="AT93" s="249"/>
      <c r="AU93" s="248"/>
      <c r="AV93" s="249"/>
      <c r="AW93" s="248"/>
      <c r="AX93" s="249"/>
      <c r="AY93" s="248"/>
      <c r="AZ93" s="249"/>
      <c r="BA93" s="248"/>
      <c r="BB93" s="249"/>
      <c r="BC93" s="248"/>
      <c r="BD93" s="249"/>
      <c r="BE93" s="248"/>
      <c r="BF93" s="249"/>
      <c r="BG93" s="248"/>
      <c r="BH93" s="249"/>
      <c r="BI93" s="248"/>
      <c r="BJ93" s="249"/>
      <c r="BK93" s="248"/>
      <c r="BL93" s="249"/>
      <c r="BM93" s="248"/>
      <c r="BN93" s="249"/>
    </row>
    <row r="94" spans="1:66" x14ac:dyDescent="0.25">
      <c r="A94" s="6" t="s">
        <v>208</v>
      </c>
      <c r="B94" s="5" t="s">
        <v>211</v>
      </c>
      <c r="C94" s="17" t="s">
        <v>129</v>
      </c>
      <c r="D94" s="6" t="s">
        <v>179</v>
      </c>
      <c r="E94" s="248"/>
      <c r="F94" s="249"/>
      <c r="G94" s="248"/>
      <c r="H94" s="249"/>
      <c r="I94" s="248"/>
      <c r="J94" s="249"/>
      <c r="K94" s="248"/>
      <c r="L94" s="249"/>
      <c r="M94" s="248"/>
      <c r="N94" s="249"/>
      <c r="O94" s="248"/>
      <c r="P94" s="249"/>
      <c r="Q94" s="248"/>
      <c r="R94" s="249"/>
      <c r="S94" s="248"/>
      <c r="T94" s="249"/>
      <c r="U94" s="248"/>
      <c r="V94" s="249"/>
      <c r="W94" s="248"/>
      <c r="X94" s="249"/>
      <c r="Y94" s="248"/>
      <c r="Z94" s="249"/>
      <c r="AA94" s="248"/>
      <c r="AB94" s="249"/>
      <c r="AC94" s="248"/>
      <c r="AD94" s="249"/>
      <c r="AE94" s="248"/>
      <c r="AF94" s="249"/>
      <c r="AG94" s="248"/>
      <c r="AH94" s="249"/>
      <c r="AI94" s="248"/>
      <c r="AJ94" s="249"/>
      <c r="AK94" s="248"/>
      <c r="AL94" s="249"/>
      <c r="AM94" s="248"/>
      <c r="AN94" s="249"/>
      <c r="AO94" s="248"/>
      <c r="AP94" s="249"/>
      <c r="AQ94" s="248"/>
      <c r="AR94" s="249"/>
      <c r="AS94" s="248"/>
      <c r="AT94" s="249"/>
      <c r="AU94" s="248"/>
      <c r="AV94" s="249"/>
      <c r="AW94" s="248"/>
      <c r="AX94" s="249"/>
      <c r="AY94" s="248"/>
      <c r="AZ94" s="249"/>
      <c r="BA94" s="248"/>
      <c r="BB94" s="249"/>
      <c r="BC94" s="248"/>
      <c r="BD94" s="249"/>
      <c r="BE94" s="248"/>
      <c r="BF94" s="249"/>
      <c r="BG94" s="248"/>
      <c r="BH94" s="249"/>
      <c r="BI94" s="248"/>
      <c r="BJ94" s="249"/>
      <c r="BK94" s="248"/>
      <c r="BL94" s="249"/>
      <c r="BM94" s="248"/>
      <c r="BN94" s="249"/>
    </row>
    <row r="95" spans="1:66" x14ac:dyDescent="0.25">
      <c r="A95" s="6" t="s">
        <v>209</v>
      </c>
      <c r="B95" s="5"/>
      <c r="C95" s="17" t="s">
        <v>130</v>
      </c>
      <c r="D95" s="6" t="s">
        <v>184</v>
      </c>
      <c r="E95" s="250"/>
      <c r="F95" s="251"/>
      <c r="G95" s="250"/>
      <c r="H95" s="251"/>
      <c r="I95" s="250"/>
      <c r="J95" s="251"/>
      <c r="K95" s="250"/>
      <c r="L95" s="251"/>
      <c r="M95" s="250"/>
      <c r="N95" s="251"/>
      <c r="O95" s="250"/>
      <c r="P95" s="251"/>
      <c r="Q95" s="250"/>
      <c r="R95" s="251"/>
      <c r="S95" s="250"/>
      <c r="T95" s="251"/>
      <c r="U95" s="250"/>
      <c r="V95" s="251"/>
      <c r="W95" s="250"/>
      <c r="X95" s="251"/>
      <c r="Y95" s="250"/>
      <c r="Z95" s="251"/>
      <c r="AA95" s="250"/>
      <c r="AB95" s="251"/>
      <c r="AC95" s="250"/>
      <c r="AD95" s="251"/>
      <c r="AE95" s="250"/>
      <c r="AF95" s="251"/>
      <c r="AG95" s="250"/>
      <c r="AH95" s="251"/>
      <c r="AI95" s="250"/>
      <c r="AJ95" s="251"/>
      <c r="AK95" s="250"/>
      <c r="AL95" s="251"/>
      <c r="AM95" s="250"/>
      <c r="AN95" s="251"/>
      <c r="AO95" s="250"/>
      <c r="AP95" s="251"/>
      <c r="AQ95" s="250"/>
      <c r="AR95" s="251"/>
      <c r="AS95" s="250"/>
      <c r="AT95" s="251"/>
      <c r="AU95" s="250"/>
      <c r="AV95" s="251"/>
      <c r="AW95" s="250"/>
      <c r="AX95" s="251"/>
      <c r="AY95" s="250"/>
      <c r="AZ95" s="251"/>
      <c r="BA95" s="250"/>
      <c r="BB95" s="251"/>
      <c r="BC95" s="250"/>
      <c r="BD95" s="251"/>
      <c r="BE95" s="250"/>
      <c r="BF95" s="251"/>
      <c r="BG95" s="250"/>
      <c r="BH95" s="251"/>
      <c r="BI95" s="250"/>
      <c r="BJ95" s="251"/>
      <c r="BK95" s="250"/>
      <c r="BL95" s="251"/>
      <c r="BM95" s="250"/>
      <c r="BN95" s="251"/>
    </row>
    <row r="96" spans="1:66" x14ac:dyDescent="0.25">
      <c r="A96" s="6" t="s">
        <v>390</v>
      </c>
      <c r="B96" s="5"/>
      <c r="C96" s="17" t="s">
        <v>131</v>
      </c>
      <c r="D96" s="6" t="s">
        <v>184</v>
      </c>
      <c r="E96" s="250"/>
      <c r="F96" s="251"/>
      <c r="G96" s="250"/>
      <c r="H96" s="251"/>
      <c r="I96" s="250"/>
      <c r="J96" s="251"/>
      <c r="K96" s="250"/>
      <c r="L96" s="251"/>
      <c r="M96" s="250"/>
      <c r="N96" s="251"/>
      <c r="O96" s="250"/>
      <c r="P96" s="251"/>
      <c r="Q96" s="250"/>
      <c r="R96" s="251"/>
      <c r="S96" s="250"/>
      <c r="T96" s="251"/>
      <c r="U96" s="250"/>
      <c r="V96" s="251"/>
      <c r="W96" s="250"/>
      <c r="X96" s="251"/>
      <c r="Y96" s="250"/>
      <c r="Z96" s="251"/>
      <c r="AA96" s="250"/>
      <c r="AB96" s="251"/>
      <c r="AC96" s="250"/>
      <c r="AD96" s="251"/>
      <c r="AE96" s="250"/>
      <c r="AF96" s="251"/>
      <c r="AG96" s="250"/>
      <c r="AH96" s="251"/>
      <c r="AI96" s="250"/>
      <c r="AJ96" s="251"/>
      <c r="AK96" s="250"/>
      <c r="AL96" s="251"/>
      <c r="AM96" s="250"/>
      <c r="AN96" s="251"/>
      <c r="AO96" s="250"/>
      <c r="AP96" s="251"/>
      <c r="AQ96" s="250"/>
      <c r="AR96" s="251"/>
      <c r="AS96" s="250"/>
      <c r="AT96" s="251"/>
      <c r="AU96" s="250"/>
      <c r="AV96" s="251"/>
      <c r="AW96" s="250"/>
      <c r="AX96" s="251"/>
      <c r="AY96" s="250"/>
      <c r="AZ96" s="251"/>
      <c r="BA96" s="250"/>
      <c r="BB96" s="251"/>
      <c r="BC96" s="250"/>
      <c r="BD96" s="251"/>
      <c r="BE96" s="250"/>
      <c r="BF96" s="251"/>
      <c r="BG96" s="250"/>
      <c r="BH96" s="251"/>
      <c r="BI96" s="250"/>
      <c r="BJ96" s="251"/>
      <c r="BK96" s="250"/>
      <c r="BL96" s="251"/>
      <c r="BM96" s="250"/>
      <c r="BN96" s="251"/>
    </row>
    <row r="97" spans="1:66" x14ac:dyDescent="0.25">
      <c r="A97" s="12" t="s">
        <v>116</v>
      </c>
      <c r="B97" s="13" t="s">
        <v>143</v>
      </c>
      <c r="C97" s="14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</row>
    <row r="98" spans="1:66" x14ac:dyDescent="0.25">
      <c r="A98" s="6" t="s">
        <v>118</v>
      </c>
      <c r="B98" s="5"/>
      <c r="C98" s="124" t="s">
        <v>417</v>
      </c>
      <c r="D98" s="125" t="s">
        <v>179</v>
      </c>
      <c r="E98" s="254"/>
      <c r="F98" s="255"/>
      <c r="G98" s="254"/>
      <c r="H98" s="255"/>
      <c r="I98" s="254"/>
      <c r="J98" s="255"/>
      <c r="K98" s="254"/>
      <c r="L98" s="255"/>
      <c r="M98" s="254"/>
      <c r="N98" s="255"/>
      <c r="O98" s="254"/>
      <c r="P98" s="255"/>
      <c r="Q98" s="254"/>
      <c r="R98" s="255"/>
      <c r="S98" s="254"/>
      <c r="T98" s="255"/>
      <c r="U98" s="254"/>
      <c r="V98" s="255"/>
      <c r="W98" s="254"/>
      <c r="X98" s="255"/>
      <c r="Y98" s="254"/>
      <c r="Z98" s="255"/>
      <c r="AA98" s="254"/>
      <c r="AB98" s="255"/>
      <c r="AC98" s="254"/>
      <c r="AD98" s="255"/>
      <c r="AE98" s="254"/>
      <c r="AF98" s="255"/>
      <c r="AG98" s="254"/>
      <c r="AH98" s="255"/>
      <c r="AI98" s="254"/>
      <c r="AJ98" s="255"/>
      <c r="AK98" s="254"/>
      <c r="AL98" s="255"/>
      <c r="AM98" s="254"/>
      <c r="AN98" s="255"/>
      <c r="AO98" s="254"/>
      <c r="AP98" s="255"/>
      <c r="AQ98" s="254"/>
      <c r="AR98" s="255"/>
      <c r="AS98" s="254"/>
      <c r="AT98" s="255"/>
      <c r="AU98" s="254"/>
      <c r="AV98" s="255"/>
      <c r="AW98" s="254"/>
      <c r="AX98" s="255"/>
      <c r="AY98" s="254"/>
      <c r="AZ98" s="255"/>
      <c r="BA98" s="254"/>
      <c r="BB98" s="255"/>
      <c r="BC98" s="254"/>
      <c r="BD98" s="255"/>
      <c r="BE98" s="254"/>
      <c r="BF98" s="255"/>
      <c r="BG98" s="254"/>
      <c r="BH98" s="255"/>
      <c r="BI98" s="254"/>
      <c r="BJ98" s="255"/>
      <c r="BK98" s="254"/>
      <c r="BL98" s="255"/>
      <c r="BM98" s="254"/>
      <c r="BN98" s="255"/>
    </row>
    <row r="99" spans="1:66" x14ac:dyDescent="0.25">
      <c r="A99" s="6" t="s">
        <v>132</v>
      </c>
      <c r="B99" s="5" t="s">
        <v>210</v>
      </c>
      <c r="C99" s="124" t="s">
        <v>146</v>
      </c>
      <c r="D99" s="125" t="s">
        <v>179</v>
      </c>
      <c r="E99" s="254"/>
      <c r="F99" s="255"/>
      <c r="G99" s="254"/>
      <c r="H99" s="255"/>
      <c r="I99" s="254"/>
      <c r="J99" s="255"/>
      <c r="K99" s="254"/>
      <c r="L99" s="255"/>
      <c r="M99" s="254"/>
      <c r="N99" s="255"/>
      <c r="O99" s="254"/>
      <c r="P99" s="255"/>
      <c r="Q99" s="254"/>
      <c r="R99" s="255"/>
      <c r="S99" s="254"/>
      <c r="T99" s="255"/>
      <c r="U99" s="254"/>
      <c r="V99" s="255"/>
      <c r="W99" s="254"/>
      <c r="X99" s="255"/>
      <c r="Y99" s="254"/>
      <c r="Z99" s="255"/>
      <c r="AA99" s="254"/>
      <c r="AB99" s="255"/>
      <c r="AC99" s="254"/>
      <c r="AD99" s="255"/>
      <c r="AE99" s="254"/>
      <c r="AF99" s="255"/>
      <c r="AG99" s="254"/>
      <c r="AH99" s="255"/>
      <c r="AI99" s="254"/>
      <c r="AJ99" s="255"/>
      <c r="AK99" s="254"/>
      <c r="AL99" s="255"/>
      <c r="AM99" s="254"/>
      <c r="AN99" s="255"/>
      <c r="AO99" s="254"/>
      <c r="AP99" s="255"/>
      <c r="AQ99" s="254"/>
      <c r="AR99" s="255"/>
      <c r="AS99" s="254"/>
      <c r="AT99" s="255"/>
      <c r="AU99" s="254"/>
      <c r="AV99" s="255"/>
      <c r="AW99" s="254"/>
      <c r="AX99" s="255"/>
      <c r="AY99" s="254"/>
      <c r="AZ99" s="255"/>
      <c r="BA99" s="254"/>
      <c r="BB99" s="255"/>
      <c r="BC99" s="254"/>
      <c r="BD99" s="255"/>
      <c r="BE99" s="254"/>
      <c r="BF99" s="255"/>
      <c r="BG99" s="254"/>
      <c r="BH99" s="255"/>
      <c r="BI99" s="254"/>
      <c r="BJ99" s="255"/>
      <c r="BK99" s="254"/>
      <c r="BL99" s="255"/>
      <c r="BM99" s="254"/>
      <c r="BN99" s="255"/>
    </row>
    <row r="100" spans="1:66" x14ac:dyDescent="0.25">
      <c r="A100" s="6" t="s">
        <v>133</v>
      </c>
      <c r="B100" s="5" t="s">
        <v>210</v>
      </c>
      <c r="C100" s="124" t="s">
        <v>147</v>
      </c>
      <c r="D100" s="125" t="s">
        <v>179</v>
      </c>
      <c r="E100" s="254"/>
      <c r="F100" s="255"/>
      <c r="G100" s="254"/>
      <c r="H100" s="255"/>
      <c r="I100" s="254"/>
      <c r="J100" s="255"/>
      <c r="K100" s="254"/>
      <c r="L100" s="255"/>
      <c r="M100" s="254"/>
      <c r="N100" s="255"/>
      <c r="O100" s="254"/>
      <c r="P100" s="255"/>
      <c r="Q100" s="254"/>
      <c r="R100" s="255"/>
      <c r="S100" s="254"/>
      <c r="T100" s="255"/>
      <c r="U100" s="254"/>
      <c r="V100" s="255"/>
      <c r="W100" s="254"/>
      <c r="X100" s="255"/>
      <c r="Y100" s="254"/>
      <c r="Z100" s="255"/>
      <c r="AA100" s="254"/>
      <c r="AB100" s="255"/>
      <c r="AC100" s="254"/>
      <c r="AD100" s="255"/>
      <c r="AE100" s="254"/>
      <c r="AF100" s="255"/>
      <c r="AG100" s="254"/>
      <c r="AH100" s="255"/>
      <c r="AI100" s="254"/>
      <c r="AJ100" s="255"/>
      <c r="AK100" s="254"/>
      <c r="AL100" s="255"/>
      <c r="AM100" s="254"/>
      <c r="AN100" s="255"/>
      <c r="AO100" s="254"/>
      <c r="AP100" s="255"/>
      <c r="AQ100" s="254"/>
      <c r="AR100" s="255"/>
      <c r="AS100" s="254"/>
      <c r="AT100" s="255"/>
      <c r="AU100" s="254"/>
      <c r="AV100" s="255"/>
      <c r="AW100" s="254"/>
      <c r="AX100" s="255"/>
      <c r="AY100" s="254"/>
      <c r="AZ100" s="255"/>
      <c r="BA100" s="254"/>
      <c r="BB100" s="255"/>
      <c r="BC100" s="254"/>
      <c r="BD100" s="255"/>
      <c r="BE100" s="254"/>
      <c r="BF100" s="255"/>
      <c r="BG100" s="254"/>
      <c r="BH100" s="255"/>
      <c r="BI100" s="254"/>
      <c r="BJ100" s="255"/>
      <c r="BK100" s="254"/>
      <c r="BL100" s="255"/>
      <c r="BM100" s="254"/>
      <c r="BN100" s="255"/>
    </row>
    <row r="101" spans="1:66" x14ac:dyDescent="0.25">
      <c r="A101" s="6" t="s">
        <v>134</v>
      </c>
      <c r="B101" s="5" t="s">
        <v>210</v>
      </c>
      <c r="C101" s="124" t="s">
        <v>148</v>
      </c>
      <c r="D101" s="125" t="s">
        <v>179</v>
      </c>
      <c r="E101" s="254"/>
      <c r="F101" s="255"/>
      <c r="G101" s="254"/>
      <c r="H101" s="255"/>
      <c r="I101" s="254"/>
      <c r="J101" s="255"/>
      <c r="K101" s="254"/>
      <c r="L101" s="255"/>
      <c r="M101" s="254"/>
      <c r="N101" s="255"/>
      <c r="O101" s="254"/>
      <c r="P101" s="255"/>
      <c r="Q101" s="254"/>
      <c r="R101" s="255"/>
      <c r="S101" s="254"/>
      <c r="T101" s="255"/>
      <c r="U101" s="254"/>
      <c r="V101" s="255"/>
      <c r="W101" s="254"/>
      <c r="X101" s="255"/>
      <c r="Y101" s="254"/>
      <c r="Z101" s="255"/>
      <c r="AA101" s="254"/>
      <c r="AB101" s="255"/>
      <c r="AC101" s="254"/>
      <c r="AD101" s="255"/>
      <c r="AE101" s="254"/>
      <c r="AF101" s="255"/>
      <c r="AG101" s="254"/>
      <c r="AH101" s="255"/>
      <c r="AI101" s="254"/>
      <c r="AJ101" s="255"/>
      <c r="AK101" s="254"/>
      <c r="AL101" s="255"/>
      <c r="AM101" s="254"/>
      <c r="AN101" s="255"/>
      <c r="AO101" s="254"/>
      <c r="AP101" s="255"/>
      <c r="AQ101" s="254"/>
      <c r="AR101" s="255"/>
      <c r="AS101" s="254"/>
      <c r="AT101" s="255"/>
      <c r="AU101" s="254"/>
      <c r="AV101" s="255"/>
      <c r="AW101" s="254"/>
      <c r="AX101" s="255"/>
      <c r="AY101" s="254"/>
      <c r="AZ101" s="255"/>
      <c r="BA101" s="254"/>
      <c r="BB101" s="255"/>
      <c r="BC101" s="254"/>
      <c r="BD101" s="255"/>
      <c r="BE101" s="254"/>
      <c r="BF101" s="255"/>
      <c r="BG101" s="254"/>
      <c r="BH101" s="255"/>
      <c r="BI101" s="254"/>
      <c r="BJ101" s="255"/>
      <c r="BK101" s="254"/>
      <c r="BL101" s="255"/>
      <c r="BM101" s="254"/>
      <c r="BN101" s="255"/>
    </row>
    <row r="102" spans="1:66" x14ac:dyDescent="0.25">
      <c r="A102" s="6" t="s">
        <v>135</v>
      </c>
      <c r="B102" s="5" t="s">
        <v>210</v>
      </c>
      <c r="C102" s="124" t="s">
        <v>149</v>
      </c>
      <c r="D102" s="125" t="s">
        <v>179</v>
      </c>
      <c r="E102" s="254"/>
      <c r="F102" s="255"/>
      <c r="G102" s="254"/>
      <c r="H102" s="255"/>
      <c r="I102" s="254"/>
      <c r="J102" s="255"/>
      <c r="K102" s="254"/>
      <c r="L102" s="255"/>
      <c r="M102" s="254"/>
      <c r="N102" s="255"/>
      <c r="O102" s="254"/>
      <c r="P102" s="255"/>
      <c r="Q102" s="254"/>
      <c r="R102" s="255"/>
      <c r="S102" s="254"/>
      <c r="T102" s="255"/>
      <c r="U102" s="254"/>
      <c r="V102" s="255"/>
      <c r="W102" s="254"/>
      <c r="X102" s="255"/>
      <c r="Y102" s="254"/>
      <c r="Z102" s="255"/>
      <c r="AA102" s="254"/>
      <c r="AB102" s="255"/>
      <c r="AC102" s="254"/>
      <c r="AD102" s="255"/>
      <c r="AE102" s="254"/>
      <c r="AF102" s="255"/>
      <c r="AG102" s="254"/>
      <c r="AH102" s="255"/>
      <c r="AI102" s="254"/>
      <c r="AJ102" s="255"/>
      <c r="AK102" s="254"/>
      <c r="AL102" s="255"/>
      <c r="AM102" s="254"/>
      <c r="AN102" s="255"/>
      <c r="AO102" s="254"/>
      <c r="AP102" s="255"/>
      <c r="AQ102" s="254"/>
      <c r="AR102" s="255"/>
      <c r="AS102" s="254"/>
      <c r="AT102" s="255"/>
      <c r="AU102" s="254"/>
      <c r="AV102" s="255"/>
      <c r="AW102" s="254"/>
      <c r="AX102" s="255"/>
      <c r="AY102" s="254"/>
      <c r="AZ102" s="255"/>
      <c r="BA102" s="254"/>
      <c r="BB102" s="255"/>
      <c r="BC102" s="254"/>
      <c r="BD102" s="255"/>
      <c r="BE102" s="254"/>
      <c r="BF102" s="255"/>
      <c r="BG102" s="254"/>
      <c r="BH102" s="255"/>
      <c r="BI102" s="254"/>
      <c r="BJ102" s="255"/>
      <c r="BK102" s="254"/>
      <c r="BL102" s="255"/>
      <c r="BM102" s="254"/>
      <c r="BN102" s="255"/>
    </row>
    <row r="103" spans="1:66" x14ac:dyDescent="0.25">
      <c r="A103" s="6" t="s">
        <v>136</v>
      </c>
      <c r="B103" s="5" t="s">
        <v>211</v>
      </c>
      <c r="C103" s="124" t="s">
        <v>150</v>
      </c>
      <c r="D103" s="125" t="s">
        <v>179</v>
      </c>
      <c r="E103" s="252"/>
      <c r="F103" s="253"/>
      <c r="G103" s="252"/>
      <c r="H103" s="253"/>
      <c r="I103" s="252"/>
      <c r="J103" s="253"/>
      <c r="K103" s="252"/>
      <c r="L103" s="253"/>
      <c r="M103" s="252"/>
      <c r="N103" s="253"/>
      <c r="O103" s="252"/>
      <c r="P103" s="253"/>
      <c r="Q103" s="252"/>
      <c r="R103" s="253"/>
      <c r="S103" s="252"/>
      <c r="T103" s="253"/>
      <c r="U103" s="252"/>
      <c r="V103" s="253"/>
      <c r="W103" s="252"/>
      <c r="X103" s="253"/>
      <c r="Y103" s="252"/>
      <c r="Z103" s="253"/>
      <c r="AA103" s="252"/>
      <c r="AB103" s="253"/>
      <c r="AC103" s="252"/>
      <c r="AD103" s="253"/>
      <c r="AE103" s="252"/>
      <c r="AF103" s="253"/>
      <c r="AG103" s="252"/>
      <c r="AH103" s="253"/>
      <c r="AI103" s="252"/>
      <c r="AJ103" s="253"/>
      <c r="AK103" s="252"/>
      <c r="AL103" s="253"/>
      <c r="AM103" s="252"/>
      <c r="AN103" s="253"/>
      <c r="AO103" s="252"/>
      <c r="AP103" s="253"/>
      <c r="AQ103" s="252"/>
      <c r="AR103" s="253"/>
      <c r="AS103" s="252"/>
      <c r="AT103" s="253"/>
      <c r="AU103" s="252"/>
      <c r="AV103" s="253"/>
      <c r="AW103" s="252"/>
      <c r="AX103" s="253"/>
      <c r="AY103" s="252"/>
      <c r="AZ103" s="253"/>
      <c r="BA103" s="252"/>
      <c r="BB103" s="253"/>
      <c r="BC103" s="252"/>
      <c r="BD103" s="253"/>
      <c r="BE103" s="252"/>
      <c r="BF103" s="253"/>
      <c r="BG103" s="252"/>
      <c r="BH103" s="253"/>
      <c r="BI103" s="252"/>
      <c r="BJ103" s="253"/>
      <c r="BK103" s="252"/>
      <c r="BL103" s="253"/>
      <c r="BM103" s="252"/>
      <c r="BN103" s="253"/>
    </row>
    <row r="104" spans="1:66" x14ac:dyDescent="0.25">
      <c r="A104" s="6" t="s">
        <v>137</v>
      </c>
      <c r="B104" s="5"/>
      <c r="C104" s="5" t="s">
        <v>151</v>
      </c>
      <c r="D104" s="6" t="s">
        <v>184</v>
      </c>
      <c r="E104" s="250"/>
      <c r="F104" s="251"/>
      <c r="G104" s="250"/>
      <c r="H104" s="251"/>
      <c r="I104" s="250"/>
      <c r="J104" s="251"/>
      <c r="K104" s="250"/>
      <c r="L104" s="251"/>
      <c r="M104" s="250"/>
      <c r="N104" s="251"/>
      <c r="O104" s="250"/>
      <c r="P104" s="251"/>
      <c r="Q104" s="250"/>
      <c r="R104" s="251"/>
      <c r="S104" s="250"/>
      <c r="T104" s="251"/>
      <c r="U104" s="250"/>
      <c r="V104" s="251"/>
      <c r="W104" s="250"/>
      <c r="X104" s="251"/>
      <c r="Y104" s="250"/>
      <c r="Z104" s="251"/>
      <c r="AA104" s="250"/>
      <c r="AB104" s="251"/>
      <c r="AC104" s="250"/>
      <c r="AD104" s="251"/>
      <c r="AE104" s="250"/>
      <c r="AF104" s="251"/>
      <c r="AG104" s="250"/>
      <c r="AH104" s="251"/>
      <c r="AI104" s="250"/>
      <c r="AJ104" s="251"/>
      <c r="AK104" s="250"/>
      <c r="AL104" s="251"/>
      <c r="AM104" s="250"/>
      <c r="AN104" s="251"/>
      <c r="AO104" s="250"/>
      <c r="AP104" s="251"/>
      <c r="AQ104" s="250"/>
      <c r="AR104" s="251"/>
      <c r="AS104" s="250"/>
      <c r="AT104" s="251"/>
      <c r="AU104" s="250"/>
      <c r="AV104" s="251"/>
      <c r="AW104" s="250"/>
      <c r="AX104" s="251"/>
      <c r="AY104" s="250"/>
      <c r="AZ104" s="251"/>
      <c r="BA104" s="250"/>
      <c r="BB104" s="251"/>
      <c r="BC104" s="250"/>
      <c r="BD104" s="251"/>
      <c r="BE104" s="250"/>
      <c r="BF104" s="251"/>
      <c r="BG104" s="250"/>
      <c r="BH104" s="251"/>
      <c r="BI104" s="250"/>
      <c r="BJ104" s="251"/>
      <c r="BK104" s="250"/>
      <c r="BL104" s="251"/>
      <c r="BM104" s="250"/>
      <c r="BN104" s="251"/>
    </row>
    <row r="105" spans="1:66" x14ac:dyDescent="0.25">
      <c r="A105" s="6" t="s">
        <v>138</v>
      </c>
      <c r="B105" s="5"/>
      <c r="C105" s="5" t="s">
        <v>152</v>
      </c>
      <c r="D105" s="6" t="s">
        <v>179</v>
      </c>
      <c r="E105" s="248"/>
      <c r="F105" s="249"/>
      <c r="G105" s="248"/>
      <c r="H105" s="249"/>
      <c r="I105" s="248"/>
      <c r="J105" s="249"/>
      <c r="K105" s="248"/>
      <c r="L105" s="249"/>
      <c r="M105" s="248"/>
      <c r="N105" s="249"/>
      <c r="O105" s="248"/>
      <c r="P105" s="249"/>
      <c r="Q105" s="248"/>
      <c r="R105" s="249"/>
      <c r="S105" s="248"/>
      <c r="T105" s="249"/>
      <c r="U105" s="248"/>
      <c r="V105" s="249"/>
      <c r="W105" s="248"/>
      <c r="X105" s="249"/>
      <c r="Y105" s="248"/>
      <c r="Z105" s="249"/>
      <c r="AA105" s="248"/>
      <c r="AB105" s="249"/>
      <c r="AC105" s="248"/>
      <c r="AD105" s="249"/>
      <c r="AE105" s="248"/>
      <c r="AF105" s="249"/>
      <c r="AG105" s="248"/>
      <c r="AH105" s="249"/>
      <c r="AI105" s="248"/>
      <c r="AJ105" s="249"/>
      <c r="AK105" s="248"/>
      <c r="AL105" s="249"/>
      <c r="AM105" s="248"/>
      <c r="AN105" s="249"/>
      <c r="AO105" s="248"/>
      <c r="AP105" s="249"/>
      <c r="AQ105" s="248"/>
      <c r="AR105" s="249"/>
      <c r="AS105" s="248"/>
      <c r="AT105" s="249"/>
      <c r="AU105" s="248"/>
      <c r="AV105" s="249"/>
      <c r="AW105" s="248"/>
      <c r="AX105" s="249"/>
      <c r="AY105" s="248"/>
      <c r="AZ105" s="249"/>
      <c r="BA105" s="248"/>
      <c r="BB105" s="249"/>
      <c r="BC105" s="248"/>
      <c r="BD105" s="249"/>
      <c r="BE105" s="248"/>
      <c r="BF105" s="249"/>
      <c r="BG105" s="248"/>
      <c r="BH105" s="249"/>
      <c r="BI105" s="248"/>
      <c r="BJ105" s="249"/>
      <c r="BK105" s="248"/>
      <c r="BL105" s="249"/>
      <c r="BM105" s="248"/>
      <c r="BN105" s="249"/>
    </row>
    <row r="106" spans="1:66" x14ac:dyDescent="0.25">
      <c r="A106" s="6" t="s">
        <v>139</v>
      </c>
      <c r="B106" s="5"/>
      <c r="C106" s="5" t="s">
        <v>153</v>
      </c>
      <c r="D106" s="6" t="s">
        <v>179</v>
      </c>
      <c r="E106" s="248"/>
      <c r="F106" s="249"/>
      <c r="G106" s="248"/>
      <c r="H106" s="249"/>
      <c r="I106" s="248"/>
      <c r="J106" s="249"/>
      <c r="K106" s="248"/>
      <c r="L106" s="249"/>
      <c r="M106" s="248"/>
      <c r="N106" s="249"/>
      <c r="O106" s="248"/>
      <c r="P106" s="249"/>
      <c r="Q106" s="248"/>
      <c r="R106" s="249"/>
      <c r="S106" s="248"/>
      <c r="T106" s="249"/>
      <c r="U106" s="248"/>
      <c r="V106" s="249"/>
      <c r="W106" s="248"/>
      <c r="X106" s="249"/>
      <c r="Y106" s="248"/>
      <c r="Z106" s="249"/>
      <c r="AA106" s="248"/>
      <c r="AB106" s="249"/>
      <c r="AC106" s="248"/>
      <c r="AD106" s="249"/>
      <c r="AE106" s="248"/>
      <c r="AF106" s="249"/>
      <c r="AG106" s="248"/>
      <c r="AH106" s="249"/>
      <c r="AI106" s="248"/>
      <c r="AJ106" s="249"/>
      <c r="AK106" s="248"/>
      <c r="AL106" s="249"/>
      <c r="AM106" s="248"/>
      <c r="AN106" s="249"/>
      <c r="AO106" s="248"/>
      <c r="AP106" s="249"/>
      <c r="AQ106" s="248"/>
      <c r="AR106" s="249"/>
      <c r="AS106" s="248"/>
      <c r="AT106" s="249"/>
      <c r="AU106" s="248"/>
      <c r="AV106" s="249"/>
      <c r="AW106" s="248"/>
      <c r="AX106" s="249"/>
      <c r="AY106" s="248"/>
      <c r="AZ106" s="249"/>
      <c r="BA106" s="248"/>
      <c r="BB106" s="249"/>
      <c r="BC106" s="248"/>
      <c r="BD106" s="249"/>
      <c r="BE106" s="248"/>
      <c r="BF106" s="249"/>
      <c r="BG106" s="248"/>
      <c r="BH106" s="249"/>
      <c r="BI106" s="248"/>
      <c r="BJ106" s="249"/>
      <c r="BK106" s="248"/>
      <c r="BL106" s="249"/>
      <c r="BM106" s="248"/>
      <c r="BN106" s="249"/>
    </row>
    <row r="107" spans="1:66" x14ac:dyDescent="0.25">
      <c r="A107" s="6" t="s">
        <v>140</v>
      </c>
      <c r="B107" s="5"/>
      <c r="C107" s="5" t="s">
        <v>389</v>
      </c>
      <c r="D107" s="6" t="s">
        <v>179</v>
      </c>
      <c r="E107" s="248"/>
      <c r="F107" s="249"/>
      <c r="G107" s="248"/>
      <c r="H107" s="249"/>
      <c r="I107" s="248"/>
      <c r="J107" s="249"/>
      <c r="K107" s="248"/>
      <c r="L107" s="249"/>
      <c r="M107" s="248"/>
      <c r="N107" s="249"/>
      <c r="O107" s="248"/>
      <c r="P107" s="249"/>
      <c r="Q107" s="248"/>
      <c r="R107" s="249"/>
      <c r="S107" s="248"/>
      <c r="T107" s="249"/>
      <c r="U107" s="248"/>
      <c r="V107" s="249"/>
      <c r="W107" s="248"/>
      <c r="X107" s="249"/>
      <c r="Y107" s="248"/>
      <c r="Z107" s="249"/>
      <c r="AA107" s="248"/>
      <c r="AB107" s="249"/>
      <c r="AC107" s="248"/>
      <c r="AD107" s="249"/>
      <c r="AE107" s="248"/>
      <c r="AF107" s="249"/>
      <c r="AG107" s="248"/>
      <c r="AH107" s="249"/>
      <c r="AI107" s="248"/>
      <c r="AJ107" s="249"/>
      <c r="AK107" s="248"/>
      <c r="AL107" s="249"/>
      <c r="AM107" s="248"/>
      <c r="AN107" s="249"/>
      <c r="AO107" s="248"/>
      <c r="AP107" s="249"/>
      <c r="AQ107" s="248"/>
      <c r="AR107" s="249"/>
      <c r="AS107" s="248"/>
      <c r="AT107" s="249"/>
      <c r="AU107" s="248"/>
      <c r="AV107" s="249"/>
      <c r="AW107" s="248"/>
      <c r="AX107" s="249"/>
      <c r="AY107" s="248"/>
      <c r="AZ107" s="249"/>
      <c r="BA107" s="248"/>
      <c r="BB107" s="249"/>
      <c r="BC107" s="248"/>
      <c r="BD107" s="249"/>
      <c r="BE107" s="248"/>
      <c r="BF107" s="249"/>
      <c r="BG107" s="248"/>
      <c r="BH107" s="249"/>
      <c r="BI107" s="248"/>
      <c r="BJ107" s="249"/>
      <c r="BK107" s="248"/>
      <c r="BL107" s="249"/>
      <c r="BM107" s="248"/>
      <c r="BN107" s="249"/>
    </row>
    <row r="108" spans="1:66" x14ac:dyDescent="0.25">
      <c r="A108" s="6" t="s">
        <v>141</v>
      </c>
      <c r="B108" s="5"/>
      <c r="C108" s="5" t="s">
        <v>154</v>
      </c>
      <c r="D108" s="6" t="s">
        <v>179</v>
      </c>
      <c r="E108" s="248"/>
      <c r="F108" s="249"/>
      <c r="G108" s="248"/>
      <c r="H108" s="249"/>
      <c r="I108" s="248"/>
      <c r="J108" s="249"/>
      <c r="K108" s="248"/>
      <c r="L108" s="249"/>
      <c r="M108" s="248"/>
      <c r="N108" s="249"/>
      <c r="O108" s="248"/>
      <c r="P108" s="249"/>
      <c r="Q108" s="248"/>
      <c r="R108" s="249"/>
      <c r="S108" s="248"/>
      <c r="T108" s="249"/>
      <c r="U108" s="248"/>
      <c r="V108" s="249"/>
      <c r="W108" s="248"/>
      <c r="X108" s="249"/>
      <c r="Y108" s="248"/>
      <c r="Z108" s="249"/>
      <c r="AA108" s="248"/>
      <c r="AB108" s="249"/>
      <c r="AC108" s="248"/>
      <c r="AD108" s="249"/>
      <c r="AE108" s="248"/>
      <c r="AF108" s="249"/>
      <c r="AG108" s="248"/>
      <c r="AH108" s="249"/>
      <c r="AI108" s="248"/>
      <c r="AJ108" s="249"/>
      <c r="AK108" s="248"/>
      <c r="AL108" s="249"/>
      <c r="AM108" s="248"/>
      <c r="AN108" s="249"/>
      <c r="AO108" s="248"/>
      <c r="AP108" s="249"/>
      <c r="AQ108" s="248"/>
      <c r="AR108" s="249"/>
      <c r="AS108" s="248"/>
      <c r="AT108" s="249"/>
      <c r="AU108" s="248"/>
      <c r="AV108" s="249"/>
      <c r="AW108" s="248"/>
      <c r="AX108" s="249"/>
      <c r="AY108" s="248"/>
      <c r="AZ108" s="249"/>
      <c r="BA108" s="248"/>
      <c r="BB108" s="249"/>
      <c r="BC108" s="248"/>
      <c r="BD108" s="249"/>
      <c r="BE108" s="248"/>
      <c r="BF108" s="249"/>
      <c r="BG108" s="248"/>
      <c r="BH108" s="249"/>
      <c r="BI108" s="248"/>
      <c r="BJ108" s="249"/>
      <c r="BK108" s="248"/>
      <c r="BL108" s="249"/>
      <c r="BM108" s="248"/>
      <c r="BN108" s="249"/>
    </row>
    <row r="109" spans="1:66" x14ac:dyDescent="0.25">
      <c r="A109" s="6" t="s">
        <v>388</v>
      </c>
      <c r="B109" s="5"/>
      <c r="C109" s="5" t="s">
        <v>155</v>
      </c>
      <c r="D109" s="6" t="s">
        <v>179</v>
      </c>
      <c r="E109" s="248"/>
      <c r="F109" s="249"/>
      <c r="G109" s="248"/>
      <c r="H109" s="249"/>
      <c r="I109" s="248"/>
      <c r="J109" s="249"/>
      <c r="K109" s="248"/>
      <c r="L109" s="249"/>
      <c r="M109" s="248"/>
      <c r="N109" s="249"/>
      <c r="O109" s="248"/>
      <c r="P109" s="249"/>
      <c r="Q109" s="248"/>
      <c r="R109" s="249"/>
      <c r="S109" s="248"/>
      <c r="T109" s="249"/>
      <c r="U109" s="248"/>
      <c r="V109" s="249"/>
      <c r="W109" s="248"/>
      <c r="X109" s="249"/>
      <c r="Y109" s="248"/>
      <c r="Z109" s="249"/>
      <c r="AA109" s="248"/>
      <c r="AB109" s="249"/>
      <c r="AC109" s="248"/>
      <c r="AD109" s="249"/>
      <c r="AE109" s="248"/>
      <c r="AF109" s="249"/>
      <c r="AG109" s="248"/>
      <c r="AH109" s="249"/>
      <c r="AI109" s="248"/>
      <c r="AJ109" s="249"/>
      <c r="AK109" s="248"/>
      <c r="AL109" s="249"/>
      <c r="AM109" s="248"/>
      <c r="AN109" s="249"/>
      <c r="AO109" s="248"/>
      <c r="AP109" s="249"/>
      <c r="AQ109" s="248"/>
      <c r="AR109" s="249"/>
      <c r="AS109" s="248"/>
      <c r="AT109" s="249"/>
      <c r="AU109" s="248"/>
      <c r="AV109" s="249"/>
      <c r="AW109" s="248"/>
      <c r="AX109" s="249"/>
      <c r="AY109" s="248"/>
      <c r="AZ109" s="249"/>
      <c r="BA109" s="248"/>
      <c r="BB109" s="249"/>
      <c r="BC109" s="248"/>
      <c r="BD109" s="249"/>
      <c r="BE109" s="248"/>
      <c r="BF109" s="249"/>
      <c r="BG109" s="248"/>
      <c r="BH109" s="249"/>
      <c r="BI109" s="248"/>
      <c r="BJ109" s="249"/>
      <c r="BK109" s="248"/>
      <c r="BL109" s="249"/>
      <c r="BM109" s="248"/>
      <c r="BN109" s="249"/>
    </row>
    <row r="110" spans="1:66" x14ac:dyDescent="0.25">
      <c r="A110" s="12" t="s">
        <v>142</v>
      </c>
      <c r="B110" s="13" t="s">
        <v>161</v>
      </c>
      <c r="C110" s="14"/>
      <c r="D110" s="15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  <c r="AY110" s="136"/>
      <c r="AZ110" s="136"/>
      <c r="BA110" s="136"/>
      <c r="BB110" s="136"/>
      <c r="BC110" s="136"/>
      <c r="BD110" s="136"/>
      <c r="BE110" s="136"/>
      <c r="BF110" s="136"/>
      <c r="BG110" s="136"/>
      <c r="BH110" s="136"/>
      <c r="BI110" s="136"/>
      <c r="BJ110" s="136"/>
      <c r="BK110" s="136"/>
      <c r="BL110" s="136"/>
      <c r="BM110" s="136"/>
      <c r="BN110" s="136"/>
    </row>
    <row r="111" spans="1:66" x14ac:dyDescent="0.25">
      <c r="A111" s="7" t="s">
        <v>144</v>
      </c>
      <c r="B111" s="5"/>
      <c r="C111" s="5" t="s">
        <v>162</v>
      </c>
      <c r="D111" s="6" t="s">
        <v>179</v>
      </c>
      <c r="E111" s="248"/>
      <c r="F111" s="249"/>
      <c r="G111" s="248"/>
      <c r="H111" s="249"/>
      <c r="I111" s="248"/>
      <c r="J111" s="249"/>
      <c r="K111" s="248"/>
      <c r="L111" s="249"/>
      <c r="M111" s="248"/>
      <c r="N111" s="249"/>
      <c r="O111" s="248"/>
      <c r="P111" s="249"/>
      <c r="Q111" s="248"/>
      <c r="R111" s="249"/>
      <c r="S111" s="248"/>
      <c r="T111" s="249"/>
      <c r="U111" s="248"/>
      <c r="V111" s="249"/>
      <c r="W111" s="248"/>
      <c r="X111" s="249"/>
      <c r="Y111" s="248"/>
      <c r="Z111" s="249"/>
      <c r="AA111" s="248"/>
      <c r="AB111" s="249"/>
      <c r="AC111" s="248"/>
      <c r="AD111" s="249"/>
      <c r="AE111" s="248"/>
      <c r="AF111" s="249"/>
      <c r="AG111" s="248"/>
      <c r="AH111" s="249"/>
      <c r="AI111" s="248"/>
      <c r="AJ111" s="249"/>
      <c r="AK111" s="248"/>
      <c r="AL111" s="249"/>
      <c r="AM111" s="248"/>
      <c r="AN111" s="249"/>
      <c r="AO111" s="248"/>
      <c r="AP111" s="249"/>
      <c r="AQ111" s="248"/>
      <c r="AR111" s="249"/>
      <c r="AS111" s="248"/>
      <c r="AT111" s="249"/>
      <c r="AU111" s="248"/>
      <c r="AV111" s="249"/>
      <c r="AW111" s="248"/>
      <c r="AX111" s="249"/>
      <c r="AY111" s="248"/>
      <c r="AZ111" s="249"/>
      <c r="BA111" s="248"/>
      <c r="BB111" s="249"/>
      <c r="BC111" s="248"/>
      <c r="BD111" s="249"/>
      <c r="BE111" s="248"/>
      <c r="BF111" s="249"/>
      <c r="BG111" s="248"/>
      <c r="BH111" s="249"/>
      <c r="BI111" s="248"/>
      <c r="BJ111" s="249"/>
      <c r="BK111" s="248"/>
      <c r="BL111" s="249"/>
      <c r="BM111" s="248"/>
      <c r="BN111" s="249"/>
    </row>
    <row r="112" spans="1:66" x14ac:dyDescent="0.25">
      <c r="A112" s="7" t="s">
        <v>156</v>
      </c>
      <c r="B112" s="5"/>
      <c r="C112" s="5" t="s">
        <v>163</v>
      </c>
      <c r="D112" s="6" t="s">
        <v>179</v>
      </c>
      <c r="E112" s="248"/>
      <c r="F112" s="249"/>
      <c r="G112" s="248"/>
      <c r="H112" s="249"/>
      <c r="I112" s="248"/>
      <c r="J112" s="249"/>
      <c r="K112" s="248"/>
      <c r="L112" s="249"/>
      <c r="M112" s="248"/>
      <c r="N112" s="249"/>
      <c r="O112" s="248"/>
      <c r="P112" s="249"/>
      <c r="Q112" s="248"/>
      <c r="R112" s="249"/>
      <c r="S112" s="248"/>
      <c r="T112" s="249"/>
      <c r="U112" s="248"/>
      <c r="V112" s="249"/>
      <c r="W112" s="248"/>
      <c r="X112" s="249"/>
      <c r="Y112" s="248"/>
      <c r="Z112" s="249"/>
      <c r="AA112" s="248"/>
      <c r="AB112" s="249"/>
      <c r="AC112" s="248"/>
      <c r="AD112" s="249"/>
      <c r="AE112" s="248"/>
      <c r="AF112" s="249"/>
      <c r="AG112" s="248"/>
      <c r="AH112" s="249"/>
      <c r="AI112" s="248"/>
      <c r="AJ112" s="249"/>
      <c r="AK112" s="248"/>
      <c r="AL112" s="249"/>
      <c r="AM112" s="248"/>
      <c r="AN112" s="249"/>
      <c r="AO112" s="248"/>
      <c r="AP112" s="249"/>
      <c r="AQ112" s="248"/>
      <c r="AR112" s="249"/>
      <c r="AS112" s="248"/>
      <c r="AT112" s="249"/>
      <c r="AU112" s="248"/>
      <c r="AV112" s="249"/>
      <c r="AW112" s="248"/>
      <c r="AX112" s="249"/>
      <c r="AY112" s="248"/>
      <c r="AZ112" s="249"/>
      <c r="BA112" s="248"/>
      <c r="BB112" s="249"/>
      <c r="BC112" s="248"/>
      <c r="BD112" s="249"/>
      <c r="BE112" s="248"/>
      <c r="BF112" s="249"/>
      <c r="BG112" s="248"/>
      <c r="BH112" s="249"/>
      <c r="BI112" s="248"/>
      <c r="BJ112" s="249"/>
      <c r="BK112" s="248"/>
      <c r="BL112" s="249"/>
      <c r="BM112" s="248"/>
      <c r="BN112" s="249"/>
    </row>
    <row r="113" spans="1:66" x14ac:dyDescent="0.25">
      <c r="A113" s="7" t="s">
        <v>157</v>
      </c>
      <c r="B113" s="5"/>
      <c r="C113" s="5" t="s">
        <v>164</v>
      </c>
      <c r="D113" s="6" t="s">
        <v>179</v>
      </c>
      <c r="E113" s="248"/>
      <c r="F113" s="249"/>
      <c r="G113" s="248"/>
      <c r="H113" s="249"/>
      <c r="I113" s="248"/>
      <c r="J113" s="249"/>
      <c r="K113" s="248"/>
      <c r="L113" s="249"/>
      <c r="M113" s="248"/>
      <c r="N113" s="249"/>
      <c r="O113" s="248"/>
      <c r="P113" s="249"/>
      <c r="Q113" s="248"/>
      <c r="R113" s="249"/>
      <c r="S113" s="248"/>
      <c r="T113" s="249"/>
      <c r="U113" s="248"/>
      <c r="V113" s="249"/>
      <c r="W113" s="248"/>
      <c r="X113" s="249"/>
      <c r="Y113" s="248"/>
      <c r="Z113" s="249"/>
      <c r="AA113" s="248"/>
      <c r="AB113" s="249"/>
      <c r="AC113" s="248"/>
      <c r="AD113" s="249"/>
      <c r="AE113" s="248"/>
      <c r="AF113" s="249"/>
      <c r="AG113" s="248"/>
      <c r="AH113" s="249"/>
      <c r="AI113" s="248"/>
      <c r="AJ113" s="249"/>
      <c r="AK113" s="248"/>
      <c r="AL113" s="249"/>
      <c r="AM113" s="248"/>
      <c r="AN113" s="249"/>
      <c r="AO113" s="248"/>
      <c r="AP113" s="249"/>
      <c r="AQ113" s="248"/>
      <c r="AR113" s="249"/>
      <c r="AS113" s="248"/>
      <c r="AT113" s="249"/>
      <c r="AU113" s="248"/>
      <c r="AV113" s="249"/>
      <c r="AW113" s="248"/>
      <c r="AX113" s="249"/>
      <c r="AY113" s="248"/>
      <c r="AZ113" s="249"/>
      <c r="BA113" s="248"/>
      <c r="BB113" s="249"/>
      <c r="BC113" s="248"/>
      <c r="BD113" s="249"/>
      <c r="BE113" s="248"/>
      <c r="BF113" s="249"/>
      <c r="BG113" s="248"/>
      <c r="BH113" s="249"/>
      <c r="BI113" s="248"/>
      <c r="BJ113" s="249"/>
      <c r="BK113" s="248"/>
      <c r="BL113" s="249"/>
      <c r="BM113" s="248"/>
      <c r="BN113" s="249"/>
    </row>
    <row r="114" spans="1:66" x14ac:dyDescent="0.25">
      <c r="A114" s="7" t="s">
        <v>158</v>
      </c>
      <c r="B114" s="5"/>
      <c r="C114" s="5" t="s">
        <v>165</v>
      </c>
      <c r="D114" s="6" t="s">
        <v>184</v>
      </c>
      <c r="E114" s="250"/>
      <c r="F114" s="251"/>
      <c r="G114" s="250"/>
      <c r="H114" s="251"/>
      <c r="I114" s="250"/>
      <c r="J114" s="251"/>
      <c r="K114" s="250"/>
      <c r="L114" s="251"/>
      <c r="M114" s="250"/>
      <c r="N114" s="251"/>
      <c r="O114" s="250"/>
      <c r="P114" s="251"/>
      <c r="Q114" s="250"/>
      <c r="R114" s="251"/>
      <c r="S114" s="250"/>
      <c r="T114" s="251"/>
      <c r="U114" s="250"/>
      <c r="V114" s="251"/>
      <c r="W114" s="250"/>
      <c r="X114" s="251"/>
      <c r="Y114" s="250"/>
      <c r="Z114" s="251"/>
      <c r="AA114" s="250"/>
      <c r="AB114" s="251"/>
      <c r="AC114" s="250"/>
      <c r="AD114" s="251"/>
      <c r="AE114" s="250"/>
      <c r="AF114" s="251"/>
      <c r="AG114" s="250"/>
      <c r="AH114" s="251"/>
      <c r="AI114" s="250"/>
      <c r="AJ114" s="251"/>
      <c r="AK114" s="250"/>
      <c r="AL114" s="251"/>
      <c r="AM114" s="250"/>
      <c r="AN114" s="251"/>
      <c r="AO114" s="250"/>
      <c r="AP114" s="251"/>
      <c r="AQ114" s="250"/>
      <c r="AR114" s="251"/>
      <c r="AS114" s="250"/>
      <c r="AT114" s="251"/>
      <c r="AU114" s="250"/>
      <c r="AV114" s="251"/>
      <c r="AW114" s="250"/>
      <c r="AX114" s="251"/>
      <c r="AY114" s="250"/>
      <c r="AZ114" s="251"/>
      <c r="BA114" s="250"/>
      <c r="BB114" s="251"/>
      <c r="BC114" s="250"/>
      <c r="BD114" s="251"/>
      <c r="BE114" s="250"/>
      <c r="BF114" s="251"/>
      <c r="BG114" s="250"/>
      <c r="BH114" s="251"/>
      <c r="BI114" s="250"/>
      <c r="BJ114" s="251"/>
      <c r="BK114" s="250"/>
      <c r="BL114" s="251"/>
      <c r="BM114" s="250"/>
      <c r="BN114" s="251"/>
    </row>
    <row r="115" spans="1:66" x14ac:dyDescent="0.25">
      <c r="A115" s="7" t="s">
        <v>159</v>
      </c>
      <c r="B115" s="5"/>
      <c r="C115" s="5" t="s">
        <v>166</v>
      </c>
      <c r="D115" s="6" t="s">
        <v>179</v>
      </c>
      <c r="E115" s="248"/>
      <c r="F115" s="249"/>
      <c r="G115" s="248"/>
      <c r="H115" s="249"/>
      <c r="I115" s="248"/>
      <c r="J115" s="249"/>
      <c r="K115" s="248"/>
      <c r="L115" s="249"/>
      <c r="M115" s="248"/>
      <c r="N115" s="249"/>
      <c r="O115" s="248"/>
      <c r="P115" s="249"/>
      <c r="Q115" s="248"/>
      <c r="R115" s="249"/>
      <c r="S115" s="248"/>
      <c r="T115" s="249"/>
      <c r="U115" s="248"/>
      <c r="V115" s="249"/>
      <c r="W115" s="248"/>
      <c r="X115" s="249"/>
      <c r="Y115" s="248"/>
      <c r="Z115" s="249"/>
      <c r="AA115" s="248"/>
      <c r="AB115" s="249"/>
      <c r="AC115" s="248"/>
      <c r="AD115" s="249"/>
      <c r="AE115" s="248"/>
      <c r="AF115" s="249"/>
      <c r="AG115" s="248"/>
      <c r="AH115" s="249"/>
      <c r="AI115" s="248"/>
      <c r="AJ115" s="249"/>
      <c r="AK115" s="248"/>
      <c r="AL115" s="249"/>
      <c r="AM115" s="248"/>
      <c r="AN115" s="249"/>
      <c r="AO115" s="248"/>
      <c r="AP115" s="249"/>
      <c r="AQ115" s="248"/>
      <c r="AR115" s="249"/>
      <c r="AS115" s="248"/>
      <c r="AT115" s="249"/>
      <c r="AU115" s="248"/>
      <c r="AV115" s="249"/>
      <c r="AW115" s="248"/>
      <c r="AX115" s="249"/>
      <c r="AY115" s="248"/>
      <c r="AZ115" s="249"/>
      <c r="BA115" s="248"/>
      <c r="BB115" s="249"/>
      <c r="BC115" s="248"/>
      <c r="BD115" s="249"/>
      <c r="BE115" s="248"/>
      <c r="BF115" s="249"/>
      <c r="BG115" s="248"/>
      <c r="BH115" s="249"/>
      <c r="BI115" s="248"/>
      <c r="BJ115" s="249"/>
      <c r="BK115" s="248"/>
      <c r="BL115" s="249"/>
      <c r="BM115" s="248"/>
      <c r="BN115" s="249"/>
    </row>
    <row r="116" spans="1:66" x14ac:dyDescent="0.25">
      <c r="A116" s="7" t="s">
        <v>160</v>
      </c>
      <c r="B116" s="5"/>
      <c r="C116" s="5" t="s">
        <v>167</v>
      </c>
      <c r="D116" s="6" t="s">
        <v>179</v>
      </c>
      <c r="E116" s="248"/>
      <c r="F116" s="249"/>
      <c r="G116" s="248"/>
      <c r="H116" s="249"/>
      <c r="I116" s="248"/>
      <c r="J116" s="249"/>
      <c r="K116" s="248"/>
      <c r="L116" s="249"/>
      <c r="M116" s="248"/>
      <c r="N116" s="249"/>
      <c r="O116" s="248"/>
      <c r="P116" s="249"/>
      <c r="Q116" s="248"/>
      <c r="R116" s="249"/>
      <c r="S116" s="248"/>
      <c r="T116" s="249"/>
      <c r="U116" s="248"/>
      <c r="V116" s="249"/>
      <c r="W116" s="248"/>
      <c r="X116" s="249"/>
      <c r="Y116" s="248"/>
      <c r="Z116" s="249"/>
      <c r="AA116" s="248"/>
      <c r="AB116" s="249"/>
      <c r="AC116" s="248"/>
      <c r="AD116" s="249"/>
      <c r="AE116" s="248"/>
      <c r="AF116" s="249"/>
      <c r="AG116" s="248"/>
      <c r="AH116" s="249"/>
      <c r="AI116" s="248"/>
      <c r="AJ116" s="249"/>
      <c r="AK116" s="248"/>
      <c r="AL116" s="249"/>
      <c r="AM116" s="248"/>
      <c r="AN116" s="249"/>
      <c r="AO116" s="248"/>
      <c r="AP116" s="249"/>
      <c r="AQ116" s="248"/>
      <c r="AR116" s="249"/>
      <c r="AS116" s="248"/>
      <c r="AT116" s="249"/>
      <c r="AU116" s="248"/>
      <c r="AV116" s="249"/>
      <c r="AW116" s="248"/>
      <c r="AX116" s="249"/>
      <c r="AY116" s="248"/>
      <c r="AZ116" s="249"/>
      <c r="BA116" s="248"/>
      <c r="BB116" s="249"/>
      <c r="BC116" s="248"/>
      <c r="BD116" s="249"/>
      <c r="BE116" s="248"/>
      <c r="BF116" s="249"/>
      <c r="BG116" s="248"/>
      <c r="BH116" s="249"/>
      <c r="BI116" s="248"/>
      <c r="BJ116" s="249"/>
      <c r="BK116" s="248"/>
      <c r="BL116" s="249"/>
      <c r="BM116" s="248"/>
      <c r="BN116" s="249"/>
    </row>
  </sheetData>
  <mergeCells count="2759">
    <mergeCell ref="K96:L96"/>
    <mergeCell ref="E7:F7"/>
    <mergeCell ref="E8:F8"/>
    <mergeCell ref="I109:J109"/>
    <mergeCell ref="K109:L109"/>
    <mergeCell ref="I111:J111"/>
    <mergeCell ref="K111:L111"/>
    <mergeCell ref="E3:F3"/>
    <mergeCell ref="E6:F6"/>
    <mergeCell ref="I112:J112"/>
    <mergeCell ref="K112:L112"/>
    <mergeCell ref="I113:J113"/>
    <mergeCell ref="K113:L113"/>
    <mergeCell ref="E13:F13"/>
    <mergeCell ref="E14:F14"/>
    <mergeCell ref="I103:J103"/>
    <mergeCell ref="K103:L103"/>
    <mergeCell ref="I104:J104"/>
    <mergeCell ref="K104:L104"/>
    <mergeCell ref="E11:F11"/>
    <mergeCell ref="E12:F12"/>
    <mergeCell ref="I105:J105"/>
    <mergeCell ref="K105:L105"/>
    <mergeCell ref="I106:J106"/>
    <mergeCell ref="K106:L106"/>
    <mergeCell ref="E9:F9"/>
    <mergeCell ref="E10:F10"/>
    <mergeCell ref="I107:J107"/>
    <mergeCell ref="K107:L107"/>
    <mergeCell ref="I108:J108"/>
    <mergeCell ref="K108:L108"/>
    <mergeCell ref="E26:F26"/>
    <mergeCell ref="K89:L89"/>
    <mergeCell ref="K85:L85"/>
    <mergeCell ref="I50:J50"/>
    <mergeCell ref="K99:L99"/>
    <mergeCell ref="I100:J100"/>
    <mergeCell ref="K100:L100"/>
    <mergeCell ref="E15:F15"/>
    <mergeCell ref="E16:F16"/>
    <mergeCell ref="I101:J101"/>
    <mergeCell ref="K101:L101"/>
    <mergeCell ref="I102:J102"/>
    <mergeCell ref="K102:L102"/>
    <mergeCell ref="E39:F39"/>
    <mergeCell ref="E40:F40"/>
    <mergeCell ref="I90:J90"/>
    <mergeCell ref="K90:L90"/>
    <mergeCell ref="I91:J91"/>
    <mergeCell ref="K91:L91"/>
    <mergeCell ref="E35:F35"/>
    <mergeCell ref="E36:F36"/>
    <mergeCell ref="I92:J92"/>
    <mergeCell ref="K92:L92"/>
    <mergeCell ref="I93:J93"/>
    <mergeCell ref="K93:L93"/>
    <mergeCell ref="E28:F28"/>
    <mergeCell ref="E33:F33"/>
    <mergeCell ref="I94:J94"/>
    <mergeCell ref="K94:L94"/>
    <mergeCell ref="I76:J76"/>
    <mergeCell ref="K76:L76"/>
    <mergeCell ref="I63:J63"/>
    <mergeCell ref="K63:L63"/>
    <mergeCell ref="K82:L82"/>
    <mergeCell ref="K61:L61"/>
    <mergeCell ref="I62:J62"/>
    <mergeCell ref="I98:J98"/>
    <mergeCell ref="K98:L98"/>
    <mergeCell ref="E17:F17"/>
    <mergeCell ref="E25:F25"/>
    <mergeCell ref="I86:J86"/>
    <mergeCell ref="K86:L86"/>
    <mergeCell ref="I87:J87"/>
    <mergeCell ref="K87:L87"/>
    <mergeCell ref="I95:J95"/>
    <mergeCell ref="K95:L95"/>
    <mergeCell ref="I25:J25"/>
    <mergeCell ref="K25:L25"/>
    <mergeCell ref="I26:J26"/>
    <mergeCell ref="K26:L26"/>
    <mergeCell ref="I27:J27"/>
    <mergeCell ref="K27:L27"/>
    <mergeCell ref="E79:F79"/>
    <mergeCell ref="I67:J67"/>
    <mergeCell ref="K67:L67"/>
    <mergeCell ref="I68:J68"/>
    <mergeCell ref="K68:L68"/>
    <mergeCell ref="E64:F64"/>
    <mergeCell ref="E66:F66"/>
    <mergeCell ref="I69:J69"/>
    <mergeCell ref="K70:L70"/>
    <mergeCell ref="I46:J46"/>
    <mergeCell ref="I88:J88"/>
    <mergeCell ref="K88:L88"/>
    <mergeCell ref="I89:J89"/>
    <mergeCell ref="K43:L43"/>
    <mergeCell ref="E75:F75"/>
    <mergeCell ref="E61:F61"/>
    <mergeCell ref="I73:J73"/>
    <mergeCell ref="K73:L73"/>
    <mergeCell ref="I74:J74"/>
    <mergeCell ref="K74:L74"/>
    <mergeCell ref="E55:F55"/>
    <mergeCell ref="E69:F69"/>
    <mergeCell ref="E70:F70"/>
    <mergeCell ref="I60:J60"/>
    <mergeCell ref="K48:L48"/>
    <mergeCell ref="K50:L50"/>
    <mergeCell ref="I51:J51"/>
    <mergeCell ref="K51:L51"/>
    <mergeCell ref="E81:F81"/>
    <mergeCell ref="K71:L71"/>
    <mergeCell ref="I72:J72"/>
    <mergeCell ref="K72:L72"/>
    <mergeCell ref="E60:F60"/>
    <mergeCell ref="I52:J52"/>
    <mergeCell ref="K52:L52"/>
    <mergeCell ref="I54:J54"/>
    <mergeCell ref="K54:L54"/>
    <mergeCell ref="I55:J55"/>
    <mergeCell ref="K55:L55"/>
    <mergeCell ref="E56:F56"/>
    <mergeCell ref="E67:F67"/>
    <mergeCell ref="E68:F68"/>
    <mergeCell ref="K77:L77"/>
    <mergeCell ref="I78:J78"/>
    <mergeCell ref="K78:L78"/>
    <mergeCell ref="I3:J3"/>
    <mergeCell ref="K3:L3"/>
    <mergeCell ref="I6:J6"/>
    <mergeCell ref="K6:L6"/>
    <mergeCell ref="I7:J7"/>
    <mergeCell ref="K7:L7"/>
    <mergeCell ref="I8:J8"/>
    <mergeCell ref="K8:L8"/>
    <mergeCell ref="K47:L47"/>
    <mergeCell ref="K46:L46"/>
    <mergeCell ref="I47:J47"/>
    <mergeCell ref="E46:F46"/>
    <mergeCell ref="E47:F47"/>
    <mergeCell ref="I83:J83"/>
    <mergeCell ref="K83:L83"/>
    <mergeCell ref="E62:F62"/>
    <mergeCell ref="E63:F63"/>
    <mergeCell ref="I64:J64"/>
    <mergeCell ref="K64:L64"/>
    <mergeCell ref="I66:J66"/>
    <mergeCell ref="K66:L66"/>
    <mergeCell ref="K35:L35"/>
    <mergeCell ref="I36:J36"/>
    <mergeCell ref="K36:L36"/>
    <mergeCell ref="E77:F77"/>
    <mergeCell ref="E78:F78"/>
    <mergeCell ref="I39:J39"/>
    <mergeCell ref="K39:L39"/>
    <mergeCell ref="I40:J40"/>
    <mergeCell ref="K40:L40"/>
    <mergeCell ref="I42:J42"/>
    <mergeCell ref="K42:L42"/>
    <mergeCell ref="K79:L79"/>
    <mergeCell ref="I81:J81"/>
    <mergeCell ref="K81:L81"/>
    <mergeCell ref="I75:J75"/>
    <mergeCell ref="K75:L75"/>
    <mergeCell ref="E73:F73"/>
    <mergeCell ref="E74:F74"/>
    <mergeCell ref="I48:J48"/>
    <mergeCell ref="K56:L56"/>
    <mergeCell ref="G51:H51"/>
    <mergeCell ref="G52:H52"/>
    <mergeCell ref="I49:J49"/>
    <mergeCell ref="K49:L49"/>
    <mergeCell ref="I71:J71"/>
    <mergeCell ref="K69:L69"/>
    <mergeCell ref="I70:J70"/>
    <mergeCell ref="E52:F52"/>
    <mergeCell ref="E54:F54"/>
    <mergeCell ref="G72:H72"/>
    <mergeCell ref="G73:H73"/>
    <mergeCell ref="K60:L60"/>
    <mergeCell ref="K62:L62"/>
    <mergeCell ref="K9:L9"/>
    <mergeCell ref="I10:J10"/>
    <mergeCell ref="K10:L10"/>
    <mergeCell ref="I11:J11"/>
    <mergeCell ref="K11:L11"/>
    <mergeCell ref="I12:J12"/>
    <mergeCell ref="K12:L12"/>
    <mergeCell ref="E84:F84"/>
    <mergeCell ref="E85:F85"/>
    <mergeCell ref="I13:J13"/>
    <mergeCell ref="K13:L13"/>
    <mergeCell ref="I14:J14"/>
    <mergeCell ref="K14:L14"/>
    <mergeCell ref="I15:J15"/>
    <mergeCell ref="K15:L15"/>
    <mergeCell ref="I16:J16"/>
    <mergeCell ref="K16:L16"/>
    <mergeCell ref="I28:J28"/>
    <mergeCell ref="K28:L28"/>
    <mergeCell ref="I17:J17"/>
    <mergeCell ref="K17:L17"/>
    <mergeCell ref="I33:J33"/>
    <mergeCell ref="I44:J44"/>
    <mergeCell ref="K44:L44"/>
    <mergeCell ref="I45:J45"/>
    <mergeCell ref="K45:L45"/>
    <mergeCell ref="K33:L33"/>
    <mergeCell ref="I35:J35"/>
    <mergeCell ref="I56:J56"/>
    <mergeCell ref="I84:J84"/>
    <mergeCell ref="K84:L84"/>
    <mergeCell ref="E44:F44"/>
    <mergeCell ref="I9:J9"/>
    <mergeCell ref="E45:F45"/>
    <mergeCell ref="I77:J77"/>
    <mergeCell ref="E42:F42"/>
    <mergeCell ref="I43:J43"/>
    <mergeCell ref="I82:J82"/>
    <mergeCell ref="E27:F27"/>
    <mergeCell ref="I85:J85"/>
    <mergeCell ref="I96:J96"/>
    <mergeCell ref="I99:J99"/>
    <mergeCell ref="I61:J61"/>
    <mergeCell ref="G84:H84"/>
    <mergeCell ref="G85:H85"/>
    <mergeCell ref="G27:H27"/>
    <mergeCell ref="G28:H28"/>
    <mergeCell ref="E82:F82"/>
    <mergeCell ref="E83:F83"/>
    <mergeCell ref="G33:H33"/>
    <mergeCell ref="E50:F50"/>
    <mergeCell ref="E51:F51"/>
    <mergeCell ref="I79:J79"/>
    <mergeCell ref="G35:H35"/>
    <mergeCell ref="G36:H36"/>
    <mergeCell ref="G39:H39"/>
    <mergeCell ref="G40:H40"/>
    <mergeCell ref="G42:H42"/>
    <mergeCell ref="G43:H43"/>
    <mergeCell ref="G44:H44"/>
    <mergeCell ref="G64:H64"/>
    <mergeCell ref="G113:H113"/>
    <mergeCell ref="G114:H114"/>
    <mergeCell ref="G115:H115"/>
    <mergeCell ref="G116:H116"/>
    <mergeCell ref="E88:F88"/>
    <mergeCell ref="E89:F89"/>
    <mergeCell ref="G91:H91"/>
    <mergeCell ref="G92:H92"/>
    <mergeCell ref="G93:H93"/>
    <mergeCell ref="G94:H94"/>
    <mergeCell ref="G95:H95"/>
    <mergeCell ref="G96:H96"/>
    <mergeCell ref="G98:H98"/>
    <mergeCell ref="G99:H99"/>
    <mergeCell ref="E96:F96"/>
    <mergeCell ref="E98:F98"/>
    <mergeCell ref="G100:H100"/>
    <mergeCell ref="G101:H101"/>
    <mergeCell ref="G102:H102"/>
    <mergeCell ref="G103:H103"/>
    <mergeCell ref="E94:F94"/>
    <mergeCell ref="E95:F95"/>
    <mergeCell ref="G104:H104"/>
    <mergeCell ref="E105:F105"/>
    <mergeCell ref="E113:F113"/>
    <mergeCell ref="E112:F112"/>
    <mergeCell ref="G108:H108"/>
    <mergeCell ref="G109:H109"/>
    <mergeCell ref="G111:H111"/>
    <mergeCell ref="G112:H112"/>
    <mergeCell ref="E90:F90"/>
    <mergeCell ref="E91:F91"/>
    <mergeCell ref="E109:F109"/>
    <mergeCell ref="E111:F111"/>
    <mergeCell ref="G45:H45"/>
    <mergeCell ref="G46:H46"/>
    <mergeCell ref="G47:H47"/>
    <mergeCell ref="G48:H48"/>
    <mergeCell ref="E76:F76"/>
    <mergeCell ref="E43:F43"/>
    <mergeCell ref="E48:F48"/>
    <mergeCell ref="E49:F49"/>
    <mergeCell ref="G49:H49"/>
    <mergeCell ref="G50:H50"/>
    <mergeCell ref="E108:F108"/>
    <mergeCell ref="G54:H54"/>
    <mergeCell ref="G55:H55"/>
    <mergeCell ref="G56:H56"/>
    <mergeCell ref="G60:H60"/>
    <mergeCell ref="G61:H61"/>
    <mergeCell ref="G62:H62"/>
    <mergeCell ref="G81:H81"/>
    <mergeCell ref="G82:H82"/>
    <mergeCell ref="E101:F101"/>
    <mergeCell ref="E102:F102"/>
    <mergeCell ref="G83:H83"/>
    <mergeCell ref="G86:H86"/>
    <mergeCell ref="G87:H87"/>
    <mergeCell ref="G88:H88"/>
    <mergeCell ref="G89:H89"/>
    <mergeCell ref="G90:H90"/>
    <mergeCell ref="E99:F99"/>
    <mergeCell ref="E100:F100"/>
    <mergeCell ref="G63:H63"/>
    <mergeCell ref="G105:H105"/>
    <mergeCell ref="G106:H106"/>
    <mergeCell ref="G107:H107"/>
    <mergeCell ref="E92:F92"/>
    <mergeCell ref="E93:F93"/>
    <mergeCell ref="G66:H66"/>
    <mergeCell ref="G67:H67"/>
    <mergeCell ref="G68:H68"/>
    <mergeCell ref="G69:H69"/>
    <mergeCell ref="G70:H70"/>
    <mergeCell ref="G71:H71"/>
    <mergeCell ref="E104:F104"/>
    <mergeCell ref="G74:H74"/>
    <mergeCell ref="G75:H75"/>
    <mergeCell ref="G76:H76"/>
    <mergeCell ref="G77:H77"/>
    <mergeCell ref="G78:H78"/>
    <mergeCell ref="G79:H79"/>
    <mergeCell ref="E71:F71"/>
    <mergeCell ref="E72:F72"/>
    <mergeCell ref="E106:F106"/>
    <mergeCell ref="E103:F103"/>
    <mergeCell ref="E107:F107"/>
    <mergeCell ref="E86:F86"/>
    <mergeCell ref="E87:F87"/>
    <mergeCell ref="M3:N3"/>
    <mergeCell ref="O3:P3"/>
    <mergeCell ref="Q3:R3"/>
    <mergeCell ref="S3:T3"/>
    <mergeCell ref="M6:N6"/>
    <mergeCell ref="O6:P6"/>
    <mergeCell ref="Q6:R6"/>
    <mergeCell ref="S6:T6"/>
    <mergeCell ref="I114:J114"/>
    <mergeCell ref="K114:L114"/>
    <mergeCell ref="I115:J115"/>
    <mergeCell ref="K115:L115"/>
    <mergeCell ref="I116:J116"/>
    <mergeCell ref="K116:L116"/>
    <mergeCell ref="E116:F116"/>
    <mergeCell ref="G3:H3"/>
    <mergeCell ref="G6:H6"/>
    <mergeCell ref="G7:H7"/>
    <mergeCell ref="G8:H8"/>
    <mergeCell ref="G9:H9"/>
    <mergeCell ref="G10:H10"/>
    <mergeCell ref="G11:H11"/>
    <mergeCell ref="G12:H12"/>
    <mergeCell ref="G13:H13"/>
    <mergeCell ref="E114:F114"/>
    <mergeCell ref="E115:F115"/>
    <mergeCell ref="G14:H14"/>
    <mergeCell ref="G15:H15"/>
    <mergeCell ref="G16:H16"/>
    <mergeCell ref="G17:H17"/>
    <mergeCell ref="G25:H25"/>
    <mergeCell ref="G26:H26"/>
    <mergeCell ref="M11:N11"/>
    <mergeCell ref="O11:P11"/>
    <mergeCell ref="Q11:R11"/>
    <mergeCell ref="S11:T11"/>
    <mergeCell ref="M12:N12"/>
    <mergeCell ref="O12:P12"/>
    <mergeCell ref="Q12:R12"/>
    <mergeCell ref="S12:T12"/>
    <mergeCell ref="M9:N9"/>
    <mergeCell ref="O9:P9"/>
    <mergeCell ref="Q9:R9"/>
    <mergeCell ref="S9:T9"/>
    <mergeCell ref="M10:N10"/>
    <mergeCell ref="O10:P10"/>
    <mergeCell ref="Q10:R10"/>
    <mergeCell ref="S10:T10"/>
    <mergeCell ref="M7:N7"/>
    <mergeCell ref="O7:P7"/>
    <mergeCell ref="Q7:R7"/>
    <mergeCell ref="S7:T7"/>
    <mergeCell ref="M8:N8"/>
    <mergeCell ref="O8:P8"/>
    <mergeCell ref="Q8:R8"/>
    <mergeCell ref="S8:T8"/>
    <mergeCell ref="M17:N17"/>
    <mergeCell ref="O17:P17"/>
    <mergeCell ref="Q17:R17"/>
    <mergeCell ref="S17:T17"/>
    <mergeCell ref="M25:N25"/>
    <mergeCell ref="O25:P25"/>
    <mergeCell ref="Q25:R25"/>
    <mergeCell ref="S25:T25"/>
    <mergeCell ref="M15:N15"/>
    <mergeCell ref="O15:P15"/>
    <mergeCell ref="Q15:R15"/>
    <mergeCell ref="S15:T15"/>
    <mergeCell ref="M16:N16"/>
    <mergeCell ref="O16:P16"/>
    <mergeCell ref="Q16:R16"/>
    <mergeCell ref="S16:T16"/>
    <mergeCell ref="M13:N13"/>
    <mergeCell ref="O13:P13"/>
    <mergeCell ref="Q13:R13"/>
    <mergeCell ref="S13:T13"/>
    <mergeCell ref="M14:N14"/>
    <mergeCell ref="O14:P14"/>
    <mergeCell ref="Q14:R14"/>
    <mergeCell ref="S14:T14"/>
    <mergeCell ref="M35:N35"/>
    <mergeCell ref="O35:P35"/>
    <mergeCell ref="Q35:R35"/>
    <mergeCell ref="S35:T35"/>
    <mergeCell ref="M36:N36"/>
    <mergeCell ref="O36:P36"/>
    <mergeCell ref="Q36:R36"/>
    <mergeCell ref="S36:T36"/>
    <mergeCell ref="M28:N28"/>
    <mergeCell ref="O28:P28"/>
    <mergeCell ref="Q28:R28"/>
    <mergeCell ref="S28:T28"/>
    <mergeCell ref="M33:N33"/>
    <mergeCell ref="O33:P33"/>
    <mergeCell ref="Q33:R33"/>
    <mergeCell ref="S33:T33"/>
    <mergeCell ref="M26:N26"/>
    <mergeCell ref="O26:P26"/>
    <mergeCell ref="Q26:R26"/>
    <mergeCell ref="S26:T26"/>
    <mergeCell ref="M27:N27"/>
    <mergeCell ref="O27:P27"/>
    <mergeCell ref="Q27:R27"/>
    <mergeCell ref="S27:T27"/>
    <mergeCell ref="M44:N44"/>
    <mergeCell ref="O44:P44"/>
    <mergeCell ref="Q44:R44"/>
    <mergeCell ref="S44:T44"/>
    <mergeCell ref="M45:N45"/>
    <mergeCell ref="O45:P45"/>
    <mergeCell ref="Q45:R45"/>
    <mergeCell ref="S45:T45"/>
    <mergeCell ref="M42:N42"/>
    <mergeCell ref="O42:P42"/>
    <mergeCell ref="Q42:R42"/>
    <mergeCell ref="S42:T42"/>
    <mergeCell ref="M43:N43"/>
    <mergeCell ref="O43:P43"/>
    <mergeCell ref="Q43:R43"/>
    <mergeCell ref="S43:T43"/>
    <mergeCell ref="M39:N39"/>
    <mergeCell ref="O39:P39"/>
    <mergeCell ref="Q39:R39"/>
    <mergeCell ref="S39:T39"/>
    <mergeCell ref="M40:N40"/>
    <mergeCell ref="O40:P40"/>
    <mergeCell ref="Q40:R40"/>
    <mergeCell ref="S40:T40"/>
    <mergeCell ref="M50:N50"/>
    <mergeCell ref="O50:P50"/>
    <mergeCell ref="Q50:R50"/>
    <mergeCell ref="S50:T50"/>
    <mergeCell ref="M51:N51"/>
    <mergeCell ref="O51:P51"/>
    <mergeCell ref="Q51:R51"/>
    <mergeCell ref="S51:T51"/>
    <mergeCell ref="M48:N48"/>
    <mergeCell ref="O48:P48"/>
    <mergeCell ref="Q48:R48"/>
    <mergeCell ref="S48:T48"/>
    <mergeCell ref="M49:N49"/>
    <mergeCell ref="O49:P49"/>
    <mergeCell ref="Q49:R49"/>
    <mergeCell ref="S49:T49"/>
    <mergeCell ref="M46:N46"/>
    <mergeCell ref="O46:P46"/>
    <mergeCell ref="Q46:R46"/>
    <mergeCell ref="S46:T46"/>
    <mergeCell ref="M47:N47"/>
    <mergeCell ref="O47:P47"/>
    <mergeCell ref="Q47:R47"/>
    <mergeCell ref="S47:T47"/>
    <mergeCell ref="M60:N60"/>
    <mergeCell ref="O60:P60"/>
    <mergeCell ref="Q60:R60"/>
    <mergeCell ref="S60:T60"/>
    <mergeCell ref="M61:N61"/>
    <mergeCell ref="O61:P61"/>
    <mergeCell ref="Q61:R61"/>
    <mergeCell ref="S61:T61"/>
    <mergeCell ref="M55:N55"/>
    <mergeCell ref="O55:P55"/>
    <mergeCell ref="Q55:R55"/>
    <mergeCell ref="S55:T55"/>
    <mergeCell ref="M56:N56"/>
    <mergeCell ref="O56:P56"/>
    <mergeCell ref="Q56:R56"/>
    <mergeCell ref="S56:T56"/>
    <mergeCell ref="M52:N52"/>
    <mergeCell ref="O52:P52"/>
    <mergeCell ref="Q52:R52"/>
    <mergeCell ref="S52:T52"/>
    <mergeCell ref="M54:N54"/>
    <mergeCell ref="O54:P54"/>
    <mergeCell ref="Q54:R54"/>
    <mergeCell ref="S54:T54"/>
    <mergeCell ref="M67:N67"/>
    <mergeCell ref="O67:P67"/>
    <mergeCell ref="Q67:R67"/>
    <mergeCell ref="S67:T67"/>
    <mergeCell ref="M68:N68"/>
    <mergeCell ref="O68:P68"/>
    <mergeCell ref="Q68:R68"/>
    <mergeCell ref="S68:T68"/>
    <mergeCell ref="M64:N64"/>
    <mergeCell ref="O64:P64"/>
    <mergeCell ref="Q64:R64"/>
    <mergeCell ref="S64:T64"/>
    <mergeCell ref="M66:N66"/>
    <mergeCell ref="O66:P66"/>
    <mergeCell ref="Q66:R66"/>
    <mergeCell ref="S66:T66"/>
    <mergeCell ref="M62:N62"/>
    <mergeCell ref="O62:P62"/>
    <mergeCell ref="Q62:R62"/>
    <mergeCell ref="S62:T62"/>
    <mergeCell ref="M63:N63"/>
    <mergeCell ref="O63:P63"/>
    <mergeCell ref="Q63:R63"/>
    <mergeCell ref="S63:T63"/>
    <mergeCell ref="M73:N73"/>
    <mergeCell ref="O73:P73"/>
    <mergeCell ref="Q73:R73"/>
    <mergeCell ref="S73:T73"/>
    <mergeCell ref="M74:N74"/>
    <mergeCell ref="O74:P74"/>
    <mergeCell ref="Q74:R74"/>
    <mergeCell ref="S74:T74"/>
    <mergeCell ref="M71:N71"/>
    <mergeCell ref="O71:P71"/>
    <mergeCell ref="Q71:R71"/>
    <mergeCell ref="S71:T71"/>
    <mergeCell ref="M72:N72"/>
    <mergeCell ref="O72:P72"/>
    <mergeCell ref="Q72:R72"/>
    <mergeCell ref="S72:T72"/>
    <mergeCell ref="M69:N69"/>
    <mergeCell ref="O69:P69"/>
    <mergeCell ref="Q69:R69"/>
    <mergeCell ref="S69:T69"/>
    <mergeCell ref="M70:N70"/>
    <mergeCell ref="O70:P70"/>
    <mergeCell ref="Q70:R70"/>
    <mergeCell ref="S70:T70"/>
    <mergeCell ref="M79:N79"/>
    <mergeCell ref="O79:P79"/>
    <mergeCell ref="Q79:R79"/>
    <mergeCell ref="S79:T79"/>
    <mergeCell ref="M81:N81"/>
    <mergeCell ref="O81:P81"/>
    <mergeCell ref="Q81:R81"/>
    <mergeCell ref="S81:T81"/>
    <mergeCell ref="M77:N77"/>
    <mergeCell ref="O77:P77"/>
    <mergeCell ref="Q77:R77"/>
    <mergeCell ref="S77:T77"/>
    <mergeCell ref="M78:N78"/>
    <mergeCell ref="O78:P78"/>
    <mergeCell ref="Q78:R78"/>
    <mergeCell ref="S78:T78"/>
    <mergeCell ref="M75:N75"/>
    <mergeCell ref="O75:P75"/>
    <mergeCell ref="Q75:R75"/>
    <mergeCell ref="S75:T75"/>
    <mergeCell ref="M76:N76"/>
    <mergeCell ref="O76:P76"/>
    <mergeCell ref="Q76:R76"/>
    <mergeCell ref="S76:T76"/>
    <mergeCell ref="M86:N86"/>
    <mergeCell ref="O86:P86"/>
    <mergeCell ref="Q86:R86"/>
    <mergeCell ref="S86:T86"/>
    <mergeCell ref="M87:N87"/>
    <mergeCell ref="O87:P87"/>
    <mergeCell ref="Q87:R87"/>
    <mergeCell ref="S87:T87"/>
    <mergeCell ref="M84:N84"/>
    <mergeCell ref="O84:P84"/>
    <mergeCell ref="Q84:R84"/>
    <mergeCell ref="S84:T84"/>
    <mergeCell ref="M85:N85"/>
    <mergeCell ref="O85:P85"/>
    <mergeCell ref="Q85:R85"/>
    <mergeCell ref="S85:T85"/>
    <mergeCell ref="M82:N82"/>
    <mergeCell ref="O82:P82"/>
    <mergeCell ref="Q82:R82"/>
    <mergeCell ref="S82:T82"/>
    <mergeCell ref="M83:N83"/>
    <mergeCell ref="O83:P83"/>
    <mergeCell ref="Q83:R83"/>
    <mergeCell ref="S83:T83"/>
    <mergeCell ref="M92:N92"/>
    <mergeCell ref="O92:P92"/>
    <mergeCell ref="Q92:R92"/>
    <mergeCell ref="S92:T92"/>
    <mergeCell ref="M93:N93"/>
    <mergeCell ref="O93:P93"/>
    <mergeCell ref="Q93:R93"/>
    <mergeCell ref="S93:T93"/>
    <mergeCell ref="M90:N90"/>
    <mergeCell ref="O90:P90"/>
    <mergeCell ref="Q90:R90"/>
    <mergeCell ref="S90:T90"/>
    <mergeCell ref="M91:N91"/>
    <mergeCell ref="O91:P91"/>
    <mergeCell ref="Q91:R91"/>
    <mergeCell ref="S91:T91"/>
    <mergeCell ref="M88:N88"/>
    <mergeCell ref="O88:P88"/>
    <mergeCell ref="Q88:R88"/>
    <mergeCell ref="S88:T88"/>
    <mergeCell ref="M89:N89"/>
    <mergeCell ref="O89:P89"/>
    <mergeCell ref="Q89:R89"/>
    <mergeCell ref="S89:T89"/>
    <mergeCell ref="M99:N99"/>
    <mergeCell ref="O99:P99"/>
    <mergeCell ref="Q99:R99"/>
    <mergeCell ref="S99:T99"/>
    <mergeCell ref="M100:N100"/>
    <mergeCell ref="O100:P100"/>
    <mergeCell ref="Q100:R100"/>
    <mergeCell ref="S100:T100"/>
    <mergeCell ref="M96:N96"/>
    <mergeCell ref="O96:P96"/>
    <mergeCell ref="Q96:R96"/>
    <mergeCell ref="S96:T96"/>
    <mergeCell ref="M98:N98"/>
    <mergeCell ref="O98:P98"/>
    <mergeCell ref="Q98:R98"/>
    <mergeCell ref="S98:T98"/>
    <mergeCell ref="M94:N94"/>
    <mergeCell ref="O94:P94"/>
    <mergeCell ref="Q94:R94"/>
    <mergeCell ref="S94:T94"/>
    <mergeCell ref="M95:N95"/>
    <mergeCell ref="O95:P95"/>
    <mergeCell ref="Q95:R95"/>
    <mergeCell ref="S95:T95"/>
    <mergeCell ref="M105:N105"/>
    <mergeCell ref="O105:P105"/>
    <mergeCell ref="Q105:R105"/>
    <mergeCell ref="S105:T105"/>
    <mergeCell ref="M106:N106"/>
    <mergeCell ref="O106:P106"/>
    <mergeCell ref="Q106:R106"/>
    <mergeCell ref="S106:T106"/>
    <mergeCell ref="M103:N103"/>
    <mergeCell ref="O103:P103"/>
    <mergeCell ref="Q103:R103"/>
    <mergeCell ref="S103:T103"/>
    <mergeCell ref="M104:N104"/>
    <mergeCell ref="O104:P104"/>
    <mergeCell ref="Q104:R104"/>
    <mergeCell ref="S104:T104"/>
    <mergeCell ref="M101:N101"/>
    <mergeCell ref="O101:P101"/>
    <mergeCell ref="Q101:R101"/>
    <mergeCell ref="S101:T101"/>
    <mergeCell ref="M102:N102"/>
    <mergeCell ref="O102:P102"/>
    <mergeCell ref="Q102:R102"/>
    <mergeCell ref="S102:T102"/>
    <mergeCell ref="Q112:R112"/>
    <mergeCell ref="S112:T112"/>
    <mergeCell ref="M113:N113"/>
    <mergeCell ref="O113:P113"/>
    <mergeCell ref="Q113:R113"/>
    <mergeCell ref="S113:T113"/>
    <mergeCell ref="M109:N109"/>
    <mergeCell ref="O109:P109"/>
    <mergeCell ref="Q109:R109"/>
    <mergeCell ref="S109:T109"/>
    <mergeCell ref="M111:N111"/>
    <mergeCell ref="O111:P111"/>
    <mergeCell ref="Q111:R111"/>
    <mergeCell ref="S111:T111"/>
    <mergeCell ref="M107:N107"/>
    <mergeCell ref="O107:P107"/>
    <mergeCell ref="Q107:R107"/>
    <mergeCell ref="S107:T107"/>
    <mergeCell ref="M108:N108"/>
    <mergeCell ref="O108:P108"/>
    <mergeCell ref="Q108:R108"/>
    <mergeCell ref="S108:T108"/>
    <mergeCell ref="Y6:Z6"/>
    <mergeCell ref="AA6:AB6"/>
    <mergeCell ref="AC6:AD6"/>
    <mergeCell ref="AE6:AF6"/>
    <mergeCell ref="AG6:AH6"/>
    <mergeCell ref="AI6:AJ6"/>
    <mergeCell ref="Y3:Z3"/>
    <mergeCell ref="AA3:AB3"/>
    <mergeCell ref="AC3:AD3"/>
    <mergeCell ref="AE3:AF3"/>
    <mergeCell ref="AG3:AH3"/>
    <mergeCell ref="AI3:AJ3"/>
    <mergeCell ref="M116:N116"/>
    <mergeCell ref="O116:P116"/>
    <mergeCell ref="Q116:R116"/>
    <mergeCell ref="S116:T116"/>
    <mergeCell ref="U3:V3"/>
    <mergeCell ref="W3:X3"/>
    <mergeCell ref="U6:V6"/>
    <mergeCell ref="W6:X6"/>
    <mergeCell ref="U7:V7"/>
    <mergeCell ref="W7:X7"/>
    <mergeCell ref="M114:N114"/>
    <mergeCell ref="O114:P114"/>
    <mergeCell ref="Q114:R114"/>
    <mergeCell ref="S114:T114"/>
    <mergeCell ref="M115:N115"/>
    <mergeCell ref="O115:P115"/>
    <mergeCell ref="Q115:R115"/>
    <mergeCell ref="S115:T115"/>
    <mergeCell ref="M112:N112"/>
    <mergeCell ref="O112:P112"/>
    <mergeCell ref="AG8:AH8"/>
    <mergeCell ref="AI8:AJ8"/>
    <mergeCell ref="U9:V9"/>
    <mergeCell ref="W9:X9"/>
    <mergeCell ref="Y9:Z9"/>
    <mergeCell ref="AA9:AB9"/>
    <mergeCell ref="AC9:AD9"/>
    <mergeCell ref="AE9:AF9"/>
    <mergeCell ref="AG9:AH9"/>
    <mergeCell ref="AI9:AJ9"/>
    <mergeCell ref="U8:V8"/>
    <mergeCell ref="W8:X8"/>
    <mergeCell ref="Y8:Z8"/>
    <mergeCell ref="AA8:AB8"/>
    <mergeCell ref="AC8:AD8"/>
    <mergeCell ref="AE8:AF8"/>
    <mergeCell ref="Y7:Z7"/>
    <mergeCell ref="AA7:AB7"/>
    <mergeCell ref="AC7:AD7"/>
    <mergeCell ref="AE7:AF7"/>
    <mergeCell ref="AG7:AH7"/>
    <mergeCell ref="AI7:AJ7"/>
    <mergeCell ref="AG12:AH12"/>
    <mergeCell ref="AI12:AJ12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U12:V12"/>
    <mergeCell ref="W12:X12"/>
    <mergeCell ref="Y12:Z12"/>
    <mergeCell ref="AA12:AB12"/>
    <mergeCell ref="AC12:AD12"/>
    <mergeCell ref="AE12:AF12"/>
    <mergeCell ref="AG10:AH10"/>
    <mergeCell ref="AI10:AJ10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U10:V10"/>
    <mergeCell ref="W10:X10"/>
    <mergeCell ref="Y10:Z10"/>
    <mergeCell ref="AA10:AB10"/>
    <mergeCell ref="AC10:AD10"/>
    <mergeCell ref="AE10:AF10"/>
    <mergeCell ref="AG16:AH16"/>
    <mergeCell ref="AI16:AJ16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U16:V16"/>
    <mergeCell ref="W16:X16"/>
    <mergeCell ref="Y16:Z16"/>
    <mergeCell ref="AA16:AB16"/>
    <mergeCell ref="AC16:AD16"/>
    <mergeCell ref="AE16:AF16"/>
    <mergeCell ref="AG14:AH14"/>
    <mergeCell ref="AI14:AJ14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U14:V14"/>
    <mergeCell ref="W14:X14"/>
    <mergeCell ref="Y14:Z14"/>
    <mergeCell ref="AA14:AB14"/>
    <mergeCell ref="AC14:AD14"/>
    <mergeCell ref="AE14:AF14"/>
    <mergeCell ref="AG27:AH27"/>
    <mergeCell ref="AI27:AJ27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U27:V27"/>
    <mergeCell ref="W27:X27"/>
    <mergeCell ref="Y27:Z27"/>
    <mergeCell ref="AA27:AB27"/>
    <mergeCell ref="AC27:AD27"/>
    <mergeCell ref="AE27:AF27"/>
    <mergeCell ref="AG25:AH25"/>
    <mergeCell ref="AI25:AJ25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U25:V25"/>
    <mergeCell ref="W25:X25"/>
    <mergeCell ref="Y25:Z25"/>
    <mergeCell ref="AA25:AB25"/>
    <mergeCell ref="AC25:AD25"/>
    <mergeCell ref="AE25:AF25"/>
    <mergeCell ref="AG36:AH36"/>
    <mergeCell ref="AI36:AJ36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U36:V36"/>
    <mergeCell ref="W36:X36"/>
    <mergeCell ref="Y36:Z36"/>
    <mergeCell ref="AA36:AB36"/>
    <mergeCell ref="AC36:AD36"/>
    <mergeCell ref="AE36:AF36"/>
    <mergeCell ref="AG33:AH33"/>
    <mergeCell ref="AI33:AJ33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U33:V33"/>
    <mergeCell ref="W33:X33"/>
    <mergeCell ref="Y33:Z33"/>
    <mergeCell ref="AA33:AB33"/>
    <mergeCell ref="AC33:AD33"/>
    <mergeCell ref="AE33:AF33"/>
    <mergeCell ref="AG43:AH43"/>
    <mergeCell ref="AI43:AJ43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U43:V43"/>
    <mergeCell ref="W43:X43"/>
    <mergeCell ref="Y43:Z43"/>
    <mergeCell ref="AA43:AB43"/>
    <mergeCell ref="AC43:AD43"/>
    <mergeCell ref="AE43:AF43"/>
    <mergeCell ref="AG40:AH40"/>
    <mergeCell ref="AI40:AJ40"/>
    <mergeCell ref="U42:V42"/>
    <mergeCell ref="W42:X42"/>
    <mergeCell ref="Y42:Z42"/>
    <mergeCell ref="AA42:AB42"/>
    <mergeCell ref="AC42:AD42"/>
    <mergeCell ref="AE42:AF42"/>
    <mergeCell ref="AG42:AH42"/>
    <mergeCell ref="AI42:AJ42"/>
    <mergeCell ref="U40:V40"/>
    <mergeCell ref="W40:X40"/>
    <mergeCell ref="Y40:Z40"/>
    <mergeCell ref="AA40:AB40"/>
    <mergeCell ref="AC40:AD40"/>
    <mergeCell ref="AE40:AF40"/>
    <mergeCell ref="AG47:AH47"/>
    <mergeCell ref="AI47:AJ47"/>
    <mergeCell ref="U48:V48"/>
    <mergeCell ref="W48:X48"/>
    <mergeCell ref="Y48:Z48"/>
    <mergeCell ref="AA48:AB48"/>
    <mergeCell ref="AC48:AD48"/>
    <mergeCell ref="AE48:AF48"/>
    <mergeCell ref="AG48:AH48"/>
    <mergeCell ref="AI48:AJ48"/>
    <mergeCell ref="U47:V47"/>
    <mergeCell ref="W47:X47"/>
    <mergeCell ref="Y47:Z47"/>
    <mergeCell ref="AA47:AB47"/>
    <mergeCell ref="AC47:AD47"/>
    <mergeCell ref="AE47:AF47"/>
    <mergeCell ref="AG45:AH45"/>
    <mergeCell ref="AI45:AJ45"/>
    <mergeCell ref="U46:V46"/>
    <mergeCell ref="W46:X46"/>
    <mergeCell ref="Y46:Z46"/>
    <mergeCell ref="AA46:AB46"/>
    <mergeCell ref="AC46:AD46"/>
    <mergeCell ref="AE46:AF46"/>
    <mergeCell ref="AG46:AH46"/>
    <mergeCell ref="AI46:AJ46"/>
    <mergeCell ref="U45:V45"/>
    <mergeCell ref="W45:X45"/>
    <mergeCell ref="Y45:Z45"/>
    <mergeCell ref="AA45:AB45"/>
    <mergeCell ref="AC45:AD45"/>
    <mergeCell ref="AE45:AF45"/>
    <mergeCell ref="AG51:AH51"/>
    <mergeCell ref="AI51:AJ51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U51:V51"/>
    <mergeCell ref="W51:X51"/>
    <mergeCell ref="Y51:Z51"/>
    <mergeCell ref="AA51:AB51"/>
    <mergeCell ref="AC51:AD51"/>
    <mergeCell ref="AE51:AF51"/>
    <mergeCell ref="AG49:AH49"/>
    <mergeCell ref="AI49:AJ49"/>
    <mergeCell ref="U50:V50"/>
    <mergeCell ref="W50:X50"/>
    <mergeCell ref="Y50:Z50"/>
    <mergeCell ref="AA50:AB50"/>
    <mergeCell ref="AC50:AD50"/>
    <mergeCell ref="AE50:AF50"/>
    <mergeCell ref="AG50:AH50"/>
    <mergeCell ref="AI50:AJ50"/>
    <mergeCell ref="U49:V49"/>
    <mergeCell ref="W49:X49"/>
    <mergeCell ref="Y49:Z49"/>
    <mergeCell ref="AA49:AB49"/>
    <mergeCell ref="AC49:AD49"/>
    <mergeCell ref="AE49:AF49"/>
    <mergeCell ref="AG56:AH56"/>
    <mergeCell ref="AI56:AJ56"/>
    <mergeCell ref="U60:V60"/>
    <mergeCell ref="W60:X60"/>
    <mergeCell ref="Y60:Z60"/>
    <mergeCell ref="AA60:AB60"/>
    <mergeCell ref="AC60:AD60"/>
    <mergeCell ref="AE60:AF60"/>
    <mergeCell ref="AG60:AH60"/>
    <mergeCell ref="AI60:AJ60"/>
    <mergeCell ref="U56:V56"/>
    <mergeCell ref="W56:X56"/>
    <mergeCell ref="Y56:Z56"/>
    <mergeCell ref="AA56:AB56"/>
    <mergeCell ref="AC56:AD56"/>
    <mergeCell ref="AE56:AF56"/>
    <mergeCell ref="AG54:AH54"/>
    <mergeCell ref="AI54:AJ54"/>
    <mergeCell ref="U55:V55"/>
    <mergeCell ref="W55:X55"/>
    <mergeCell ref="Y55:Z55"/>
    <mergeCell ref="AA55:AB55"/>
    <mergeCell ref="AC55:AD55"/>
    <mergeCell ref="AE55:AF55"/>
    <mergeCell ref="AG55:AH55"/>
    <mergeCell ref="AI55:AJ55"/>
    <mergeCell ref="U54:V54"/>
    <mergeCell ref="W54:X54"/>
    <mergeCell ref="Y54:Z54"/>
    <mergeCell ref="AA54:AB54"/>
    <mergeCell ref="AC54:AD54"/>
    <mergeCell ref="AE54:AF54"/>
    <mergeCell ref="AG63:AH63"/>
    <mergeCell ref="AI63:AJ63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U63:V63"/>
    <mergeCell ref="W63:X63"/>
    <mergeCell ref="Y63:Z63"/>
    <mergeCell ref="AA63:AB63"/>
    <mergeCell ref="AC63:AD63"/>
    <mergeCell ref="AE63:AF63"/>
    <mergeCell ref="AG61:AH61"/>
    <mergeCell ref="AI61:AJ61"/>
    <mergeCell ref="U62:V62"/>
    <mergeCell ref="W62:X62"/>
    <mergeCell ref="Y62:Z62"/>
    <mergeCell ref="AA62:AB62"/>
    <mergeCell ref="AC62:AD62"/>
    <mergeCell ref="AE62:AF62"/>
    <mergeCell ref="AG62:AH62"/>
    <mergeCell ref="AI62:AJ62"/>
    <mergeCell ref="U61:V61"/>
    <mergeCell ref="W61:X61"/>
    <mergeCell ref="Y61:Z61"/>
    <mergeCell ref="AA61:AB61"/>
    <mergeCell ref="AC61:AD61"/>
    <mergeCell ref="AE61:AF61"/>
    <mergeCell ref="AG68:AH68"/>
    <mergeCell ref="AI68:AJ68"/>
    <mergeCell ref="U69:V69"/>
    <mergeCell ref="W69:X69"/>
    <mergeCell ref="Y69:Z69"/>
    <mergeCell ref="AA69:AB69"/>
    <mergeCell ref="AC69:AD69"/>
    <mergeCell ref="AE69:AF69"/>
    <mergeCell ref="AG69:AH69"/>
    <mergeCell ref="AI69:AJ69"/>
    <mergeCell ref="U68:V68"/>
    <mergeCell ref="W68:X68"/>
    <mergeCell ref="Y68:Z68"/>
    <mergeCell ref="AA68:AB68"/>
    <mergeCell ref="AC68:AD68"/>
    <mergeCell ref="AE68:AF68"/>
    <mergeCell ref="AG66:AH66"/>
    <mergeCell ref="AI66:AJ66"/>
    <mergeCell ref="U67:V67"/>
    <mergeCell ref="W67:X67"/>
    <mergeCell ref="Y67:Z67"/>
    <mergeCell ref="AA67:AB67"/>
    <mergeCell ref="AC67:AD67"/>
    <mergeCell ref="AE67:AF67"/>
    <mergeCell ref="AG67:AH67"/>
    <mergeCell ref="AI67:AJ67"/>
    <mergeCell ref="U66:V66"/>
    <mergeCell ref="W66:X66"/>
    <mergeCell ref="Y66:Z66"/>
    <mergeCell ref="AA66:AB66"/>
    <mergeCell ref="AC66:AD66"/>
    <mergeCell ref="AE66:AF66"/>
    <mergeCell ref="AG72:AH72"/>
    <mergeCell ref="AI72:AJ72"/>
    <mergeCell ref="U73:V73"/>
    <mergeCell ref="W73:X73"/>
    <mergeCell ref="Y73:Z73"/>
    <mergeCell ref="AA73:AB73"/>
    <mergeCell ref="AC73:AD73"/>
    <mergeCell ref="AE73:AF73"/>
    <mergeCell ref="AG73:AH73"/>
    <mergeCell ref="AI73:AJ73"/>
    <mergeCell ref="U72:V72"/>
    <mergeCell ref="W72:X72"/>
    <mergeCell ref="Y72:Z72"/>
    <mergeCell ref="AA72:AB72"/>
    <mergeCell ref="AC72:AD72"/>
    <mergeCell ref="AE72:AF72"/>
    <mergeCell ref="AG70:AH70"/>
    <mergeCell ref="AI70:AJ70"/>
    <mergeCell ref="U71:V71"/>
    <mergeCell ref="W71:X71"/>
    <mergeCell ref="Y71:Z71"/>
    <mergeCell ref="AA71:AB71"/>
    <mergeCell ref="AC71:AD71"/>
    <mergeCell ref="AE71:AF71"/>
    <mergeCell ref="AG71:AH71"/>
    <mergeCell ref="AI71:AJ71"/>
    <mergeCell ref="U70:V70"/>
    <mergeCell ref="W70:X70"/>
    <mergeCell ref="Y70:Z70"/>
    <mergeCell ref="AA70:AB70"/>
    <mergeCell ref="AC70:AD70"/>
    <mergeCell ref="AE70:AF70"/>
    <mergeCell ref="AG76:AH76"/>
    <mergeCell ref="AI76:AJ76"/>
    <mergeCell ref="U77:V77"/>
    <mergeCell ref="W77:X77"/>
    <mergeCell ref="Y77:Z77"/>
    <mergeCell ref="AA77:AB77"/>
    <mergeCell ref="AC77:AD77"/>
    <mergeCell ref="AE77:AF77"/>
    <mergeCell ref="AG77:AH77"/>
    <mergeCell ref="AI77:AJ77"/>
    <mergeCell ref="U76:V76"/>
    <mergeCell ref="W76:X76"/>
    <mergeCell ref="Y76:Z76"/>
    <mergeCell ref="AA76:AB76"/>
    <mergeCell ref="AC76:AD76"/>
    <mergeCell ref="AE76:AF76"/>
    <mergeCell ref="AG74:AH74"/>
    <mergeCell ref="AI74:AJ74"/>
    <mergeCell ref="U75:V75"/>
    <mergeCell ref="W75:X75"/>
    <mergeCell ref="Y75:Z75"/>
    <mergeCell ref="AA75:AB75"/>
    <mergeCell ref="AC75:AD75"/>
    <mergeCell ref="AE75:AF75"/>
    <mergeCell ref="AG75:AH75"/>
    <mergeCell ref="AI75:AJ75"/>
    <mergeCell ref="U74:V74"/>
    <mergeCell ref="W74:X74"/>
    <mergeCell ref="Y74:Z74"/>
    <mergeCell ref="AA74:AB74"/>
    <mergeCell ref="AC74:AD74"/>
    <mergeCell ref="AE74:AF74"/>
    <mergeCell ref="AG81:AH81"/>
    <mergeCell ref="AI81:AJ81"/>
    <mergeCell ref="U82:V82"/>
    <mergeCell ref="W82:X82"/>
    <mergeCell ref="Y82:Z82"/>
    <mergeCell ref="AA82:AB82"/>
    <mergeCell ref="AC82:AD82"/>
    <mergeCell ref="AE82:AF82"/>
    <mergeCell ref="AG82:AH82"/>
    <mergeCell ref="AI82:AJ82"/>
    <mergeCell ref="U81:V81"/>
    <mergeCell ref="W81:X81"/>
    <mergeCell ref="Y81:Z81"/>
    <mergeCell ref="AA81:AB81"/>
    <mergeCell ref="AC81:AD81"/>
    <mergeCell ref="AE81:AF81"/>
    <mergeCell ref="AG78:AH78"/>
    <mergeCell ref="AI78:AJ78"/>
    <mergeCell ref="U79:V79"/>
    <mergeCell ref="W79:X79"/>
    <mergeCell ref="Y79:Z79"/>
    <mergeCell ref="AA79:AB79"/>
    <mergeCell ref="AC79:AD79"/>
    <mergeCell ref="AE79:AF79"/>
    <mergeCell ref="AG79:AH79"/>
    <mergeCell ref="AI79:AJ79"/>
    <mergeCell ref="U78:V78"/>
    <mergeCell ref="W78:X78"/>
    <mergeCell ref="Y78:Z78"/>
    <mergeCell ref="AA78:AB78"/>
    <mergeCell ref="AC78:AD78"/>
    <mergeCell ref="AE78:AF78"/>
    <mergeCell ref="U86:V86"/>
    <mergeCell ref="W86:X86"/>
    <mergeCell ref="Y86:Z86"/>
    <mergeCell ref="AA86:AB86"/>
    <mergeCell ref="AC86:AD86"/>
    <mergeCell ref="AE86:AF86"/>
    <mergeCell ref="AG86:AH86"/>
    <mergeCell ref="AI86:AJ86"/>
    <mergeCell ref="U85:V85"/>
    <mergeCell ref="W85:X85"/>
    <mergeCell ref="Y85:Z85"/>
    <mergeCell ref="AA85:AB85"/>
    <mergeCell ref="AC85:AD85"/>
    <mergeCell ref="AE85:AF85"/>
    <mergeCell ref="AG83:AH83"/>
    <mergeCell ref="AI83:AJ83"/>
    <mergeCell ref="U84:V84"/>
    <mergeCell ref="W84:X84"/>
    <mergeCell ref="Y84:Z84"/>
    <mergeCell ref="AA84:AB84"/>
    <mergeCell ref="AC84:AD84"/>
    <mergeCell ref="AE84:AF84"/>
    <mergeCell ref="AG84:AH84"/>
    <mergeCell ref="AI84:AJ84"/>
    <mergeCell ref="U83:V83"/>
    <mergeCell ref="W83:X83"/>
    <mergeCell ref="Y83:Z83"/>
    <mergeCell ref="AA83:AB83"/>
    <mergeCell ref="AC83:AD83"/>
    <mergeCell ref="AE83:AF83"/>
    <mergeCell ref="U90:V90"/>
    <mergeCell ref="W90:X90"/>
    <mergeCell ref="Y90:Z90"/>
    <mergeCell ref="AA90:AB90"/>
    <mergeCell ref="AC90:AD90"/>
    <mergeCell ref="AE90:AF90"/>
    <mergeCell ref="AG90:AH90"/>
    <mergeCell ref="AI90:AJ90"/>
    <mergeCell ref="U89:V89"/>
    <mergeCell ref="W89:X89"/>
    <mergeCell ref="Y89:Z89"/>
    <mergeCell ref="AA89:AB89"/>
    <mergeCell ref="AC89:AD89"/>
    <mergeCell ref="AE89:AF89"/>
    <mergeCell ref="AG87:AH87"/>
    <mergeCell ref="AI87:AJ87"/>
    <mergeCell ref="U88:V88"/>
    <mergeCell ref="W88:X88"/>
    <mergeCell ref="Y88:Z88"/>
    <mergeCell ref="AA88:AB88"/>
    <mergeCell ref="AC88:AD88"/>
    <mergeCell ref="AE88:AF88"/>
    <mergeCell ref="AG88:AH88"/>
    <mergeCell ref="AI88:AJ88"/>
    <mergeCell ref="U87:V87"/>
    <mergeCell ref="W87:X87"/>
    <mergeCell ref="Y87:Z87"/>
    <mergeCell ref="AA87:AB87"/>
    <mergeCell ref="AC87:AD87"/>
    <mergeCell ref="AE87:AF87"/>
    <mergeCell ref="U94:V94"/>
    <mergeCell ref="W94:X94"/>
    <mergeCell ref="Y94:Z94"/>
    <mergeCell ref="AA94:AB94"/>
    <mergeCell ref="AC94:AD94"/>
    <mergeCell ref="AE94:AF94"/>
    <mergeCell ref="AG94:AH94"/>
    <mergeCell ref="AI94:AJ94"/>
    <mergeCell ref="U93:V93"/>
    <mergeCell ref="W93:X93"/>
    <mergeCell ref="Y93:Z93"/>
    <mergeCell ref="AA93:AB93"/>
    <mergeCell ref="AC93:AD93"/>
    <mergeCell ref="AE93:AF93"/>
    <mergeCell ref="AG91:AH91"/>
    <mergeCell ref="AI91:AJ91"/>
    <mergeCell ref="U92:V92"/>
    <mergeCell ref="W92:X92"/>
    <mergeCell ref="Y92:Z92"/>
    <mergeCell ref="AA92:AB92"/>
    <mergeCell ref="AC92:AD92"/>
    <mergeCell ref="AE92:AF92"/>
    <mergeCell ref="AG92:AH92"/>
    <mergeCell ref="AI92:AJ92"/>
    <mergeCell ref="U91:V91"/>
    <mergeCell ref="W91:X91"/>
    <mergeCell ref="Y91:Z91"/>
    <mergeCell ref="AA91:AB91"/>
    <mergeCell ref="AC91:AD91"/>
    <mergeCell ref="AE91:AF91"/>
    <mergeCell ref="U99:V99"/>
    <mergeCell ref="W99:X99"/>
    <mergeCell ref="Y99:Z99"/>
    <mergeCell ref="AA99:AB99"/>
    <mergeCell ref="AC99:AD99"/>
    <mergeCell ref="AE99:AF99"/>
    <mergeCell ref="AG99:AH99"/>
    <mergeCell ref="AI99:AJ99"/>
    <mergeCell ref="U98:V98"/>
    <mergeCell ref="W98:X98"/>
    <mergeCell ref="Y98:Z98"/>
    <mergeCell ref="AA98:AB98"/>
    <mergeCell ref="AC98:AD98"/>
    <mergeCell ref="AE98:AF98"/>
    <mergeCell ref="AG95:AH95"/>
    <mergeCell ref="AI95:AJ95"/>
    <mergeCell ref="U96:V96"/>
    <mergeCell ref="W96:X96"/>
    <mergeCell ref="Y96:Z96"/>
    <mergeCell ref="AA96:AB96"/>
    <mergeCell ref="AC96:AD96"/>
    <mergeCell ref="AE96:AF96"/>
    <mergeCell ref="AG96:AH96"/>
    <mergeCell ref="AI96:AJ96"/>
    <mergeCell ref="U95:V95"/>
    <mergeCell ref="W95:X95"/>
    <mergeCell ref="Y95:Z95"/>
    <mergeCell ref="AA95:AB95"/>
    <mergeCell ref="AC95:AD95"/>
    <mergeCell ref="AE95:AF95"/>
    <mergeCell ref="U103:V103"/>
    <mergeCell ref="W103:X103"/>
    <mergeCell ref="Y103:Z103"/>
    <mergeCell ref="AA103:AB103"/>
    <mergeCell ref="AC103:AD103"/>
    <mergeCell ref="AE103:AF103"/>
    <mergeCell ref="AG103:AH103"/>
    <mergeCell ref="AI103:AJ103"/>
    <mergeCell ref="U102:V102"/>
    <mergeCell ref="W102:X102"/>
    <mergeCell ref="Y102:Z102"/>
    <mergeCell ref="AA102:AB102"/>
    <mergeCell ref="AC102:AD102"/>
    <mergeCell ref="AE102:AF102"/>
    <mergeCell ref="AG100:AH100"/>
    <mergeCell ref="AI100:AJ100"/>
    <mergeCell ref="U101:V101"/>
    <mergeCell ref="W101:X101"/>
    <mergeCell ref="Y101:Z101"/>
    <mergeCell ref="AA101:AB101"/>
    <mergeCell ref="AC101:AD101"/>
    <mergeCell ref="AE101:AF101"/>
    <mergeCell ref="AG101:AH101"/>
    <mergeCell ref="AI101:AJ101"/>
    <mergeCell ref="U100:V100"/>
    <mergeCell ref="W100:X100"/>
    <mergeCell ref="Y100:Z100"/>
    <mergeCell ref="AA100:AB100"/>
    <mergeCell ref="AC100:AD100"/>
    <mergeCell ref="AE100:AF100"/>
    <mergeCell ref="U107:V107"/>
    <mergeCell ref="W107:X107"/>
    <mergeCell ref="Y107:Z107"/>
    <mergeCell ref="AA107:AB107"/>
    <mergeCell ref="AC107:AD107"/>
    <mergeCell ref="AE107:AF107"/>
    <mergeCell ref="AG107:AH107"/>
    <mergeCell ref="AI107:AJ107"/>
    <mergeCell ref="U106:V106"/>
    <mergeCell ref="W106:X106"/>
    <mergeCell ref="Y106:Z106"/>
    <mergeCell ref="AA106:AB106"/>
    <mergeCell ref="AC106:AD106"/>
    <mergeCell ref="AE106:AF106"/>
    <mergeCell ref="AG104:AH104"/>
    <mergeCell ref="AI104:AJ104"/>
    <mergeCell ref="U105:V105"/>
    <mergeCell ref="W105:X105"/>
    <mergeCell ref="Y105:Z105"/>
    <mergeCell ref="AA105:AB105"/>
    <mergeCell ref="AC105:AD105"/>
    <mergeCell ref="AE105:AF105"/>
    <mergeCell ref="AG105:AH105"/>
    <mergeCell ref="AI105:AJ105"/>
    <mergeCell ref="U104:V104"/>
    <mergeCell ref="W104:X104"/>
    <mergeCell ref="Y104:Z104"/>
    <mergeCell ref="AA104:AB104"/>
    <mergeCell ref="AC104:AD104"/>
    <mergeCell ref="AE104:AF104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U111:V111"/>
    <mergeCell ref="W111:X111"/>
    <mergeCell ref="Y111:Z111"/>
    <mergeCell ref="AA111:AB111"/>
    <mergeCell ref="AC111:AD111"/>
    <mergeCell ref="AE111:AF111"/>
    <mergeCell ref="AG108:AH108"/>
    <mergeCell ref="AI108:AJ108"/>
    <mergeCell ref="U109:V109"/>
    <mergeCell ref="W109:X109"/>
    <mergeCell ref="Y109:Z109"/>
    <mergeCell ref="AA109:AB109"/>
    <mergeCell ref="AC109:AD109"/>
    <mergeCell ref="AE109:AF109"/>
    <mergeCell ref="AG109:AH109"/>
    <mergeCell ref="AI109:AJ109"/>
    <mergeCell ref="U108:V108"/>
    <mergeCell ref="W108:X108"/>
    <mergeCell ref="Y108:Z108"/>
    <mergeCell ref="AA108:AB108"/>
    <mergeCell ref="AC108:AD108"/>
    <mergeCell ref="AE108:AF108"/>
    <mergeCell ref="U116:V116"/>
    <mergeCell ref="W116:X116"/>
    <mergeCell ref="Y116:Z116"/>
    <mergeCell ref="AA116:AB116"/>
    <mergeCell ref="AC116:AD116"/>
    <mergeCell ref="AE116:AF116"/>
    <mergeCell ref="AG116:AH116"/>
    <mergeCell ref="AI116:AJ116"/>
    <mergeCell ref="U115:V115"/>
    <mergeCell ref="W115:X115"/>
    <mergeCell ref="Y115:Z115"/>
    <mergeCell ref="AA115:AB115"/>
    <mergeCell ref="AC115:AD115"/>
    <mergeCell ref="AE115:AF115"/>
    <mergeCell ref="AG113:AH113"/>
    <mergeCell ref="AI113:AJ113"/>
    <mergeCell ref="U114:V114"/>
    <mergeCell ref="W114:X114"/>
    <mergeCell ref="Y114:Z114"/>
    <mergeCell ref="AA114:AB114"/>
    <mergeCell ref="AC114:AD114"/>
    <mergeCell ref="AE114:AF114"/>
    <mergeCell ref="AG114:AH114"/>
    <mergeCell ref="AI114:AJ114"/>
    <mergeCell ref="U113:V113"/>
    <mergeCell ref="W113:X113"/>
    <mergeCell ref="Y113:Z113"/>
    <mergeCell ref="AA113:AB113"/>
    <mergeCell ref="AC113:AD113"/>
    <mergeCell ref="AE113:AF113"/>
    <mergeCell ref="AW3:AX3"/>
    <mergeCell ref="AY3:AZ3"/>
    <mergeCell ref="AK6:AL6"/>
    <mergeCell ref="AM6:AN6"/>
    <mergeCell ref="AO6:AP6"/>
    <mergeCell ref="AQ6:AR6"/>
    <mergeCell ref="AS6:AT6"/>
    <mergeCell ref="AU6:AV6"/>
    <mergeCell ref="AW6:AX6"/>
    <mergeCell ref="AY6:AZ6"/>
    <mergeCell ref="AK3:AL3"/>
    <mergeCell ref="AM3:AN3"/>
    <mergeCell ref="AO3:AP3"/>
    <mergeCell ref="AQ3:AR3"/>
    <mergeCell ref="AS3:AT3"/>
    <mergeCell ref="AU3:AV3"/>
    <mergeCell ref="AG115:AH115"/>
    <mergeCell ref="AI115:AJ115"/>
    <mergeCell ref="AG111:AH111"/>
    <mergeCell ref="AI111:AJ111"/>
    <mergeCell ref="AG106:AH106"/>
    <mergeCell ref="AI106:AJ106"/>
    <mergeCell ref="AG102:AH102"/>
    <mergeCell ref="AI102:AJ102"/>
    <mergeCell ref="AG98:AH98"/>
    <mergeCell ref="AI98:AJ98"/>
    <mergeCell ref="AG93:AH93"/>
    <mergeCell ref="AI93:AJ93"/>
    <mergeCell ref="AG89:AH89"/>
    <mergeCell ref="AI89:AJ89"/>
    <mergeCell ref="AG85:AH85"/>
    <mergeCell ref="AI85:AJ85"/>
    <mergeCell ref="AW9:AX9"/>
    <mergeCell ref="AY9:AZ9"/>
    <mergeCell ref="AK10:AL10"/>
    <mergeCell ref="AM10:AN10"/>
    <mergeCell ref="AO10:AP10"/>
    <mergeCell ref="AQ10:AR10"/>
    <mergeCell ref="AS10:AT10"/>
    <mergeCell ref="AU10:AV10"/>
    <mergeCell ref="AW10:AX10"/>
    <mergeCell ref="AY10:AZ10"/>
    <mergeCell ref="AK9:AL9"/>
    <mergeCell ref="AM9:AN9"/>
    <mergeCell ref="AO9:AP9"/>
    <mergeCell ref="AQ9:AR9"/>
    <mergeCell ref="AS9:AT9"/>
    <mergeCell ref="AU9:AV9"/>
    <mergeCell ref="AW7:AX7"/>
    <mergeCell ref="AY7:AZ7"/>
    <mergeCell ref="AK8:AL8"/>
    <mergeCell ref="AM8:AN8"/>
    <mergeCell ref="AO8:AP8"/>
    <mergeCell ref="AQ8:AR8"/>
    <mergeCell ref="AS8:AT8"/>
    <mergeCell ref="AU8:AV8"/>
    <mergeCell ref="AW8:AX8"/>
    <mergeCell ref="AY8:AZ8"/>
    <mergeCell ref="AK7:AL7"/>
    <mergeCell ref="AM7:AN7"/>
    <mergeCell ref="AO7:AP7"/>
    <mergeCell ref="AQ7:AR7"/>
    <mergeCell ref="AS7:AT7"/>
    <mergeCell ref="AU7:AV7"/>
    <mergeCell ref="AW13:AX13"/>
    <mergeCell ref="AY13:AZ13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AK13:AL13"/>
    <mergeCell ref="AM13:AN13"/>
    <mergeCell ref="AO13:AP13"/>
    <mergeCell ref="AQ13:AR13"/>
    <mergeCell ref="AS13:AT13"/>
    <mergeCell ref="AU13:AV13"/>
    <mergeCell ref="AW11:AX11"/>
    <mergeCell ref="AY11:AZ11"/>
    <mergeCell ref="AK12:AL12"/>
    <mergeCell ref="AM12:AN12"/>
    <mergeCell ref="AO12:AP12"/>
    <mergeCell ref="AQ12:AR12"/>
    <mergeCell ref="AS12:AT12"/>
    <mergeCell ref="AU12:AV12"/>
    <mergeCell ref="AW12:AX12"/>
    <mergeCell ref="AY12:AZ12"/>
    <mergeCell ref="AK11:AL11"/>
    <mergeCell ref="AM11:AN11"/>
    <mergeCell ref="AO11:AP11"/>
    <mergeCell ref="AQ11:AR11"/>
    <mergeCell ref="AS11:AT11"/>
    <mergeCell ref="AU11:AV11"/>
    <mergeCell ref="AW17:AX17"/>
    <mergeCell ref="AY17:AZ17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AK17:AL17"/>
    <mergeCell ref="AM17:AN17"/>
    <mergeCell ref="AO17:AP17"/>
    <mergeCell ref="AQ17:AR17"/>
    <mergeCell ref="AS17:AT17"/>
    <mergeCell ref="AU17:AV17"/>
    <mergeCell ref="AW15:AX15"/>
    <mergeCell ref="AY15:AZ15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AK15:AL15"/>
    <mergeCell ref="AM15:AN15"/>
    <mergeCell ref="AO15:AP15"/>
    <mergeCell ref="AQ15:AR15"/>
    <mergeCell ref="AS15:AT15"/>
    <mergeCell ref="AU15:AV15"/>
    <mergeCell ref="AW28:AX28"/>
    <mergeCell ref="AY28:AZ28"/>
    <mergeCell ref="AK33:AL33"/>
    <mergeCell ref="AM33:AN33"/>
    <mergeCell ref="AO33:AP33"/>
    <mergeCell ref="AQ33:AR33"/>
    <mergeCell ref="AS33:AT33"/>
    <mergeCell ref="AU33:AV33"/>
    <mergeCell ref="AW33:AX33"/>
    <mergeCell ref="AY33:AZ33"/>
    <mergeCell ref="AK28:AL28"/>
    <mergeCell ref="AM28:AN28"/>
    <mergeCell ref="AO28:AP28"/>
    <mergeCell ref="AQ28:AR28"/>
    <mergeCell ref="AS28:AT28"/>
    <mergeCell ref="AU28:AV28"/>
    <mergeCell ref="AW26:AX26"/>
    <mergeCell ref="AY26:AZ26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AK26:AL26"/>
    <mergeCell ref="AM26:AN26"/>
    <mergeCell ref="AO26:AP26"/>
    <mergeCell ref="AQ26:AR26"/>
    <mergeCell ref="AS26:AT26"/>
    <mergeCell ref="AU26:AV26"/>
    <mergeCell ref="AW39:AX39"/>
    <mergeCell ref="AY39:AZ39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AK39:AL39"/>
    <mergeCell ref="AM39:AN39"/>
    <mergeCell ref="AO39:AP39"/>
    <mergeCell ref="AQ39:AR39"/>
    <mergeCell ref="AS39:AT39"/>
    <mergeCell ref="AU39:AV39"/>
    <mergeCell ref="AW35:AX35"/>
    <mergeCell ref="AY35:AZ35"/>
    <mergeCell ref="AK36:AL36"/>
    <mergeCell ref="AM36:AN36"/>
    <mergeCell ref="AO36:AP36"/>
    <mergeCell ref="AQ36:AR36"/>
    <mergeCell ref="AS36:AT36"/>
    <mergeCell ref="AU36:AV36"/>
    <mergeCell ref="AW36:AX36"/>
    <mergeCell ref="AY36:AZ36"/>
    <mergeCell ref="AK35:AL35"/>
    <mergeCell ref="AM35:AN35"/>
    <mergeCell ref="AO35:AP35"/>
    <mergeCell ref="AQ35:AR35"/>
    <mergeCell ref="AS35:AT35"/>
    <mergeCell ref="AU35:AV35"/>
    <mergeCell ref="AW44:AX44"/>
    <mergeCell ref="AY44:AZ44"/>
    <mergeCell ref="AK45:AL45"/>
    <mergeCell ref="AM45:AN45"/>
    <mergeCell ref="AO45:AP45"/>
    <mergeCell ref="AQ45:AR45"/>
    <mergeCell ref="AS45:AT45"/>
    <mergeCell ref="AU45:AV45"/>
    <mergeCell ref="AW45:AX45"/>
    <mergeCell ref="AY45:AZ45"/>
    <mergeCell ref="AK44:AL44"/>
    <mergeCell ref="AM44:AN44"/>
    <mergeCell ref="AO44:AP44"/>
    <mergeCell ref="AQ44:AR44"/>
    <mergeCell ref="AS44:AT44"/>
    <mergeCell ref="AU44:AV44"/>
    <mergeCell ref="AW42:AX42"/>
    <mergeCell ref="AY42:AZ42"/>
    <mergeCell ref="AK43:AL43"/>
    <mergeCell ref="AM43:AN43"/>
    <mergeCell ref="AO43:AP43"/>
    <mergeCell ref="AQ43:AR43"/>
    <mergeCell ref="AS43:AT43"/>
    <mergeCell ref="AU43:AV43"/>
    <mergeCell ref="AW43:AX43"/>
    <mergeCell ref="AY43:AZ43"/>
    <mergeCell ref="AK42:AL42"/>
    <mergeCell ref="AM42:AN42"/>
    <mergeCell ref="AO42:AP42"/>
    <mergeCell ref="AQ42:AR42"/>
    <mergeCell ref="AS42:AT42"/>
    <mergeCell ref="AU42:AV42"/>
    <mergeCell ref="AW48:AX48"/>
    <mergeCell ref="AY48:AZ48"/>
    <mergeCell ref="AK49:AL49"/>
    <mergeCell ref="AM49:AN49"/>
    <mergeCell ref="AO49:AP49"/>
    <mergeCell ref="AQ49:AR49"/>
    <mergeCell ref="AS49:AT49"/>
    <mergeCell ref="AU49:AV49"/>
    <mergeCell ref="AW49:AX49"/>
    <mergeCell ref="AY49:AZ49"/>
    <mergeCell ref="AK48:AL48"/>
    <mergeCell ref="AM48:AN48"/>
    <mergeCell ref="AO48:AP48"/>
    <mergeCell ref="AQ48:AR48"/>
    <mergeCell ref="AS48:AT48"/>
    <mergeCell ref="AU48:AV48"/>
    <mergeCell ref="AW46:AX46"/>
    <mergeCell ref="AY46:AZ46"/>
    <mergeCell ref="AK47:AL47"/>
    <mergeCell ref="AM47:AN47"/>
    <mergeCell ref="AO47:AP47"/>
    <mergeCell ref="AQ47:AR47"/>
    <mergeCell ref="AS47:AT47"/>
    <mergeCell ref="AU47:AV47"/>
    <mergeCell ref="AW47:AX47"/>
    <mergeCell ref="AY47:AZ47"/>
    <mergeCell ref="AK46:AL46"/>
    <mergeCell ref="AM46:AN46"/>
    <mergeCell ref="AO46:AP46"/>
    <mergeCell ref="AQ46:AR46"/>
    <mergeCell ref="AS46:AT46"/>
    <mergeCell ref="AU46:AV46"/>
    <mergeCell ref="AW52:AX52"/>
    <mergeCell ref="AY52:AZ52"/>
    <mergeCell ref="AK54:AL54"/>
    <mergeCell ref="AM54:AN54"/>
    <mergeCell ref="AO54:AP54"/>
    <mergeCell ref="AQ54:AR54"/>
    <mergeCell ref="AS54:AT54"/>
    <mergeCell ref="AU54:AV54"/>
    <mergeCell ref="AW54:AX54"/>
    <mergeCell ref="AY54:AZ54"/>
    <mergeCell ref="AK52:AL52"/>
    <mergeCell ref="AM52:AN52"/>
    <mergeCell ref="AO52:AP52"/>
    <mergeCell ref="AQ52:AR52"/>
    <mergeCell ref="AS52:AT52"/>
    <mergeCell ref="AU52:AV52"/>
    <mergeCell ref="AW50:AX50"/>
    <mergeCell ref="AY50:AZ50"/>
    <mergeCell ref="AK51:AL51"/>
    <mergeCell ref="AM51:AN51"/>
    <mergeCell ref="AO51:AP51"/>
    <mergeCell ref="AQ51:AR51"/>
    <mergeCell ref="AS51:AT51"/>
    <mergeCell ref="AU51:AV51"/>
    <mergeCell ref="AW51:AX51"/>
    <mergeCell ref="AY51:AZ51"/>
    <mergeCell ref="AK50:AL50"/>
    <mergeCell ref="AM50:AN50"/>
    <mergeCell ref="AO50:AP50"/>
    <mergeCell ref="AQ50:AR50"/>
    <mergeCell ref="AS50:AT50"/>
    <mergeCell ref="AU50:AV50"/>
    <mergeCell ref="AW60:AX60"/>
    <mergeCell ref="AY60:AZ60"/>
    <mergeCell ref="AK61:AL61"/>
    <mergeCell ref="AM61:AN61"/>
    <mergeCell ref="AO61:AP61"/>
    <mergeCell ref="AQ61:AR61"/>
    <mergeCell ref="AS61:AT61"/>
    <mergeCell ref="AU61:AV61"/>
    <mergeCell ref="AW61:AX61"/>
    <mergeCell ref="AY61:AZ61"/>
    <mergeCell ref="AK60:AL60"/>
    <mergeCell ref="AM60:AN60"/>
    <mergeCell ref="AO60:AP60"/>
    <mergeCell ref="AQ60:AR60"/>
    <mergeCell ref="AS60:AT60"/>
    <mergeCell ref="AU60:AV60"/>
    <mergeCell ref="AW55:AX55"/>
    <mergeCell ref="AY55:AZ55"/>
    <mergeCell ref="AK56:AL56"/>
    <mergeCell ref="AM56:AN56"/>
    <mergeCell ref="AO56:AP56"/>
    <mergeCell ref="AQ56:AR56"/>
    <mergeCell ref="AS56:AT56"/>
    <mergeCell ref="AU56:AV56"/>
    <mergeCell ref="AW56:AX56"/>
    <mergeCell ref="AY56:AZ56"/>
    <mergeCell ref="AK55:AL55"/>
    <mergeCell ref="AM55:AN55"/>
    <mergeCell ref="AO55:AP55"/>
    <mergeCell ref="AQ55:AR55"/>
    <mergeCell ref="AS55:AT55"/>
    <mergeCell ref="AU55:AV55"/>
    <mergeCell ref="AW64:AX64"/>
    <mergeCell ref="AY64:AZ64"/>
    <mergeCell ref="AK66:AL66"/>
    <mergeCell ref="AM66:AN66"/>
    <mergeCell ref="AO66:AP66"/>
    <mergeCell ref="AQ66:AR66"/>
    <mergeCell ref="AS66:AT66"/>
    <mergeCell ref="AU66:AV66"/>
    <mergeCell ref="AW66:AX66"/>
    <mergeCell ref="AY66:AZ66"/>
    <mergeCell ref="AK64:AL64"/>
    <mergeCell ref="AM64:AN64"/>
    <mergeCell ref="AO64:AP64"/>
    <mergeCell ref="AQ64:AR64"/>
    <mergeCell ref="AS64:AT64"/>
    <mergeCell ref="AU64:AV64"/>
    <mergeCell ref="AW62:AX62"/>
    <mergeCell ref="AY62:AZ62"/>
    <mergeCell ref="AK63:AL63"/>
    <mergeCell ref="AM63:AN63"/>
    <mergeCell ref="AO63:AP63"/>
    <mergeCell ref="AQ63:AR63"/>
    <mergeCell ref="AS63:AT63"/>
    <mergeCell ref="AU63:AV63"/>
    <mergeCell ref="AW63:AX63"/>
    <mergeCell ref="AY63:AZ63"/>
    <mergeCell ref="AK62:AL62"/>
    <mergeCell ref="AM62:AN62"/>
    <mergeCell ref="AO62:AP62"/>
    <mergeCell ref="AQ62:AR62"/>
    <mergeCell ref="AS62:AT62"/>
    <mergeCell ref="AU62:AV62"/>
    <mergeCell ref="AW69:AX69"/>
    <mergeCell ref="AY69:AZ69"/>
    <mergeCell ref="AK70:AL70"/>
    <mergeCell ref="AM70:AN70"/>
    <mergeCell ref="AO70:AP70"/>
    <mergeCell ref="AQ70:AR70"/>
    <mergeCell ref="AS70:AT70"/>
    <mergeCell ref="AU70:AV70"/>
    <mergeCell ref="AW70:AX70"/>
    <mergeCell ref="AY70:AZ70"/>
    <mergeCell ref="AK69:AL69"/>
    <mergeCell ref="AM69:AN69"/>
    <mergeCell ref="AO69:AP69"/>
    <mergeCell ref="AQ69:AR69"/>
    <mergeCell ref="AS69:AT69"/>
    <mergeCell ref="AU69:AV69"/>
    <mergeCell ref="AW67:AX67"/>
    <mergeCell ref="AY67:AZ67"/>
    <mergeCell ref="AK68:AL68"/>
    <mergeCell ref="AM68:AN68"/>
    <mergeCell ref="AO68:AP68"/>
    <mergeCell ref="AQ68:AR68"/>
    <mergeCell ref="AS68:AT68"/>
    <mergeCell ref="AU68:AV68"/>
    <mergeCell ref="AW68:AX68"/>
    <mergeCell ref="AY68:AZ68"/>
    <mergeCell ref="AK67:AL67"/>
    <mergeCell ref="AM67:AN67"/>
    <mergeCell ref="AO67:AP67"/>
    <mergeCell ref="AQ67:AR67"/>
    <mergeCell ref="AS67:AT67"/>
    <mergeCell ref="AU67:AV67"/>
    <mergeCell ref="AW73:AX73"/>
    <mergeCell ref="AY73:AZ73"/>
    <mergeCell ref="AK74:AL74"/>
    <mergeCell ref="AM74:AN74"/>
    <mergeCell ref="AO74:AP74"/>
    <mergeCell ref="AQ74:AR74"/>
    <mergeCell ref="AS74:AT74"/>
    <mergeCell ref="AU74:AV74"/>
    <mergeCell ref="AW74:AX74"/>
    <mergeCell ref="AY74:AZ74"/>
    <mergeCell ref="AK73:AL73"/>
    <mergeCell ref="AM73:AN73"/>
    <mergeCell ref="AO73:AP73"/>
    <mergeCell ref="AQ73:AR73"/>
    <mergeCell ref="AS73:AT73"/>
    <mergeCell ref="AU73:AV73"/>
    <mergeCell ref="AW71:AX71"/>
    <mergeCell ref="AY71:AZ71"/>
    <mergeCell ref="AK72:AL72"/>
    <mergeCell ref="AM72:AN72"/>
    <mergeCell ref="AO72:AP72"/>
    <mergeCell ref="AQ72:AR72"/>
    <mergeCell ref="AS72:AT72"/>
    <mergeCell ref="AU72:AV72"/>
    <mergeCell ref="AW72:AX72"/>
    <mergeCell ref="AY72:AZ72"/>
    <mergeCell ref="AK71:AL71"/>
    <mergeCell ref="AM71:AN71"/>
    <mergeCell ref="AO71:AP71"/>
    <mergeCell ref="AQ71:AR71"/>
    <mergeCell ref="AS71:AT71"/>
    <mergeCell ref="AU71:AV71"/>
    <mergeCell ref="AW77:AX77"/>
    <mergeCell ref="AY77:AZ77"/>
    <mergeCell ref="AK78:AL78"/>
    <mergeCell ref="AM78:AN78"/>
    <mergeCell ref="AO78:AP78"/>
    <mergeCell ref="AQ78:AR78"/>
    <mergeCell ref="AS78:AT78"/>
    <mergeCell ref="AU78:AV78"/>
    <mergeCell ref="AW78:AX78"/>
    <mergeCell ref="AY78:AZ78"/>
    <mergeCell ref="AK77:AL77"/>
    <mergeCell ref="AM77:AN77"/>
    <mergeCell ref="AO77:AP77"/>
    <mergeCell ref="AQ77:AR77"/>
    <mergeCell ref="AS77:AT77"/>
    <mergeCell ref="AU77:AV77"/>
    <mergeCell ref="AW75:AX75"/>
    <mergeCell ref="AY75:AZ75"/>
    <mergeCell ref="AK76:AL76"/>
    <mergeCell ref="AM76:AN76"/>
    <mergeCell ref="AO76:AP76"/>
    <mergeCell ref="AQ76:AR76"/>
    <mergeCell ref="AS76:AT76"/>
    <mergeCell ref="AU76:AV76"/>
    <mergeCell ref="AW76:AX76"/>
    <mergeCell ref="AY76:AZ76"/>
    <mergeCell ref="AK75:AL75"/>
    <mergeCell ref="AM75:AN75"/>
    <mergeCell ref="AO75:AP75"/>
    <mergeCell ref="AQ75:AR75"/>
    <mergeCell ref="AS75:AT75"/>
    <mergeCell ref="AU75:AV75"/>
    <mergeCell ref="AW82:AX82"/>
    <mergeCell ref="AY82:AZ82"/>
    <mergeCell ref="AK83:AL83"/>
    <mergeCell ref="AM83:AN83"/>
    <mergeCell ref="AO83:AP83"/>
    <mergeCell ref="AQ83:AR83"/>
    <mergeCell ref="AS83:AT83"/>
    <mergeCell ref="AU83:AV83"/>
    <mergeCell ref="AW83:AX83"/>
    <mergeCell ref="AY83:AZ83"/>
    <mergeCell ref="AK82:AL82"/>
    <mergeCell ref="AM82:AN82"/>
    <mergeCell ref="AO82:AP82"/>
    <mergeCell ref="AQ82:AR82"/>
    <mergeCell ref="AS82:AT82"/>
    <mergeCell ref="AU82:AV82"/>
    <mergeCell ref="AW79:AX79"/>
    <mergeCell ref="AY79:AZ79"/>
    <mergeCell ref="AK81:AL81"/>
    <mergeCell ref="AM81:AN81"/>
    <mergeCell ref="AO81:AP81"/>
    <mergeCell ref="AQ81:AR81"/>
    <mergeCell ref="AS81:AT81"/>
    <mergeCell ref="AU81:AV81"/>
    <mergeCell ref="AW81:AX81"/>
    <mergeCell ref="AY81:AZ81"/>
    <mergeCell ref="AK79:AL79"/>
    <mergeCell ref="AM79:AN79"/>
    <mergeCell ref="AO79:AP79"/>
    <mergeCell ref="AQ79:AR79"/>
    <mergeCell ref="AS79:AT79"/>
    <mergeCell ref="AU79:AV79"/>
    <mergeCell ref="AW86:AX86"/>
    <mergeCell ref="AY86:AZ86"/>
    <mergeCell ref="AK87:AL87"/>
    <mergeCell ref="AM87:AN87"/>
    <mergeCell ref="AO87:AP87"/>
    <mergeCell ref="AQ87:AR87"/>
    <mergeCell ref="AS87:AT87"/>
    <mergeCell ref="AU87:AV87"/>
    <mergeCell ref="AW87:AX87"/>
    <mergeCell ref="AY87:AZ87"/>
    <mergeCell ref="AK86:AL86"/>
    <mergeCell ref="AM86:AN86"/>
    <mergeCell ref="AO86:AP86"/>
    <mergeCell ref="AQ86:AR86"/>
    <mergeCell ref="AS86:AT86"/>
    <mergeCell ref="AU86:AV86"/>
    <mergeCell ref="AW84:AX84"/>
    <mergeCell ref="AY84:AZ84"/>
    <mergeCell ref="AK85:AL85"/>
    <mergeCell ref="AM85:AN85"/>
    <mergeCell ref="AO85:AP85"/>
    <mergeCell ref="AQ85:AR85"/>
    <mergeCell ref="AS85:AT85"/>
    <mergeCell ref="AU85:AV85"/>
    <mergeCell ref="AW85:AX85"/>
    <mergeCell ref="AY85:AZ85"/>
    <mergeCell ref="AK84:AL84"/>
    <mergeCell ref="AM84:AN84"/>
    <mergeCell ref="AO84:AP84"/>
    <mergeCell ref="AQ84:AR84"/>
    <mergeCell ref="AS84:AT84"/>
    <mergeCell ref="AU84:AV84"/>
    <mergeCell ref="AW90:AX90"/>
    <mergeCell ref="AY90:AZ90"/>
    <mergeCell ref="AK91:AL91"/>
    <mergeCell ref="AM91:AN91"/>
    <mergeCell ref="AO91:AP91"/>
    <mergeCell ref="AQ91:AR91"/>
    <mergeCell ref="AS91:AT91"/>
    <mergeCell ref="AU91:AV91"/>
    <mergeCell ref="AW91:AX91"/>
    <mergeCell ref="AY91:AZ91"/>
    <mergeCell ref="AK90:AL90"/>
    <mergeCell ref="AM90:AN90"/>
    <mergeCell ref="AO90:AP90"/>
    <mergeCell ref="AQ90:AR90"/>
    <mergeCell ref="AS90:AT90"/>
    <mergeCell ref="AU90:AV90"/>
    <mergeCell ref="AW88:AX88"/>
    <mergeCell ref="AY88:AZ88"/>
    <mergeCell ref="AK89:AL89"/>
    <mergeCell ref="AM89:AN89"/>
    <mergeCell ref="AO89:AP89"/>
    <mergeCell ref="AQ89:AR89"/>
    <mergeCell ref="AS89:AT89"/>
    <mergeCell ref="AU89:AV89"/>
    <mergeCell ref="AW89:AX89"/>
    <mergeCell ref="AY89:AZ89"/>
    <mergeCell ref="AK88:AL88"/>
    <mergeCell ref="AM88:AN88"/>
    <mergeCell ref="AO88:AP88"/>
    <mergeCell ref="AQ88:AR88"/>
    <mergeCell ref="AS88:AT88"/>
    <mergeCell ref="AU88:AV88"/>
    <mergeCell ref="AW94:AX94"/>
    <mergeCell ref="AY94:AZ94"/>
    <mergeCell ref="AK95:AL95"/>
    <mergeCell ref="AM95:AN95"/>
    <mergeCell ref="AO95:AP95"/>
    <mergeCell ref="AQ95:AR95"/>
    <mergeCell ref="AS95:AT95"/>
    <mergeCell ref="AU95:AV95"/>
    <mergeCell ref="AW95:AX95"/>
    <mergeCell ref="AY95:AZ95"/>
    <mergeCell ref="AK94:AL94"/>
    <mergeCell ref="AM94:AN94"/>
    <mergeCell ref="AO94:AP94"/>
    <mergeCell ref="AQ94:AR94"/>
    <mergeCell ref="AS94:AT94"/>
    <mergeCell ref="AU94:AV94"/>
    <mergeCell ref="AW92:AX92"/>
    <mergeCell ref="AY92:AZ92"/>
    <mergeCell ref="AK93:AL93"/>
    <mergeCell ref="AM93:AN93"/>
    <mergeCell ref="AO93:AP93"/>
    <mergeCell ref="AQ93:AR93"/>
    <mergeCell ref="AS93:AT93"/>
    <mergeCell ref="AU93:AV93"/>
    <mergeCell ref="AW93:AX93"/>
    <mergeCell ref="AY93:AZ93"/>
    <mergeCell ref="AK92:AL92"/>
    <mergeCell ref="AM92:AN92"/>
    <mergeCell ref="AO92:AP92"/>
    <mergeCell ref="AQ92:AR92"/>
    <mergeCell ref="AS92:AT92"/>
    <mergeCell ref="AU92:AV92"/>
    <mergeCell ref="AW99:AX99"/>
    <mergeCell ref="AY99:AZ99"/>
    <mergeCell ref="AK100:AL100"/>
    <mergeCell ref="AM100:AN100"/>
    <mergeCell ref="AO100:AP100"/>
    <mergeCell ref="AQ100:AR100"/>
    <mergeCell ref="AS100:AT100"/>
    <mergeCell ref="AU100:AV100"/>
    <mergeCell ref="AW100:AX100"/>
    <mergeCell ref="AY100:AZ100"/>
    <mergeCell ref="AK99:AL99"/>
    <mergeCell ref="AM99:AN99"/>
    <mergeCell ref="AO99:AP99"/>
    <mergeCell ref="AQ99:AR99"/>
    <mergeCell ref="AS99:AT99"/>
    <mergeCell ref="AU99:AV99"/>
    <mergeCell ref="AW96:AX96"/>
    <mergeCell ref="AY96:AZ96"/>
    <mergeCell ref="AK98:AL98"/>
    <mergeCell ref="AM98:AN98"/>
    <mergeCell ref="AO98:AP98"/>
    <mergeCell ref="AQ98:AR98"/>
    <mergeCell ref="AS98:AT98"/>
    <mergeCell ref="AU98:AV98"/>
    <mergeCell ref="AW98:AX98"/>
    <mergeCell ref="AY98:AZ98"/>
    <mergeCell ref="AK96:AL96"/>
    <mergeCell ref="AM96:AN96"/>
    <mergeCell ref="AO96:AP96"/>
    <mergeCell ref="AQ96:AR96"/>
    <mergeCell ref="AS96:AT96"/>
    <mergeCell ref="AU96:AV96"/>
    <mergeCell ref="AW103:AX103"/>
    <mergeCell ref="AY103:AZ103"/>
    <mergeCell ref="AK104:AL104"/>
    <mergeCell ref="AM104:AN104"/>
    <mergeCell ref="AO104:AP104"/>
    <mergeCell ref="AQ104:AR104"/>
    <mergeCell ref="AS104:AT104"/>
    <mergeCell ref="AU104:AV104"/>
    <mergeCell ref="AW104:AX104"/>
    <mergeCell ref="AY104:AZ104"/>
    <mergeCell ref="AK103:AL103"/>
    <mergeCell ref="AM103:AN103"/>
    <mergeCell ref="AO103:AP103"/>
    <mergeCell ref="AQ103:AR103"/>
    <mergeCell ref="AS103:AT103"/>
    <mergeCell ref="AU103:AV103"/>
    <mergeCell ref="AW101:AX101"/>
    <mergeCell ref="AY101:AZ101"/>
    <mergeCell ref="AK102:AL102"/>
    <mergeCell ref="AM102:AN102"/>
    <mergeCell ref="AO102:AP102"/>
    <mergeCell ref="AQ102:AR102"/>
    <mergeCell ref="AS102:AT102"/>
    <mergeCell ref="AU102:AV102"/>
    <mergeCell ref="AW102:AX102"/>
    <mergeCell ref="AY102:AZ102"/>
    <mergeCell ref="AK101:AL101"/>
    <mergeCell ref="AM101:AN101"/>
    <mergeCell ref="AO101:AP101"/>
    <mergeCell ref="AQ101:AR101"/>
    <mergeCell ref="AS101:AT101"/>
    <mergeCell ref="AU101:AV101"/>
    <mergeCell ref="AW107:AX107"/>
    <mergeCell ref="AY107:AZ107"/>
    <mergeCell ref="AK108:AL108"/>
    <mergeCell ref="AM108:AN108"/>
    <mergeCell ref="AO108:AP108"/>
    <mergeCell ref="AQ108:AR108"/>
    <mergeCell ref="AS108:AT108"/>
    <mergeCell ref="AU108:AV108"/>
    <mergeCell ref="AW108:AX108"/>
    <mergeCell ref="AY108:AZ108"/>
    <mergeCell ref="AK107:AL107"/>
    <mergeCell ref="AM107:AN107"/>
    <mergeCell ref="AO107:AP107"/>
    <mergeCell ref="AQ107:AR107"/>
    <mergeCell ref="AS107:AT107"/>
    <mergeCell ref="AU107:AV107"/>
    <mergeCell ref="AW105:AX105"/>
    <mergeCell ref="AY105:AZ105"/>
    <mergeCell ref="AK106:AL106"/>
    <mergeCell ref="AM106:AN106"/>
    <mergeCell ref="AO106:AP106"/>
    <mergeCell ref="AQ106:AR106"/>
    <mergeCell ref="AS106:AT106"/>
    <mergeCell ref="AU106:AV106"/>
    <mergeCell ref="AW106:AX106"/>
    <mergeCell ref="AY106:AZ106"/>
    <mergeCell ref="AK105:AL105"/>
    <mergeCell ref="AM105:AN105"/>
    <mergeCell ref="AO105:AP105"/>
    <mergeCell ref="AQ105:AR105"/>
    <mergeCell ref="AS105:AT105"/>
    <mergeCell ref="AU105:AV105"/>
    <mergeCell ref="AW112:AX112"/>
    <mergeCell ref="AY112:AZ112"/>
    <mergeCell ref="AK113:AL113"/>
    <mergeCell ref="AM113:AN113"/>
    <mergeCell ref="AO113:AP113"/>
    <mergeCell ref="AQ113:AR113"/>
    <mergeCell ref="AS113:AT113"/>
    <mergeCell ref="AU113:AV113"/>
    <mergeCell ref="AW113:AX113"/>
    <mergeCell ref="AY113:AZ113"/>
    <mergeCell ref="AK112:AL112"/>
    <mergeCell ref="AM112:AN112"/>
    <mergeCell ref="AO112:AP112"/>
    <mergeCell ref="AQ112:AR112"/>
    <mergeCell ref="AS112:AT112"/>
    <mergeCell ref="AU112:AV112"/>
    <mergeCell ref="AW109:AX109"/>
    <mergeCell ref="AY109:AZ109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AK109:AL109"/>
    <mergeCell ref="AM109:AN109"/>
    <mergeCell ref="AO109:AP109"/>
    <mergeCell ref="AQ109:AR109"/>
    <mergeCell ref="AS109:AT109"/>
    <mergeCell ref="AU109:AV109"/>
    <mergeCell ref="AW116:AX116"/>
    <mergeCell ref="AY116:AZ116"/>
    <mergeCell ref="BA3:BB3"/>
    <mergeCell ref="BC3:BD3"/>
    <mergeCell ref="BE3:BF3"/>
    <mergeCell ref="BG3:BH3"/>
    <mergeCell ref="BA8:BB8"/>
    <mergeCell ref="BC8:BD8"/>
    <mergeCell ref="BE8:BF8"/>
    <mergeCell ref="BG8:BH8"/>
    <mergeCell ref="AK116:AL116"/>
    <mergeCell ref="AM116:AN116"/>
    <mergeCell ref="AO116:AP116"/>
    <mergeCell ref="AQ116:AR116"/>
    <mergeCell ref="AS116:AT116"/>
    <mergeCell ref="AU116:AV116"/>
    <mergeCell ref="AW114:AX114"/>
    <mergeCell ref="AY114:AZ114"/>
    <mergeCell ref="AK115:AL115"/>
    <mergeCell ref="AM115:AN115"/>
    <mergeCell ref="AO115:AP115"/>
    <mergeCell ref="AQ115:AR115"/>
    <mergeCell ref="AS115:AT115"/>
    <mergeCell ref="AU115:AV115"/>
    <mergeCell ref="AW115:AX115"/>
    <mergeCell ref="AY115:AZ115"/>
    <mergeCell ref="AK114:AL114"/>
    <mergeCell ref="AM114:AN114"/>
    <mergeCell ref="AO114:AP114"/>
    <mergeCell ref="AQ114:AR114"/>
    <mergeCell ref="AS114:AT114"/>
    <mergeCell ref="AU114:AV114"/>
    <mergeCell ref="BM6:BN6"/>
    <mergeCell ref="BA7:BB7"/>
    <mergeCell ref="BC7:BD7"/>
    <mergeCell ref="BE7:BF7"/>
    <mergeCell ref="BG7:BH7"/>
    <mergeCell ref="BI7:BJ7"/>
    <mergeCell ref="BK7:BL7"/>
    <mergeCell ref="BM7:BN7"/>
    <mergeCell ref="BI3:BJ3"/>
    <mergeCell ref="BK3:BL3"/>
    <mergeCell ref="BM3:BN3"/>
    <mergeCell ref="BA6:BB6"/>
    <mergeCell ref="BC6:BD6"/>
    <mergeCell ref="BE6:BF6"/>
    <mergeCell ref="BG6:BH6"/>
    <mergeCell ref="BI6:BJ6"/>
    <mergeCell ref="BK6:BL6"/>
    <mergeCell ref="BM9:BN9"/>
    <mergeCell ref="BA10:BB10"/>
    <mergeCell ref="BC10:BD10"/>
    <mergeCell ref="BE10:BF10"/>
    <mergeCell ref="BG10:BH10"/>
    <mergeCell ref="BI10:BJ10"/>
    <mergeCell ref="BK10:BL10"/>
    <mergeCell ref="BM10:BN10"/>
    <mergeCell ref="BI8:BJ8"/>
    <mergeCell ref="BK8:BL8"/>
    <mergeCell ref="BM8:BN8"/>
    <mergeCell ref="BA9:BB9"/>
    <mergeCell ref="BC9:BD9"/>
    <mergeCell ref="BE9:BF9"/>
    <mergeCell ref="BG9:BH9"/>
    <mergeCell ref="BI9:BJ9"/>
    <mergeCell ref="BK9:BL9"/>
    <mergeCell ref="BM13:BN13"/>
    <mergeCell ref="BA14:BB14"/>
    <mergeCell ref="BC14:BD14"/>
    <mergeCell ref="BE14:BF14"/>
    <mergeCell ref="BG14:BH14"/>
    <mergeCell ref="BI14:BJ14"/>
    <mergeCell ref="BK14:BL14"/>
    <mergeCell ref="BM14:BN14"/>
    <mergeCell ref="BA13:BB13"/>
    <mergeCell ref="BC13:BD13"/>
    <mergeCell ref="BE13:BF13"/>
    <mergeCell ref="BG13:BH13"/>
    <mergeCell ref="BI13:BJ13"/>
    <mergeCell ref="BK13:BL13"/>
    <mergeCell ref="BM11:BN11"/>
    <mergeCell ref="BA12:BB12"/>
    <mergeCell ref="BC12:BD12"/>
    <mergeCell ref="BE12:BF12"/>
    <mergeCell ref="BG12:BH12"/>
    <mergeCell ref="BI12:BJ12"/>
    <mergeCell ref="BK12:BL12"/>
    <mergeCell ref="BM12:BN12"/>
    <mergeCell ref="BA11:BB11"/>
    <mergeCell ref="BC11:BD11"/>
    <mergeCell ref="BE11:BF11"/>
    <mergeCell ref="BG11:BH11"/>
    <mergeCell ref="BI11:BJ11"/>
    <mergeCell ref="BK11:BL11"/>
    <mergeCell ref="BM17:BN17"/>
    <mergeCell ref="BA25:BB25"/>
    <mergeCell ref="BC25:BD25"/>
    <mergeCell ref="BE25:BF25"/>
    <mergeCell ref="BG25:BH25"/>
    <mergeCell ref="BI25:BJ25"/>
    <mergeCell ref="BK25:BL25"/>
    <mergeCell ref="BM25:BN25"/>
    <mergeCell ref="BA17:BB17"/>
    <mergeCell ref="BC17:BD17"/>
    <mergeCell ref="BE17:BF17"/>
    <mergeCell ref="BG17:BH17"/>
    <mergeCell ref="BI17:BJ17"/>
    <mergeCell ref="BK17:BL17"/>
    <mergeCell ref="BM15:BN15"/>
    <mergeCell ref="BA16:BB16"/>
    <mergeCell ref="BC16:BD16"/>
    <mergeCell ref="BE16:BF16"/>
    <mergeCell ref="BG16:BH16"/>
    <mergeCell ref="BI16:BJ16"/>
    <mergeCell ref="BK16:BL16"/>
    <mergeCell ref="BM16:BN16"/>
    <mergeCell ref="BA15:BB15"/>
    <mergeCell ref="BC15:BD15"/>
    <mergeCell ref="BE15:BF15"/>
    <mergeCell ref="BG15:BH15"/>
    <mergeCell ref="BI15:BJ15"/>
    <mergeCell ref="BK15:BL15"/>
    <mergeCell ref="BM28:BN28"/>
    <mergeCell ref="BA33:BB33"/>
    <mergeCell ref="BC33:BD33"/>
    <mergeCell ref="BE33:BF33"/>
    <mergeCell ref="BG33:BH33"/>
    <mergeCell ref="BI33:BJ33"/>
    <mergeCell ref="BK33:BL33"/>
    <mergeCell ref="BM33:BN33"/>
    <mergeCell ref="BA28:BB28"/>
    <mergeCell ref="BC28:BD28"/>
    <mergeCell ref="BE28:BF28"/>
    <mergeCell ref="BG28:BH28"/>
    <mergeCell ref="BI28:BJ28"/>
    <mergeCell ref="BK28:BL28"/>
    <mergeCell ref="BM26:BN26"/>
    <mergeCell ref="BA27:BB27"/>
    <mergeCell ref="BC27:BD27"/>
    <mergeCell ref="BE27:BF27"/>
    <mergeCell ref="BG27:BH27"/>
    <mergeCell ref="BI27:BJ27"/>
    <mergeCell ref="BK27:BL27"/>
    <mergeCell ref="BM27:BN27"/>
    <mergeCell ref="BA26:BB26"/>
    <mergeCell ref="BC26:BD26"/>
    <mergeCell ref="BE26:BF26"/>
    <mergeCell ref="BG26:BH26"/>
    <mergeCell ref="BI26:BJ26"/>
    <mergeCell ref="BK26:BL26"/>
    <mergeCell ref="BM39:BN39"/>
    <mergeCell ref="BA40:BB40"/>
    <mergeCell ref="BC40:BD40"/>
    <mergeCell ref="BE40:BF40"/>
    <mergeCell ref="BG40:BH40"/>
    <mergeCell ref="BI40:BJ40"/>
    <mergeCell ref="BK40:BL40"/>
    <mergeCell ref="BM40:BN40"/>
    <mergeCell ref="BA39:BB39"/>
    <mergeCell ref="BC39:BD39"/>
    <mergeCell ref="BE39:BF39"/>
    <mergeCell ref="BG39:BH39"/>
    <mergeCell ref="BI39:BJ39"/>
    <mergeCell ref="BK39:BL39"/>
    <mergeCell ref="BM35:BN35"/>
    <mergeCell ref="BA36:BB36"/>
    <mergeCell ref="BC36:BD36"/>
    <mergeCell ref="BE36:BF36"/>
    <mergeCell ref="BG36:BH36"/>
    <mergeCell ref="BI36:BJ36"/>
    <mergeCell ref="BK36:BL36"/>
    <mergeCell ref="BM36:BN36"/>
    <mergeCell ref="BA35:BB35"/>
    <mergeCell ref="BC35:BD35"/>
    <mergeCell ref="BE35:BF35"/>
    <mergeCell ref="BG35:BH35"/>
    <mergeCell ref="BI35:BJ35"/>
    <mergeCell ref="BK35:BL35"/>
    <mergeCell ref="BM44:BN44"/>
    <mergeCell ref="BA45:BB45"/>
    <mergeCell ref="BC45:BD45"/>
    <mergeCell ref="BE45:BF45"/>
    <mergeCell ref="BG45:BH45"/>
    <mergeCell ref="BI45:BJ45"/>
    <mergeCell ref="BK45:BL45"/>
    <mergeCell ref="BM45:BN45"/>
    <mergeCell ref="BA44:BB44"/>
    <mergeCell ref="BC44:BD44"/>
    <mergeCell ref="BE44:BF44"/>
    <mergeCell ref="BG44:BH44"/>
    <mergeCell ref="BI44:BJ44"/>
    <mergeCell ref="BK44:BL44"/>
    <mergeCell ref="BM42:BN42"/>
    <mergeCell ref="BA43:BB43"/>
    <mergeCell ref="BC43:BD43"/>
    <mergeCell ref="BE43:BF43"/>
    <mergeCell ref="BG43:BH43"/>
    <mergeCell ref="BI43:BJ43"/>
    <mergeCell ref="BK43:BL43"/>
    <mergeCell ref="BM43:BN43"/>
    <mergeCell ref="BA42:BB42"/>
    <mergeCell ref="BC42:BD42"/>
    <mergeCell ref="BE42:BF42"/>
    <mergeCell ref="BG42:BH42"/>
    <mergeCell ref="BI42:BJ42"/>
    <mergeCell ref="BK42:BL42"/>
    <mergeCell ref="BM48:BN48"/>
    <mergeCell ref="BA49:BB49"/>
    <mergeCell ref="BC49:BD49"/>
    <mergeCell ref="BE49:BF49"/>
    <mergeCell ref="BG49:BH49"/>
    <mergeCell ref="BI49:BJ49"/>
    <mergeCell ref="BK49:BL49"/>
    <mergeCell ref="BM49:BN49"/>
    <mergeCell ref="BA48:BB48"/>
    <mergeCell ref="BC48:BD48"/>
    <mergeCell ref="BE48:BF48"/>
    <mergeCell ref="BG48:BH48"/>
    <mergeCell ref="BI48:BJ48"/>
    <mergeCell ref="BK48:BL48"/>
    <mergeCell ref="BM46:BN46"/>
    <mergeCell ref="BA47:BB47"/>
    <mergeCell ref="BC47:BD47"/>
    <mergeCell ref="BE47:BF47"/>
    <mergeCell ref="BG47:BH47"/>
    <mergeCell ref="BI47:BJ47"/>
    <mergeCell ref="BK47:BL47"/>
    <mergeCell ref="BM47:BN47"/>
    <mergeCell ref="BA46:BB46"/>
    <mergeCell ref="BC46:BD46"/>
    <mergeCell ref="BE46:BF46"/>
    <mergeCell ref="BG46:BH46"/>
    <mergeCell ref="BI46:BJ46"/>
    <mergeCell ref="BK46:BL46"/>
    <mergeCell ref="BM52:BN52"/>
    <mergeCell ref="BA54:BB54"/>
    <mergeCell ref="BC54:BD54"/>
    <mergeCell ref="BE54:BF54"/>
    <mergeCell ref="BG54:BH54"/>
    <mergeCell ref="BI54:BJ54"/>
    <mergeCell ref="BK54:BL54"/>
    <mergeCell ref="BM54:BN54"/>
    <mergeCell ref="BA52:BB52"/>
    <mergeCell ref="BC52:BD52"/>
    <mergeCell ref="BE52:BF52"/>
    <mergeCell ref="BG52:BH52"/>
    <mergeCell ref="BI52:BJ52"/>
    <mergeCell ref="BK52:BL52"/>
    <mergeCell ref="BM50:BN50"/>
    <mergeCell ref="BA51:BB51"/>
    <mergeCell ref="BC51:BD51"/>
    <mergeCell ref="BE51:BF51"/>
    <mergeCell ref="BG51:BH51"/>
    <mergeCell ref="BI51:BJ51"/>
    <mergeCell ref="BK51:BL51"/>
    <mergeCell ref="BM51:BN51"/>
    <mergeCell ref="BA50:BB50"/>
    <mergeCell ref="BC50:BD50"/>
    <mergeCell ref="BE50:BF50"/>
    <mergeCell ref="BG50:BH50"/>
    <mergeCell ref="BI50:BJ50"/>
    <mergeCell ref="BK50:BL50"/>
    <mergeCell ref="BM60:BN60"/>
    <mergeCell ref="BA61:BB61"/>
    <mergeCell ref="BC61:BD61"/>
    <mergeCell ref="BE61:BF61"/>
    <mergeCell ref="BG61:BH61"/>
    <mergeCell ref="BI61:BJ61"/>
    <mergeCell ref="BK61:BL61"/>
    <mergeCell ref="BM61:BN61"/>
    <mergeCell ref="BA60:BB60"/>
    <mergeCell ref="BC60:BD60"/>
    <mergeCell ref="BE60:BF60"/>
    <mergeCell ref="BG60:BH60"/>
    <mergeCell ref="BI60:BJ60"/>
    <mergeCell ref="BK60:BL60"/>
    <mergeCell ref="BM55:BN55"/>
    <mergeCell ref="BA56:BB56"/>
    <mergeCell ref="BC56:BD56"/>
    <mergeCell ref="BE56:BF56"/>
    <mergeCell ref="BG56:BH56"/>
    <mergeCell ref="BI56:BJ56"/>
    <mergeCell ref="BK56:BL56"/>
    <mergeCell ref="BM56:BN56"/>
    <mergeCell ref="BA55:BB55"/>
    <mergeCell ref="BC55:BD55"/>
    <mergeCell ref="BE55:BF55"/>
    <mergeCell ref="BG55:BH55"/>
    <mergeCell ref="BI55:BJ55"/>
    <mergeCell ref="BK55:BL55"/>
    <mergeCell ref="BM64:BN64"/>
    <mergeCell ref="BA66:BB66"/>
    <mergeCell ref="BC66:BD66"/>
    <mergeCell ref="BE66:BF66"/>
    <mergeCell ref="BG66:BH66"/>
    <mergeCell ref="BI66:BJ66"/>
    <mergeCell ref="BK66:BL66"/>
    <mergeCell ref="BM66:BN66"/>
    <mergeCell ref="BA64:BB64"/>
    <mergeCell ref="BC64:BD64"/>
    <mergeCell ref="BE64:BF64"/>
    <mergeCell ref="BG64:BH64"/>
    <mergeCell ref="BI64:BJ64"/>
    <mergeCell ref="BK64:BL64"/>
    <mergeCell ref="BM62:BN62"/>
    <mergeCell ref="BA63:BB63"/>
    <mergeCell ref="BC63:BD63"/>
    <mergeCell ref="BE63:BF63"/>
    <mergeCell ref="BG63:BH63"/>
    <mergeCell ref="BI63:BJ63"/>
    <mergeCell ref="BK63:BL63"/>
    <mergeCell ref="BM63:BN63"/>
    <mergeCell ref="BA62:BB62"/>
    <mergeCell ref="BC62:BD62"/>
    <mergeCell ref="BE62:BF62"/>
    <mergeCell ref="BG62:BH62"/>
    <mergeCell ref="BI62:BJ62"/>
    <mergeCell ref="BK62:BL62"/>
    <mergeCell ref="BM69:BN69"/>
    <mergeCell ref="BA70:BB70"/>
    <mergeCell ref="BC70:BD70"/>
    <mergeCell ref="BE70:BF70"/>
    <mergeCell ref="BG70:BH70"/>
    <mergeCell ref="BI70:BJ70"/>
    <mergeCell ref="BK70:BL70"/>
    <mergeCell ref="BM70:BN70"/>
    <mergeCell ref="BA69:BB69"/>
    <mergeCell ref="BC69:BD69"/>
    <mergeCell ref="BE69:BF69"/>
    <mergeCell ref="BG69:BH69"/>
    <mergeCell ref="BI69:BJ69"/>
    <mergeCell ref="BK69:BL69"/>
    <mergeCell ref="BM67:BN67"/>
    <mergeCell ref="BA68:BB68"/>
    <mergeCell ref="BC68:BD68"/>
    <mergeCell ref="BE68:BF68"/>
    <mergeCell ref="BG68:BH68"/>
    <mergeCell ref="BI68:BJ68"/>
    <mergeCell ref="BK68:BL68"/>
    <mergeCell ref="BM68:BN68"/>
    <mergeCell ref="BA67:BB67"/>
    <mergeCell ref="BC67:BD67"/>
    <mergeCell ref="BE67:BF67"/>
    <mergeCell ref="BG67:BH67"/>
    <mergeCell ref="BI67:BJ67"/>
    <mergeCell ref="BK67:BL67"/>
    <mergeCell ref="BM73:BN73"/>
    <mergeCell ref="BA74:BB74"/>
    <mergeCell ref="BC74:BD74"/>
    <mergeCell ref="BE74:BF74"/>
    <mergeCell ref="BG74:BH74"/>
    <mergeCell ref="BI74:BJ74"/>
    <mergeCell ref="BK74:BL74"/>
    <mergeCell ref="BM74:BN74"/>
    <mergeCell ref="BA73:BB73"/>
    <mergeCell ref="BC73:BD73"/>
    <mergeCell ref="BE73:BF73"/>
    <mergeCell ref="BG73:BH73"/>
    <mergeCell ref="BI73:BJ73"/>
    <mergeCell ref="BK73:BL73"/>
    <mergeCell ref="BM71:BN71"/>
    <mergeCell ref="BA72:BB72"/>
    <mergeCell ref="BC72:BD72"/>
    <mergeCell ref="BE72:BF72"/>
    <mergeCell ref="BG72:BH72"/>
    <mergeCell ref="BI72:BJ72"/>
    <mergeCell ref="BK72:BL72"/>
    <mergeCell ref="BM72:BN72"/>
    <mergeCell ref="BA71:BB71"/>
    <mergeCell ref="BC71:BD71"/>
    <mergeCell ref="BE71:BF71"/>
    <mergeCell ref="BG71:BH71"/>
    <mergeCell ref="BI71:BJ71"/>
    <mergeCell ref="BK71:BL71"/>
    <mergeCell ref="BM77:BN77"/>
    <mergeCell ref="BA78:BB78"/>
    <mergeCell ref="BC78:BD78"/>
    <mergeCell ref="BE78:BF78"/>
    <mergeCell ref="BG78:BH78"/>
    <mergeCell ref="BI78:BJ78"/>
    <mergeCell ref="BK78:BL78"/>
    <mergeCell ref="BM78:BN78"/>
    <mergeCell ref="BA77:BB77"/>
    <mergeCell ref="BC77:BD77"/>
    <mergeCell ref="BE77:BF77"/>
    <mergeCell ref="BG77:BH77"/>
    <mergeCell ref="BI77:BJ77"/>
    <mergeCell ref="BK77:BL77"/>
    <mergeCell ref="BM75:BN75"/>
    <mergeCell ref="BA76:BB76"/>
    <mergeCell ref="BC76:BD76"/>
    <mergeCell ref="BE76:BF76"/>
    <mergeCell ref="BG76:BH76"/>
    <mergeCell ref="BI76:BJ76"/>
    <mergeCell ref="BK76:BL76"/>
    <mergeCell ref="BM76:BN76"/>
    <mergeCell ref="BA75:BB75"/>
    <mergeCell ref="BC75:BD75"/>
    <mergeCell ref="BE75:BF75"/>
    <mergeCell ref="BG75:BH75"/>
    <mergeCell ref="BI75:BJ75"/>
    <mergeCell ref="BK75:BL75"/>
    <mergeCell ref="BM82:BN82"/>
    <mergeCell ref="BA83:BB83"/>
    <mergeCell ref="BC83:BD83"/>
    <mergeCell ref="BE83:BF83"/>
    <mergeCell ref="BG83:BH83"/>
    <mergeCell ref="BI83:BJ83"/>
    <mergeCell ref="BK83:BL83"/>
    <mergeCell ref="BM83:BN83"/>
    <mergeCell ref="BA82:BB82"/>
    <mergeCell ref="BC82:BD82"/>
    <mergeCell ref="BE82:BF82"/>
    <mergeCell ref="BG82:BH82"/>
    <mergeCell ref="BI82:BJ82"/>
    <mergeCell ref="BK82:BL82"/>
    <mergeCell ref="BM79:BN79"/>
    <mergeCell ref="BA81:BB81"/>
    <mergeCell ref="BC81:BD81"/>
    <mergeCell ref="BE81:BF81"/>
    <mergeCell ref="BG81:BH81"/>
    <mergeCell ref="BI81:BJ81"/>
    <mergeCell ref="BK81:BL81"/>
    <mergeCell ref="BM81:BN81"/>
    <mergeCell ref="BA79:BB79"/>
    <mergeCell ref="BC79:BD79"/>
    <mergeCell ref="BE79:BF79"/>
    <mergeCell ref="BG79:BH79"/>
    <mergeCell ref="BI79:BJ79"/>
    <mergeCell ref="BK79:BL79"/>
    <mergeCell ref="BM86:BN86"/>
    <mergeCell ref="BA87:BB87"/>
    <mergeCell ref="BC87:BD87"/>
    <mergeCell ref="BE87:BF87"/>
    <mergeCell ref="BG87:BH87"/>
    <mergeCell ref="BI87:BJ87"/>
    <mergeCell ref="BK87:BL87"/>
    <mergeCell ref="BM87:BN87"/>
    <mergeCell ref="BA86:BB86"/>
    <mergeCell ref="BC86:BD86"/>
    <mergeCell ref="BE86:BF86"/>
    <mergeCell ref="BG86:BH86"/>
    <mergeCell ref="BI86:BJ86"/>
    <mergeCell ref="BK86:BL86"/>
    <mergeCell ref="BM84:BN84"/>
    <mergeCell ref="BA85:BB85"/>
    <mergeCell ref="BC85:BD85"/>
    <mergeCell ref="BE85:BF85"/>
    <mergeCell ref="BG85:BH85"/>
    <mergeCell ref="BI85:BJ85"/>
    <mergeCell ref="BK85:BL85"/>
    <mergeCell ref="BM85:BN85"/>
    <mergeCell ref="BA84:BB84"/>
    <mergeCell ref="BC84:BD84"/>
    <mergeCell ref="BE84:BF84"/>
    <mergeCell ref="BG84:BH84"/>
    <mergeCell ref="BI84:BJ84"/>
    <mergeCell ref="BK84:BL84"/>
    <mergeCell ref="BM90:BN90"/>
    <mergeCell ref="BA91:BB91"/>
    <mergeCell ref="BC91:BD91"/>
    <mergeCell ref="BE91:BF91"/>
    <mergeCell ref="BG91:BH91"/>
    <mergeCell ref="BI91:BJ91"/>
    <mergeCell ref="BK91:BL91"/>
    <mergeCell ref="BM91:BN91"/>
    <mergeCell ref="BA90:BB90"/>
    <mergeCell ref="BC90:BD90"/>
    <mergeCell ref="BE90:BF90"/>
    <mergeCell ref="BG90:BH90"/>
    <mergeCell ref="BI90:BJ90"/>
    <mergeCell ref="BK90:BL90"/>
    <mergeCell ref="BM88:BN88"/>
    <mergeCell ref="BA89:BB89"/>
    <mergeCell ref="BC89:BD89"/>
    <mergeCell ref="BE89:BF89"/>
    <mergeCell ref="BG89:BH89"/>
    <mergeCell ref="BI89:BJ89"/>
    <mergeCell ref="BK89:BL89"/>
    <mergeCell ref="BM89:BN89"/>
    <mergeCell ref="BA88:BB88"/>
    <mergeCell ref="BC88:BD88"/>
    <mergeCell ref="BE88:BF88"/>
    <mergeCell ref="BG88:BH88"/>
    <mergeCell ref="BI88:BJ88"/>
    <mergeCell ref="BK88:BL88"/>
    <mergeCell ref="BM94:BN94"/>
    <mergeCell ref="BA95:BB95"/>
    <mergeCell ref="BC95:BD95"/>
    <mergeCell ref="BE95:BF95"/>
    <mergeCell ref="BG95:BH95"/>
    <mergeCell ref="BI95:BJ95"/>
    <mergeCell ref="BK95:BL95"/>
    <mergeCell ref="BM95:BN95"/>
    <mergeCell ref="BA94:BB94"/>
    <mergeCell ref="BC94:BD94"/>
    <mergeCell ref="BE94:BF94"/>
    <mergeCell ref="BG94:BH94"/>
    <mergeCell ref="BI94:BJ94"/>
    <mergeCell ref="BK94:BL94"/>
    <mergeCell ref="BM92:BN92"/>
    <mergeCell ref="BA93:BB93"/>
    <mergeCell ref="BC93:BD93"/>
    <mergeCell ref="BE93:BF93"/>
    <mergeCell ref="BG93:BH93"/>
    <mergeCell ref="BI93:BJ93"/>
    <mergeCell ref="BK93:BL93"/>
    <mergeCell ref="BM93:BN93"/>
    <mergeCell ref="BA92:BB92"/>
    <mergeCell ref="BC92:BD92"/>
    <mergeCell ref="BE92:BF92"/>
    <mergeCell ref="BG92:BH92"/>
    <mergeCell ref="BI92:BJ92"/>
    <mergeCell ref="BK92:BL92"/>
    <mergeCell ref="BM99:BN99"/>
    <mergeCell ref="BA100:BB100"/>
    <mergeCell ref="BC100:BD100"/>
    <mergeCell ref="BE100:BF100"/>
    <mergeCell ref="BG100:BH100"/>
    <mergeCell ref="BI100:BJ100"/>
    <mergeCell ref="BK100:BL100"/>
    <mergeCell ref="BM100:BN100"/>
    <mergeCell ref="BA99:BB99"/>
    <mergeCell ref="BC99:BD99"/>
    <mergeCell ref="BE99:BF99"/>
    <mergeCell ref="BG99:BH99"/>
    <mergeCell ref="BI99:BJ99"/>
    <mergeCell ref="BK99:BL99"/>
    <mergeCell ref="BM96:BN96"/>
    <mergeCell ref="BA98:BB98"/>
    <mergeCell ref="BC98:BD98"/>
    <mergeCell ref="BE98:BF98"/>
    <mergeCell ref="BG98:BH98"/>
    <mergeCell ref="BI98:BJ98"/>
    <mergeCell ref="BK98:BL98"/>
    <mergeCell ref="BM98:BN98"/>
    <mergeCell ref="BA96:BB96"/>
    <mergeCell ref="BC96:BD96"/>
    <mergeCell ref="BE96:BF96"/>
    <mergeCell ref="BG96:BH96"/>
    <mergeCell ref="BI96:BJ96"/>
    <mergeCell ref="BK96:BL96"/>
    <mergeCell ref="BM103:BN103"/>
    <mergeCell ref="BA104:BB104"/>
    <mergeCell ref="BC104:BD104"/>
    <mergeCell ref="BE104:BF104"/>
    <mergeCell ref="BG104:BH104"/>
    <mergeCell ref="BI104:BJ104"/>
    <mergeCell ref="BK104:BL104"/>
    <mergeCell ref="BM104:BN104"/>
    <mergeCell ref="BA103:BB103"/>
    <mergeCell ref="BC103:BD103"/>
    <mergeCell ref="BE103:BF103"/>
    <mergeCell ref="BG103:BH103"/>
    <mergeCell ref="BI103:BJ103"/>
    <mergeCell ref="BK103:BL103"/>
    <mergeCell ref="BM101:BN101"/>
    <mergeCell ref="BA102:BB102"/>
    <mergeCell ref="BC102:BD102"/>
    <mergeCell ref="BE102:BF102"/>
    <mergeCell ref="BG102:BH102"/>
    <mergeCell ref="BI102:BJ102"/>
    <mergeCell ref="BK102:BL102"/>
    <mergeCell ref="BM102:BN102"/>
    <mergeCell ref="BA101:BB101"/>
    <mergeCell ref="BC101:BD101"/>
    <mergeCell ref="BE101:BF101"/>
    <mergeCell ref="BG101:BH101"/>
    <mergeCell ref="BI101:BJ101"/>
    <mergeCell ref="BK101:BL101"/>
    <mergeCell ref="BM107:BN107"/>
    <mergeCell ref="BA108:BB108"/>
    <mergeCell ref="BC108:BD108"/>
    <mergeCell ref="BE108:BF108"/>
    <mergeCell ref="BG108:BH108"/>
    <mergeCell ref="BI108:BJ108"/>
    <mergeCell ref="BK108:BL108"/>
    <mergeCell ref="BM108:BN108"/>
    <mergeCell ref="BA107:BB107"/>
    <mergeCell ref="BC107:BD107"/>
    <mergeCell ref="BE107:BF107"/>
    <mergeCell ref="BG107:BH107"/>
    <mergeCell ref="BI107:BJ107"/>
    <mergeCell ref="BK107:BL107"/>
    <mergeCell ref="BM105:BN105"/>
    <mergeCell ref="BA106:BB106"/>
    <mergeCell ref="BC106:BD106"/>
    <mergeCell ref="BE106:BF106"/>
    <mergeCell ref="BG106:BH106"/>
    <mergeCell ref="BI106:BJ106"/>
    <mergeCell ref="BK106:BL106"/>
    <mergeCell ref="BM106:BN106"/>
    <mergeCell ref="BA105:BB105"/>
    <mergeCell ref="BC105:BD105"/>
    <mergeCell ref="BE105:BF105"/>
    <mergeCell ref="BG105:BH105"/>
    <mergeCell ref="BI105:BJ105"/>
    <mergeCell ref="BK105:BL105"/>
    <mergeCell ref="BM112:BN112"/>
    <mergeCell ref="BA113:BB113"/>
    <mergeCell ref="BC113:BD113"/>
    <mergeCell ref="BE113:BF113"/>
    <mergeCell ref="BG113:BH113"/>
    <mergeCell ref="BI113:BJ113"/>
    <mergeCell ref="BK113:BL113"/>
    <mergeCell ref="BM113:BN113"/>
    <mergeCell ref="BA112:BB112"/>
    <mergeCell ref="BC112:BD112"/>
    <mergeCell ref="BE112:BF112"/>
    <mergeCell ref="BG112:BH112"/>
    <mergeCell ref="BI112:BJ112"/>
    <mergeCell ref="BK112:BL112"/>
    <mergeCell ref="BM109:BN109"/>
    <mergeCell ref="BA111:BB111"/>
    <mergeCell ref="BC111:BD111"/>
    <mergeCell ref="BE111:BF111"/>
    <mergeCell ref="BG111:BH111"/>
    <mergeCell ref="BI111:BJ111"/>
    <mergeCell ref="BK111:BL111"/>
    <mergeCell ref="BM111:BN111"/>
    <mergeCell ref="BA109:BB109"/>
    <mergeCell ref="BC109:BD109"/>
    <mergeCell ref="BE109:BF109"/>
    <mergeCell ref="BG109:BH109"/>
    <mergeCell ref="BI109:BJ109"/>
    <mergeCell ref="BK109:BL109"/>
    <mergeCell ref="BM116:BN116"/>
    <mergeCell ref="BA116:BB116"/>
    <mergeCell ref="BC116:BD116"/>
    <mergeCell ref="BE116:BF116"/>
    <mergeCell ref="BG116:BH116"/>
    <mergeCell ref="BI116:BJ116"/>
    <mergeCell ref="BK116:BL116"/>
    <mergeCell ref="BM114:BN114"/>
    <mergeCell ref="BA115:BB115"/>
    <mergeCell ref="BC115:BD115"/>
    <mergeCell ref="BE115:BF115"/>
    <mergeCell ref="BG115:BH115"/>
    <mergeCell ref="BI115:BJ115"/>
    <mergeCell ref="BK115:BL115"/>
    <mergeCell ref="BM115:BN115"/>
    <mergeCell ref="BA114:BB114"/>
    <mergeCell ref="BC114:BD114"/>
    <mergeCell ref="BE114:BF114"/>
    <mergeCell ref="BG114:BH114"/>
    <mergeCell ref="BI114:BJ114"/>
    <mergeCell ref="BK114:BL114"/>
  </mergeCells>
  <pageMargins left="0.75000000000000011" right="0.75000000000000011" top="0.64" bottom="1" header="0.5" footer="0.5"/>
  <pageSetup paperSize="5" scale="5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30"/>
  <sheetViews>
    <sheetView workbookViewId="0">
      <selection activeCell="B10" sqref="B10"/>
    </sheetView>
  </sheetViews>
  <sheetFormatPr defaultColWidth="9.125" defaultRowHeight="15" x14ac:dyDescent="0.25"/>
  <cols>
    <col min="1" max="1" width="1.25" style="19" customWidth="1"/>
    <col min="2" max="3" width="17.625" style="19" customWidth="1"/>
    <col min="4" max="4" width="21.625" style="19" customWidth="1"/>
    <col min="5" max="5" width="43.125" style="19" customWidth="1"/>
    <col min="6" max="6" width="17.625" style="19" customWidth="1"/>
    <col min="7" max="7" width="9.5" style="19" customWidth="1"/>
    <col min="8" max="8" width="12.125" style="19" bestFit="1" customWidth="1"/>
    <col min="9" max="16384" width="9.125" style="19"/>
  </cols>
  <sheetData>
    <row r="1" spans="2:8" ht="6.75" customHeight="1" thickBot="1" x14ac:dyDescent="0.3"/>
    <row r="2" spans="2:8" ht="18.75" x14ac:dyDescent="0.3">
      <c r="B2" s="20" t="str">
        <f>'W.B. Input Data'!B2</f>
        <v>BCBI-SAN LUIS</v>
      </c>
      <c r="C2" s="21"/>
      <c r="D2" s="21"/>
      <c r="E2" s="21"/>
      <c r="F2" s="22"/>
    </row>
    <row r="3" spans="2:8" ht="18.75" x14ac:dyDescent="0.3">
      <c r="B3" s="23" t="str">
        <f>+'W.B.Input data main'!B3</f>
        <v>JULY 2020</v>
      </c>
      <c r="C3" s="24"/>
      <c r="D3" s="25"/>
      <c r="E3" s="24"/>
      <c r="F3" s="26"/>
    </row>
    <row r="4" spans="2:8" ht="15.75" thickBot="1" x14ac:dyDescent="0.3">
      <c r="B4" s="27"/>
      <c r="C4" s="28"/>
      <c r="D4" s="28"/>
      <c r="E4" s="28"/>
      <c r="F4" s="29"/>
    </row>
    <row r="5" spans="2:8" x14ac:dyDescent="0.25">
      <c r="B5" s="30"/>
      <c r="C5" s="31"/>
      <c r="D5" s="32"/>
      <c r="E5" s="32" t="s">
        <v>268</v>
      </c>
      <c r="F5" s="33"/>
    </row>
    <row r="6" spans="2:8" ht="15.75" x14ac:dyDescent="0.25">
      <c r="B6" s="34"/>
      <c r="C6" s="35"/>
      <c r="D6" s="36" t="s">
        <v>269</v>
      </c>
      <c r="E6" s="37">
        <f>'W.B.Input data ind.'!C15</f>
        <v>68378</v>
      </c>
      <c r="F6" s="38" t="s">
        <v>270</v>
      </c>
    </row>
    <row r="7" spans="2:8" ht="16.5" thickBot="1" x14ac:dyDescent="0.3">
      <c r="B7" s="34"/>
      <c r="C7" s="35"/>
      <c r="D7" s="36" t="s">
        <v>271</v>
      </c>
      <c r="E7" s="39">
        <f>+E6/B17</f>
        <v>0.9564536150714763</v>
      </c>
      <c r="F7" s="38" t="s">
        <v>272</v>
      </c>
    </row>
    <row r="8" spans="2:8" ht="15.75" x14ac:dyDescent="0.25">
      <c r="B8" s="34"/>
      <c r="C8" s="35"/>
      <c r="D8" s="37">
        <f>+E6+E9</f>
        <v>68378</v>
      </c>
      <c r="E8" s="32" t="s">
        <v>273</v>
      </c>
      <c r="F8" s="40">
        <f>+E6+E9</f>
        <v>68378</v>
      </c>
      <c r="G8" s="41"/>
      <c r="H8" s="42"/>
    </row>
    <row r="9" spans="2:8" ht="15.75" x14ac:dyDescent="0.25">
      <c r="B9" s="34"/>
      <c r="C9" s="35" t="s">
        <v>274</v>
      </c>
      <c r="D9" s="43">
        <f>+D8/B17</f>
        <v>0.9564536150714763</v>
      </c>
      <c r="E9" s="37">
        <f>'W.B.Input data ind.'!C20</f>
        <v>0</v>
      </c>
      <c r="F9" s="44">
        <f>+F8/B17</f>
        <v>0.9564536150714763</v>
      </c>
    </row>
    <row r="10" spans="2:8" ht="16.5" thickBot="1" x14ac:dyDescent="0.3">
      <c r="B10" s="34"/>
      <c r="C10" s="35" t="s">
        <v>271</v>
      </c>
      <c r="D10" s="45"/>
      <c r="E10" s="39">
        <f>+E9/B17</f>
        <v>0</v>
      </c>
      <c r="F10" s="46"/>
    </row>
    <row r="11" spans="2:8" ht="15.75" x14ac:dyDescent="0.25">
      <c r="B11" s="34"/>
      <c r="C11" s="47">
        <f>+D8+D14</f>
        <v>68423.05</v>
      </c>
      <c r="D11" s="48"/>
      <c r="E11" s="48" t="s">
        <v>95</v>
      </c>
      <c r="F11" s="49"/>
      <c r="H11" s="41"/>
    </row>
    <row r="12" spans="2:8" ht="15.75" x14ac:dyDescent="0.25">
      <c r="B12" s="34"/>
      <c r="C12" s="50">
        <f>+C11/B17</f>
        <v>0.95708376271193041</v>
      </c>
      <c r="D12" s="51" t="s">
        <v>275</v>
      </c>
      <c r="E12" s="52">
        <f>'W.B.Input data ind.'!C25</f>
        <v>28</v>
      </c>
      <c r="F12" s="53"/>
    </row>
    <row r="13" spans="2:8" ht="16.5" thickBot="1" x14ac:dyDescent="0.3">
      <c r="B13" s="34"/>
      <c r="C13" s="35"/>
      <c r="D13" s="51" t="s">
        <v>271</v>
      </c>
      <c r="E13" s="54">
        <f>+E12/B17</f>
        <v>3.9165669107024681E-4</v>
      </c>
      <c r="F13" s="53"/>
    </row>
    <row r="14" spans="2:8" ht="15.75" x14ac:dyDescent="0.25">
      <c r="B14" s="34"/>
      <c r="C14" s="35"/>
      <c r="D14" s="52">
        <f>+E12+E15</f>
        <v>45.05</v>
      </c>
      <c r="E14" s="48" t="s">
        <v>96</v>
      </c>
      <c r="F14" s="53"/>
    </row>
    <row r="15" spans="2:8" ht="15.75" x14ac:dyDescent="0.25">
      <c r="B15" s="34"/>
      <c r="C15" s="35"/>
      <c r="D15" s="55">
        <f>+D14/B17</f>
        <v>6.3014764045409347E-4</v>
      </c>
      <c r="E15" s="52">
        <f>'W.B.Input data ind.'!C29</f>
        <v>17.05</v>
      </c>
      <c r="F15" s="53"/>
    </row>
    <row r="16" spans="2:8" ht="16.5" thickBot="1" x14ac:dyDescent="0.3">
      <c r="B16" s="34" t="s">
        <v>276</v>
      </c>
      <c r="C16" s="56"/>
      <c r="D16" s="57"/>
      <c r="E16" s="54">
        <f>+E15/B17</f>
        <v>2.3849094938384674E-4</v>
      </c>
      <c r="F16" s="53"/>
    </row>
    <row r="17" spans="2:8" ht="15.75" x14ac:dyDescent="0.25">
      <c r="B17" s="58">
        <f>'W.B.Input data ind.'!C8</f>
        <v>71491.182554514235</v>
      </c>
      <c r="C17" s="59"/>
      <c r="D17" s="60"/>
      <c r="E17" s="60" t="s">
        <v>97</v>
      </c>
      <c r="F17" s="53"/>
    </row>
    <row r="18" spans="2:8" ht="15.75" x14ac:dyDescent="0.25">
      <c r="B18" s="61"/>
      <c r="C18" s="62"/>
      <c r="D18" s="63" t="s">
        <v>277</v>
      </c>
      <c r="E18" s="64">
        <f>'W.B. Input Data'!C43</f>
        <v>0</v>
      </c>
      <c r="F18" s="53" t="s">
        <v>278</v>
      </c>
    </row>
    <row r="19" spans="2:8" ht="16.5" thickBot="1" x14ac:dyDescent="0.3">
      <c r="B19" s="65"/>
      <c r="C19" s="62"/>
      <c r="D19" s="63" t="s">
        <v>279</v>
      </c>
      <c r="E19" s="66">
        <f>+E18/B17</f>
        <v>0</v>
      </c>
      <c r="F19" s="53" t="s">
        <v>272</v>
      </c>
    </row>
    <row r="20" spans="2:8" ht="15.75" x14ac:dyDescent="0.25">
      <c r="B20" s="34"/>
      <c r="C20" s="62"/>
      <c r="D20" s="64">
        <f>+E18+E21</f>
        <v>17</v>
      </c>
      <c r="E20" s="60" t="s">
        <v>280</v>
      </c>
      <c r="F20" s="67">
        <f>+E12+E15+E18+E21+E24+E27</f>
        <v>3113.1825545142319</v>
      </c>
    </row>
    <row r="21" spans="2:8" ht="15.75" x14ac:dyDescent="0.25">
      <c r="B21" s="34"/>
      <c r="C21" s="62" t="s">
        <v>272</v>
      </c>
      <c r="D21" s="68">
        <f>+D20/B17</f>
        <v>2.37791562435507E-4</v>
      </c>
      <c r="E21" s="64">
        <f>+'W.B.Input data ind.'!C45</f>
        <v>17</v>
      </c>
      <c r="F21" s="69">
        <f>+F20/B17</f>
        <v>4.3546384928523654E-2</v>
      </c>
    </row>
    <row r="22" spans="2:8" ht="16.5" thickBot="1" x14ac:dyDescent="0.3">
      <c r="B22" s="34"/>
      <c r="C22" s="62" t="s">
        <v>281</v>
      </c>
      <c r="D22" s="70"/>
      <c r="E22" s="68">
        <f>+E21/B17</f>
        <v>2.37791562435507E-4</v>
      </c>
      <c r="F22" s="69"/>
    </row>
    <row r="23" spans="2:8" ht="15.75" x14ac:dyDescent="0.25">
      <c r="B23" s="34"/>
      <c r="C23" s="71">
        <f>+B17-C11</f>
        <v>3068.1325545142317</v>
      </c>
      <c r="D23" s="72"/>
      <c r="E23" s="60" t="s">
        <v>99</v>
      </c>
      <c r="F23" s="73"/>
    </row>
    <row r="24" spans="2:8" ht="15.75" x14ac:dyDescent="0.25">
      <c r="B24" s="34"/>
      <c r="C24" s="74">
        <f>+C23/B17</f>
        <v>4.2916237288069557E-2</v>
      </c>
      <c r="D24" s="75" t="s">
        <v>282</v>
      </c>
      <c r="E24" s="64">
        <f>'W.B.Input data ind.'!C48</f>
        <v>180.70000000000002</v>
      </c>
      <c r="F24" s="73"/>
      <c r="H24" s="41"/>
    </row>
    <row r="25" spans="2:8" ht="16.5" thickBot="1" x14ac:dyDescent="0.3">
      <c r="B25" s="34"/>
      <c r="C25" s="62"/>
      <c r="D25" s="75" t="s">
        <v>281</v>
      </c>
      <c r="E25" s="76">
        <f>+E24/B17</f>
        <v>2.5275844312997718E-3</v>
      </c>
      <c r="F25" s="73"/>
    </row>
    <row r="26" spans="2:8" ht="15.75" x14ac:dyDescent="0.25">
      <c r="B26" s="34"/>
      <c r="C26" s="62"/>
      <c r="D26" s="77">
        <f>+C23-D20</f>
        <v>3051.1325545142317</v>
      </c>
      <c r="E26" s="78" t="s">
        <v>100</v>
      </c>
      <c r="F26" s="73"/>
    </row>
    <row r="27" spans="2:8" ht="15.75" x14ac:dyDescent="0.25">
      <c r="B27" s="34"/>
      <c r="C27" s="62"/>
      <c r="D27" s="79">
        <f>+D26/B17</f>
        <v>4.2678445725634055E-2</v>
      </c>
      <c r="E27" s="80">
        <f>+D26-E24</f>
        <v>2870.4325545142319</v>
      </c>
      <c r="F27" s="73"/>
    </row>
    <row r="28" spans="2:8" ht="16.5" thickBot="1" x14ac:dyDescent="0.3">
      <c r="B28" s="81"/>
      <c r="C28" s="82"/>
      <c r="D28" s="83"/>
      <c r="E28" s="76">
        <f>+E27/B17</f>
        <v>4.0150861294334282E-2</v>
      </c>
      <c r="F28" s="84"/>
    </row>
    <row r="29" spans="2:8" x14ac:dyDescent="0.25">
      <c r="B29" s="41"/>
      <c r="C29" s="41"/>
      <c r="D29" s="41"/>
    </row>
    <row r="30" spans="2:8" x14ac:dyDescent="0.25">
      <c r="C3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6"/>
  <sheetViews>
    <sheetView topLeftCell="A58" zoomScale="125" zoomScaleNormal="125" zoomScalePageLayoutView="125" workbookViewId="0">
      <selection activeCell="C64" sqref="C64"/>
    </sheetView>
  </sheetViews>
  <sheetFormatPr defaultColWidth="11" defaultRowHeight="15.75" x14ac:dyDescent="0.25"/>
  <cols>
    <col min="1" max="1" width="4.625" style="1" customWidth="1"/>
    <col min="2" max="2" width="2.25" customWidth="1"/>
    <col min="3" max="3" width="55.625" customWidth="1"/>
    <col min="4" max="4" width="9.75" style="1" customWidth="1"/>
    <col min="5" max="5" width="21.75" style="1" customWidth="1"/>
    <col min="6" max="6" width="71.5" customWidth="1"/>
  </cols>
  <sheetData>
    <row r="1" spans="1:6" x14ac:dyDescent="0.25">
      <c r="A1" s="3" t="s">
        <v>0</v>
      </c>
    </row>
    <row r="2" spans="1:6" x14ac:dyDescent="0.25">
      <c r="A2" s="3" t="s">
        <v>1</v>
      </c>
    </row>
    <row r="3" spans="1:6" x14ac:dyDescent="0.25">
      <c r="A3" s="2"/>
      <c r="D3" s="4" t="s">
        <v>36</v>
      </c>
      <c r="E3" s="18" t="s">
        <v>223</v>
      </c>
      <c r="F3" s="18" t="s">
        <v>230</v>
      </c>
    </row>
    <row r="4" spans="1:6" x14ac:dyDescent="0.25">
      <c r="A4" s="8" t="s">
        <v>3</v>
      </c>
      <c r="B4" s="9" t="s">
        <v>7</v>
      </c>
      <c r="C4" s="10"/>
      <c r="D4" s="11"/>
      <c r="E4" s="11"/>
      <c r="F4" s="10"/>
    </row>
    <row r="5" spans="1:6" x14ac:dyDescent="0.25">
      <c r="A5" s="6" t="s">
        <v>4</v>
      </c>
      <c r="B5" s="5"/>
      <c r="C5" s="5" t="s">
        <v>2</v>
      </c>
      <c r="D5" s="6" t="s">
        <v>168</v>
      </c>
      <c r="E5" s="6" t="s">
        <v>224</v>
      </c>
      <c r="F5" s="5" t="s">
        <v>240</v>
      </c>
    </row>
    <row r="6" spans="1:6" x14ac:dyDescent="0.25">
      <c r="A6" s="6" t="s">
        <v>5</v>
      </c>
      <c r="B6" s="5"/>
      <c r="C6" s="5" t="s">
        <v>260</v>
      </c>
      <c r="D6" s="6" t="s">
        <v>168</v>
      </c>
      <c r="E6" s="6" t="s">
        <v>225</v>
      </c>
      <c r="F6" s="5"/>
    </row>
    <row r="7" spans="1:6" x14ac:dyDescent="0.25">
      <c r="A7" s="6" t="s">
        <v>6</v>
      </c>
      <c r="B7" s="5"/>
      <c r="C7" s="5" t="s">
        <v>261</v>
      </c>
      <c r="D7" s="6" t="s">
        <v>169</v>
      </c>
      <c r="E7" s="6" t="s">
        <v>224</v>
      </c>
      <c r="F7" s="5"/>
    </row>
    <row r="8" spans="1:6" x14ac:dyDescent="0.25">
      <c r="A8" s="6" t="s">
        <v>19</v>
      </c>
      <c r="B8" s="5"/>
      <c r="C8" s="5" t="s">
        <v>256</v>
      </c>
      <c r="D8" s="6" t="s">
        <v>184</v>
      </c>
      <c r="E8" s="6" t="s">
        <v>229</v>
      </c>
      <c r="F8" s="5" t="s">
        <v>257</v>
      </c>
    </row>
    <row r="9" spans="1:6" x14ac:dyDescent="0.25">
      <c r="A9" s="6" t="s">
        <v>20</v>
      </c>
      <c r="B9" s="5"/>
      <c r="C9" s="17" t="s">
        <v>8</v>
      </c>
      <c r="D9" s="6" t="s">
        <v>171</v>
      </c>
      <c r="E9" s="6" t="s">
        <v>226</v>
      </c>
      <c r="F9" s="5" t="s">
        <v>347</v>
      </c>
    </row>
    <row r="10" spans="1:6" x14ac:dyDescent="0.25">
      <c r="A10" s="6" t="s">
        <v>21</v>
      </c>
      <c r="B10" s="5"/>
      <c r="C10" s="5" t="s">
        <v>9</v>
      </c>
      <c r="D10" s="6" t="s">
        <v>171</v>
      </c>
      <c r="E10" s="6" t="s">
        <v>227</v>
      </c>
      <c r="F10" s="5" t="s">
        <v>346</v>
      </c>
    </row>
    <row r="11" spans="1:6" x14ac:dyDescent="0.25">
      <c r="A11" s="6" t="s">
        <v>22</v>
      </c>
      <c r="B11" s="5"/>
      <c r="C11" s="5" t="s">
        <v>10</v>
      </c>
      <c r="D11" s="6" t="s">
        <v>171</v>
      </c>
      <c r="E11" s="6" t="s">
        <v>228</v>
      </c>
      <c r="F11" s="5"/>
    </row>
    <row r="12" spans="1:6" x14ac:dyDescent="0.25">
      <c r="A12" s="6" t="s">
        <v>23</v>
      </c>
      <c r="B12" s="5" t="s">
        <v>210</v>
      </c>
      <c r="C12" s="5" t="s">
        <v>11</v>
      </c>
      <c r="D12" s="6" t="s">
        <v>171</v>
      </c>
      <c r="E12" s="6" t="s">
        <v>227</v>
      </c>
      <c r="F12" s="5" t="s">
        <v>348</v>
      </c>
    </row>
    <row r="13" spans="1:6" x14ac:dyDescent="0.25">
      <c r="A13" s="6" t="s">
        <v>24</v>
      </c>
      <c r="B13" s="5" t="s">
        <v>211</v>
      </c>
      <c r="C13" s="5" t="s">
        <v>12</v>
      </c>
      <c r="D13" s="6" t="s">
        <v>171</v>
      </c>
      <c r="E13" s="6" t="s">
        <v>229</v>
      </c>
      <c r="F13" s="5"/>
    </row>
    <row r="14" spans="1:6" x14ac:dyDescent="0.25">
      <c r="A14" s="6" t="s">
        <v>25</v>
      </c>
      <c r="B14" s="5" t="s">
        <v>212</v>
      </c>
      <c r="C14" s="5" t="s">
        <v>215</v>
      </c>
      <c r="D14" s="6" t="s">
        <v>171</v>
      </c>
      <c r="E14" s="6" t="s">
        <v>227</v>
      </c>
      <c r="F14" s="5" t="s">
        <v>349</v>
      </c>
    </row>
    <row r="15" spans="1:6" x14ac:dyDescent="0.25">
      <c r="A15" s="6" t="s">
        <v>26</v>
      </c>
      <c r="B15" s="5" t="s">
        <v>211</v>
      </c>
      <c r="C15" s="5" t="s">
        <v>213</v>
      </c>
      <c r="D15" s="6" t="s">
        <v>171</v>
      </c>
      <c r="E15" s="6" t="s">
        <v>229</v>
      </c>
      <c r="F15" s="5"/>
    </row>
    <row r="16" spans="1:6" x14ac:dyDescent="0.25">
      <c r="A16" s="6" t="s">
        <v>27</v>
      </c>
      <c r="B16" s="5"/>
      <c r="C16" s="5" t="s">
        <v>13</v>
      </c>
      <c r="D16" s="6" t="s">
        <v>171</v>
      </c>
      <c r="E16" s="6" t="s">
        <v>227</v>
      </c>
      <c r="F16" s="5"/>
    </row>
    <row r="17" spans="1:6" x14ac:dyDescent="0.25">
      <c r="A17" s="6" t="s">
        <v>28</v>
      </c>
      <c r="B17" s="5"/>
      <c r="C17" s="5" t="s">
        <v>14</v>
      </c>
      <c r="D17" s="6" t="s">
        <v>171</v>
      </c>
      <c r="E17" s="6" t="s">
        <v>227</v>
      </c>
      <c r="F17" s="5"/>
    </row>
    <row r="18" spans="1:6" x14ac:dyDescent="0.25">
      <c r="A18" s="6" t="s">
        <v>29</v>
      </c>
      <c r="B18" s="5"/>
      <c r="C18" s="5" t="s">
        <v>17</v>
      </c>
      <c r="D18" s="6" t="s">
        <v>170</v>
      </c>
      <c r="E18" s="6" t="s">
        <v>227</v>
      </c>
      <c r="F18" s="5"/>
    </row>
    <row r="19" spans="1:6" x14ac:dyDescent="0.25">
      <c r="A19" s="6" t="s">
        <v>30</v>
      </c>
      <c r="B19" s="5"/>
      <c r="C19" s="5" t="s">
        <v>16</v>
      </c>
      <c r="D19" s="6" t="s">
        <v>170</v>
      </c>
      <c r="E19" s="6" t="s">
        <v>227</v>
      </c>
      <c r="F19" s="5"/>
    </row>
    <row r="20" spans="1:6" x14ac:dyDescent="0.25">
      <c r="A20" s="6" t="s">
        <v>214</v>
      </c>
      <c r="B20" s="5"/>
      <c r="C20" s="5" t="s">
        <v>15</v>
      </c>
      <c r="D20" s="6" t="s">
        <v>170</v>
      </c>
      <c r="E20" s="6" t="s">
        <v>227</v>
      </c>
      <c r="F20" s="5"/>
    </row>
    <row r="21" spans="1:6" x14ac:dyDescent="0.25">
      <c r="A21" s="6" t="s">
        <v>255</v>
      </c>
      <c r="B21" s="5"/>
      <c r="C21" s="5" t="s">
        <v>398</v>
      </c>
      <c r="D21" s="6" t="s">
        <v>170</v>
      </c>
      <c r="E21" s="6" t="s">
        <v>227</v>
      </c>
      <c r="F21" s="5"/>
    </row>
    <row r="22" spans="1:6" x14ac:dyDescent="0.25">
      <c r="A22" s="6" t="s">
        <v>338</v>
      </c>
      <c r="B22" s="5"/>
      <c r="C22" s="5" t="s">
        <v>18</v>
      </c>
      <c r="D22" s="6" t="s">
        <v>170</v>
      </c>
      <c r="E22" s="6" t="s">
        <v>227</v>
      </c>
      <c r="F22" s="5" t="s">
        <v>350</v>
      </c>
    </row>
    <row r="23" spans="1:6" x14ac:dyDescent="0.25">
      <c r="A23" s="6" t="s">
        <v>397</v>
      </c>
      <c r="B23" s="5"/>
      <c r="C23" s="5" t="s">
        <v>399</v>
      </c>
      <c r="D23" s="6" t="s">
        <v>339</v>
      </c>
      <c r="E23" s="6" t="s">
        <v>225</v>
      </c>
      <c r="F23" s="5"/>
    </row>
    <row r="24" spans="1:6" x14ac:dyDescent="0.25">
      <c r="A24" s="8" t="s">
        <v>31</v>
      </c>
      <c r="B24" s="9" t="s">
        <v>188</v>
      </c>
      <c r="C24" s="10"/>
      <c r="D24" s="11"/>
      <c r="E24" s="11"/>
      <c r="F24" s="10"/>
    </row>
    <row r="25" spans="1:6" x14ac:dyDescent="0.25">
      <c r="A25" s="6" t="s">
        <v>32</v>
      </c>
      <c r="B25" s="5"/>
      <c r="C25" s="5" t="s">
        <v>39</v>
      </c>
      <c r="D25" s="6" t="s">
        <v>172</v>
      </c>
      <c r="E25" s="6" t="s">
        <v>225</v>
      </c>
      <c r="F25" s="5"/>
    </row>
    <row r="26" spans="1:6" x14ac:dyDescent="0.25">
      <c r="A26" s="6" t="s">
        <v>43</v>
      </c>
      <c r="B26" s="5"/>
      <c r="C26" s="5" t="s">
        <v>33</v>
      </c>
      <c r="D26" s="6" t="s">
        <v>173</v>
      </c>
      <c r="E26" s="6" t="s">
        <v>225</v>
      </c>
      <c r="F26" s="5"/>
    </row>
    <row r="27" spans="1:6" x14ac:dyDescent="0.25">
      <c r="A27" s="6" t="s">
        <v>44</v>
      </c>
      <c r="B27" s="5"/>
      <c r="C27" s="5" t="s">
        <v>34</v>
      </c>
      <c r="D27" s="6" t="s">
        <v>174</v>
      </c>
      <c r="E27" s="6" t="s">
        <v>231</v>
      </c>
      <c r="F27" s="5" t="s">
        <v>241</v>
      </c>
    </row>
    <row r="28" spans="1:6" x14ac:dyDescent="0.25">
      <c r="A28" s="6" t="s">
        <v>45</v>
      </c>
      <c r="B28" s="5"/>
      <c r="C28" s="5" t="s">
        <v>35</v>
      </c>
      <c r="D28" s="6" t="s">
        <v>174</v>
      </c>
      <c r="E28" s="6" t="s">
        <v>231</v>
      </c>
      <c r="F28" s="5" t="s">
        <v>416</v>
      </c>
    </row>
    <row r="29" spans="1:6" x14ac:dyDescent="0.25">
      <c r="A29" s="6" t="s">
        <v>46</v>
      </c>
      <c r="B29" s="5"/>
      <c r="C29" s="5" t="s">
        <v>404</v>
      </c>
      <c r="D29" s="6" t="s">
        <v>175</v>
      </c>
      <c r="E29" s="6" t="s">
        <v>231</v>
      </c>
      <c r="F29" s="5" t="s">
        <v>411</v>
      </c>
    </row>
    <row r="30" spans="1:6" x14ac:dyDescent="0.25">
      <c r="A30" s="6" t="s">
        <v>47</v>
      </c>
      <c r="B30" s="5"/>
      <c r="C30" s="5" t="s">
        <v>405</v>
      </c>
      <c r="D30" s="6" t="s">
        <v>175</v>
      </c>
      <c r="E30" s="6" t="s">
        <v>231</v>
      </c>
      <c r="F30" s="5" t="s">
        <v>410</v>
      </c>
    </row>
    <row r="31" spans="1:6" x14ac:dyDescent="0.25">
      <c r="A31" s="6" t="s">
        <v>48</v>
      </c>
      <c r="B31" s="5"/>
      <c r="C31" s="5" t="s">
        <v>408</v>
      </c>
      <c r="D31" s="6" t="s">
        <v>175</v>
      </c>
      <c r="E31" s="6" t="s">
        <v>231</v>
      </c>
      <c r="F31" s="5" t="s">
        <v>412</v>
      </c>
    </row>
    <row r="32" spans="1:6" x14ac:dyDescent="0.25">
      <c r="A32" s="6" t="s">
        <v>49</v>
      </c>
      <c r="B32" s="5"/>
      <c r="C32" s="5" t="s">
        <v>409</v>
      </c>
      <c r="D32" s="6" t="s">
        <v>175</v>
      </c>
      <c r="E32" s="6" t="s">
        <v>231</v>
      </c>
      <c r="F32" s="5" t="s">
        <v>413</v>
      </c>
    </row>
    <row r="33" spans="1:6" x14ac:dyDescent="0.25">
      <c r="A33" s="6" t="s">
        <v>50</v>
      </c>
      <c r="B33" s="5"/>
      <c r="C33" s="17" t="s">
        <v>38</v>
      </c>
      <c r="D33" s="6" t="s">
        <v>176</v>
      </c>
      <c r="E33" s="6" t="s">
        <v>231</v>
      </c>
      <c r="F33" s="5" t="s">
        <v>242</v>
      </c>
    </row>
    <row r="34" spans="1:6" x14ac:dyDescent="0.25">
      <c r="A34" s="6" t="s">
        <v>51</v>
      </c>
      <c r="B34" s="5" t="s">
        <v>210</v>
      </c>
      <c r="C34" s="5" t="s">
        <v>187</v>
      </c>
      <c r="D34" s="6" t="s">
        <v>176</v>
      </c>
      <c r="E34" s="6" t="s">
        <v>232</v>
      </c>
      <c r="F34" s="5"/>
    </row>
    <row r="35" spans="1:6" x14ac:dyDescent="0.25">
      <c r="A35" s="6" t="s">
        <v>52</v>
      </c>
      <c r="B35" s="5" t="s">
        <v>211</v>
      </c>
      <c r="C35" s="17" t="s">
        <v>189</v>
      </c>
      <c r="D35" s="6" t="s">
        <v>176</v>
      </c>
      <c r="E35" s="6" t="s">
        <v>229</v>
      </c>
      <c r="F35" s="5" t="s">
        <v>258</v>
      </c>
    </row>
    <row r="36" spans="1:6" x14ac:dyDescent="0.25">
      <c r="A36" s="6" t="s">
        <v>53</v>
      </c>
      <c r="B36" s="5"/>
      <c r="C36" s="128" t="s">
        <v>402</v>
      </c>
      <c r="D36" s="6" t="s">
        <v>176</v>
      </c>
      <c r="E36" s="6" t="s">
        <v>229</v>
      </c>
      <c r="F36" s="5" t="s">
        <v>403</v>
      </c>
    </row>
    <row r="37" spans="1:6" x14ac:dyDescent="0.25">
      <c r="A37" s="6" t="s">
        <v>55</v>
      </c>
      <c r="B37" s="5"/>
      <c r="C37" s="5" t="s">
        <v>40</v>
      </c>
      <c r="D37" s="6" t="s">
        <v>177</v>
      </c>
      <c r="E37" s="6" t="s">
        <v>233</v>
      </c>
      <c r="F37" s="5" t="s">
        <v>334</v>
      </c>
    </row>
    <row r="38" spans="1:6" x14ac:dyDescent="0.25">
      <c r="A38" s="6" t="s">
        <v>400</v>
      </c>
      <c r="B38" s="5"/>
      <c r="C38" s="5" t="s">
        <v>41</v>
      </c>
      <c r="D38" s="6" t="s">
        <v>177</v>
      </c>
      <c r="E38" s="6" t="s">
        <v>233</v>
      </c>
      <c r="F38" s="5" t="s">
        <v>335</v>
      </c>
    </row>
    <row r="39" spans="1:6" x14ac:dyDescent="0.25">
      <c r="A39" s="6" t="s">
        <v>406</v>
      </c>
      <c r="B39" s="5"/>
      <c r="C39" s="5" t="s">
        <v>42</v>
      </c>
      <c r="D39" s="6" t="s">
        <v>178</v>
      </c>
      <c r="E39" s="6" t="s">
        <v>235</v>
      </c>
      <c r="F39" s="5"/>
    </row>
    <row r="40" spans="1:6" x14ac:dyDescent="0.25">
      <c r="A40" s="6" t="s">
        <v>407</v>
      </c>
      <c r="B40" s="5"/>
      <c r="C40" s="5" t="s">
        <v>54</v>
      </c>
      <c r="D40" s="6" t="s">
        <v>179</v>
      </c>
      <c r="E40" s="6" t="s">
        <v>234</v>
      </c>
      <c r="F40" s="5"/>
    </row>
    <row r="41" spans="1:6" x14ac:dyDescent="0.25">
      <c r="A41" s="8" t="s">
        <v>56</v>
      </c>
      <c r="B41" s="9" t="s">
        <v>57</v>
      </c>
      <c r="C41" s="10"/>
      <c r="D41" s="11"/>
      <c r="E41" s="11"/>
      <c r="F41" s="10"/>
    </row>
    <row r="42" spans="1:6" x14ac:dyDescent="0.25">
      <c r="A42" s="6" t="s">
        <v>58</v>
      </c>
      <c r="B42" s="5"/>
      <c r="C42" s="5" t="s">
        <v>59</v>
      </c>
      <c r="D42" s="6" t="s">
        <v>173</v>
      </c>
      <c r="E42" s="6" t="s">
        <v>236</v>
      </c>
      <c r="F42" s="5"/>
    </row>
    <row r="43" spans="1:6" x14ac:dyDescent="0.25">
      <c r="A43" s="6" t="s">
        <v>69</v>
      </c>
      <c r="B43" s="5"/>
      <c r="C43" s="5" t="s">
        <v>60</v>
      </c>
      <c r="D43" s="6" t="s">
        <v>180</v>
      </c>
      <c r="E43" s="6" t="s">
        <v>236</v>
      </c>
      <c r="F43" s="5" t="s">
        <v>243</v>
      </c>
    </row>
    <row r="44" spans="1:6" x14ac:dyDescent="0.25">
      <c r="A44" s="6" t="s">
        <v>70</v>
      </c>
      <c r="B44" s="5"/>
      <c r="C44" s="5" t="s">
        <v>61</v>
      </c>
      <c r="D44" s="6" t="s">
        <v>179</v>
      </c>
      <c r="E44" s="6" t="s">
        <v>236</v>
      </c>
      <c r="F44" s="5" t="s">
        <v>244</v>
      </c>
    </row>
    <row r="45" spans="1:6" x14ac:dyDescent="0.25">
      <c r="A45" s="6" t="s">
        <v>71</v>
      </c>
      <c r="B45" s="5"/>
      <c r="C45" s="17" t="s">
        <v>62</v>
      </c>
      <c r="D45" s="6" t="s">
        <v>180</v>
      </c>
      <c r="E45" s="6" t="s">
        <v>229</v>
      </c>
      <c r="F45" s="5" t="s">
        <v>245</v>
      </c>
    </row>
    <row r="46" spans="1:6" x14ac:dyDescent="0.25">
      <c r="A46" s="6" t="s">
        <v>72</v>
      </c>
      <c r="B46" s="5"/>
      <c r="C46" s="17" t="s">
        <v>63</v>
      </c>
      <c r="D46" s="6" t="s">
        <v>179</v>
      </c>
      <c r="E46" s="6" t="s">
        <v>229</v>
      </c>
      <c r="F46" s="5" t="s">
        <v>351</v>
      </c>
    </row>
    <row r="47" spans="1:6" x14ac:dyDescent="0.25">
      <c r="A47" s="6" t="s">
        <v>73</v>
      </c>
      <c r="B47" s="5"/>
      <c r="C47" s="5" t="s">
        <v>64</v>
      </c>
      <c r="D47" s="6" t="s">
        <v>181</v>
      </c>
      <c r="E47" s="6" t="s">
        <v>225</v>
      </c>
      <c r="F47" s="5"/>
    </row>
    <row r="48" spans="1:6" x14ac:dyDescent="0.25">
      <c r="A48" s="6" t="s">
        <v>74</v>
      </c>
      <c r="B48" s="5"/>
      <c r="C48" s="5" t="s">
        <v>65</v>
      </c>
      <c r="D48" s="6" t="s">
        <v>174</v>
      </c>
      <c r="E48" s="6" t="s">
        <v>231</v>
      </c>
      <c r="F48" s="5"/>
    </row>
    <row r="49" spans="1:6" x14ac:dyDescent="0.25">
      <c r="A49" s="6" t="s">
        <v>75</v>
      </c>
      <c r="B49" s="5"/>
      <c r="C49" s="5" t="s">
        <v>66</v>
      </c>
      <c r="D49" s="6" t="s">
        <v>176</v>
      </c>
      <c r="E49" s="6" t="s">
        <v>231</v>
      </c>
      <c r="F49" s="5"/>
    </row>
    <row r="50" spans="1:6" x14ac:dyDescent="0.25">
      <c r="A50" s="6" t="s">
        <v>76</v>
      </c>
      <c r="B50" s="5"/>
      <c r="C50" s="5" t="s">
        <v>67</v>
      </c>
      <c r="D50" s="6" t="s">
        <v>179</v>
      </c>
      <c r="E50" s="6" t="s">
        <v>234</v>
      </c>
      <c r="F50" s="5"/>
    </row>
    <row r="51" spans="1:6" x14ac:dyDescent="0.25">
      <c r="A51" s="6" t="s">
        <v>77</v>
      </c>
      <c r="B51" s="5"/>
      <c r="C51" s="5" t="s">
        <v>68</v>
      </c>
      <c r="D51" s="6" t="s">
        <v>179</v>
      </c>
      <c r="E51" s="6" t="s">
        <v>229</v>
      </c>
      <c r="F51" s="5" t="s">
        <v>246</v>
      </c>
    </row>
    <row r="52" spans="1:6" x14ac:dyDescent="0.25">
      <c r="A52" s="6" t="s">
        <v>190</v>
      </c>
      <c r="B52" s="5"/>
      <c r="C52" s="5" t="s">
        <v>191</v>
      </c>
      <c r="D52" s="6" t="s">
        <v>179</v>
      </c>
      <c r="E52" s="6" t="s">
        <v>234</v>
      </c>
      <c r="F52" s="5"/>
    </row>
    <row r="53" spans="1:6" x14ac:dyDescent="0.25">
      <c r="A53" s="8" t="s">
        <v>78</v>
      </c>
      <c r="B53" s="9" t="s">
        <v>79</v>
      </c>
      <c r="C53" s="10"/>
      <c r="D53" s="11"/>
      <c r="E53" s="11"/>
      <c r="F53" s="10"/>
    </row>
    <row r="54" spans="1:6" x14ac:dyDescent="0.25">
      <c r="A54" s="6" t="s">
        <v>80</v>
      </c>
      <c r="B54" s="5"/>
      <c r="C54" s="5" t="s">
        <v>81</v>
      </c>
      <c r="D54" s="6" t="s">
        <v>176</v>
      </c>
      <c r="E54" s="6" t="s">
        <v>226</v>
      </c>
      <c r="F54" s="5"/>
    </row>
    <row r="55" spans="1:6" x14ac:dyDescent="0.25">
      <c r="A55" s="6" t="s">
        <v>84</v>
      </c>
      <c r="B55" s="5" t="s">
        <v>210</v>
      </c>
      <c r="C55" s="5" t="s">
        <v>82</v>
      </c>
      <c r="D55" s="6" t="s">
        <v>176</v>
      </c>
      <c r="E55" s="6" t="s">
        <v>226</v>
      </c>
      <c r="F55" s="5"/>
    </row>
    <row r="56" spans="1:6" x14ac:dyDescent="0.25">
      <c r="A56" s="6" t="s">
        <v>85</v>
      </c>
      <c r="B56" s="5" t="s">
        <v>211</v>
      </c>
      <c r="C56" s="17" t="s">
        <v>83</v>
      </c>
      <c r="D56" s="6" t="s">
        <v>176</v>
      </c>
      <c r="E56" s="6" t="s">
        <v>226</v>
      </c>
      <c r="F56" s="5"/>
    </row>
    <row r="57" spans="1:6" x14ac:dyDescent="0.25">
      <c r="A57" s="6" t="s">
        <v>86</v>
      </c>
      <c r="B57" s="5" t="s">
        <v>210</v>
      </c>
      <c r="C57" s="5" t="s">
        <v>193</v>
      </c>
      <c r="D57" s="6" t="s">
        <v>183</v>
      </c>
      <c r="E57" s="6" t="s">
        <v>231</v>
      </c>
      <c r="F57" s="5"/>
    </row>
    <row r="58" spans="1:6" x14ac:dyDescent="0.25">
      <c r="A58" s="6" t="s">
        <v>87</v>
      </c>
      <c r="B58" s="5" t="s">
        <v>210</v>
      </c>
      <c r="C58" s="5" t="s">
        <v>182</v>
      </c>
      <c r="D58" s="6" t="s">
        <v>183</v>
      </c>
      <c r="E58" s="6" t="s">
        <v>231</v>
      </c>
      <c r="F58" s="5"/>
    </row>
    <row r="59" spans="1:6" x14ac:dyDescent="0.25">
      <c r="A59" s="6" t="s">
        <v>88</v>
      </c>
      <c r="B59" s="5" t="s">
        <v>210</v>
      </c>
      <c r="C59" s="5" t="s">
        <v>192</v>
      </c>
      <c r="D59" s="6" t="s">
        <v>183</v>
      </c>
      <c r="E59" s="6" t="s">
        <v>231</v>
      </c>
      <c r="F59" s="5"/>
    </row>
    <row r="60" spans="1:6" x14ac:dyDescent="0.25">
      <c r="A60" s="6" t="s">
        <v>89</v>
      </c>
      <c r="B60" s="5" t="s">
        <v>211</v>
      </c>
      <c r="C60" s="17" t="s">
        <v>251</v>
      </c>
      <c r="D60" s="6" t="s">
        <v>176</v>
      </c>
      <c r="E60" s="6" t="s">
        <v>229</v>
      </c>
      <c r="F60" s="5"/>
    </row>
    <row r="61" spans="1:6" x14ac:dyDescent="0.25">
      <c r="A61" s="6" t="s">
        <v>90</v>
      </c>
      <c r="B61" s="5"/>
      <c r="C61" s="17" t="s">
        <v>217</v>
      </c>
      <c r="D61" s="6" t="s">
        <v>176</v>
      </c>
      <c r="E61" s="6" t="s">
        <v>229</v>
      </c>
      <c r="F61" s="5" t="s">
        <v>345</v>
      </c>
    </row>
    <row r="62" spans="1:6" x14ac:dyDescent="0.25">
      <c r="A62" s="6" t="s">
        <v>194</v>
      </c>
      <c r="B62" s="5"/>
      <c r="C62" s="17" t="s">
        <v>336</v>
      </c>
      <c r="D62" s="6" t="s">
        <v>176</v>
      </c>
      <c r="E62" s="6" t="s">
        <v>229</v>
      </c>
      <c r="F62" s="5" t="s">
        <v>352</v>
      </c>
    </row>
    <row r="63" spans="1:6" x14ac:dyDescent="0.25">
      <c r="A63" s="6" t="s">
        <v>216</v>
      </c>
      <c r="B63" s="5"/>
      <c r="C63" s="17" t="s">
        <v>218</v>
      </c>
      <c r="D63" s="6" t="s">
        <v>179</v>
      </c>
      <c r="E63" s="6" t="s">
        <v>229</v>
      </c>
      <c r="F63" s="5" t="s">
        <v>247</v>
      </c>
    </row>
    <row r="64" spans="1:6" x14ac:dyDescent="0.25">
      <c r="A64" s="6" t="s">
        <v>337</v>
      </c>
      <c r="B64" s="5"/>
      <c r="C64" s="17" t="s">
        <v>219</v>
      </c>
      <c r="D64" s="6" t="s">
        <v>179</v>
      </c>
      <c r="E64" s="6" t="s">
        <v>229</v>
      </c>
      <c r="F64" s="5" t="s">
        <v>259</v>
      </c>
    </row>
    <row r="65" spans="1:6" x14ac:dyDescent="0.25">
      <c r="A65" s="8" t="s">
        <v>91</v>
      </c>
      <c r="B65" s="9" t="s">
        <v>92</v>
      </c>
      <c r="C65" s="10"/>
      <c r="D65" s="11"/>
      <c r="E65" s="11"/>
      <c r="F65" s="10"/>
    </row>
    <row r="66" spans="1:6" x14ac:dyDescent="0.25">
      <c r="A66" s="6" t="s">
        <v>93</v>
      </c>
      <c r="B66" s="5"/>
      <c r="C66" s="5" t="s">
        <v>94</v>
      </c>
      <c r="D66" s="6" t="s">
        <v>176</v>
      </c>
      <c r="E66" s="6" t="s">
        <v>226</v>
      </c>
      <c r="F66" s="5"/>
    </row>
    <row r="67" spans="1:6" x14ac:dyDescent="0.25">
      <c r="A67" s="6" t="s">
        <v>104</v>
      </c>
      <c r="B67" s="5"/>
      <c r="C67" s="5" t="s">
        <v>95</v>
      </c>
      <c r="D67" s="6" t="s">
        <v>176</v>
      </c>
      <c r="E67" s="6" t="s">
        <v>237</v>
      </c>
      <c r="F67" s="5"/>
    </row>
    <row r="68" spans="1:6" x14ac:dyDescent="0.25">
      <c r="A68" s="6" t="s">
        <v>105</v>
      </c>
      <c r="B68" s="5" t="s">
        <v>210</v>
      </c>
      <c r="C68" s="5" t="s">
        <v>96</v>
      </c>
      <c r="D68" s="6" t="s">
        <v>176</v>
      </c>
      <c r="E68" s="6" t="s">
        <v>237</v>
      </c>
      <c r="F68" s="5"/>
    </row>
    <row r="69" spans="1:6" x14ac:dyDescent="0.25">
      <c r="A69" s="6" t="s">
        <v>106</v>
      </c>
      <c r="B69" s="5" t="s">
        <v>210</v>
      </c>
      <c r="C69" s="5" t="s">
        <v>97</v>
      </c>
      <c r="D69" s="6" t="s">
        <v>176</v>
      </c>
      <c r="E69" s="6" t="s">
        <v>237</v>
      </c>
      <c r="F69" s="5"/>
    </row>
    <row r="70" spans="1:6" x14ac:dyDescent="0.25">
      <c r="A70" s="6" t="s">
        <v>107</v>
      </c>
      <c r="B70" s="5" t="s">
        <v>210</v>
      </c>
      <c r="C70" s="5" t="s">
        <v>98</v>
      </c>
      <c r="D70" s="6" t="s">
        <v>176</v>
      </c>
      <c r="E70" s="6" t="s">
        <v>237</v>
      </c>
      <c r="F70" s="5"/>
    </row>
    <row r="71" spans="1:6" x14ac:dyDescent="0.25">
      <c r="A71" s="6" t="s">
        <v>108</v>
      </c>
      <c r="B71" s="5" t="s">
        <v>210</v>
      </c>
      <c r="C71" s="5" t="s">
        <v>99</v>
      </c>
      <c r="D71" s="6" t="s">
        <v>176</v>
      </c>
      <c r="E71" s="6" t="s">
        <v>237</v>
      </c>
      <c r="F71" s="5"/>
    </row>
    <row r="72" spans="1:6" x14ac:dyDescent="0.25">
      <c r="A72" s="6" t="s">
        <v>109</v>
      </c>
      <c r="B72" s="5" t="s">
        <v>210</v>
      </c>
      <c r="C72" s="5" t="s">
        <v>100</v>
      </c>
      <c r="D72" s="6" t="s">
        <v>176</v>
      </c>
      <c r="E72" s="6" t="s">
        <v>237</v>
      </c>
      <c r="F72" s="5"/>
    </row>
    <row r="73" spans="1:6" x14ac:dyDescent="0.25">
      <c r="A73" s="6" t="s">
        <v>110</v>
      </c>
      <c r="B73" s="5" t="s">
        <v>211</v>
      </c>
      <c r="C73" s="17" t="s">
        <v>101</v>
      </c>
      <c r="D73" s="6" t="s">
        <v>176</v>
      </c>
      <c r="E73" s="6" t="s">
        <v>237</v>
      </c>
      <c r="F73" s="5"/>
    </row>
    <row r="74" spans="1:6" x14ac:dyDescent="0.25">
      <c r="A74" s="6" t="s">
        <v>111</v>
      </c>
      <c r="B74" s="5"/>
      <c r="C74" s="17" t="s">
        <v>250</v>
      </c>
      <c r="D74" s="6" t="s">
        <v>184</v>
      </c>
      <c r="E74" s="6" t="s">
        <v>237</v>
      </c>
      <c r="F74" s="5" t="s">
        <v>353</v>
      </c>
    </row>
    <row r="75" spans="1:6" x14ac:dyDescent="0.25">
      <c r="A75" s="6" t="s">
        <v>112</v>
      </c>
      <c r="B75" s="5"/>
      <c r="C75" s="17" t="s">
        <v>102</v>
      </c>
      <c r="D75" s="6" t="s">
        <v>184</v>
      </c>
      <c r="E75" s="6" t="s">
        <v>229</v>
      </c>
      <c r="F75" s="5" t="s">
        <v>354</v>
      </c>
    </row>
    <row r="76" spans="1:6" x14ac:dyDescent="0.25">
      <c r="A76" s="6" t="s">
        <v>113</v>
      </c>
      <c r="B76" s="5"/>
      <c r="C76" s="5" t="s">
        <v>103</v>
      </c>
      <c r="D76" s="6" t="s">
        <v>185</v>
      </c>
      <c r="E76" s="6" t="s">
        <v>235</v>
      </c>
      <c r="F76" s="5"/>
    </row>
    <row r="77" spans="1:6" x14ac:dyDescent="0.25">
      <c r="A77" s="6" t="s">
        <v>195</v>
      </c>
      <c r="B77" s="5"/>
      <c r="C77" s="5" t="s">
        <v>341</v>
      </c>
      <c r="D77" s="6" t="s">
        <v>179</v>
      </c>
      <c r="E77" s="6" t="s">
        <v>234</v>
      </c>
      <c r="F77" s="16" t="s">
        <v>355</v>
      </c>
    </row>
    <row r="78" spans="1:6" x14ac:dyDescent="0.25">
      <c r="A78" s="6" t="s">
        <v>248</v>
      </c>
      <c r="B78" s="5"/>
      <c r="C78" s="5" t="s">
        <v>220</v>
      </c>
      <c r="D78" s="6" t="s">
        <v>176</v>
      </c>
      <c r="E78" s="6" t="s">
        <v>234</v>
      </c>
      <c r="F78" s="5" t="s">
        <v>252</v>
      </c>
    </row>
    <row r="79" spans="1:6" x14ac:dyDescent="0.25">
      <c r="A79" s="6" t="s">
        <v>342</v>
      </c>
      <c r="B79" s="5"/>
      <c r="C79" s="5" t="s">
        <v>343</v>
      </c>
      <c r="D79" s="6" t="s">
        <v>176</v>
      </c>
      <c r="E79" s="6" t="s">
        <v>344</v>
      </c>
      <c r="F79" s="5"/>
    </row>
    <row r="80" spans="1:6" x14ac:dyDescent="0.25">
      <c r="A80" s="8" t="s">
        <v>196</v>
      </c>
      <c r="B80" s="9" t="s">
        <v>117</v>
      </c>
      <c r="C80" s="10"/>
      <c r="D80" s="11"/>
      <c r="E80" s="11"/>
      <c r="F80" s="10"/>
    </row>
    <row r="81" spans="1:6" x14ac:dyDescent="0.25">
      <c r="A81" s="6" t="s">
        <v>114</v>
      </c>
      <c r="B81" s="5"/>
      <c r="C81" s="5" t="s">
        <v>119</v>
      </c>
      <c r="D81" s="6" t="s">
        <v>179</v>
      </c>
      <c r="E81" s="6" t="s">
        <v>238</v>
      </c>
      <c r="F81" s="5"/>
    </row>
    <row r="82" spans="1:6" x14ac:dyDescent="0.25">
      <c r="A82" s="6" t="s">
        <v>115</v>
      </c>
      <c r="B82" s="5" t="s">
        <v>210</v>
      </c>
      <c r="C82" s="5" t="s">
        <v>120</v>
      </c>
      <c r="D82" s="6" t="s">
        <v>179</v>
      </c>
      <c r="E82" s="6" t="s">
        <v>238</v>
      </c>
      <c r="F82" s="5"/>
    </row>
    <row r="83" spans="1:6" x14ac:dyDescent="0.25">
      <c r="A83" s="6" t="s">
        <v>197</v>
      </c>
      <c r="B83" s="5" t="s">
        <v>210</v>
      </c>
      <c r="C83" s="5" t="s">
        <v>121</v>
      </c>
      <c r="D83" s="6" t="s">
        <v>179</v>
      </c>
      <c r="E83" s="6" t="s">
        <v>238</v>
      </c>
      <c r="F83" s="5"/>
    </row>
    <row r="84" spans="1:6" x14ac:dyDescent="0.25">
      <c r="A84" s="6" t="s">
        <v>198</v>
      </c>
      <c r="B84" s="5" t="s">
        <v>210</v>
      </c>
      <c r="C84" s="5" t="s">
        <v>122</v>
      </c>
      <c r="D84" s="6" t="s">
        <v>179</v>
      </c>
      <c r="E84" s="6" t="s">
        <v>238</v>
      </c>
      <c r="F84" s="5"/>
    </row>
    <row r="85" spans="1:6" x14ac:dyDescent="0.25">
      <c r="A85" s="6" t="s">
        <v>199</v>
      </c>
      <c r="B85" s="5" t="s">
        <v>210</v>
      </c>
      <c r="C85" s="5" t="s">
        <v>123</v>
      </c>
      <c r="D85" s="6" t="s">
        <v>179</v>
      </c>
      <c r="E85" s="6" t="s">
        <v>238</v>
      </c>
      <c r="F85" s="5"/>
    </row>
    <row r="86" spans="1:6" x14ac:dyDescent="0.25">
      <c r="A86" s="6" t="s">
        <v>200</v>
      </c>
      <c r="B86" s="5" t="s">
        <v>210</v>
      </c>
      <c r="C86" s="5" t="s">
        <v>124</v>
      </c>
      <c r="D86" s="6" t="s">
        <v>179</v>
      </c>
      <c r="E86" s="6" t="s">
        <v>238</v>
      </c>
      <c r="F86" s="5"/>
    </row>
    <row r="87" spans="1:6" x14ac:dyDescent="0.25">
      <c r="A87" s="6" t="s">
        <v>201</v>
      </c>
      <c r="B87" s="5" t="s">
        <v>210</v>
      </c>
      <c r="C87" s="5" t="s">
        <v>125</v>
      </c>
      <c r="D87" s="6" t="s">
        <v>179</v>
      </c>
      <c r="E87" s="6" t="s">
        <v>238</v>
      </c>
      <c r="F87" s="5"/>
    </row>
    <row r="88" spans="1:6" x14ac:dyDescent="0.25">
      <c r="A88" s="6" t="s">
        <v>202</v>
      </c>
      <c r="B88" s="5" t="s">
        <v>210</v>
      </c>
      <c r="C88" s="5" t="s">
        <v>126</v>
      </c>
      <c r="D88" s="6" t="s">
        <v>179</v>
      </c>
      <c r="E88" s="6" t="s">
        <v>238</v>
      </c>
      <c r="F88" s="5"/>
    </row>
    <row r="89" spans="1:6" x14ac:dyDescent="0.25">
      <c r="A89" s="6" t="s">
        <v>203</v>
      </c>
      <c r="B89" s="5" t="s">
        <v>212</v>
      </c>
      <c r="C89" s="5" t="s">
        <v>391</v>
      </c>
      <c r="D89" s="6" t="s">
        <v>179</v>
      </c>
      <c r="E89" s="6" t="s">
        <v>238</v>
      </c>
      <c r="F89" s="5"/>
    </row>
    <row r="90" spans="1:6" x14ac:dyDescent="0.25">
      <c r="A90" s="6" t="s">
        <v>204</v>
      </c>
      <c r="B90" s="5" t="s">
        <v>211</v>
      </c>
      <c r="C90" s="17" t="s">
        <v>127</v>
      </c>
      <c r="D90" s="6" t="s">
        <v>179</v>
      </c>
      <c r="E90" s="6" t="s">
        <v>238</v>
      </c>
      <c r="F90" s="5"/>
    </row>
    <row r="91" spans="1:6" x14ac:dyDescent="0.25">
      <c r="A91" s="6" t="s">
        <v>205</v>
      </c>
      <c r="B91" s="5" t="s">
        <v>212</v>
      </c>
      <c r="C91" s="5" t="s">
        <v>221</v>
      </c>
      <c r="D91" s="6" t="s">
        <v>179</v>
      </c>
      <c r="E91" s="6" t="s">
        <v>238</v>
      </c>
      <c r="F91" s="5"/>
    </row>
    <row r="92" spans="1:6" x14ac:dyDescent="0.25">
      <c r="A92" s="6" t="s">
        <v>206</v>
      </c>
      <c r="B92" s="5" t="s">
        <v>211</v>
      </c>
      <c r="C92" s="17" t="s">
        <v>128</v>
      </c>
      <c r="D92" s="6" t="s">
        <v>179</v>
      </c>
      <c r="E92" s="6" t="s">
        <v>238</v>
      </c>
      <c r="F92" s="5"/>
    </row>
    <row r="93" spans="1:6" x14ac:dyDescent="0.25">
      <c r="A93" s="6" t="s">
        <v>207</v>
      </c>
      <c r="B93" s="5" t="s">
        <v>212</v>
      </c>
      <c r="C93" s="5" t="s">
        <v>222</v>
      </c>
      <c r="D93" s="6" t="s">
        <v>179</v>
      </c>
      <c r="E93" s="6" t="s">
        <v>238</v>
      </c>
      <c r="F93" s="5"/>
    </row>
    <row r="94" spans="1:6" x14ac:dyDescent="0.25">
      <c r="A94" s="6" t="s">
        <v>208</v>
      </c>
      <c r="B94" s="5" t="s">
        <v>211</v>
      </c>
      <c r="C94" s="17" t="s">
        <v>129</v>
      </c>
      <c r="D94" s="6" t="s">
        <v>179</v>
      </c>
      <c r="E94" s="6" t="s">
        <v>238</v>
      </c>
      <c r="F94" s="5"/>
    </row>
    <row r="95" spans="1:6" x14ac:dyDescent="0.25">
      <c r="A95" s="6" t="s">
        <v>209</v>
      </c>
      <c r="B95" s="5"/>
      <c r="C95" s="17" t="s">
        <v>130</v>
      </c>
      <c r="D95" s="6" t="s">
        <v>184</v>
      </c>
      <c r="E95" s="6" t="s">
        <v>238</v>
      </c>
      <c r="F95" s="5" t="s">
        <v>253</v>
      </c>
    </row>
    <row r="96" spans="1:6" x14ac:dyDescent="0.25">
      <c r="A96" s="6" t="s">
        <v>390</v>
      </c>
      <c r="B96" s="5"/>
      <c r="C96" s="17" t="s">
        <v>131</v>
      </c>
      <c r="D96" s="6" t="s">
        <v>184</v>
      </c>
      <c r="E96" s="6" t="s">
        <v>238</v>
      </c>
      <c r="F96" s="5" t="s">
        <v>254</v>
      </c>
    </row>
    <row r="97" spans="1:6" x14ac:dyDescent="0.25">
      <c r="A97" s="8" t="s">
        <v>116</v>
      </c>
      <c r="B97" s="9" t="s">
        <v>143</v>
      </c>
      <c r="C97" s="10"/>
      <c r="D97" s="11"/>
      <c r="E97" s="11"/>
      <c r="F97" s="10"/>
    </row>
    <row r="98" spans="1:6" x14ac:dyDescent="0.25">
      <c r="A98" s="6" t="s">
        <v>118</v>
      </c>
      <c r="B98" s="5"/>
      <c r="C98" s="5" t="s">
        <v>145</v>
      </c>
      <c r="D98" s="6" t="s">
        <v>179</v>
      </c>
      <c r="E98" s="6" t="s">
        <v>239</v>
      </c>
      <c r="F98" s="5"/>
    </row>
    <row r="99" spans="1:6" x14ac:dyDescent="0.25">
      <c r="A99" s="6" t="s">
        <v>132</v>
      </c>
      <c r="B99" s="5" t="s">
        <v>210</v>
      </c>
      <c r="C99" s="5" t="s">
        <v>146</v>
      </c>
      <c r="D99" s="6" t="s">
        <v>179</v>
      </c>
      <c r="E99" s="6" t="s">
        <v>239</v>
      </c>
      <c r="F99" s="5"/>
    </row>
    <row r="100" spans="1:6" x14ac:dyDescent="0.25">
      <c r="A100" s="6" t="s">
        <v>133</v>
      </c>
      <c r="B100" s="5" t="s">
        <v>210</v>
      </c>
      <c r="C100" s="5" t="s">
        <v>147</v>
      </c>
      <c r="D100" s="6" t="s">
        <v>179</v>
      </c>
      <c r="E100" s="6" t="s">
        <v>239</v>
      </c>
      <c r="F100" s="5"/>
    </row>
    <row r="101" spans="1:6" x14ac:dyDescent="0.25">
      <c r="A101" s="6" t="s">
        <v>134</v>
      </c>
      <c r="B101" s="5" t="s">
        <v>210</v>
      </c>
      <c r="C101" s="5" t="s">
        <v>148</v>
      </c>
      <c r="D101" s="6" t="s">
        <v>179</v>
      </c>
      <c r="E101" s="6" t="s">
        <v>239</v>
      </c>
      <c r="F101" s="5"/>
    </row>
    <row r="102" spans="1:6" x14ac:dyDescent="0.25">
      <c r="A102" s="6" t="s">
        <v>135</v>
      </c>
      <c r="B102" s="5" t="s">
        <v>210</v>
      </c>
      <c r="C102" s="5" t="s">
        <v>149</v>
      </c>
      <c r="D102" s="6" t="s">
        <v>179</v>
      </c>
      <c r="E102" s="6" t="s">
        <v>239</v>
      </c>
      <c r="F102" s="5"/>
    </row>
    <row r="103" spans="1:6" x14ac:dyDescent="0.25">
      <c r="A103" s="6" t="s">
        <v>136</v>
      </c>
      <c r="B103" s="5" t="s">
        <v>211</v>
      </c>
      <c r="C103" s="5" t="s">
        <v>150</v>
      </c>
      <c r="D103" s="6" t="s">
        <v>179</v>
      </c>
      <c r="E103" s="6" t="s">
        <v>239</v>
      </c>
      <c r="F103" s="5"/>
    </row>
    <row r="104" spans="1:6" x14ac:dyDescent="0.25">
      <c r="A104" s="6" t="s">
        <v>137</v>
      </c>
      <c r="B104" s="5"/>
      <c r="C104" s="5" t="s">
        <v>151</v>
      </c>
      <c r="D104" s="6" t="s">
        <v>184</v>
      </c>
      <c r="E104" s="6" t="s">
        <v>239</v>
      </c>
      <c r="F104" s="5"/>
    </row>
    <row r="105" spans="1:6" x14ac:dyDescent="0.25">
      <c r="A105" s="6" t="s">
        <v>138</v>
      </c>
      <c r="B105" s="5"/>
      <c r="C105" s="5" t="s">
        <v>152</v>
      </c>
      <c r="D105" s="6" t="s">
        <v>179</v>
      </c>
      <c r="E105" s="6" t="s">
        <v>239</v>
      </c>
      <c r="F105" s="5"/>
    </row>
    <row r="106" spans="1:6" x14ac:dyDescent="0.25">
      <c r="A106" s="6" t="s">
        <v>139</v>
      </c>
      <c r="B106" s="5"/>
      <c r="C106" s="5" t="s">
        <v>153</v>
      </c>
      <c r="D106" s="6" t="s">
        <v>179</v>
      </c>
      <c r="E106" s="6" t="s">
        <v>239</v>
      </c>
      <c r="F106" s="5"/>
    </row>
    <row r="107" spans="1:6" x14ac:dyDescent="0.25">
      <c r="A107" s="6" t="s">
        <v>140</v>
      </c>
      <c r="B107" s="5"/>
      <c r="C107" s="5" t="s">
        <v>389</v>
      </c>
      <c r="D107" s="6" t="s">
        <v>179</v>
      </c>
      <c r="E107" s="6" t="s">
        <v>239</v>
      </c>
      <c r="F107" s="5"/>
    </row>
    <row r="108" spans="1:6" x14ac:dyDescent="0.25">
      <c r="A108" s="6" t="s">
        <v>141</v>
      </c>
      <c r="B108" s="5"/>
      <c r="C108" s="5" t="s">
        <v>154</v>
      </c>
      <c r="D108" s="6" t="s">
        <v>179</v>
      </c>
      <c r="E108" s="6" t="s">
        <v>239</v>
      </c>
      <c r="F108" s="5"/>
    </row>
    <row r="109" spans="1:6" x14ac:dyDescent="0.25">
      <c r="A109" s="6" t="s">
        <v>388</v>
      </c>
      <c r="B109" s="5"/>
      <c r="C109" s="5" t="s">
        <v>155</v>
      </c>
      <c r="D109" s="6" t="s">
        <v>179</v>
      </c>
      <c r="E109" s="6" t="s">
        <v>239</v>
      </c>
      <c r="F109" s="5"/>
    </row>
    <row r="110" spans="1:6" x14ac:dyDescent="0.25">
      <c r="A110" s="8" t="s">
        <v>142</v>
      </c>
      <c r="B110" s="9" t="s">
        <v>161</v>
      </c>
      <c r="C110" s="10"/>
      <c r="D110" s="11"/>
      <c r="E110" s="11"/>
      <c r="F110" s="10"/>
    </row>
    <row r="111" spans="1:6" x14ac:dyDescent="0.25">
      <c r="A111" s="7" t="s">
        <v>144</v>
      </c>
      <c r="B111" s="5"/>
      <c r="C111" s="5" t="s">
        <v>162</v>
      </c>
      <c r="D111" s="6" t="s">
        <v>179</v>
      </c>
      <c r="E111" s="6" t="s">
        <v>229</v>
      </c>
      <c r="F111" s="16" t="s">
        <v>262</v>
      </c>
    </row>
    <row r="112" spans="1:6" x14ac:dyDescent="0.25">
      <c r="A112" s="7" t="s">
        <v>156</v>
      </c>
      <c r="B112" s="5"/>
      <c r="C112" s="5" t="s">
        <v>163</v>
      </c>
      <c r="D112" s="6" t="s">
        <v>179</v>
      </c>
      <c r="E112" s="6" t="s">
        <v>229</v>
      </c>
      <c r="F112" s="5" t="s">
        <v>263</v>
      </c>
    </row>
    <row r="113" spans="1:6" x14ac:dyDescent="0.25">
      <c r="A113" s="7" t="s">
        <v>157</v>
      </c>
      <c r="B113" s="5"/>
      <c r="C113" s="5" t="s">
        <v>164</v>
      </c>
      <c r="D113" s="6" t="s">
        <v>179</v>
      </c>
      <c r="E113" s="6" t="s">
        <v>229</v>
      </c>
      <c r="F113" s="5" t="s">
        <v>264</v>
      </c>
    </row>
    <row r="114" spans="1:6" x14ac:dyDescent="0.25">
      <c r="A114" s="7" t="s">
        <v>158</v>
      </c>
      <c r="B114" s="5"/>
      <c r="C114" s="5" t="s">
        <v>165</v>
      </c>
      <c r="D114" s="6" t="s">
        <v>184</v>
      </c>
      <c r="E114" s="6" t="s">
        <v>229</v>
      </c>
      <c r="F114" s="5" t="s">
        <v>265</v>
      </c>
    </row>
    <row r="115" spans="1:6" x14ac:dyDescent="0.25">
      <c r="A115" s="7" t="s">
        <v>159</v>
      </c>
      <c r="B115" s="5"/>
      <c r="C115" s="5" t="s">
        <v>166</v>
      </c>
      <c r="D115" s="6" t="s">
        <v>179</v>
      </c>
      <c r="E115" s="6" t="s">
        <v>229</v>
      </c>
      <c r="F115" s="5" t="s">
        <v>266</v>
      </c>
    </row>
    <row r="116" spans="1:6" x14ac:dyDescent="0.25">
      <c r="A116" s="7" t="s">
        <v>160</v>
      </c>
      <c r="B116" s="5"/>
      <c r="C116" s="5" t="s">
        <v>167</v>
      </c>
      <c r="D116" s="6" t="s">
        <v>179</v>
      </c>
      <c r="E116" s="6" t="s">
        <v>229</v>
      </c>
      <c r="F116" s="5" t="s">
        <v>267</v>
      </c>
    </row>
  </sheetData>
  <phoneticPr fontId="12" type="noConversion"/>
  <pageMargins left="0.75000000000000011" right="0.75000000000000011" top="0.64351851851851849" bottom="1" header="0.5" footer="0.5"/>
  <pageSetup paperSize="5" scale="5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D14" sqref="D14"/>
    </sheetView>
  </sheetViews>
  <sheetFormatPr defaultRowHeight="15.75" x14ac:dyDescent="0.25"/>
  <cols>
    <col min="1" max="1" width="10.5" bestFit="1" customWidth="1"/>
    <col min="2" max="3" width="9.125" style="212" customWidth="1"/>
    <col min="4" max="4" width="9.125" style="211" customWidth="1"/>
    <col min="5" max="5" width="3.25" customWidth="1"/>
    <col min="6" max="6" width="11" style="215" customWidth="1"/>
    <col min="7" max="8" width="9.125" style="1" customWidth="1"/>
    <col min="9" max="9" width="9.125" style="2" customWidth="1"/>
    <col min="10" max="10" width="3.25" customWidth="1"/>
  </cols>
  <sheetData>
    <row r="1" spans="1:10" s="210" customFormat="1" ht="21" x14ac:dyDescent="0.35">
      <c r="A1" s="277" t="s">
        <v>559</v>
      </c>
      <c r="B1" s="277"/>
      <c r="C1" s="277"/>
      <c r="D1" s="277"/>
      <c r="E1" s="277"/>
      <c r="F1" s="277"/>
      <c r="G1" s="277"/>
      <c r="H1" s="277"/>
      <c r="I1" s="277"/>
    </row>
    <row r="2" spans="1:10" x14ac:dyDescent="0.25">
      <c r="A2" s="5"/>
      <c r="B2" s="219"/>
      <c r="C2" s="219"/>
      <c r="D2" s="220"/>
      <c r="E2" s="5"/>
      <c r="F2" s="6"/>
      <c r="G2" s="6"/>
      <c r="H2" s="6"/>
      <c r="I2" s="18"/>
    </row>
    <row r="3" spans="1:10" s="210" customFormat="1" x14ac:dyDescent="0.25">
      <c r="A3" s="18" t="s">
        <v>339</v>
      </c>
      <c r="B3" s="275" t="s">
        <v>563</v>
      </c>
      <c r="C3" s="275"/>
      <c r="D3" s="275"/>
      <c r="E3" s="18"/>
      <c r="F3" s="18" t="s">
        <v>339</v>
      </c>
      <c r="G3" s="276" t="s">
        <v>564</v>
      </c>
      <c r="H3" s="276"/>
      <c r="I3" s="276"/>
      <c r="J3" s="2"/>
    </row>
    <row r="4" spans="1:10" s="210" customFormat="1" x14ac:dyDescent="0.25">
      <c r="A4" s="18"/>
      <c r="B4" s="220" t="s">
        <v>562</v>
      </c>
      <c r="C4" s="220"/>
      <c r="D4" s="220"/>
      <c r="E4" s="18"/>
      <c r="F4" s="18"/>
      <c r="G4" s="18" t="s">
        <v>562</v>
      </c>
      <c r="H4" s="18"/>
      <c r="I4" s="18"/>
      <c r="J4" s="2"/>
    </row>
    <row r="5" spans="1:10" x14ac:dyDescent="0.25">
      <c r="A5" s="221"/>
      <c r="B5" s="219">
        <v>146417</v>
      </c>
      <c r="C5" s="219">
        <v>142895</v>
      </c>
      <c r="D5" s="220">
        <f t="shared" ref="D5:D14" si="0">+B5-C5</f>
        <v>3522</v>
      </c>
      <c r="E5" s="5"/>
      <c r="F5" s="221"/>
      <c r="G5" s="6">
        <v>37290</v>
      </c>
      <c r="H5" s="6">
        <v>34442</v>
      </c>
      <c r="I5" s="18">
        <f>+G5-H5</f>
        <v>2848</v>
      </c>
    </row>
    <row r="6" spans="1:10" x14ac:dyDescent="0.25">
      <c r="A6" s="221"/>
      <c r="B6" s="219">
        <v>150009</v>
      </c>
      <c r="C6" s="219">
        <f>+B5</f>
        <v>146417</v>
      </c>
      <c r="D6" s="220">
        <f t="shared" si="0"/>
        <v>3592</v>
      </c>
      <c r="E6" s="5"/>
      <c r="F6" s="221"/>
      <c r="G6" s="6">
        <v>40643</v>
      </c>
      <c r="H6" s="6">
        <f>+G5</f>
        <v>37290</v>
      </c>
      <c r="I6" s="18">
        <f>+G6-H6</f>
        <v>3353</v>
      </c>
    </row>
    <row r="7" spans="1:10" x14ac:dyDescent="0.25">
      <c r="A7" s="5"/>
      <c r="B7" s="219">
        <v>151647</v>
      </c>
      <c r="C7" s="219">
        <f>+B6</f>
        <v>150009</v>
      </c>
      <c r="D7" s="220">
        <f t="shared" si="0"/>
        <v>1638</v>
      </c>
      <c r="E7" s="5"/>
      <c r="F7" s="6"/>
      <c r="G7" s="6"/>
      <c r="H7" s="6"/>
      <c r="I7" s="18"/>
    </row>
    <row r="8" spans="1:10" x14ac:dyDescent="0.25">
      <c r="A8" s="5"/>
      <c r="B8" s="219">
        <v>152335</v>
      </c>
      <c r="C8" s="219">
        <f>+B7</f>
        <v>151647</v>
      </c>
      <c r="D8" s="224">
        <f t="shared" si="0"/>
        <v>688</v>
      </c>
      <c r="E8" s="5"/>
      <c r="F8" s="6"/>
      <c r="G8" s="6"/>
      <c r="H8" s="6"/>
      <c r="I8" s="18"/>
    </row>
    <row r="9" spans="1:10" x14ac:dyDescent="0.25">
      <c r="A9" s="228" t="s">
        <v>581</v>
      </c>
      <c r="B9" s="219">
        <f>+C9+3379</f>
        <v>155714</v>
      </c>
      <c r="C9" s="219">
        <f>+B8</f>
        <v>152335</v>
      </c>
      <c r="D9" s="226">
        <f t="shared" si="0"/>
        <v>3379</v>
      </c>
      <c r="E9" s="5"/>
      <c r="F9" s="6"/>
      <c r="G9" s="6"/>
      <c r="H9" s="6"/>
      <c r="I9" s="18"/>
    </row>
    <row r="10" spans="1:10" x14ac:dyDescent="0.25">
      <c r="A10" s="228" t="s">
        <v>580</v>
      </c>
      <c r="B10" s="219">
        <v>157870</v>
      </c>
      <c r="C10" s="219">
        <f>+B9</f>
        <v>155714</v>
      </c>
      <c r="D10" s="229">
        <f t="shared" si="0"/>
        <v>2156</v>
      </c>
      <c r="E10" s="5"/>
      <c r="F10" s="6"/>
      <c r="G10" s="6"/>
      <c r="H10" s="6"/>
      <c r="I10" s="227"/>
    </row>
    <row r="11" spans="1:10" x14ac:dyDescent="0.25">
      <c r="A11" s="228">
        <v>43862</v>
      </c>
      <c r="B11" s="219">
        <v>163017</v>
      </c>
      <c r="C11" s="219">
        <v>157870</v>
      </c>
      <c r="D11" s="231">
        <f t="shared" si="0"/>
        <v>5147</v>
      </c>
      <c r="E11" s="5"/>
      <c r="F11" s="6"/>
      <c r="G11" s="6"/>
      <c r="H11" s="6"/>
      <c r="I11" s="232"/>
    </row>
    <row r="12" spans="1:10" x14ac:dyDescent="0.25">
      <c r="A12" s="228">
        <v>43923</v>
      </c>
      <c r="B12" s="219">
        <f>163017+4258</f>
        <v>167275</v>
      </c>
      <c r="C12" s="219">
        <v>163017</v>
      </c>
      <c r="D12" s="231">
        <f t="shared" si="0"/>
        <v>4258</v>
      </c>
      <c r="E12" s="5"/>
      <c r="F12" s="6"/>
      <c r="G12" s="6"/>
      <c r="H12" s="6"/>
      <c r="I12" s="232"/>
    </row>
    <row r="13" spans="1:10" x14ac:dyDescent="0.25">
      <c r="A13" s="228">
        <v>43893</v>
      </c>
      <c r="B13" s="219">
        <v>168873</v>
      </c>
      <c r="C13" s="219">
        <f>+B12</f>
        <v>167275</v>
      </c>
      <c r="D13" s="233">
        <f t="shared" si="0"/>
        <v>1598</v>
      </c>
      <c r="E13" s="5"/>
      <c r="F13" s="6"/>
      <c r="G13" s="6"/>
      <c r="H13" s="6"/>
      <c r="I13" s="232"/>
    </row>
    <row r="14" spans="1:10" x14ac:dyDescent="0.25">
      <c r="A14" s="228">
        <v>43923</v>
      </c>
      <c r="B14" s="219">
        <v>170057</v>
      </c>
      <c r="C14" s="219">
        <v>168873</v>
      </c>
      <c r="D14" s="237">
        <f t="shared" si="0"/>
        <v>1184</v>
      </c>
      <c r="E14" s="5"/>
      <c r="F14" s="6"/>
      <c r="G14" s="6"/>
      <c r="H14" s="6"/>
      <c r="I14" s="238"/>
    </row>
    <row r="15" spans="1:10" x14ac:dyDescent="0.25">
      <c r="A15" s="5"/>
      <c r="B15" s="219"/>
      <c r="C15" s="219"/>
      <c r="D15" s="220"/>
      <c r="E15" s="5"/>
      <c r="F15" s="6"/>
      <c r="G15" s="6"/>
      <c r="H15" s="6"/>
      <c r="I15" s="18"/>
    </row>
    <row r="16" spans="1:10" x14ac:dyDescent="0.25">
      <c r="C16" s="214"/>
      <c r="H16" s="215"/>
    </row>
    <row r="17" spans="3:15" x14ac:dyDescent="0.25">
      <c r="C17" s="214"/>
      <c r="H17" s="215"/>
      <c r="N17">
        <f>44670.81-55000</f>
        <v>-10329.190000000002</v>
      </c>
      <c r="O17">
        <v>44670.81</v>
      </c>
    </row>
    <row r="18" spans="3:15" x14ac:dyDescent="0.25">
      <c r="C18" s="214"/>
      <c r="H18" s="215"/>
      <c r="O18">
        <v>8279.19</v>
      </c>
    </row>
    <row r="19" spans="3:15" x14ac:dyDescent="0.25">
      <c r="O19">
        <f>+O17+O18</f>
        <v>52950</v>
      </c>
    </row>
    <row r="20" spans="3:15" x14ac:dyDescent="0.25">
      <c r="O20">
        <f>55000-O19</f>
        <v>2050</v>
      </c>
    </row>
  </sheetData>
  <mergeCells count="3">
    <mergeCell ref="B3:D3"/>
    <mergeCell ref="G3:I3"/>
    <mergeCell ref="A1:I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0"/>
  <sheetViews>
    <sheetView showGridLines="0" topLeftCell="A7" workbookViewId="0">
      <selection activeCell="F21" sqref="F21"/>
    </sheetView>
  </sheetViews>
  <sheetFormatPr defaultColWidth="9.125" defaultRowHeight="15" x14ac:dyDescent="0.25"/>
  <cols>
    <col min="1" max="1" width="1.25" style="19" customWidth="1"/>
    <col min="2" max="3" width="17.625" style="19" customWidth="1"/>
    <col min="4" max="4" width="21.625" style="19" customWidth="1"/>
    <col min="5" max="5" width="43.125" style="19" customWidth="1"/>
    <col min="6" max="6" width="17.625" style="19" customWidth="1"/>
    <col min="7" max="7" width="9.5" style="19" customWidth="1"/>
    <col min="8" max="8" width="12.125" style="19" bestFit="1" customWidth="1"/>
    <col min="9" max="16384" width="9.125" style="19"/>
  </cols>
  <sheetData>
    <row r="1" spans="2:8" ht="6.75" customHeight="1" thickBot="1" x14ac:dyDescent="0.3"/>
    <row r="2" spans="2:8" ht="18.75" x14ac:dyDescent="0.3">
      <c r="B2" s="20" t="str">
        <f>'W.B. Input Data'!B2</f>
        <v>BCBI-SAN LUIS</v>
      </c>
      <c r="C2" s="21"/>
      <c r="D2" s="21"/>
      <c r="E2" s="21"/>
      <c r="F2" s="22"/>
    </row>
    <row r="3" spans="2:8" ht="18.75" x14ac:dyDescent="0.3">
      <c r="B3" s="23" t="str">
        <f>'W.B. Input Data'!B3</f>
        <v>JULY 2020</v>
      </c>
      <c r="C3" s="24"/>
      <c r="D3" s="25"/>
      <c r="E3" s="24"/>
      <c r="F3" s="26"/>
    </row>
    <row r="4" spans="2:8" ht="15.75" thickBot="1" x14ac:dyDescent="0.3">
      <c r="B4" s="27"/>
      <c r="C4" s="28"/>
      <c r="D4" s="28"/>
      <c r="E4" s="28"/>
      <c r="F4" s="29"/>
    </row>
    <row r="5" spans="2:8" x14ac:dyDescent="0.25">
      <c r="B5" s="30"/>
      <c r="C5" s="31"/>
      <c r="D5" s="32"/>
      <c r="E5" s="32" t="s">
        <v>268</v>
      </c>
      <c r="F5" s="33"/>
    </row>
    <row r="6" spans="2:8" ht="15.75" x14ac:dyDescent="0.25">
      <c r="B6" s="34"/>
      <c r="C6" s="35"/>
      <c r="D6" s="36" t="s">
        <v>269</v>
      </c>
      <c r="E6" s="37">
        <f>'W.B. Input Data'!C15</f>
        <v>178468</v>
      </c>
      <c r="F6" s="38" t="s">
        <v>270</v>
      </c>
    </row>
    <row r="7" spans="2:8" ht="16.5" thickBot="1" x14ac:dyDescent="0.3">
      <c r="B7" s="34"/>
      <c r="C7" s="35"/>
      <c r="D7" s="36" t="s">
        <v>271</v>
      </c>
      <c r="E7" s="39">
        <f>+E6/B17</f>
        <v>0.87768186656983549</v>
      </c>
      <c r="F7" s="38" t="s">
        <v>272</v>
      </c>
    </row>
    <row r="8" spans="2:8" ht="15.75" x14ac:dyDescent="0.25">
      <c r="B8" s="34"/>
      <c r="C8" s="35"/>
      <c r="D8" s="37">
        <f>+E6+E9</f>
        <v>178468</v>
      </c>
      <c r="E8" s="32" t="s">
        <v>273</v>
      </c>
      <c r="F8" s="40">
        <f>+E6+E9</f>
        <v>178468</v>
      </c>
      <c r="G8" s="41"/>
      <c r="H8" s="42"/>
    </row>
    <row r="9" spans="2:8" ht="15.75" x14ac:dyDescent="0.25">
      <c r="B9" s="34"/>
      <c r="C9" s="35" t="s">
        <v>274</v>
      </c>
      <c r="D9" s="43">
        <f>+D8/B17</f>
        <v>0.87768186656983549</v>
      </c>
      <c r="E9" s="37">
        <f>'W.B. Input Data'!C20</f>
        <v>0</v>
      </c>
      <c r="F9" s="44">
        <f>+F8/B17</f>
        <v>0.87768186656983549</v>
      </c>
    </row>
    <row r="10" spans="2:8" ht="16.5" thickBot="1" x14ac:dyDescent="0.3">
      <c r="B10" s="34"/>
      <c r="C10" s="35" t="s">
        <v>271</v>
      </c>
      <c r="D10" s="45"/>
      <c r="E10" s="39">
        <f>+E9/B17</f>
        <v>0</v>
      </c>
      <c r="F10" s="46"/>
    </row>
    <row r="11" spans="2:8" ht="15.75" x14ac:dyDescent="0.25">
      <c r="B11" s="34"/>
      <c r="C11" s="47">
        <f>+D8+D14</f>
        <v>178700.15</v>
      </c>
      <c r="D11" s="48"/>
      <c r="E11" s="48" t="s">
        <v>95</v>
      </c>
      <c r="F11" s="49"/>
    </row>
    <row r="12" spans="2:8" ht="15.75" x14ac:dyDescent="0.25">
      <c r="B12" s="34"/>
      <c r="C12" s="50">
        <f>+C11/B17</f>
        <v>0.87882354936632667</v>
      </c>
      <c r="D12" s="51" t="s">
        <v>275</v>
      </c>
      <c r="E12" s="52">
        <f>'W.B. Input Data'!C25</f>
        <v>183</v>
      </c>
      <c r="F12" s="53"/>
      <c r="G12" s="41"/>
    </row>
    <row r="13" spans="2:8" ht="16.5" thickBot="1" x14ac:dyDescent="0.3">
      <c r="B13" s="34"/>
      <c r="C13" s="35"/>
      <c r="D13" s="51" t="s">
        <v>271</v>
      </c>
      <c r="E13" s="54">
        <f>+E12/B17</f>
        <v>8.9996963927583596E-4</v>
      </c>
      <c r="F13" s="53"/>
      <c r="G13" s="41"/>
    </row>
    <row r="14" spans="2:8" ht="15.75" x14ac:dyDescent="0.25">
      <c r="B14" s="34"/>
      <c r="C14" s="35"/>
      <c r="D14" s="52">
        <f>+E12+E15</f>
        <v>232.15</v>
      </c>
      <c r="E14" s="48" t="s">
        <v>96</v>
      </c>
      <c r="F14" s="53"/>
    </row>
    <row r="15" spans="2:8" ht="15.75" x14ac:dyDescent="0.25">
      <c r="B15" s="34"/>
      <c r="C15" s="35"/>
      <c r="D15" s="55">
        <f>+D14/B17</f>
        <v>1.1416827964911766E-3</v>
      </c>
      <c r="E15" s="52">
        <f>'W.B. Input Data'!C29</f>
        <v>49.15</v>
      </c>
      <c r="F15" s="53"/>
    </row>
    <row r="16" spans="2:8" ht="16.5" thickBot="1" x14ac:dyDescent="0.3">
      <c r="B16" s="34" t="s">
        <v>276</v>
      </c>
      <c r="C16" s="56"/>
      <c r="D16" s="57"/>
      <c r="E16" s="54">
        <f>+E15/B17</f>
        <v>2.4171315721534063E-4</v>
      </c>
      <c r="F16" s="53"/>
    </row>
    <row r="17" spans="2:8" ht="15.75" x14ac:dyDescent="0.25">
      <c r="B17" s="58">
        <f>'W.B. Input Data'!C8</f>
        <v>203340.1928394514</v>
      </c>
      <c r="C17" s="59"/>
      <c r="D17" s="60"/>
      <c r="E17" s="60" t="s">
        <v>97</v>
      </c>
      <c r="F17" s="53"/>
    </row>
    <row r="18" spans="2:8" ht="15.75" x14ac:dyDescent="0.25">
      <c r="B18" s="61"/>
      <c r="C18" s="62"/>
      <c r="D18" s="63" t="s">
        <v>277</v>
      </c>
      <c r="E18" s="64">
        <f>'W.B. Input Data'!C43</f>
        <v>0</v>
      </c>
      <c r="F18" s="53" t="s">
        <v>278</v>
      </c>
    </row>
    <row r="19" spans="2:8" ht="16.5" thickBot="1" x14ac:dyDescent="0.3">
      <c r="B19" s="65"/>
      <c r="C19" s="62"/>
      <c r="D19" s="63" t="s">
        <v>279</v>
      </c>
      <c r="E19" s="66">
        <f>+E18/B17</f>
        <v>0</v>
      </c>
      <c r="F19" s="53" t="s">
        <v>272</v>
      </c>
    </row>
    <row r="20" spans="2:8" ht="15.75" x14ac:dyDescent="0.25">
      <c r="B20" s="34"/>
      <c r="C20" s="62"/>
      <c r="D20" s="64">
        <f>+E18+E21</f>
        <v>50</v>
      </c>
      <c r="E20" s="60" t="s">
        <v>280</v>
      </c>
      <c r="F20" s="67">
        <f>+E12+E15+E18+E21+E24+E27</f>
        <v>24872.192839451403</v>
      </c>
    </row>
    <row r="21" spans="2:8" ht="15.75" x14ac:dyDescent="0.25">
      <c r="B21" s="34"/>
      <c r="C21" s="62" t="s">
        <v>272</v>
      </c>
      <c r="D21" s="68">
        <f>+D20/B17</f>
        <v>2.4589334406443608E-4</v>
      </c>
      <c r="E21" s="64">
        <f>'W.B. Input Data'!C45</f>
        <v>50</v>
      </c>
      <c r="F21" s="69">
        <f>+F20/B17</f>
        <v>0.12231813343016454</v>
      </c>
    </row>
    <row r="22" spans="2:8" ht="16.5" thickBot="1" x14ac:dyDescent="0.3">
      <c r="B22" s="34"/>
      <c r="C22" s="62" t="s">
        <v>281</v>
      </c>
      <c r="D22" s="70"/>
      <c r="E22" s="68">
        <f>+E21/B17</f>
        <v>2.4589334406443608E-4</v>
      </c>
      <c r="F22" s="69"/>
    </row>
    <row r="23" spans="2:8" ht="15.75" x14ac:dyDescent="0.25">
      <c r="B23" s="34"/>
      <c r="C23" s="71">
        <f>+B17-C11</f>
        <v>24640.042839451402</v>
      </c>
      <c r="D23" s="72"/>
      <c r="E23" s="60" t="s">
        <v>99</v>
      </c>
      <c r="F23" s="73"/>
    </row>
    <row r="24" spans="2:8" ht="15.75" x14ac:dyDescent="0.25">
      <c r="B24" s="34"/>
      <c r="C24" s="74">
        <f>+C23/B17</f>
        <v>0.12117645063367335</v>
      </c>
      <c r="D24" s="75" t="s">
        <v>282</v>
      </c>
      <c r="E24" s="64">
        <f>'W.B. Input Data'!C48</f>
        <v>336.09999999999997</v>
      </c>
      <c r="F24" s="73"/>
    </row>
    <row r="25" spans="2:8" ht="16.5" thickBot="1" x14ac:dyDescent="0.3">
      <c r="B25" s="34"/>
      <c r="C25" s="62"/>
      <c r="D25" s="75" t="s">
        <v>281</v>
      </c>
      <c r="E25" s="76">
        <f>+E24/B17</f>
        <v>1.652895058801139E-3</v>
      </c>
      <c r="F25" s="73"/>
    </row>
    <row r="26" spans="2:8" ht="15.75" x14ac:dyDescent="0.25">
      <c r="B26" s="34"/>
      <c r="C26" s="62"/>
      <c r="D26" s="77">
        <f>+C23-D20</f>
        <v>24590.042839451402</v>
      </c>
      <c r="E26" s="78" t="s">
        <v>100</v>
      </c>
      <c r="F26" s="73"/>
      <c r="G26" s="41"/>
      <c r="H26" s="41"/>
    </row>
    <row r="27" spans="2:8" ht="15.75" x14ac:dyDescent="0.25">
      <c r="B27" s="34"/>
      <c r="C27" s="62"/>
      <c r="D27" s="79">
        <f>+D26/B17</f>
        <v>0.12093055728960891</v>
      </c>
      <c r="E27" s="80">
        <f>+D26-E24</f>
        <v>24253.942839451403</v>
      </c>
      <c r="F27" s="73"/>
    </row>
    <row r="28" spans="2:8" ht="16.5" thickBot="1" x14ac:dyDescent="0.3">
      <c r="B28" s="81"/>
      <c r="C28" s="82"/>
      <c r="D28" s="83"/>
      <c r="E28" s="76">
        <f>+E27/B17</f>
        <v>0.11927766223080778</v>
      </c>
      <c r="F28" s="84"/>
    </row>
    <row r="29" spans="2:8" x14ac:dyDescent="0.25">
      <c r="B29" s="41"/>
      <c r="C29" s="41"/>
      <c r="D29" s="41"/>
    </row>
    <row r="30" spans="2:8" x14ac:dyDescent="0.25">
      <c r="C30" s="41"/>
    </row>
  </sheetData>
  <sheetProtection selectLockedCells="1" selectUnlockedCells="1"/>
  <pageMargins left="0.88" right="0.4" top="1.05" bottom="0.25" header="0.05" footer="0.05"/>
  <pageSetup orientation="landscape" horizontalDpi="4294967293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179"/>
  <sheetViews>
    <sheetView tabSelected="1" view="pageBreakPreview" zoomScale="70" zoomScaleNormal="80" zoomScaleSheetLayoutView="70" zoomScalePageLayoutView="120" workbookViewId="0">
      <pane xSplit="4" ySplit="3" topLeftCell="AP106" activePane="bottomRight" state="frozen"/>
      <selection pane="topRight" activeCell="G1" sqref="G1"/>
      <selection pane="bottomLeft" activeCell="A4" sqref="A4"/>
      <selection pane="bottomRight" activeCell="AV123" sqref="AV123"/>
    </sheetView>
  </sheetViews>
  <sheetFormatPr defaultColWidth="11" defaultRowHeight="15" x14ac:dyDescent="0.2"/>
  <cols>
    <col min="1" max="1" width="5.75" style="157" customWidth="1"/>
    <col min="2" max="2" width="2.25" style="155" customWidth="1"/>
    <col min="3" max="3" width="56.625" style="155" customWidth="1"/>
    <col min="4" max="4" width="16.125" style="157" bestFit="1" customWidth="1"/>
    <col min="5" max="10" width="14.25" style="155" hidden="1" customWidth="1"/>
    <col min="11" max="25" width="14.25" style="155" customWidth="1"/>
    <col min="26" max="26" width="15" style="155" customWidth="1"/>
    <col min="27" max="27" width="14.25" style="155" customWidth="1"/>
    <col min="28" max="30" width="15" style="155" customWidth="1"/>
    <col min="31" max="31" width="14.25" style="155" customWidth="1"/>
    <col min="32" max="36" width="15" style="155" customWidth="1"/>
    <col min="37" max="37" width="14.25" style="155" customWidth="1"/>
    <col min="38" max="40" width="15" style="155" customWidth="1"/>
    <col min="41" max="42" width="15" style="155" bestFit="1" customWidth="1"/>
    <col min="43" max="43" width="14.25" style="155" hidden="1" customWidth="1"/>
    <col min="44" max="46" width="15" style="155" hidden="1" customWidth="1"/>
    <col min="47" max="48" width="15" style="155" bestFit="1" customWidth="1"/>
    <col min="49" max="49" width="14.25" style="155" customWidth="1"/>
    <col min="50" max="52" width="15" style="155" customWidth="1"/>
    <col min="53" max="53" width="8.25" style="155" bestFit="1" customWidth="1"/>
    <col min="54" max="54" width="11.25" style="155" bestFit="1" customWidth="1"/>
    <col min="55" max="55" width="9.5" style="159" bestFit="1" customWidth="1"/>
    <col min="56" max="56" width="7.625" style="155" bestFit="1" customWidth="1"/>
    <col min="57" max="57" width="13.5" style="155" bestFit="1" customWidth="1"/>
    <col min="58" max="58" width="11" style="155"/>
    <col min="59" max="60" width="13.125" style="155" bestFit="1" customWidth="1"/>
    <col min="61" max="61" width="11.75" style="155" bestFit="1" customWidth="1"/>
    <col min="62" max="16384" width="11" style="155"/>
  </cols>
  <sheetData>
    <row r="1" spans="1:58" ht="15.75" x14ac:dyDescent="0.25">
      <c r="A1" s="154" t="s">
        <v>492</v>
      </c>
      <c r="C1" s="156"/>
      <c r="E1" s="159"/>
      <c r="F1" s="159"/>
      <c r="J1" s="160"/>
      <c r="K1" s="159"/>
      <c r="L1" s="159"/>
      <c r="O1" s="160"/>
      <c r="P1" s="160"/>
      <c r="Q1" s="175"/>
      <c r="X1" s="161"/>
      <c r="AB1" s="160"/>
      <c r="AD1" s="161"/>
      <c r="AH1" s="160"/>
      <c r="AJ1" s="161"/>
      <c r="AN1" s="160"/>
      <c r="AP1" s="161"/>
      <c r="AT1" s="160"/>
      <c r="AV1" s="159"/>
      <c r="AX1" s="191"/>
      <c r="AY1" s="247"/>
      <c r="AZ1" s="160"/>
      <c r="BE1" s="155" t="s">
        <v>597</v>
      </c>
      <c r="BF1" s="155" t="s">
        <v>596</v>
      </c>
    </row>
    <row r="2" spans="1:58" ht="15.75" x14ac:dyDescent="0.25">
      <c r="A2" s="154" t="s">
        <v>613</v>
      </c>
      <c r="C2" s="156"/>
      <c r="R2" s="236"/>
      <c r="V2" s="160"/>
      <c r="W2" s="236"/>
      <c r="X2" s="236"/>
      <c r="AC2" s="236"/>
      <c r="AD2" s="236"/>
      <c r="AI2" s="236"/>
      <c r="AJ2" s="236"/>
      <c r="AO2" s="236"/>
      <c r="AP2" s="236"/>
      <c r="AU2" s="236"/>
      <c r="AV2" s="236"/>
    </row>
    <row r="3" spans="1:58" ht="15.75" x14ac:dyDescent="0.25">
      <c r="A3" s="162"/>
      <c r="D3" s="163" t="s">
        <v>36</v>
      </c>
      <c r="E3" s="290" t="s">
        <v>520</v>
      </c>
      <c r="F3" s="291"/>
      <c r="G3" s="290" t="s">
        <v>573</v>
      </c>
      <c r="H3" s="291"/>
      <c r="I3" s="290" t="s">
        <v>574</v>
      </c>
      <c r="J3" s="291"/>
      <c r="K3" s="290" t="s">
        <v>521</v>
      </c>
      <c r="L3" s="291"/>
      <c r="M3" s="290" t="s">
        <v>553</v>
      </c>
      <c r="N3" s="291"/>
      <c r="O3" s="290" t="s">
        <v>554</v>
      </c>
      <c r="P3" s="291"/>
      <c r="Q3" s="290" t="s">
        <v>582</v>
      </c>
      <c r="R3" s="291"/>
      <c r="S3" s="290" t="s">
        <v>583</v>
      </c>
      <c r="T3" s="291"/>
      <c r="U3" s="290" t="s">
        <v>584</v>
      </c>
      <c r="V3" s="291"/>
      <c r="W3" s="290" t="s">
        <v>585</v>
      </c>
      <c r="X3" s="291"/>
      <c r="Y3" s="290" t="s">
        <v>586</v>
      </c>
      <c r="Z3" s="291"/>
      <c r="AA3" s="290" t="s">
        <v>587</v>
      </c>
      <c r="AB3" s="291"/>
      <c r="AC3" s="290" t="s">
        <v>592</v>
      </c>
      <c r="AD3" s="291"/>
      <c r="AE3" s="290" t="s">
        <v>593</v>
      </c>
      <c r="AF3" s="291"/>
      <c r="AG3" s="290" t="s">
        <v>594</v>
      </c>
      <c r="AH3" s="291"/>
      <c r="AI3" s="290" t="s">
        <v>600</v>
      </c>
      <c r="AJ3" s="291"/>
      <c r="AK3" s="290" t="s">
        <v>601</v>
      </c>
      <c r="AL3" s="291"/>
      <c r="AM3" s="290" t="s">
        <v>602</v>
      </c>
      <c r="AN3" s="291"/>
      <c r="AO3" s="290" t="s">
        <v>605</v>
      </c>
      <c r="AP3" s="291"/>
      <c r="AQ3" s="290" t="s">
        <v>606</v>
      </c>
      <c r="AR3" s="291"/>
      <c r="AS3" s="290" t="s">
        <v>607</v>
      </c>
      <c r="AT3" s="291"/>
      <c r="AU3" s="290" t="s">
        <v>610</v>
      </c>
      <c r="AV3" s="291"/>
      <c r="AW3" s="290" t="s">
        <v>611</v>
      </c>
      <c r="AX3" s="291"/>
      <c r="AY3" s="290" t="s">
        <v>612</v>
      </c>
      <c r="AZ3" s="291"/>
      <c r="BA3" s="290" t="s">
        <v>186</v>
      </c>
      <c r="BB3" s="291"/>
      <c r="BC3" s="290" t="s">
        <v>603</v>
      </c>
      <c r="BD3" s="291"/>
    </row>
    <row r="4" spans="1:58" ht="15.75" x14ac:dyDescent="0.25">
      <c r="A4" s="195" t="s">
        <v>3</v>
      </c>
      <c r="B4" s="196" t="s">
        <v>7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</row>
    <row r="5" spans="1:58" x14ac:dyDescent="0.2">
      <c r="A5" s="149" t="s">
        <v>4</v>
      </c>
      <c r="B5" s="166"/>
      <c r="C5" s="155" t="s">
        <v>2</v>
      </c>
      <c r="D5" s="149" t="s">
        <v>168</v>
      </c>
      <c r="E5" s="168">
        <v>17</v>
      </c>
      <c r="F5" s="168">
        <v>17</v>
      </c>
      <c r="G5" s="168">
        <v>17</v>
      </c>
      <c r="H5" s="168">
        <v>17</v>
      </c>
      <c r="I5" s="168">
        <v>17</v>
      </c>
      <c r="J5" s="168">
        <v>17</v>
      </c>
      <c r="K5" s="168">
        <v>17</v>
      </c>
      <c r="L5" s="168">
        <v>17</v>
      </c>
      <c r="M5" s="168">
        <v>17</v>
      </c>
      <c r="N5" s="168">
        <v>17</v>
      </c>
      <c r="O5" s="168">
        <v>17</v>
      </c>
      <c r="P5" s="168">
        <v>17</v>
      </c>
      <c r="Q5" s="168">
        <v>17</v>
      </c>
      <c r="R5" s="168">
        <v>17</v>
      </c>
      <c r="S5" s="168">
        <v>17</v>
      </c>
      <c r="T5" s="168">
        <v>17</v>
      </c>
      <c r="U5" s="168">
        <v>17</v>
      </c>
      <c r="V5" s="168">
        <v>17</v>
      </c>
      <c r="W5" s="168">
        <v>17</v>
      </c>
      <c r="X5" s="168">
        <v>17</v>
      </c>
      <c r="Y5" s="168">
        <v>17</v>
      </c>
      <c r="Z5" s="168">
        <v>17</v>
      </c>
      <c r="AA5" s="168">
        <v>17</v>
      </c>
      <c r="AB5" s="168">
        <v>17</v>
      </c>
      <c r="AC5" s="168">
        <v>17</v>
      </c>
      <c r="AD5" s="168">
        <v>17</v>
      </c>
      <c r="AE5" s="168">
        <v>17</v>
      </c>
      <c r="AF5" s="168">
        <v>17</v>
      </c>
      <c r="AG5" s="168">
        <v>17</v>
      </c>
      <c r="AH5" s="168">
        <v>17</v>
      </c>
      <c r="AI5" s="168">
        <v>17</v>
      </c>
      <c r="AJ5" s="168">
        <v>17</v>
      </c>
      <c r="AK5" s="168">
        <v>17</v>
      </c>
      <c r="AL5" s="168">
        <v>17</v>
      </c>
      <c r="AM5" s="168">
        <v>17</v>
      </c>
      <c r="AN5" s="168">
        <v>17</v>
      </c>
      <c r="AO5" s="168">
        <v>17</v>
      </c>
      <c r="AP5" s="168">
        <v>17</v>
      </c>
      <c r="AQ5" s="168">
        <v>17</v>
      </c>
      <c r="AR5" s="168">
        <v>17</v>
      </c>
      <c r="AS5" s="168">
        <v>17</v>
      </c>
      <c r="AT5" s="168">
        <v>17</v>
      </c>
      <c r="AU5" s="168">
        <v>17</v>
      </c>
      <c r="AV5" s="168">
        <v>17</v>
      </c>
      <c r="AW5" s="168">
        <v>17</v>
      </c>
      <c r="AX5" s="168">
        <v>17</v>
      </c>
      <c r="AY5" s="168">
        <v>17</v>
      </c>
      <c r="AZ5" s="168">
        <v>17</v>
      </c>
      <c r="BA5" s="167">
        <f>+AU5-AO5</f>
        <v>0</v>
      </c>
      <c r="BB5" s="167">
        <f>+AV5-AP5</f>
        <v>0</v>
      </c>
      <c r="BC5" s="169">
        <f>BA5/AO5</f>
        <v>0</v>
      </c>
      <c r="BD5" s="169">
        <f>BB5/AP5</f>
        <v>0</v>
      </c>
    </row>
    <row r="6" spans="1:58" x14ac:dyDescent="0.2">
      <c r="A6" s="149" t="s">
        <v>5</v>
      </c>
      <c r="B6" s="166"/>
      <c r="C6" s="166" t="s">
        <v>260</v>
      </c>
      <c r="D6" s="149" t="s">
        <v>168</v>
      </c>
      <c r="E6" s="284">
        <v>17</v>
      </c>
      <c r="F6" s="285"/>
      <c r="G6" s="284">
        <v>13</v>
      </c>
      <c r="H6" s="285"/>
      <c r="I6" s="284">
        <v>4</v>
      </c>
      <c r="J6" s="285"/>
      <c r="K6" s="284">
        <v>17</v>
      </c>
      <c r="L6" s="285"/>
      <c r="M6" s="284">
        <f>17-4</f>
        <v>13</v>
      </c>
      <c r="N6" s="285"/>
      <c r="O6" s="284">
        <v>4</v>
      </c>
      <c r="P6" s="285"/>
      <c r="Q6" s="284">
        <v>17</v>
      </c>
      <c r="R6" s="285"/>
      <c r="S6" s="284">
        <f>17-4</f>
        <v>13</v>
      </c>
      <c r="T6" s="285"/>
      <c r="U6" s="284">
        <v>4</v>
      </c>
      <c r="V6" s="285"/>
      <c r="W6" s="284">
        <v>17</v>
      </c>
      <c r="X6" s="285"/>
      <c r="Y6" s="284">
        <v>13</v>
      </c>
      <c r="Z6" s="285"/>
      <c r="AA6" s="284">
        <v>4</v>
      </c>
      <c r="AB6" s="285"/>
      <c r="AC6" s="284">
        <v>17</v>
      </c>
      <c r="AD6" s="285"/>
      <c r="AE6" s="284">
        <f>17-4</f>
        <v>13</v>
      </c>
      <c r="AF6" s="285"/>
      <c r="AG6" s="284">
        <v>4</v>
      </c>
      <c r="AH6" s="285"/>
      <c r="AI6" s="284">
        <v>17</v>
      </c>
      <c r="AJ6" s="285"/>
      <c r="AK6" s="284">
        <f>17-4</f>
        <v>13</v>
      </c>
      <c r="AL6" s="285"/>
      <c r="AM6" s="284">
        <v>4</v>
      </c>
      <c r="AN6" s="285"/>
      <c r="AO6" s="284">
        <v>17</v>
      </c>
      <c r="AP6" s="285"/>
      <c r="AQ6" s="284">
        <f>17-4</f>
        <v>13</v>
      </c>
      <c r="AR6" s="285"/>
      <c r="AS6" s="284">
        <v>4</v>
      </c>
      <c r="AT6" s="285"/>
      <c r="AU6" s="284">
        <v>17</v>
      </c>
      <c r="AV6" s="285"/>
      <c r="AW6" s="284">
        <f>17-4</f>
        <v>13</v>
      </c>
      <c r="AX6" s="285"/>
      <c r="AY6" s="284">
        <v>4</v>
      </c>
      <c r="AZ6" s="285"/>
      <c r="BA6" s="306">
        <f t="shared" ref="BA6:BA18" si="0">AU6-AO6</f>
        <v>0</v>
      </c>
      <c r="BB6" s="307"/>
      <c r="BC6" s="302">
        <f t="shared" ref="BC6:BC18" si="1">BA6/AO6</f>
        <v>0</v>
      </c>
      <c r="BD6" s="303"/>
    </row>
    <row r="7" spans="1:58" x14ac:dyDescent="0.2">
      <c r="A7" s="149" t="s">
        <v>6</v>
      </c>
      <c r="B7" s="166"/>
      <c r="C7" s="166" t="s">
        <v>490</v>
      </c>
      <c r="D7" s="149" t="s">
        <v>491</v>
      </c>
      <c r="E7" s="284">
        <v>84452</v>
      </c>
      <c r="F7" s="285"/>
      <c r="G7" s="284">
        <v>84452</v>
      </c>
      <c r="H7" s="285"/>
      <c r="I7" s="284">
        <v>84452</v>
      </c>
      <c r="J7" s="285"/>
      <c r="K7" s="284">
        <v>84452</v>
      </c>
      <c r="L7" s="285"/>
      <c r="M7" s="284">
        <v>84452</v>
      </c>
      <c r="N7" s="285"/>
      <c r="O7" s="284">
        <v>84452</v>
      </c>
      <c r="P7" s="285"/>
      <c r="Q7" s="284">
        <v>84452</v>
      </c>
      <c r="R7" s="285"/>
      <c r="S7" s="284">
        <v>84452</v>
      </c>
      <c r="T7" s="285"/>
      <c r="U7" s="284">
        <v>84452</v>
      </c>
      <c r="V7" s="285"/>
      <c r="W7" s="284">
        <v>84452</v>
      </c>
      <c r="X7" s="285"/>
      <c r="Y7" s="284">
        <v>84452</v>
      </c>
      <c r="Z7" s="285"/>
      <c r="AA7" s="284">
        <v>84452</v>
      </c>
      <c r="AB7" s="285"/>
      <c r="AC7" s="284">
        <v>84452</v>
      </c>
      <c r="AD7" s="285"/>
      <c r="AE7" s="284">
        <v>84452</v>
      </c>
      <c r="AF7" s="285"/>
      <c r="AG7" s="284">
        <v>84452</v>
      </c>
      <c r="AH7" s="285"/>
      <c r="AI7" s="284">
        <v>84452</v>
      </c>
      <c r="AJ7" s="285"/>
      <c r="AK7" s="284">
        <v>84452</v>
      </c>
      <c r="AL7" s="285"/>
      <c r="AM7" s="284">
        <v>84452</v>
      </c>
      <c r="AN7" s="285"/>
      <c r="AO7" s="284">
        <v>84452</v>
      </c>
      <c r="AP7" s="285"/>
      <c r="AQ7" s="284">
        <v>84452</v>
      </c>
      <c r="AR7" s="285"/>
      <c r="AS7" s="284">
        <v>84452</v>
      </c>
      <c r="AT7" s="285"/>
      <c r="AU7" s="284">
        <v>84452</v>
      </c>
      <c r="AV7" s="285"/>
      <c r="AW7" s="284">
        <v>84452</v>
      </c>
      <c r="AX7" s="285"/>
      <c r="AY7" s="284">
        <v>84452</v>
      </c>
      <c r="AZ7" s="285"/>
      <c r="BA7" s="306">
        <f t="shared" si="0"/>
        <v>0</v>
      </c>
      <c r="BB7" s="307"/>
      <c r="BC7" s="302">
        <f t="shared" si="1"/>
        <v>0</v>
      </c>
      <c r="BD7" s="303"/>
    </row>
    <row r="8" spans="1:58" x14ac:dyDescent="0.2">
      <c r="A8" s="149" t="s">
        <v>19</v>
      </c>
      <c r="B8" s="166"/>
      <c r="C8" s="166" t="s">
        <v>261</v>
      </c>
      <c r="D8" s="149" t="s">
        <v>169</v>
      </c>
      <c r="E8" s="284">
        <v>11081</v>
      </c>
      <c r="F8" s="285"/>
      <c r="G8" s="284">
        <v>6544</v>
      </c>
      <c r="H8" s="285"/>
      <c r="I8" s="284">
        <v>4521</v>
      </c>
      <c r="J8" s="285"/>
      <c r="K8" s="284">
        <v>11081</v>
      </c>
      <c r="L8" s="285"/>
      <c r="M8" s="284">
        <v>6544</v>
      </c>
      <c r="N8" s="285"/>
      <c r="O8" s="284">
        <v>4521</v>
      </c>
      <c r="P8" s="285"/>
      <c r="Q8" s="284">
        <v>11081</v>
      </c>
      <c r="R8" s="285"/>
      <c r="S8" s="284">
        <v>6544</v>
      </c>
      <c r="T8" s="285"/>
      <c r="U8" s="284">
        <v>4521</v>
      </c>
      <c r="V8" s="285"/>
      <c r="W8" s="284">
        <v>11081</v>
      </c>
      <c r="X8" s="285"/>
      <c r="Y8" s="284">
        <v>6544</v>
      </c>
      <c r="Z8" s="285"/>
      <c r="AA8" s="284">
        <v>4521</v>
      </c>
      <c r="AB8" s="285"/>
      <c r="AC8" s="284">
        <v>11081</v>
      </c>
      <c r="AD8" s="285"/>
      <c r="AE8" s="284">
        <v>6544</v>
      </c>
      <c r="AF8" s="285"/>
      <c r="AG8" s="284">
        <v>4521</v>
      </c>
      <c r="AH8" s="285"/>
      <c r="AI8" s="284">
        <v>11081</v>
      </c>
      <c r="AJ8" s="285"/>
      <c r="AK8" s="284">
        <v>6544</v>
      </c>
      <c r="AL8" s="285"/>
      <c r="AM8" s="284">
        <v>4521</v>
      </c>
      <c r="AN8" s="285"/>
      <c r="AO8" s="284">
        <v>11081</v>
      </c>
      <c r="AP8" s="285"/>
      <c r="AQ8" s="284">
        <v>6544</v>
      </c>
      <c r="AR8" s="285"/>
      <c r="AS8" s="284">
        <v>4521</v>
      </c>
      <c r="AT8" s="285"/>
      <c r="AU8" s="284">
        <v>11081</v>
      </c>
      <c r="AV8" s="285"/>
      <c r="AW8" s="284">
        <v>6544</v>
      </c>
      <c r="AX8" s="285"/>
      <c r="AY8" s="284">
        <v>4521</v>
      </c>
      <c r="AZ8" s="285"/>
      <c r="BA8" s="306">
        <f t="shared" si="0"/>
        <v>0</v>
      </c>
      <c r="BB8" s="307"/>
      <c r="BC8" s="302">
        <f t="shared" si="1"/>
        <v>0</v>
      </c>
      <c r="BD8" s="303"/>
    </row>
    <row r="9" spans="1:58" x14ac:dyDescent="0.2">
      <c r="A9" s="149" t="s">
        <v>20</v>
      </c>
      <c r="B9" s="166"/>
      <c r="C9" s="166" t="s">
        <v>256</v>
      </c>
      <c r="D9" s="149" t="s">
        <v>184</v>
      </c>
      <c r="E9" s="302">
        <v>0.79288872845411063</v>
      </c>
      <c r="F9" s="303"/>
      <c r="G9" s="302">
        <v>0.85365853658536583</v>
      </c>
      <c r="H9" s="303"/>
      <c r="I9" s="302">
        <v>0.70625967706259674</v>
      </c>
      <c r="J9" s="303"/>
      <c r="K9" s="302">
        <f>K10/K8</f>
        <v>0.79469361970941255</v>
      </c>
      <c r="L9" s="303"/>
      <c r="M9" s="302">
        <f>M10/M8</f>
        <v>0.85742665036674814</v>
      </c>
      <c r="N9" s="303"/>
      <c r="O9" s="302">
        <f>O10/O8</f>
        <v>0.70670205706702061</v>
      </c>
      <c r="P9" s="303"/>
      <c r="Q9" s="302">
        <f>Q10/Q8</f>
        <v>0.79658875552747943</v>
      </c>
      <c r="R9" s="303"/>
      <c r="S9" s="302">
        <f>S10/S8</f>
        <v>0.86078850855745725</v>
      </c>
      <c r="T9" s="303"/>
      <c r="U9" s="302">
        <f>U10/U8</f>
        <v>0.70648086706480862</v>
      </c>
      <c r="V9" s="303"/>
      <c r="W9" s="302">
        <v>0.79830340222001628</v>
      </c>
      <c r="X9" s="303"/>
      <c r="Y9" s="302">
        <v>0.86143292682926831</v>
      </c>
      <c r="Z9" s="303"/>
      <c r="AA9" s="302">
        <v>0.70670205706702061</v>
      </c>
      <c r="AB9" s="303"/>
      <c r="AC9" s="302">
        <f>AC10/AC8</f>
        <v>0.7982131576572512</v>
      </c>
      <c r="AD9" s="303"/>
      <c r="AE9" s="302">
        <f>AE10/AE8</f>
        <v>0.86353911980440101</v>
      </c>
      <c r="AF9" s="303"/>
      <c r="AG9" s="302">
        <f>AG10/AG8</f>
        <v>0.70648086706480862</v>
      </c>
      <c r="AH9" s="303"/>
      <c r="AI9" s="302">
        <f>AI10/AI8</f>
        <v>0.8004692717263785</v>
      </c>
      <c r="AJ9" s="303"/>
      <c r="AK9" s="302">
        <f>AK10/AK8</f>
        <v>0.86613691931540338</v>
      </c>
      <c r="AL9" s="303"/>
      <c r="AM9" s="302">
        <f>AM10/AM8</f>
        <v>0.70825038708250387</v>
      </c>
      <c r="AN9" s="303"/>
      <c r="AO9" s="302">
        <f>AO10/AO8</f>
        <v>0.8034473422976266</v>
      </c>
      <c r="AP9" s="303"/>
      <c r="AQ9" s="302">
        <f>AQ10/AQ8</f>
        <v>0.86995721271393645</v>
      </c>
      <c r="AR9" s="303"/>
      <c r="AS9" s="302">
        <f>AS10/AS8</f>
        <v>0.71001990710019902</v>
      </c>
      <c r="AT9" s="303"/>
      <c r="AU9" s="302">
        <f>AU10/AU8</f>
        <v>0.80624492374334444</v>
      </c>
      <c r="AV9" s="303"/>
      <c r="AW9" s="302">
        <f>AW10/AW8</f>
        <v>0.87209657701711496</v>
      </c>
      <c r="AX9" s="303"/>
      <c r="AY9" s="302">
        <f>AY10/AY8</f>
        <v>0.71378013713780142</v>
      </c>
      <c r="AZ9" s="303"/>
      <c r="BA9" s="306">
        <f t="shared" si="0"/>
        <v>2.797581445717845E-3</v>
      </c>
      <c r="BB9" s="307"/>
      <c r="BC9" s="302">
        <f t="shared" si="1"/>
        <v>3.4819723688643647E-3</v>
      </c>
      <c r="BD9" s="303"/>
    </row>
    <row r="10" spans="1:58" ht="15.75" x14ac:dyDescent="0.25">
      <c r="A10" s="149" t="s">
        <v>21</v>
      </c>
      <c r="B10" s="166"/>
      <c r="C10" s="165" t="s">
        <v>8</v>
      </c>
      <c r="D10" s="149" t="s">
        <v>171</v>
      </c>
      <c r="E10" s="284">
        <v>8786</v>
      </c>
      <c r="F10" s="285"/>
      <c r="G10" s="284">
        <v>5440</v>
      </c>
      <c r="H10" s="285"/>
      <c r="I10" s="284">
        <v>3193</v>
      </c>
      <c r="J10" s="285"/>
      <c r="K10" s="284">
        <v>8806</v>
      </c>
      <c r="L10" s="285"/>
      <c r="M10" s="284">
        <f>+K10-O10</f>
        <v>5611</v>
      </c>
      <c r="N10" s="285"/>
      <c r="O10" s="284">
        <v>3195</v>
      </c>
      <c r="P10" s="285"/>
      <c r="Q10" s="284">
        <v>8827</v>
      </c>
      <c r="R10" s="285"/>
      <c r="S10" s="284">
        <f>+Q10-U10</f>
        <v>5633</v>
      </c>
      <c r="T10" s="285"/>
      <c r="U10" s="284">
        <v>3194</v>
      </c>
      <c r="V10" s="285"/>
      <c r="W10" s="284">
        <v>8846</v>
      </c>
      <c r="X10" s="285"/>
      <c r="Y10" s="284">
        <v>5651</v>
      </c>
      <c r="Z10" s="285"/>
      <c r="AA10" s="284">
        <v>3195</v>
      </c>
      <c r="AB10" s="285"/>
      <c r="AC10" s="284">
        <v>8845</v>
      </c>
      <c r="AD10" s="285"/>
      <c r="AE10" s="284">
        <v>5651</v>
      </c>
      <c r="AF10" s="285"/>
      <c r="AG10" s="284">
        <v>3194</v>
      </c>
      <c r="AH10" s="285"/>
      <c r="AI10" s="284">
        <v>8870</v>
      </c>
      <c r="AJ10" s="285"/>
      <c r="AK10" s="284">
        <v>5668</v>
      </c>
      <c r="AL10" s="285"/>
      <c r="AM10" s="284">
        <v>3202</v>
      </c>
      <c r="AN10" s="285"/>
      <c r="AO10" s="284">
        <f>+AQ10+AS10</f>
        <v>8903</v>
      </c>
      <c r="AP10" s="285"/>
      <c r="AQ10" s="284">
        <v>5693</v>
      </c>
      <c r="AR10" s="285"/>
      <c r="AS10" s="284">
        <v>3210</v>
      </c>
      <c r="AT10" s="285"/>
      <c r="AU10" s="284">
        <v>8934</v>
      </c>
      <c r="AV10" s="285"/>
      <c r="AW10" s="284">
        <v>5707</v>
      </c>
      <c r="AX10" s="285"/>
      <c r="AY10" s="284">
        <v>3227</v>
      </c>
      <c r="AZ10" s="285"/>
      <c r="BA10" s="306">
        <f t="shared" si="0"/>
        <v>31</v>
      </c>
      <c r="BB10" s="307"/>
      <c r="BC10" s="302">
        <f t="shared" si="1"/>
        <v>3.4819723688644276E-3</v>
      </c>
      <c r="BD10" s="303"/>
    </row>
    <row r="11" spans="1:58" x14ac:dyDescent="0.2">
      <c r="A11" s="149" t="s">
        <v>22</v>
      </c>
      <c r="B11" s="166"/>
      <c r="C11" s="166" t="s">
        <v>9</v>
      </c>
      <c r="D11" s="149" t="s">
        <v>171</v>
      </c>
      <c r="E11" s="284">
        <v>3</v>
      </c>
      <c r="F11" s="285"/>
      <c r="G11" s="284">
        <v>2</v>
      </c>
      <c r="H11" s="285"/>
      <c r="I11" s="284">
        <v>1</v>
      </c>
      <c r="J11" s="285"/>
      <c r="K11" s="284">
        <v>14</v>
      </c>
      <c r="L11" s="285"/>
      <c r="M11" s="284">
        <v>11</v>
      </c>
      <c r="N11" s="285"/>
      <c r="O11" s="284">
        <v>3</v>
      </c>
      <c r="P11" s="285"/>
      <c r="Q11" s="284">
        <v>8</v>
      </c>
      <c r="R11" s="285"/>
      <c r="S11" s="284">
        <v>7</v>
      </c>
      <c r="T11" s="285"/>
      <c r="U11" s="284">
        <v>1</v>
      </c>
      <c r="V11" s="285"/>
      <c r="W11" s="284">
        <v>0</v>
      </c>
      <c r="X11" s="285"/>
      <c r="Y11" s="284">
        <v>0</v>
      </c>
      <c r="Z11" s="285"/>
      <c r="AA11" s="284">
        <v>0</v>
      </c>
      <c r="AB11" s="285"/>
      <c r="AC11" s="284">
        <v>3</v>
      </c>
      <c r="AD11" s="285"/>
      <c r="AE11" s="284">
        <v>2</v>
      </c>
      <c r="AF11" s="285"/>
      <c r="AG11" s="284">
        <v>1</v>
      </c>
      <c r="AH11" s="285"/>
      <c r="AI11" s="284">
        <v>6</v>
      </c>
      <c r="AJ11" s="285"/>
      <c r="AK11" s="284">
        <v>4</v>
      </c>
      <c r="AL11" s="285"/>
      <c r="AM11" s="284">
        <v>2</v>
      </c>
      <c r="AN11" s="285"/>
      <c r="AO11" s="284">
        <v>11</v>
      </c>
      <c r="AP11" s="285"/>
      <c r="AQ11" s="284">
        <v>1</v>
      </c>
      <c r="AR11" s="285"/>
      <c r="AS11" s="284">
        <v>10</v>
      </c>
      <c r="AT11" s="285"/>
      <c r="AU11" s="284">
        <v>10</v>
      </c>
      <c r="AV11" s="285"/>
      <c r="AW11" s="284">
        <v>5</v>
      </c>
      <c r="AX11" s="285"/>
      <c r="AY11" s="284">
        <v>5</v>
      </c>
      <c r="AZ11" s="285"/>
      <c r="BA11" s="306">
        <f t="shared" si="0"/>
        <v>-1</v>
      </c>
      <c r="BB11" s="307"/>
      <c r="BC11" s="302">
        <f t="shared" si="1"/>
        <v>-9.0909090909090912E-2</v>
      </c>
      <c r="BD11" s="303"/>
    </row>
    <row r="12" spans="1:58" x14ac:dyDescent="0.2">
      <c r="A12" s="149" t="s">
        <v>23</v>
      </c>
      <c r="B12" s="166"/>
      <c r="C12" s="166" t="s">
        <v>10</v>
      </c>
      <c r="D12" s="149" t="s">
        <v>171</v>
      </c>
      <c r="E12" s="284">
        <v>8776</v>
      </c>
      <c r="F12" s="285"/>
      <c r="G12" s="284">
        <v>5585</v>
      </c>
      <c r="H12" s="285"/>
      <c r="I12" s="284">
        <v>3191</v>
      </c>
      <c r="J12" s="285"/>
      <c r="K12" s="284">
        <v>8793</v>
      </c>
      <c r="L12" s="285"/>
      <c r="M12" s="284">
        <v>5595</v>
      </c>
      <c r="N12" s="285"/>
      <c r="O12" s="284">
        <v>3198</v>
      </c>
      <c r="P12" s="285"/>
      <c r="Q12" s="284">
        <v>8822</v>
      </c>
      <c r="R12" s="285"/>
      <c r="S12" s="284">
        <v>5622</v>
      </c>
      <c r="T12" s="285"/>
      <c r="U12" s="284">
        <v>3200</v>
      </c>
      <c r="V12" s="285"/>
      <c r="W12" s="288">
        <v>8837</v>
      </c>
      <c r="X12" s="289"/>
      <c r="Y12" s="288">
        <v>5640</v>
      </c>
      <c r="Z12" s="289"/>
      <c r="AA12" s="288">
        <v>3197</v>
      </c>
      <c r="AB12" s="289"/>
      <c r="AC12" s="288">
        <v>8849</v>
      </c>
      <c r="AD12" s="289"/>
      <c r="AE12" s="288">
        <v>5652</v>
      </c>
      <c r="AF12" s="289"/>
      <c r="AG12" s="288">
        <v>3197</v>
      </c>
      <c r="AH12" s="289"/>
      <c r="AI12" s="288">
        <v>8851</v>
      </c>
      <c r="AJ12" s="289"/>
      <c r="AK12" s="288">
        <v>5654</v>
      </c>
      <c r="AL12" s="289"/>
      <c r="AM12" s="288">
        <v>3197</v>
      </c>
      <c r="AN12" s="289"/>
      <c r="AO12" s="288">
        <v>8880</v>
      </c>
      <c r="AP12" s="289"/>
      <c r="AQ12" s="288">
        <v>5673</v>
      </c>
      <c r="AR12" s="289"/>
      <c r="AS12" s="288">
        <v>3207</v>
      </c>
      <c r="AT12" s="289"/>
      <c r="AU12" s="288">
        <v>8916</v>
      </c>
      <c r="AV12" s="289"/>
      <c r="AW12" s="288">
        <v>5694</v>
      </c>
      <c r="AX12" s="289"/>
      <c r="AY12" s="288">
        <v>3222</v>
      </c>
      <c r="AZ12" s="289"/>
      <c r="BA12" s="306">
        <f t="shared" si="0"/>
        <v>36</v>
      </c>
      <c r="BB12" s="307"/>
      <c r="BC12" s="302">
        <f t="shared" si="1"/>
        <v>4.0540540540540543E-3</v>
      </c>
      <c r="BD12" s="303"/>
    </row>
    <row r="13" spans="1:58" x14ac:dyDescent="0.2">
      <c r="A13" s="149" t="s">
        <v>24</v>
      </c>
      <c r="B13" s="166" t="s">
        <v>210</v>
      </c>
      <c r="C13" s="166" t="s">
        <v>11</v>
      </c>
      <c r="D13" s="149" t="s">
        <v>171</v>
      </c>
      <c r="E13" s="284">
        <v>30</v>
      </c>
      <c r="F13" s="285"/>
      <c r="G13" s="284">
        <v>19</v>
      </c>
      <c r="H13" s="285"/>
      <c r="I13" s="284">
        <v>11</v>
      </c>
      <c r="J13" s="285"/>
      <c r="K13" s="284">
        <v>42</v>
      </c>
      <c r="L13" s="285"/>
      <c r="M13" s="284">
        <v>32</v>
      </c>
      <c r="N13" s="285"/>
      <c r="O13" s="284">
        <v>10</v>
      </c>
      <c r="P13" s="285"/>
      <c r="Q13" s="284">
        <v>29</v>
      </c>
      <c r="R13" s="285"/>
      <c r="S13" s="284">
        <v>22</v>
      </c>
      <c r="T13" s="285"/>
      <c r="U13" s="284">
        <v>7</v>
      </c>
      <c r="V13" s="285"/>
      <c r="W13" s="284">
        <v>18</v>
      </c>
      <c r="X13" s="285"/>
      <c r="Y13" s="284">
        <v>14</v>
      </c>
      <c r="Z13" s="285"/>
      <c r="AA13" s="284">
        <v>4</v>
      </c>
      <c r="AB13" s="285"/>
      <c r="AC13" s="284">
        <v>12</v>
      </c>
      <c r="AD13" s="285"/>
      <c r="AE13" s="284">
        <v>9</v>
      </c>
      <c r="AF13" s="285"/>
      <c r="AG13" s="284">
        <v>3</v>
      </c>
      <c r="AH13" s="285"/>
      <c r="AI13" s="284">
        <v>31</v>
      </c>
      <c r="AJ13" s="285"/>
      <c r="AK13" s="284">
        <f>+AI13-AM13</f>
        <v>19</v>
      </c>
      <c r="AL13" s="285"/>
      <c r="AM13" s="284">
        <v>12</v>
      </c>
      <c r="AN13" s="285"/>
      <c r="AO13" s="284">
        <v>42</v>
      </c>
      <c r="AP13" s="285"/>
      <c r="AQ13" s="284">
        <f>42-19</f>
        <v>23</v>
      </c>
      <c r="AR13" s="285"/>
      <c r="AS13" s="284">
        <v>19</v>
      </c>
      <c r="AT13" s="285"/>
      <c r="AU13" s="284">
        <v>43</v>
      </c>
      <c r="AV13" s="285"/>
      <c r="AW13" s="284">
        <v>23</v>
      </c>
      <c r="AX13" s="285"/>
      <c r="AY13" s="284">
        <v>20</v>
      </c>
      <c r="AZ13" s="285"/>
      <c r="BA13" s="306">
        <f t="shared" si="0"/>
        <v>1</v>
      </c>
      <c r="BB13" s="307"/>
      <c r="BC13" s="302">
        <f t="shared" si="1"/>
        <v>2.3809523809523808E-2</v>
      </c>
      <c r="BD13" s="303"/>
    </row>
    <row r="14" spans="1:58" x14ac:dyDescent="0.2">
      <c r="A14" s="149" t="s">
        <v>25</v>
      </c>
      <c r="B14" s="166" t="s">
        <v>211</v>
      </c>
      <c r="C14" s="166" t="s">
        <v>12</v>
      </c>
      <c r="D14" s="149" t="s">
        <v>171</v>
      </c>
      <c r="E14" s="300">
        <v>8806</v>
      </c>
      <c r="F14" s="301"/>
      <c r="G14" s="300">
        <v>5444</v>
      </c>
      <c r="H14" s="301"/>
      <c r="I14" s="300">
        <v>3202</v>
      </c>
      <c r="J14" s="301"/>
      <c r="K14" s="300">
        <f>K12+K13</f>
        <v>8835</v>
      </c>
      <c r="L14" s="301"/>
      <c r="M14" s="300">
        <f>M12+M13</f>
        <v>5627</v>
      </c>
      <c r="N14" s="301"/>
      <c r="O14" s="300">
        <f>O12+O13</f>
        <v>3208</v>
      </c>
      <c r="P14" s="301"/>
      <c r="Q14" s="300">
        <f>Q12+Q13</f>
        <v>8851</v>
      </c>
      <c r="R14" s="301"/>
      <c r="S14" s="300">
        <f>S12+S13</f>
        <v>5644</v>
      </c>
      <c r="T14" s="301"/>
      <c r="U14" s="300">
        <f>U12+U13</f>
        <v>3207</v>
      </c>
      <c r="V14" s="301"/>
      <c r="W14" s="300">
        <v>8855</v>
      </c>
      <c r="X14" s="301"/>
      <c r="Y14" s="300">
        <v>5654</v>
      </c>
      <c r="Z14" s="301"/>
      <c r="AA14" s="300">
        <v>3201</v>
      </c>
      <c r="AB14" s="301"/>
      <c r="AC14" s="300">
        <f>AC12+AC13</f>
        <v>8861</v>
      </c>
      <c r="AD14" s="301"/>
      <c r="AE14" s="300">
        <f>AE12+AE13</f>
        <v>5661</v>
      </c>
      <c r="AF14" s="301"/>
      <c r="AG14" s="300">
        <f>AG12+AG13</f>
        <v>3200</v>
      </c>
      <c r="AH14" s="301"/>
      <c r="AI14" s="300">
        <f>AI12+AI13</f>
        <v>8882</v>
      </c>
      <c r="AJ14" s="301"/>
      <c r="AK14" s="300">
        <f>AK12+AK13</f>
        <v>5673</v>
      </c>
      <c r="AL14" s="301"/>
      <c r="AM14" s="300">
        <f>AM12+AM13</f>
        <v>3209</v>
      </c>
      <c r="AN14" s="301"/>
      <c r="AO14" s="300">
        <f>AO12+AO13</f>
        <v>8922</v>
      </c>
      <c r="AP14" s="301"/>
      <c r="AQ14" s="300">
        <f>AQ12+AQ13</f>
        <v>5696</v>
      </c>
      <c r="AR14" s="301"/>
      <c r="AS14" s="300">
        <f>AS12+AS13</f>
        <v>3226</v>
      </c>
      <c r="AT14" s="301"/>
      <c r="AU14" s="300">
        <f>AU12+AU13</f>
        <v>8959</v>
      </c>
      <c r="AV14" s="301"/>
      <c r="AW14" s="300">
        <f>AW12+AW13</f>
        <v>5717</v>
      </c>
      <c r="AX14" s="301"/>
      <c r="AY14" s="300">
        <f>AY12+AY13</f>
        <v>3242</v>
      </c>
      <c r="AZ14" s="301"/>
      <c r="BA14" s="306">
        <f t="shared" si="0"/>
        <v>37</v>
      </c>
      <c r="BB14" s="307"/>
      <c r="BC14" s="302">
        <f t="shared" si="1"/>
        <v>4.1470522304416051E-3</v>
      </c>
      <c r="BD14" s="303"/>
    </row>
    <row r="15" spans="1:58" x14ac:dyDescent="0.2">
      <c r="A15" s="149" t="s">
        <v>26</v>
      </c>
      <c r="B15" s="166" t="s">
        <v>212</v>
      </c>
      <c r="C15" s="166" t="s">
        <v>215</v>
      </c>
      <c r="D15" s="149" t="s">
        <v>171</v>
      </c>
      <c r="E15" s="284">
        <v>13</v>
      </c>
      <c r="F15" s="285"/>
      <c r="G15" s="284">
        <v>9</v>
      </c>
      <c r="H15" s="285"/>
      <c r="I15" s="284">
        <v>4</v>
      </c>
      <c r="J15" s="285"/>
      <c r="K15" s="284">
        <v>13</v>
      </c>
      <c r="L15" s="285"/>
      <c r="M15" s="284">
        <v>5</v>
      </c>
      <c r="N15" s="285"/>
      <c r="O15" s="284">
        <v>8</v>
      </c>
      <c r="P15" s="285"/>
      <c r="Q15" s="284">
        <v>14</v>
      </c>
      <c r="R15" s="285"/>
      <c r="S15" s="284">
        <v>4</v>
      </c>
      <c r="T15" s="285"/>
      <c r="U15" s="284">
        <v>10</v>
      </c>
      <c r="V15" s="285"/>
      <c r="W15" s="284">
        <v>6</v>
      </c>
      <c r="X15" s="285"/>
      <c r="Y15" s="284">
        <v>2</v>
      </c>
      <c r="Z15" s="285"/>
      <c r="AA15" s="284">
        <v>4</v>
      </c>
      <c r="AB15" s="285"/>
      <c r="AC15" s="284">
        <v>10</v>
      </c>
      <c r="AD15" s="285"/>
      <c r="AE15" s="284">
        <v>7</v>
      </c>
      <c r="AF15" s="285"/>
      <c r="AG15" s="284">
        <v>3</v>
      </c>
      <c r="AH15" s="285"/>
      <c r="AI15" s="284">
        <v>2</v>
      </c>
      <c r="AJ15" s="285"/>
      <c r="AK15" s="284">
        <v>0</v>
      </c>
      <c r="AL15" s="285"/>
      <c r="AM15" s="284">
        <v>2</v>
      </c>
      <c r="AN15" s="285"/>
      <c r="AO15" s="284">
        <v>6</v>
      </c>
      <c r="AP15" s="285"/>
      <c r="AQ15" s="284">
        <v>2</v>
      </c>
      <c r="AR15" s="285"/>
      <c r="AS15" s="284">
        <v>4</v>
      </c>
      <c r="AT15" s="285"/>
      <c r="AU15" s="284">
        <v>10</v>
      </c>
      <c r="AV15" s="285"/>
      <c r="AW15" s="284">
        <v>5</v>
      </c>
      <c r="AX15" s="285"/>
      <c r="AY15" s="284">
        <v>5</v>
      </c>
      <c r="AZ15" s="285"/>
      <c r="BA15" s="306">
        <f t="shared" si="0"/>
        <v>4</v>
      </c>
      <c r="BB15" s="307"/>
      <c r="BC15" s="302">
        <f t="shared" si="1"/>
        <v>0.66666666666666663</v>
      </c>
      <c r="BD15" s="303"/>
    </row>
    <row r="16" spans="1:58" x14ac:dyDescent="0.2">
      <c r="A16" s="149" t="s">
        <v>27</v>
      </c>
      <c r="B16" s="166" t="s">
        <v>211</v>
      </c>
      <c r="C16" s="166" t="s">
        <v>213</v>
      </c>
      <c r="D16" s="149" t="s">
        <v>171</v>
      </c>
      <c r="E16" s="288">
        <v>8793</v>
      </c>
      <c r="F16" s="289"/>
      <c r="G16" s="288">
        <v>5595</v>
      </c>
      <c r="H16" s="289"/>
      <c r="I16" s="288">
        <v>3198</v>
      </c>
      <c r="J16" s="289"/>
      <c r="K16" s="288">
        <f>K14-K15</f>
        <v>8822</v>
      </c>
      <c r="L16" s="289"/>
      <c r="M16" s="288">
        <f t="shared" ref="M16" si="2">M14-M15</f>
        <v>5622</v>
      </c>
      <c r="N16" s="289"/>
      <c r="O16" s="288">
        <f t="shared" ref="O16" si="3">O14-O15</f>
        <v>3200</v>
      </c>
      <c r="P16" s="289"/>
      <c r="Q16" s="288">
        <f>Q14-Q15</f>
        <v>8837</v>
      </c>
      <c r="R16" s="289"/>
      <c r="S16" s="288">
        <f t="shared" ref="S16" si="4">S14-S15</f>
        <v>5640</v>
      </c>
      <c r="T16" s="289"/>
      <c r="U16" s="288">
        <f t="shared" ref="U16" si="5">U14-U15</f>
        <v>3197</v>
      </c>
      <c r="V16" s="289"/>
      <c r="W16" s="288">
        <v>8849</v>
      </c>
      <c r="X16" s="289"/>
      <c r="Y16" s="288">
        <v>5652</v>
      </c>
      <c r="Z16" s="289"/>
      <c r="AA16" s="288">
        <v>3197</v>
      </c>
      <c r="AB16" s="289"/>
      <c r="AC16" s="288">
        <f>AC14-AC15</f>
        <v>8851</v>
      </c>
      <c r="AD16" s="289"/>
      <c r="AE16" s="288">
        <f t="shared" ref="AE16" si="6">AE14-AE15</f>
        <v>5654</v>
      </c>
      <c r="AF16" s="289"/>
      <c r="AG16" s="288">
        <f t="shared" ref="AG16" si="7">AG14-AG15</f>
        <v>3197</v>
      </c>
      <c r="AH16" s="289"/>
      <c r="AI16" s="288">
        <f>AI14-AI15</f>
        <v>8880</v>
      </c>
      <c r="AJ16" s="289"/>
      <c r="AK16" s="288">
        <f t="shared" ref="AK16" si="8">AK14-AK15</f>
        <v>5673</v>
      </c>
      <c r="AL16" s="289"/>
      <c r="AM16" s="288">
        <f t="shared" ref="AM16" si="9">AM14-AM15</f>
        <v>3207</v>
      </c>
      <c r="AN16" s="289"/>
      <c r="AO16" s="288">
        <f>AO14-AO15</f>
        <v>8916</v>
      </c>
      <c r="AP16" s="289"/>
      <c r="AQ16" s="288">
        <f t="shared" ref="AQ16" si="10">AQ14-AQ15</f>
        <v>5694</v>
      </c>
      <c r="AR16" s="289"/>
      <c r="AS16" s="288">
        <f t="shared" ref="AS16" si="11">AS14-AS15</f>
        <v>3222</v>
      </c>
      <c r="AT16" s="289"/>
      <c r="AU16" s="288">
        <f>AU14-AU15</f>
        <v>8949</v>
      </c>
      <c r="AV16" s="289"/>
      <c r="AW16" s="288">
        <f t="shared" ref="AW16" si="12">AW14-AW15</f>
        <v>5712</v>
      </c>
      <c r="AX16" s="289"/>
      <c r="AY16" s="288">
        <f t="shared" ref="AY16" si="13">AY14-AY15</f>
        <v>3237</v>
      </c>
      <c r="AZ16" s="289"/>
      <c r="BA16" s="306">
        <f t="shared" si="0"/>
        <v>33</v>
      </c>
      <c r="BB16" s="307"/>
      <c r="BC16" s="302">
        <f t="shared" si="1"/>
        <v>3.7012113055181696E-3</v>
      </c>
      <c r="BD16" s="303"/>
    </row>
    <row r="17" spans="1:60" x14ac:dyDescent="0.2">
      <c r="A17" s="149" t="s">
        <v>28</v>
      </c>
      <c r="B17" s="166"/>
      <c r="C17" s="166" t="s">
        <v>13</v>
      </c>
      <c r="D17" s="149" t="s">
        <v>171</v>
      </c>
      <c r="E17" s="284">
        <v>28</v>
      </c>
      <c r="F17" s="285"/>
      <c r="G17" s="284">
        <v>16</v>
      </c>
      <c r="H17" s="285"/>
      <c r="I17" s="284">
        <v>12</v>
      </c>
      <c r="J17" s="285"/>
      <c r="K17" s="284">
        <f>44-15</f>
        <v>29</v>
      </c>
      <c r="L17" s="285"/>
      <c r="M17" s="284">
        <f>29-5</f>
        <v>24</v>
      </c>
      <c r="N17" s="285"/>
      <c r="O17" s="284">
        <v>5</v>
      </c>
      <c r="P17" s="285"/>
      <c r="Q17" s="284">
        <v>21</v>
      </c>
      <c r="R17" s="285"/>
      <c r="S17" s="284">
        <v>23</v>
      </c>
      <c r="T17" s="285"/>
      <c r="U17" s="284">
        <v>6</v>
      </c>
      <c r="V17" s="285"/>
      <c r="W17" s="284">
        <v>17</v>
      </c>
      <c r="X17" s="285"/>
      <c r="Y17" s="284">
        <v>13</v>
      </c>
      <c r="Z17" s="285"/>
      <c r="AA17" s="284">
        <v>4</v>
      </c>
      <c r="AB17" s="285"/>
      <c r="AC17" s="284">
        <v>12</v>
      </c>
      <c r="AD17" s="285"/>
      <c r="AE17" s="284">
        <v>9</v>
      </c>
      <c r="AF17" s="285"/>
      <c r="AG17" s="284">
        <v>3</v>
      </c>
      <c r="AH17" s="285"/>
      <c r="AI17" s="284">
        <v>28</v>
      </c>
      <c r="AJ17" s="285"/>
      <c r="AK17" s="284">
        <f>+AI17-AM17</f>
        <v>17</v>
      </c>
      <c r="AL17" s="285"/>
      <c r="AM17" s="284">
        <v>11</v>
      </c>
      <c r="AN17" s="285"/>
      <c r="AO17" s="284">
        <v>44</v>
      </c>
      <c r="AP17" s="285"/>
      <c r="AQ17" s="284">
        <v>30</v>
      </c>
      <c r="AR17" s="285"/>
      <c r="AS17" s="284">
        <v>14</v>
      </c>
      <c r="AT17" s="285"/>
      <c r="AU17" s="284">
        <v>40</v>
      </c>
      <c r="AV17" s="285"/>
      <c r="AW17" s="284">
        <v>20</v>
      </c>
      <c r="AX17" s="285"/>
      <c r="AY17" s="284">
        <v>20</v>
      </c>
      <c r="AZ17" s="285"/>
      <c r="BA17" s="306">
        <f t="shared" si="0"/>
        <v>-4</v>
      </c>
      <c r="BB17" s="307"/>
      <c r="BC17" s="302">
        <f t="shared" si="1"/>
        <v>-9.0909090909090912E-2</v>
      </c>
      <c r="BD17" s="303"/>
    </row>
    <row r="18" spans="1:60" x14ac:dyDescent="0.2">
      <c r="A18" s="149" t="s">
        <v>29</v>
      </c>
      <c r="B18" s="166"/>
      <c r="C18" s="166" t="s">
        <v>14</v>
      </c>
      <c r="D18" s="149" t="s">
        <v>171</v>
      </c>
      <c r="E18" s="284">
        <v>4</v>
      </c>
      <c r="F18" s="285"/>
      <c r="G18" s="284">
        <v>0</v>
      </c>
      <c r="H18" s="285"/>
      <c r="I18" s="284">
        <v>4</v>
      </c>
      <c r="J18" s="285"/>
      <c r="K18" s="284">
        <v>2</v>
      </c>
      <c r="L18" s="285"/>
      <c r="M18" s="284">
        <v>0</v>
      </c>
      <c r="N18" s="285"/>
      <c r="O18" s="284">
        <v>2</v>
      </c>
      <c r="P18" s="285"/>
      <c r="Q18" s="284">
        <v>2</v>
      </c>
      <c r="R18" s="285"/>
      <c r="S18" s="284">
        <v>0</v>
      </c>
      <c r="T18" s="285"/>
      <c r="U18" s="284">
        <v>2</v>
      </c>
      <c r="V18" s="285"/>
      <c r="W18" s="284">
        <v>3</v>
      </c>
      <c r="X18" s="285"/>
      <c r="Y18" s="284">
        <v>1</v>
      </c>
      <c r="Z18" s="285"/>
      <c r="AA18" s="284">
        <v>2</v>
      </c>
      <c r="AB18" s="285"/>
      <c r="AC18" s="284">
        <v>3</v>
      </c>
      <c r="AD18" s="285"/>
      <c r="AE18" s="284">
        <v>1</v>
      </c>
      <c r="AF18" s="285"/>
      <c r="AG18" s="284">
        <v>2</v>
      </c>
      <c r="AH18" s="285"/>
      <c r="AI18" s="284">
        <v>4</v>
      </c>
      <c r="AJ18" s="285"/>
      <c r="AK18" s="284">
        <v>1</v>
      </c>
      <c r="AL18" s="285"/>
      <c r="AM18" s="284">
        <v>3</v>
      </c>
      <c r="AN18" s="285"/>
      <c r="AO18" s="284">
        <v>2</v>
      </c>
      <c r="AP18" s="285"/>
      <c r="AQ18" s="284"/>
      <c r="AR18" s="285"/>
      <c r="AS18" s="284">
        <v>2</v>
      </c>
      <c r="AT18" s="285"/>
      <c r="AU18" s="284">
        <v>5</v>
      </c>
      <c r="AV18" s="285"/>
      <c r="AW18" s="284">
        <v>0</v>
      </c>
      <c r="AX18" s="285"/>
      <c r="AY18" s="284">
        <v>5</v>
      </c>
      <c r="AZ18" s="285"/>
      <c r="BA18" s="306">
        <f t="shared" si="0"/>
        <v>3</v>
      </c>
      <c r="BB18" s="307"/>
      <c r="BC18" s="302">
        <f t="shared" si="1"/>
        <v>1.5</v>
      </c>
      <c r="BD18" s="303"/>
    </row>
    <row r="19" spans="1:60" x14ac:dyDescent="0.2">
      <c r="A19" s="149" t="s">
        <v>30</v>
      </c>
      <c r="B19" s="166"/>
      <c r="C19" s="166" t="s">
        <v>399</v>
      </c>
      <c r="D19" s="149" t="s">
        <v>339</v>
      </c>
      <c r="E19" s="222" t="s">
        <v>576</v>
      </c>
      <c r="F19" s="222" t="s">
        <v>577</v>
      </c>
      <c r="G19" s="222" t="s">
        <v>570</v>
      </c>
      <c r="H19" s="222" t="s">
        <v>571</v>
      </c>
      <c r="I19" s="222" t="s">
        <v>570</v>
      </c>
      <c r="J19" s="222" t="s">
        <v>571</v>
      </c>
      <c r="K19" s="222" t="s">
        <v>578</v>
      </c>
      <c r="L19" s="222" t="s">
        <v>579</v>
      </c>
      <c r="M19" s="222" t="s">
        <v>578</v>
      </c>
      <c r="N19" s="222" t="s">
        <v>579</v>
      </c>
      <c r="O19" s="222" t="s">
        <v>578</v>
      </c>
      <c r="P19" s="222" t="s">
        <v>579</v>
      </c>
      <c r="Q19" s="222" t="s">
        <v>588</v>
      </c>
      <c r="R19" s="222" t="s">
        <v>589</v>
      </c>
      <c r="S19" s="222" t="s">
        <v>588</v>
      </c>
      <c r="T19" s="222" t="s">
        <v>589</v>
      </c>
      <c r="U19" s="222" t="s">
        <v>588</v>
      </c>
      <c r="V19" s="222" t="s">
        <v>589</v>
      </c>
      <c r="W19" s="222" t="s">
        <v>590</v>
      </c>
      <c r="X19" s="222" t="s">
        <v>591</v>
      </c>
      <c r="Y19" s="222" t="s">
        <v>590</v>
      </c>
      <c r="Z19" s="222" t="s">
        <v>591</v>
      </c>
      <c r="AA19" s="222" t="s">
        <v>590</v>
      </c>
      <c r="AB19" s="222" t="s">
        <v>591</v>
      </c>
      <c r="AC19" s="222" t="s">
        <v>598</v>
      </c>
      <c r="AD19" s="222" t="s">
        <v>599</v>
      </c>
      <c r="AE19" s="222" t="s">
        <v>598</v>
      </c>
      <c r="AF19" s="222" t="s">
        <v>599</v>
      </c>
      <c r="AG19" s="222" t="s">
        <v>598</v>
      </c>
      <c r="AH19" s="222" t="s">
        <v>599</v>
      </c>
      <c r="AI19" s="222" t="s">
        <v>598</v>
      </c>
      <c r="AJ19" s="222" t="s">
        <v>604</v>
      </c>
      <c r="AK19" s="222" t="s">
        <v>598</v>
      </c>
      <c r="AL19" s="222" t="s">
        <v>599</v>
      </c>
      <c r="AM19" s="222" t="s">
        <v>598</v>
      </c>
      <c r="AN19" s="222" t="s">
        <v>599</v>
      </c>
      <c r="AO19" s="222" t="s">
        <v>608</v>
      </c>
      <c r="AP19" s="222" t="s">
        <v>609</v>
      </c>
      <c r="AQ19" s="222" t="s">
        <v>608</v>
      </c>
      <c r="AR19" s="222" t="s">
        <v>609</v>
      </c>
      <c r="AS19" s="222" t="s">
        <v>608</v>
      </c>
      <c r="AT19" s="222" t="s">
        <v>609</v>
      </c>
      <c r="AU19" s="222" t="s">
        <v>608</v>
      </c>
      <c r="AV19" s="222" t="s">
        <v>609</v>
      </c>
      <c r="AW19" s="222" t="s">
        <v>608</v>
      </c>
      <c r="AX19" s="222" t="s">
        <v>609</v>
      </c>
      <c r="AY19" s="222" t="s">
        <v>608</v>
      </c>
      <c r="AZ19" s="222" t="s">
        <v>609</v>
      </c>
      <c r="BA19" s="225"/>
      <c r="BB19" s="225"/>
      <c r="BC19" s="169"/>
      <c r="BD19" s="169"/>
    </row>
    <row r="20" spans="1:60" ht="15.75" x14ac:dyDescent="0.25">
      <c r="A20" s="195" t="s">
        <v>31</v>
      </c>
      <c r="B20" s="196" t="s">
        <v>423</v>
      </c>
      <c r="C20" s="197"/>
      <c r="D20" s="198"/>
      <c r="E20" s="198"/>
      <c r="F20" s="198"/>
      <c r="G20" s="198"/>
      <c r="H20" s="198"/>
      <c r="I20" s="198"/>
      <c r="J20" s="198" t="s">
        <v>552</v>
      </c>
      <c r="K20" s="198"/>
      <c r="L20" s="198"/>
      <c r="M20" s="198"/>
      <c r="N20" s="198"/>
      <c r="O20" s="198"/>
      <c r="P20" s="198" t="s">
        <v>552</v>
      </c>
      <c r="Q20" s="198"/>
      <c r="R20" s="198"/>
      <c r="S20" s="198"/>
      <c r="T20" s="198"/>
      <c r="U20" s="198"/>
      <c r="V20" s="198" t="s">
        <v>552</v>
      </c>
      <c r="W20" s="198"/>
      <c r="X20" s="198"/>
      <c r="Y20" s="198"/>
      <c r="Z20" s="198"/>
      <c r="AA20" s="198"/>
      <c r="AB20" s="198" t="s">
        <v>552</v>
      </c>
      <c r="AC20" s="198"/>
      <c r="AD20" s="198"/>
      <c r="AE20" s="198"/>
      <c r="AF20" s="198"/>
      <c r="AG20" s="198"/>
      <c r="AH20" s="198" t="s">
        <v>552</v>
      </c>
      <c r="AI20" s="198"/>
      <c r="AJ20" s="198"/>
      <c r="AK20" s="198"/>
      <c r="AL20" s="198"/>
      <c r="AM20" s="198"/>
      <c r="AN20" s="198" t="s">
        <v>552</v>
      </c>
      <c r="AO20" s="198"/>
      <c r="AP20" s="198"/>
      <c r="AQ20" s="198"/>
      <c r="AR20" s="198"/>
      <c r="AS20" s="198"/>
      <c r="AT20" s="198" t="s">
        <v>552</v>
      </c>
      <c r="AU20" s="198"/>
      <c r="AV20" s="198"/>
      <c r="AW20" s="198"/>
      <c r="AX20" s="198"/>
      <c r="AY20" s="198"/>
      <c r="AZ20" s="198" t="s">
        <v>552</v>
      </c>
      <c r="BA20" s="198"/>
      <c r="BB20" s="198"/>
      <c r="BC20" s="198"/>
      <c r="BD20" s="198"/>
    </row>
    <row r="21" spans="1:60" x14ac:dyDescent="0.2">
      <c r="A21" s="194" t="s">
        <v>32</v>
      </c>
      <c r="B21" s="193"/>
      <c r="C21" s="193" t="s">
        <v>464</v>
      </c>
      <c r="D21" s="149" t="s">
        <v>463</v>
      </c>
      <c r="E21" s="168">
        <v>0</v>
      </c>
      <c r="F21" s="149">
        <v>0</v>
      </c>
      <c r="G21" s="168">
        <v>0</v>
      </c>
      <c r="H21" s="149">
        <v>0</v>
      </c>
      <c r="I21" s="168">
        <v>0</v>
      </c>
      <c r="J21" s="149">
        <v>0</v>
      </c>
      <c r="K21" s="168">
        <v>0</v>
      </c>
      <c r="L21" s="149">
        <v>0</v>
      </c>
      <c r="M21" s="168">
        <v>0</v>
      </c>
      <c r="N21" s="149">
        <v>0</v>
      </c>
      <c r="O21" s="168">
        <v>0</v>
      </c>
      <c r="P21" s="149">
        <v>0</v>
      </c>
      <c r="Q21" s="168">
        <v>0</v>
      </c>
      <c r="R21" s="149">
        <v>0</v>
      </c>
      <c r="S21" s="168">
        <v>0</v>
      </c>
      <c r="T21" s="149">
        <v>0</v>
      </c>
      <c r="U21" s="168">
        <v>0</v>
      </c>
      <c r="V21" s="149">
        <v>0</v>
      </c>
      <c r="W21" s="168">
        <v>0</v>
      </c>
      <c r="X21" s="149">
        <v>0</v>
      </c>
      <c r="Y21" s="168">
        <v>0</v>
      </c>
      <c r="Z21" s="149">
        <v>0</v>
      </c>
      <c r="AA21" s="168">
        <v>0</v>
      </c>
      <c r="AB21" s="149">
        <v>0</v>
      </c>
      <c r="AC21" s="168">
        <v>0</v>
      </c>
      <c r="AD21" s="149">
        <v>0</v>
      </c>
      <c r="AE21" s="168">
        <v>0</v>
      </c>
      <c r="AF21" s="149">
        <v>0</v>
      </c>
      <c r="AG21" s="168">
        <v>0</v>
      </c>
      <c r="AH21" s="149">
        <v>0</v>
      </c>
      <c r="AI21" s="168">
        <v>0</v>
      </c>
      <c r="AJ21" s="149">
        <v>0</v>
      </c>
      <c r="AK21" s="168">
        <v>0</v>
      </c>
      <c r="AL21" s="149">
        <v>0</v>
      </c>
      <c r="AM21" s="168">
        <v>0</v>
      </c>
      <c r="AN21" s="149">
        <v>0</v>
      </c>
      <c r="AO21" s="168">
        <v>0</v>
      </c>
      <c r="AP21" s="149">
        <v>0</v>
      </c>
      <c r="AQ21" s="168">
        <v>0</v>
      </c>
      <c r="AR21" s="149">
        <v>0</v>
      </c>
      <c r="AS21" s="168">
        <v>0</v>
      </c>
      <c r="AT21" s="149">
        <v>0</v>
      </c>
      <c r="AU21" s="168">
        <v>0</v>
      </c>
      <c r="AV21" s="149">
        <v>0</v>
      </c>
      <c r="AW21" s="168">
        <v>0</v>
      </c>
      <c r="AX21" s="149">
        <v>0</v>
      </c>
      <c r="AY21" s="168">
        <v>0</v>
      </c>
      <c r="AZ21" s="149">
        <v>0</v>
      </c>
      <c r="BA21" s="167">
        <f>AU21-AO21</f>
        <v>0</v>
      </c>
      <c r="BB21" s="167">
        <f>AV21-AP21</f>
        <v>0</v>
      </c>
      <c r="BC21" s="169" t="e">
        <f>BA21/AO21</f>
        <v>#DIV/0!</v>
      </c>
      <c r="BD21" s="169" t="e">
        <f>BB21/AP21</f>
        <v>#DIV/0!</v>
      </c>
    </row>
    <row r="22" spans="1:60" x14ac:dyDescent="0.2">
      <c r="A22" s="194" t="s">
        <v>43</v>
      </c>
      <c r="B22" s="193"/>
      <c r="C22" s="193" t="s">
        <v>465</v>
      </c>
      <c r="D22" s="149" t="s">
        <v>171</v>
      </c>
      <c r="E22" s="284">
        <v>15</v>
      </c>
      <c r="F22" s="285"/>
      <c r="G22" s="284">
        <v>4</v>
      </c>
      <c r="H22" s="285"/>
      <c r="I22" s="284">
        <v>11</v>
      </c>
      <c r="J22" s="285"/>
      <c r="K22" s="284">
        <v>15</v>
      </c>
      <c r="L22" s="285"/>
      <c r="M22" s="284">
        <v>2</v>
      </c>
      <c r="N22" s="285"/>
      <c r="O22" s="284">
        <v>13</v>
      </c>
      <c r="P22" s="285"/>
      <c r="Q22" s="284">
        <v>4</v>
      </c>
      <c r="R22" s="285"/>
      <c r="S22" s="284">
        <v>1</v>
      </c>
      <c r="T22" s="285"/>
      <c r="U22" s="284">
        <v>3</v>
      </c>
      <c r="V22" s="285"/>
      <c r="W22" s="284">
        <v>13</v>
      </c>
      <c r="X22" s="285"/>
      <c r="Y22" s="284">
        <v>3</v>
      </c>
      <c r="Z22" s="285"/>
      <c r="AA22" s="284">
        <v>8</v>
      </c>
      <c r="AB22" s="285"/>
      <c r="AC22" s="284">
        <v>0</v>
      </c>
      <c r="AD22" s="285"/>
      <c r="AE22" s="284">
        <v>0</v>
      </c>
      <c r="AF22" s="285"/>
      <c r="AG22" s="284">
        <v>0</v>
      </c>
      <c r="AH22" s="285"/>
      <c r="AI22" s="284">
        <v>7</v>
      </c>
      <c r="AJ22" s="285"/>
      <c r="AK22" s="284">
        <v>5</v>
      </c>
      <c r="AL22" s="285"/>
      <c r="AM22" s="284">
        <v>2</v>
      </c>
      <c r="AN22" s="285"/>
      <c r="AO22" s="284">
        <v>6</v>
      </c>
      <c r="AP22" s="285"/>
      <c r="AQ22" s="284">
        <v>6</v>
      </c>
      <c r="AR22" s="285"/>
      <c r="AS22" s="284">
        <v>0</v>
      </c>
      <c r="AT22" s="285"/>
      <c r="AU22" s="284">
        <v>1</v>
      </c>
      <c r="AV22" s="285"/>
      <c r="AW22" s="284">
        <v>0</v>
      </c>
      <c r="AX22" s="285"/>
      <c r="AY22" s="284">
        <v>1</v>
      </c>
      <c r="AZ22" s="285"/>
      <c r="BA22" s="306">
        <f t="shared" ref="BA22:BA30" si="14">AU22-AO22</f>
        <v>-5</v>
      </c>
      <c r="BB22" s="307"/>
      <c r="BC22" s="284">
        <f t="shared" ref="BC22:BC30" si="15">BA22/AO22</f>
        <v>-0.83333333333333337</v>
      </c>
      <c r="BD22" s="285"/>
    </row>
    <row r="23" spans="1:60" x14ac:dyDescent="0.2">
      <c r="A23" s="200" t="s">
        <v>44</v>
      </c>
      <c r="B23" s="201"/>
      <c r="C23" s="201" t="s">
        <v>469</v>
      </c>
      <c r="D23" s="149" t="s">
        <v>463</v>
      </c>
      <c r="E23" s="168">
        <v>31</v>
      </c>
      <c r="F23" s="149">
        <v>5812</v>
      </c>
      <c r="G23" s="168">
        <v>20</v>
      </c>
      <c r="H23" s="149">
        <v>3393</v>
      </c>
      <c r="I23" s="168">
        <v>11</v>
      </c>
      <c r="J23" s="149">
        <v>2424</v>
      </c>
      <c r="K23" s="168">
        <v>31</v>
      </c>
      <c r="L23" s="149">
        <v>5822</v>
      </c>
      <c r="M23" s="168">
        <v>20</v>
      </c>
      <c r="N23" s="149">
        <f>+L23-P23</f>
        <v>3397</v>
      </c>
      <c r="O23" s="168">
        <v>11</v>
      </c>
      <c r="P23" s="149">
        <v>2425</v>
      </c>
      <c r="Q23" s="168">
        <v>31</v>
      </c>
      <c r="R23" s="149">
        <v>5839</v>
      </c>
      <c r="S23" s="168">
        <v>20</v>
      </c>
      <c r="T23" s="149">
        <f>+R23-V23</f>
        <v>3592</v>
      </c>
      <c r="U23" s="168">
        <v>11</v>
      </c>
      <c r="V23" s="149">
        <v>2247</v>
      </c>
      <c r="W23" s="168">
        <v>27</v>
      </c>
      <c r="X23" s="149">
        <v>5853</v>
      </c>
      <c r="Y23" s="168">
        <v>17</v>
      </c>
      <c r="Z23" s="149">
        <v>3425</v>
      </c>
      <c r="AA23" s="168">
        <v>10</v>
      </c>
      <c r="AB23" s="149">
        <v>2428</v>
      </c>
      <c r="AC23" s="168">
        <v>27</v>
      </c>
      <c r="AD23" s="149">
        <v>5852</v>
      </c>
      <c r="AE23" s="168">
        <v>17</v>
      </c>
      <c r="AF23" s="149">
        <f>+AD23-AH23</f>
        <v>3425</v>
      </c>
      <c r="AG23" s="168">
        <v>10</v>
      </c>
      <c r="AH23" s="149">
        <v>2427</v>
      </c>
      <c r="AI23" s="168">
        <v>27</v>
      </c>
      <c r="AJ23" s="149">
        <v>5871</v>
      </c>
      <c r="AK23" s="168">
        <v>17</v>
      </c>
      <c r="AL23" s="149">
        <f>+AJ23-AN23</f>
        <v>3438</v>
      </c>
      <c r="AM23" s="168">
        <v>10</v>
      </c>
      <c r="AN23" s="149">
        <v>2433</v>
      </c>
      <c r="AO23" s="168">
        <v>27</v>
      </c>
      <c r="AP23" s="149">
        <v>5894</v>
      </c>
      <c r="AQ23" s="168">
        <v>17</v>
      </c>
      <c r="AR23" s="149">
        <f>+AP23-AT23</f>
        <v>3454</v>
      </c>
      <c r="AS23" s="168">
        <v>10</v>
      </c>
      <c r="AT23" s="149">
        <v>2440</v>
      </c>
      <c r="AU23" s="168">
        <v>28</v>
      </c>
      <c r="AV23" s="149">
        <v>4493</v>
      </c>
      <c r="AW23" s="168">
        <v>16</v>
      </c>
      <c r="AX23" s="149">
        <f>+AV23-AZ23</f>
        <v>1865</v>
      </c>
      <c r="AY23" s="168">
        <v>12</v>
      </c>
      <c r="AZ23" s="149">
        <v>2628</v>
      </c>
      <c r="BA23" s="167">
        <f t="shared" si="14"/>
        <v>1</v>
      </c>
      <c r="BB23" s="167">
        <f t="shared" ref="BB23:BB30" si="16">AV23-AP23</f>
        <v>-1401</v>
      </c>
      <c r="BC23" s="169">
        <f t="shared" si="15"/>
        <v>3.7037037037037035E-2</v>
      </c>
      <c r="BD23" s="171">
        <f t="shared" ref="BD23:BD30" si="17">BB23/AP23</f>
        <v>-0.23769935527655242</v>
      </c>
    </row>
    <row r="24" spans="1:60" x14ac:dyDescent="0.2">
      <c r="A24" s="200" t="s">
        <v>45</v>
      </c>
      <c r="B24" s="201"/>
      <c r="C24" s="201" t="s">
        <v>466</v>
      </c>
      <c r="D24" s="149" t="s">
        <v>463</v>
      </c>
      <c r="E24" s="168">
        <v>6</v>
      </c>
      <c r="F24" s="149">
        <v>2698</v>
      </c>
      <c r="G24" s="168">
        <v>3</v>
      </c>
      <c r="H24" s="149">
        <v>1931</v>
      </c>
      <c r="I24" s="168">
        <v>3</v>
      </c>
      <c r="J24" s="170">
        <v>769</v>
      </c>
      <c r="K24" s="168">
        <f t="shared" ref="K24:K30" si="18">+M24+O24</f>
        <v>6</v>
      </c>
      <c r="L24" s="149">
        <v>2708</v>
      </c>
      <c r="M24" s="168">
        <v>3</v>
      </c>
      <c r="N24" s="170">
        <f>+L24-P24</f>
        <v>1938</v>
      </c>
      <c r="O24" s="168">
        <v>3</v>
      </c>
      <c r="P24" s="170">
        <v>770</v>
      </c>
      <c r="Q24" s="168">
        <f t="shared" ref="Q24:Q30" si="19">+S24+U24</f>
        <v>6</v>
      </c>
      <c r="R24" s="149">
        <v>2712</v>
      </c>
      <c r="S24" s="168">
        <v>3</v>
      </c>
      <c r="T24" s="170">
        <f>+R24-V24</f>
        <v>1945</v>
      </c>
      <c r="U24" s="168">
        <v>3</v>
      </c>
      <c r="V24" s="170">
        <v>767</v>
      </c>
      <c r="W24" s="168">
        <v>8</v>
      </c>
      <c r="X24" s="149">
        <v>2272</v>
      </c>
      <c r="Y24" s="168">
        <v>5</v>
      </c>
      <c r="Z24" s="149">
        <v>1505</v>
      </c>
      <c r="AA24" s="168">
        <v>3</v>
      </c>
      <c r="AB24" s="170">
        <v>767</v>
      </c>
      <c r="AC24" s="168">
        <v>7</v>
      </c>
      <c r="AD24" s="149">
        <f>2272-421</f>
        <v>1851</v>
      </c>
      <c r="AE24" s="168">
        <v>5</v>
      </c>
      <c r="AF24" s="149">
        <f>+AD24-AH24</f>
        <v>1505</v>
      </c>
      <c r="AG24" s="168">
        <v>2</v>
      </c>
      <c r="AH24" s="170">
        <f>767-421</f>
        <v>346</v>
      </c>
      <c r="AI24" s="168">
        <v>7</v>
      </c>
      <c r="AJ24" s="149">
        <v>1855</v>
      </c>
      <c r="AK24" s="168">
        <v>5</v>
      </c>
      <c r="AL24" s="149">
        <f>+AJ24-AN24</f>
        <v>1506</v>
      </c>
      <c r="AM24" s="168">
        <v>2</v>
      </c>
      <c r="AN24" s="170">
        <v>349</v>
      </c>
      <c r="AO24" s="168">
        <v>7</v>
      </c>
      <c r="AP24" s="149">
        <v>1845</v>
      </c>
      <c r="AQ24" s="168">
        <v>5</v>
      </c>
      <c r="AR24" s="149">
        <f>+AP24-AT24</f>
        <v>1494</v>
      </c>
      <c r="AS24" s="168">
        <v>2</v>
      </c>
      <c r="AT24" s="170">
        <v>351</v>
      </c>
      <c r="AU24" s="168">
        <v>7</v>
      </c>
      <c r="AV24" s="149">
        <v>2112</v>
      </c>
      <c r="AW24" s="168">
        <v>5</v>
      </c>
      <c r="AX24" s="149">
        <v>1513</v>
      </c>
      <c r="AY24" s="168">
        <v>2</v>
      </c>
      <c r="AZ24" s="170">
        <v>599</v>
      </c>
      <c r="BA24" s="167">
        <f t="shared" si="14"/>
        <v>0</v>
      </c>
      <c r="BB24" s="167">
        <f t="shared" si="16"/>
        <v>267</v>
      </c>
      <c r="BC24" s="169">
        <f t="shared" si="15"/>
        <v>0</v>
      </c>
      <c r="BD24" s="171">
        <f t="shared" si="17"/>
        <v>0.14471544715447154</v>
      </c>
    </row>
    <row r="25" spans="1:60" x14ac:dyDescent="0.2">
      <c r="A25" s="200" t="s">
        <v>46</v>
      </c>
      <c r="B25" s="201"/>
      <c r="C25" s="201" t="s">
        <v>467</v>
      </c>
      <c r="D25" s="149" t="s">
        <v>463</v>
      </c>
      <c r="E25" s="168">
        <v>3</v>
      </c>
      <c r="F25" s="149">
        <v>276</v>
      </c>
      <c r="G25" s="168">
        <v>3</v>
      </c>
      <c r="H25" s="149">
        <v>276</v>
      </c>
      <c r="I25" s="168">
        <v>0</v>
      </c>
      <c r="J25" s="149">
        <v>0</v>
      </c>
      <c r="K25" s="168">
        <f t="shared" si="18"/>
        <v>3</v>
      </c>
      <c r="L25" s="149">
        <v>276</v>
      </c>
      <c r="M25" s="168">
        <v>3</v>
      </c>
      <c r="N25" s="170">
        <f t="shared" ref="N25:N30" si="20">+L25-P25</f>
        <v>276</v>
      </c>
      <c r="O25" s="168">
        <v>0</v>
      </c>
      <c r="P25" s="149">
        <v>0</v>
      </c>
      <c r="Q25" s="168">
        <f t="shared" si="19"/>
        <v>3</v>
      </c>
      <c r="R25" s="149">
        <v>276</v>
      </c>
      <c r="S25" s="168">
        <v>3</v>
      </c>
      <c r="T25" s="170">
        <f t="shared" ref="T25:T30" si="21">+R25-V25</f>
        <v>276</v>
      </c>
      <c r="U25" s="168">
        <v>0</v>
      </c>
      <c r="V25" s="149">
        <v>0</v>
      </c>
      <c r="W25" s="168">
        <v>5</v>
      </c>
      <c r="X25" s="149">
        <v>721</v>
      </c>
      <c r="Y25" s="168">
        <v>5</v>
      </c>
      <c r="Z25" s="170">
        <v>721</v>
      </c>
      <c r="AA25" s="168">
        <v>0</v>
      </c>
      <c r="AB25" s="149">
        <v>0</v>
      </c>
      <c r="AC25" s="168">
        <v>6</v>
      </c>
      <c r="AD25" s="149">
        <f>721+421</f>
        <v>1142</v>
      </c>
      <c r="AE25" s="168">
        <f>3+2</f>
        <v>5</v>
      </c>
      <c r="AF25" s="149">
        <f>+AD25-AH25</f>
        <v>721</v>
      </c>
      <c r="AG25" s="168">
        <v>1</v>
      </c>
      <c r="AH25" s="149">
        <v>421</v>
      </c>
      <c r="AI25" s="168">
        <v>6</v>
      </c>
      <c r="AJ25" s="149">
        <v>1144</v>
      </c>
      <c r="AK25" s="168">
        <f>3+2</f>
        <v>5</v>
      </c>
      <c r="AL25" s="149">
        <f>+AJ25-AN25</f>
        <v>724</v>
      </c>
      <c r="AM25" s="168">
        <v>1</v>
      </c>
      <c r="AN25" s="149">
        <v>420</v>
      </c>
      <c r="AO25" s="168">
        <v>6</v>
      </c>
      <c r="AP25" s="149">
        <v>1148</v>
      </c>
      <c r="AQ25" s="168">
        <f>3+2</f>
        <v>5</v>
      </c>
      <c r="AR25" s="149">
        <f>+AP25-AT25</f>
        <v>729</v>
      </c>
      <c r="AS25" s="168">
        <v>1</v>
      </c>
      <c r="AT25" s="149">
        <v>419</v>
      </c>
      <c r="AU25" s="168">
        <v>5</v>
      </c>
      <c r="AV25" s="149">
        <v>729</v>
      </c>
      <c r="AW25" s="168">
        <f>3+2</f>
        <v>5</v>
      </c>
      <c r="AX25" s="149">
        <f>+AV25-AZ25</f>
        <v>729</v>
      </c>
      <c r="AY25" s="168">
        <v>0</v>
      </c>
      <c r="AZ25" s="149">
        <v>0</v>
      </c>
      <c r="BA25" s="167">
        <f t="shared" si="14"/>
        <v>-1</v>
      </c>
      <c r="BB25" s="167">
        <f t="shared" si="16"/>
        <v>-419</v>
      </c>
      <c r="BC25" s="169">
        <f t="shared" si="15"/>
        <v>-0.16666666666666666</v>
      </c>
      <c r="BD25" s="171">
        <f t="shared" si="17"/>
        <v>-0.36498257839721254</v>
      </c>
    </row>
    <row r="26" spans="1:60" x14ac:dyDescent="0.2">
      <c r="A26" s="200" t="s">
        <v>47</v>
      </c>
      <c r="B26" s="201"/>
      <c r="C26" s="201" t="s">
        <v>468</v>
      </c>
      <c r="D26" s="149" t="s">
        <v>463</v>
      </c>
      <c r="E26" s="168">
        <v>0</v>
      </c>
      <c r="F26" s="149">
        <v>0</v>
      </c>
      <c r="G26" s="168">
        <v>0</v>
      </c>
      <c r="H26" s="149">
        <v>0</v>
      </c>
      <c r="I26" s="168">
        <v>0</v>
      </c>
      <c r="J26" s="149">
        <v>0</v>
      </c>
      <c r="K26" s="168">
        <f t="shared" si="18"/>
        <v>0</v>
      </c>
      <c r="L26" s="149">
        <v>0</v>
      </c>
      <c r="M26" s="168">
        <v>0</v>
      </c>
      <c r="N26" s="170">
        <f t="shared" si="20"/>
        <v>0</v>
      </c>
      <c r="O26" s="168">
        <v>0</v>
      </c>
      <c r="P26" s="149">
        <v>0</v>
      </c>
      <c r="Q26" s="168">
        <f t="shared" si="19"/>
        <v>0</v>
      </c>
      <c r="R26" s="149">
        <v>0</v>
      </c>
      <c r="S26" s="168">
        <v>0</v>
      </c>
      <c r="T26" s="170">
        <f t="shared" si="21"/>
        <v>0</v>
      </c>
      <c r="U26" s="168">
        <v>0</v>
      </c>
      <c r="V26" s="149">
        <v>0</v>
      </c>
      <c r="W26" s="168">
        <v>0</v>
      </c>
      <c r="X26" s="149">
        <v>0</v>
      </c>
      <c r="Y26" s="168">
        <v>0</v>
      </c>
      <c r="Z26" s="170">
        <v>0</v>
      </c>
      <c r="AA26" s="168">
        <v>0</v>
      </c>
      <c r="AB26" s="149">
        <v>0</v>
      </c>
      <c r="AC26" s="168">
        <f t="shared" ref="AC26:AC27" si="22">+AE26+AG26</f>
        <v>0</v>
      </c>
      <c r="AD26" s="149">
        <v>0</v>
      </c>
      <c r="AE26" s="168">
        <v>0</v>
      </c>
      <c r="AF26" s="149">
        <f>+AD26-AH26</f>
        <v>0</v>
      </c>
      <c r="AG26" s="168">
        <v>0</v>
      </c>
      <c r="AH26" s="149">
        <v>0</v>
      </c>
      <c r="AI26" s="168">
        <f t="shared" ref="AI26:AI27" si="23">+AK26+AM26</f>
        <v>0</v>
      </c>
      <c r="AJ26" s="149">
        <v>0</v>
      </c>
      <c r="AK26" s="168">
        <v>0</v>
      </c>
      <c r="AL26" s="149">
        <f>+AJ26-AN26</f>
        <v>0</v>
      </c>
      <c r="AM26" s="168">
        <v>0</v>
      </c>
      <c r="AN26" s="149">
        <v>0</v>
      </c>
      <c r="AO26" s="168">
        <f t="shared" ref="AO26:AO27" si="24">+AQ26+AS26</f>
        <v>0</v>
      </c>
      <c r="AP26" s="149">
        <v>0</v>
      </c>
      <c r="AQ26" s="168">
        <v>0</v>
      </c>
      <c r="AR26" s="149">
        <f>+AP26-AT26</f>
        <v>0</v>
      </c>
      <c r="AS26" s="168">
        <v>0</v>
      </c>
      <c r="AT26" s="149">
        <v>0</v>
      </c>
      <c r="AU26" s="168">
        <f t="shared" ref="AU26:AU27" si="25">+AW26+AY26</f>
        <v>0</v>
      </c>
      <c r="AV26" s="149">
        <v>0</v>
      </c>
      <c r="AW26" s="168">
        <v>0</v>
      </c>
      <c r="AX26" s="149">
        <f>+AV26-AZ26</f>
        <v>0</v>
      </c>
      <c r="AY26" s="168">
        <v>0</v>
      </c>
      <c r="AZ26" s="149">
        <v>0</v>
      </c>
      <c r="BA26" s="167">
        <f t="shared" si="14"/>
        <v>0</v>
      </c>
      <c r="BB26" s="167">
        <f t="shared" si="16"/>
        <v>0</v>
      </c>
      <c r="BC26" s="169" t="e">
        <f t="shared" si="15"/>
        <v>#DIV/0!</v>
      </c>
      <c r="BD26" s="171" t="e">
        <f t="shared" si="17"/>
        <v>#DIV/0!</v>
      </c>
    </row>
    <row r="27" spans="1:60" x14ac:dyDescent="0.2">
      <c r="A27" s="202" t="s">
        <v>48</v>
      </c>
      <c r="B27" s="203"/>
      <c r="C27" s="203" t="s">
        <v>472</v>
      </c>
      <c r="D27" s="149" t="s">
        <v>463</v>
      </c>
      <c r="E27" s="168">
        <v>23</v>
      </c>
      <c r="F27" s="149">
        <v>4930</v>
      </c>
      <c r="G27" s="168">
        <v>12</v>
      </c>
      <c r="H27" s="149">
        <v>2511</v>
      </c>
      <c r="I27" s="168">
        <v>11</v>
      </c>
      <c r="J27" s="149">
        <v>2424</v>
      </c>
      <c r="K27" s="168">
        <f t="shared" si="18"/>
        <v>23</v>
      </c>
      <c r="L27" s="149">
        <v>4939</v>
      </c>
      <c r="M27" s="168">
        <v>12</v>
      </c>
      <c r="N27" s="170">
        <f t="shared" si="20"/>
        <v>2514</v>
      </c>
      <c r="O27" s="168">
        <v>11</v>
      </c>
      <c r="P27" s="149">
        <v>2425</v>
      </c>
      <c r="Q27" s="168">
        <f t="shared" si="19"/>
        <v>23</v>
      </c>
      <c r="R27" s="149">
        <v>4953</v>
      </c>
      <c r="S27" s="168">
        <v>12</v>
      </c>
      <c r="T27" s="170">
        <f t="shared" si="21"/>
        <v>2526</v>
      </c>
      <c r="U27" s="168">
        <v>11</v>
      </c>
      <c r="V27" s="149">
        <v>2427</v>
      </c>
      <c r="W27" s="168">
        <v>23</v>
      </c>
      <c r="X27" s="149">
        <v>4966</v>
      </c>
      <c r="Y27" s="168">
        <v>12</v>
      </c>
      <c r="Z27" s="170">
        <v>2538</v>
      </c>
      <c r="AA27" s="168">
        <v>11</v>
      </c>
      <c r="AB27" s="149">
        <v>2428</v>
      </c>
      <c r="AC27" s="168">
        <f t="shared" si="22"/>
        <v>23</v>
      </c>
      <c r="AD27" s="149">
        <v>4965</v>
      </c>
      <c r="AE27" s="168">
        <v>12</v>
      </c>
      <c r="AF27" s="170">
        <f t="shared" ref="AF27:AF30" si="26">+AD27-AH27</f>
        <v>2538</v>
      </c>
      <c r="AG27" s="168">
        <v>11</v>
      </c>
      <c r="AH27" s="149">
        <v>2427</v>
      </c>
      <c r="AI27" s="168">
        <f t="shared" si="23"/>
        <v>23</v>
      </c>
      <c r="AJ27" s="149">
        <v>4982</v>
      </c>
      <c r="AK27" s="168">
        <v>12</v>
      </c>
      <c r="AL27" s="170">
        <f t="shared" ref="AL27:AL30" si="27">+AJ27-AN27</f>
        <v>2549</v>
      </c>
      <c r="AM27" s="168">
        <v>11</v>
      </c>
      <c r="AN27" s="149">
        <v>2433</v>
      </c>
      <c r="AO27" s="168">
        <f t="shared" si="24"/>
        <v>23</v>
      </c>
      <c r="AP27" s="149">
        <v>5001</v>
      </c>
      <c r="AQ27" s="168">
        <v>12</v>
      </c>
      <c r="AR27" s="170">
        <f t="shared" ref="AR27:AR28" si="28">+AP27-AT27</f>
        <v>2561</v>
      </c>
      <c r="AS27" s="168">
        <v>11</v>
      </c>
      <c r="AT27" s="149">
        <v>2440</v>
      </c>
      <c r="AU27" s="168">
        <f t="shared" si="25"/>
        <v>23</v>
      </c>
      <c r="AV27" s="149">
        <v>5026</v>
      </c>
      <c r="AW27" s="168">
        <v>12</v>
      </c>
      <c r="AX27" s="170">
        <v>2571</v>
      </c>
      <c r="AY27" s="168">
        <v>11</v>
      </c>
      <c r="AZ27" s="149">
        <v>2455</v>
      </c>
      <c r="BA27" s="167">
        <f t="shared" si="14"/>
        <v>0</v>
      </c>
      <c r="BB27" s="167">
        <f t="shared" si="16"/>
        <v>25</v>
      </c>
      <c r="BC27" s="169">
        <f t="shared" si="15"/>
        <v>0</v>
      </c>
      <c r="BD27" s="171">
        <f t="shared" si="17"/>
        <v>4.9990001999600077E-3</v>
      </c>
      <c r="BH27" s="172"/>
    </row>
    <row r="28" spans="1:60" x14ac:dyDescent="0.2">
      <c r="A28" s="202" t="s">
        <v>49</v>
      </c>
      <c r="B28" s="203"/>
      <c r="C28" s="203" t="s">
        <v>470</v>
      </c>
      <c r="D28" s="149" t="s">
        <v>463</v>
      </c>
      <c r="E28" s="168">
        <v>2</v>
      </c>
      <c r="F28" s="149">
        <v>275</v>
      </c>
      <c r="G28" s="168">
        <v>2</v>
      </c>
      <c r="H28" s="149">
        <v>275</v>
      </c>
      <c r="I28" s="168">
        <v>0</v>
      </c>
      <c r="J28" s="149">
        <v>0</v>
      </c>
      <c r="K28" s="168">
        <f t="shared" si="18"/>
        <v>2</v>
      </c>
      <c r="L28" s="149">
        <v>275</v>
      </c>
      <c r="M28" s="168">
        <v>2</v>
      </c>
      <c r="N28" s="170">
        <f t="shared" si="20"/>
        <v>275</v>
      </c>
      <c r="O28" s="168">
        <v>0</v>
      </c>
      <c r="P28" s="149">
        <v>0</v>
      </c>
      <c r="Q28" s="168">
        <f t="shared" si="19"/>
        <v>2</v>
      </c>
      <c r="R28" s="149">
        <v>276</v>
      </c>
      <c r="S28" s="168">
        <v>2</v>
      </c>
      <c r="T28" s="170">
        <f t="shared" si="21"/>
        <v>276</v>
      </c>
      <c r="U28" s="168">
        <v>0</v>
      </c>
      <c r="V28" s="149">
        <v>0</v>
      </c>
      <c r="W28" s="168">
        <v>0</v>
      </c>
      <c r="X28" s="149">
        <v>0</v>
      </c>
      <c r="Y28" s="168">
        <v>0</v>
      </c>
      <c r="Z28" s="170">
        <v>0</v>
      </c>
      <c r="AA28" s="168">
        <v>0</v>
      </c>
      <c r="AB28" s="149">
        <v>0</v>
      </c>
      <c r="AC28" s="168">
        <v>0</v>
      </c>
      <c r="AD28" s="149">
        <v>0</v>
      </c>
      <c r="AE28" s="168">
        <v>0</v>
      </c>
      <c r="AF28" s="170">
        <f t="shared" si="26"/>
        <v>0</v>
      </c>
      <c r="AG28" s="168">
        <v>0</v>
      </c>
      <c r="AH28" s="149">
        <v>0</v>
      </c>
      <c r="AI28" s="168">
        <v>0</v>
      </c>
      <c r="AJ28" s="149">
        <v>0</v>
      </c>
      <c r="AK28" s="168">
        <v>0</v>
      </c>
      <c r="AL28" s="170">
        <f t="shared" si="27"/>
        <v>0</v>
      </c>
      <c r="AM28" s="168">
        <v>0</v>
      </c>
      <c r="AN28" s="149">
        <v>0</v>
      </c>
      <c r="AO28" s="168">
        <v>0</v>
      </c>
      <c r="AP28" s="149">
        <v>0</v>
      </c>
      <c r="AQ28" s="168">
        <v>0</v>
      </c>
      <c r="AR28" s="170">
        <f t="shared" si="28"/>
        <v>0</v>
      </c>
      <c r="AS28" s="168">
        <v>0</v>
      </c>
      <c r="AT28" s="149">
        <v>0</v>
      </c>
      <c r="AU28" s="168">
        <v>0</v>
      </c>
      <c r="AV28" s="149">
        <v>0</v>
      </c>
      <c r="AW28" s="168">
        <v>0</v>
      </c>
      <c r="AX28" s="170">
        <f t="shared" ref="AX28" si="29">+AV28-AZ28</f>
        <v>0</v>
      </c>
      <c r="AY28" s="168">
        <v>0</v>
      </c>
      <c r="AZ28" s="149">
        <v>0</v>
      </c>
      <c r="BA28" s="167">
        <f t="shared" si="14"/>
        <v>0</v>
      </c>
      <c r="BB28" s="167">
        <f t="shared" si="16"/>
        <v>0</v>
      </c>
      <c r="BC28" s="169" t="e">
        <f t="shared" si="15"/>
        <v>#DIV/0!</v>
      </c>
      <c r="BD28" s="171" t="e">
        <f t="shared" si="17"/>
        <v>#DIV/0!</v>
      </c>
      <c r="BH28" s="172"/>
    </row>
    <row r="29" spans="1:60" x14ac:dyDescent="0.2">
      <c r="A29" s="202" t="s">
        <v>50</v>
      </c>
      <c r="B29" s="203"/>
      <c r="C29" s="203" t="s">
        <v>471</v>
      </c>
      <c r="D29" s="149" t="s">
        <v>463</v>
      </c>
      <c r="E29" s="168">
        <v>2</v>
      </c>
      <c r="F29" s="149">
        <v>447</v>
      </c>
      <c r="G29" s="168">
        <v>2</v>
      </c>
      <c r="H29" s="149">
        <v>447</v>
      </c>
      <c r="I29" s="168">
        <v>0</v>
      </c>
      <c r="J29" s="149">
        <v>0</v>
      </c>
      <c r="K29" s="168">
        <f t="shared" si="18"/>
        <v>2</v>
      </c>
      <c r="L29" s="149">
        <v>448</v>
      </c>
      <c r="M29" s="168">
        <v>2</v>
      </c>
      <c r="N29" s="170">
        <f t="shared" si="20"/>
        <v>448</v>
      </c>
      <c r="O29" s="168">
        <v>0</v>
      </c>
      <c r="P29" s="149">
        <v>0</v>
      </c>
      <c r="Q29" s="168">
        <f t="shared" si="19"/>
        <v>2</v>
      </c>
      <c r="R29" s="149">
        <v>450</v>
      </c>
      <c r="S29" s="168">
        <v>2</v>
      </c>
      <c r="T29" s="170">
        <f t="shared" si="21"/>
        <v>450</v>
      </c>
      <c r="U29" s="168">
        <v>0</v>
      </c>
      <c r="V29" s="149">
        <v>0</v>
      </c>
      <c r="W29" s="168">
        <v>4</v>
      </c>
      <c r="X29" s="149">
        <v>887</v>
      </c>
      <c r="Y29" s="168">
        <v>4</v>
      </c>
      <c r="Z29" s="170">
        <v>887</v>
      </c>
      <c r="AA29" s="168">
        <v>0</v>
      </c>
      <c r="AB29" s="149">
        <v>0</v>
      </c>
      <c r="AC29" s="168">
        <v>4</v>
      </c>
      <c r="AD29" s="149">
        <v>887</v>
      </c>
      <c r="AE29" s="168">
        <v>4</v>
      </c>
      <c r="AF29" s="170">
        <f t="shared" si="26"/>
        <v>887</v>
      </c>
      <c r="AG29" s="168">
        <v>0</v>
      </c>
      <c r="AH29" s="149">
        <v>0</v>
      </c>
      <c r="AI29" s="168">
        <v>5</v>
      </c>
      <c r="AJ29" s="149">
        <v>1045</v>
      </c>
      <c r="AK29" s="168">
        <v>4</v>
      </c>
      <c r="AL29" s="170">
        <v>889</v>
      </c>
      <c r="AM29" s="168">
        <v>1</v>
      </c>
      <c r="AN29" s="149">
        <v>172</v>
      </c>
      <c r="AO29" s="168">
        <v>5</v>
      </c>
      <c r="AP29" s="149">
        <v>1066</v>
      </c>
      <c r="AQ29" s="168">
        <v>4</v>
      </c>
      <c r="AR29" s="170">
        <v>893</v>
      </c>
      <c r="AS29" s="168">
        <v>1</v>
      </c>
      <c r="AT29" s="149">
        <v>173</v>
      </c>
      <c r="AU29" s="168">
        <v>5</v>
      </c>
      <c r="AV29" s="149">
        <v>1067</v>
      </c>
      <c r="AW29" s="168">
        <v>4</v>
      </c>
      <c r="AX29" s="170">
        <v>894</v>
      </c>
      <c r="AY29" s="168">
        <v>1</v>
      </c>
      <c r="AZ29" s="149">
        <v>173</v>
      </c>
      <c r="BA29" s="167">
        <f t="shared" si="14"/>
        <v>0</v>
      </c>
      <c r="BB29" s="167">
        <f t="shared" si="16"/>
        <v>1</v>
      </c>
      <c r="BC29" s="169">
        <f t="shared" si="15"/>
        <v>0</v>
      </c>
      <c r="BD29" s="171">
        <f t="shared" si="17"/>
        <v>9.3808630393996248E-4</v>
      </c>
      <c r="BH29" s="172"/>
    </row>
    <row r="30" spans="1:60" x14ac:dyDescent="0.2">
      <c r="A30" s="202" t="s">
        <v>51</v>
      </c>
      <c r="B30" s="203"/>
      <c r="C30" s="203" t="s">
        <v>493</v>
      </c>
      <c r="D30" s="149" t="s">
        <v>463</v>
      </c>
      <c r="E30" s="168">
        <v>13</v>
      </c>
      <c r="F30" s="149">
        <v>2974</v>
      </c>
      <c r="G30" s="168">
        <v>10</v>
      </c>
      <c r="H30" s="170">
        <v>2207</v>
      </c>
      <c r="I30" s="168">
        <v>3</v>
      </c>
      <c r="J30" s="170">
        <v>769</v>
      </c>
      <c r="K30" s="168">
        <f t="shared" si="18"/>
        <v>13</v>
      </c>
      <c r="L30" s="149">
        <v>2984</v>
      </c>
      <c r="M30" s="168">
        <v>10</v>
      </c>
      <c r="N30" s="170">
        <f t="shared" si="20"/>
        <v>2214</v>
      </c>
      <c r="O30" s="168">
        <v>3</v>
      </c>
      <c r="P30" s="170">
        <v>770</v>
      </c>
      <c r="Q30" s="168">
        <f t="shared" si="19"/>
        <v>13</v>
      </c>
      <c r="R30" s="149">
        <v>2988</v>
      </c>
      <c r="S30" s="168">
        <v>10</v>
      </c>
      <c r="T30" s="170">
        <f t="shared" si="21"/>
        <v>2221</v>
      </c>
      <c r="U30" s="168">
        <v>3</v>
      </c>
      <c r="V30" s="170">
        <v>767</v>
      </c>
      <c r="W30" s="168">
        <v>13</v>
      </c>
      <c r="X30" s="149">
        <v>2993</v>
      </c>
      <c r="Y30" s="168">
        <v>10</v>
      </c>
      <c r="Z30" s="170">
        <v>2226</v>
      </c>
      <c r="AA30" s="168">
        <v>3</v>
      </c>
      <c r="AB30" s="170">
        <v>767</v>
      </c>
      <c r="AC30" s="168">
        <f t="shared" ref="AC30" si="30">+AE30+AG30</f>
        <v>13</v>
      </c>
      <c r="AD30" s="149">
        <v>2993</v>
      </c>
      <c r="AE30" s="168">
        <v>10</v>
      </c>
      <c r="AF30" s="170">
        <f t="shared" si="26"/>
        <v>767</v>
      </c>
      <c r="AG30" s="168">
        <v>3</v>
      </c>
      <c r="AH30" s="170">
        <v>2226</v>
      </c>
      <c r="AI30" s="168">
        <v>12</v>
      </c>
      <c r="AJ30" s="149">
        <v>2827</v>
      </c>
      <c r="AK30" s="168">
        <v>10</v>
      </c>
      <c r="AL30" s="170">
        <f t="shared" si="27"/>
        <v>2230</v>
      </c>
      <c r="AM30" s="168">
        <v>2</v>
      </c>
      <c r="AN30" s="170">
        <v>597</v>
      </c>
      <c r="AO30" s="168">
        <v>12</v>
      </c>
      <c r="AP30" s="149">
        <v>2836</v>
      </c>
      <c r="AQ30" s="168">
        <v>10</v>
      </c>
      <c r="AR30" s="170">
        <f t="shared" ref="AR30" si="31">+AP30-AT30</f>
        <v>2239</v>
      </c>
      <c r="AS30" s="168">
        <v>2</v>
      </c>
      <c r="AT30" s="170">
        <v>597</v>
      </c>
      <c r="AU30" s="168">
        <v>12</v>
      </c>
      <c r="AV30" s="149">
        <v>2841</v>
      </c>
      <c r="AW30" s="168">
        <v>10</v>
      </c>
      <c r="AX30" s="170">
        <v>2242</v>
      </c>
      <c r="AY30" s="168">
        <v>2</v>
      </c>
      <c r="AZ30" s="170">
        <v>599</v>
      </c>
      <c r="BA30" s="167">
        <f t="shared" si="14"/>
        <v>0</v>
      </c>
      <c r="BB30" s="167">
        <f t="shared" si="16"/>
        <v>5</v>
      </c>
      <c r="BC30" s="169">
        <f t="shared" si="15"/>
        <v>0</v>
      </c>
      <c r="BD30" s="171">
        <f t="shared" si="17"/>
        <v>1.763046544428773E-3</v>
      </c>
      <c r="BH30" s="172"/>
    </row>
    <row r="31" spans="1:60" ht="15.75" x14ac:dyDescent="0.25">
      <c r="A31" s="195" t="s">
        <v>56</v>
      </c>
      <c r="B31" s="196" t="s">
        <v>188</v>
      </c>
      <c r="C31" s="197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9"/>
      <c r="BC31" s="199"/>
      <c r="BD31" s="199"/>
      <c r="BH31" s="172"/>
    </row>
    <row r="32" spans="1:60" x14ac:dyDescent="0.2">
      <c r="A32" s="149" t="s">
        <v>58</v>
      </c>
      <c r="B32" s="166"/>
      <c r="C32" s="166" t="s">
        <v>39</v>
      </c>
      <c r="D32" s="149" t="s">
        <v>172</v>
      </c>
      <c r="E32" s="284">
        <v>6</v>
      </c>
      <c r="F32" s="285"/>
      <c r="G32" s="284">
        <v>4</v>
      </c>
      <c r="H32" s="285"/>
      <c r="I32" s="284">
        <v>2</v>
      </c>
      <c r="J32" s="285"/>
      <c r="K32" s="284">
        <v>6</v>
      </c>
      <c r="L32" s="285"/>
      <c r="M32" s="284">
        <v>4</v>
      </c>
      <c r="N32" s="285"/>
      <c r="O32" s="284">
        <v>2</v>
      </c>
      <c r="P32" s="285"/>
      <c r="Q32" s="284">
        <v>6</v>
      </c>
      <c r="R32" s="285"/>
      <c r="S32" s="284">
        <v>4</v>
      </c>
      <c r="T32" s="285"/>
      <c r="U32" s="284">
        <v>2</v>
      </c>
      <c r="V32" s="285"/>
      <c r="W32" s="284">
        <v>6</v>
      </c>
      <c r="X32" s="285"/>
      <c r="Y32" s="284">
        <v>4</v>
      </c>
      <c r="Z32" s="285"/>
      <c r="AA32" s="284">
        <v>2</v>
      </c>
      <c r="AB32" s="285"/>
      <c r="AC32" s="284">
        <v>6</v>
      </c>
      <c r="AD32" s="285"/>
      <c r="AE32" s="284">
        <v>4</v>
      </c>
      <c r="AF32" s="285"/>
      <c r="AG32" s="284">
        <v>2</v>
      </c>
      <c r="AH32" s="285"/>
      <c r="AI32" s="284">
        <v>6</v>
      </c>
      <c r="AJ32" s="285"/>
      <c r="AK32" s="284">
        <v>4</v>
      </c>
      <c r="AL32" s="285"/>
      <c r="AM32" s="284">
        <v>2</v>
      </c>
      <c r="AN32" s="285"/>
      <c r="AO32" s="284">
        <v>6</v>
      </c>
      <c r="AP32" s="285"/>
      <c r="AQ32" s="284">
        <v>4</v>
      </c>
      <c r="AR32" s="285"/>
      <c r="AS32" s="284">
        <v>2</v>
      </c>
      <c r="AT32" s="285"/>
      <c r="AU32" s="284">
        <v>6</v>
      </c>
      <c r="AV32" s="285"/>
      <c r="AW32" s="284">
        <v>4</v>
      </c>
      <c r="AX32" s="285"/>
      <c r="AY32" s="284">
        <v>2</v>
      </c>
      <c r="AZ32" s="285"/>
      <c r="BA32" s="306">
        <f>AU32-AO32</f>
        <v>0</v>
      </c>
      <c r="BB32" s="307"/>
      <c r="BC32" s="302">
        <f>BA32/AO32</f>
        <v>0</v>
      </c>
      <c r="BD32" s="303"/>
      <c r="BH32" s="172"/>
    </row>
    <row r="33" spans="1:60" s="207" customFormat="1" ht="34.5" customHeight="1" x14ac:dyDescent="0.25">
      <c r="A33" s="204" t="s">
        <v>435</v>
      </c>
      <c r="B33" s="205"/>
      <c r="C33" s="205" t="s">
        <v>566</v>
      </c>
      <c r="D33" s="204" t="s">
        <v>434</v>
      </c>
      <c r="E33" s="206">
        <v>579</v>
      </c>
      <c r="F33" s="204" t="s">
        <v>509</v>
      </c>
      <c r="G33" s="206"/>
      <c r="H33" s="204"/>
      <c r="I33" s="206">
        <v>579</v>
      </c>
      <c r="J33" s="204" t="s">
        <v>509</v>
      </c>
      <c r="K33" s="206">
        <v>449</v>
      </c>
      <c r="L33" s="204" t="s">
        <v>509</v>
      </c>
      <c r="M33" s="206"/>
      <c r="N33" s="204"/>
      <c r="O33" s="206">
        <f>+K33</f>
        <v>449</v>
      </c>
      <c r="P33" s="204" t="s">
        <v>509</v>
      </c>
      <c r="Q33" s="206">
        <v>638</v>
      </c>
      <c r="R33" s="204" t="s">
        <v>509</v>
      </c>
      <c r="S33" s="206"/>
      <c r="T33" s="204"/>
      <c r="U33" s="206">
        <f>+Q33</f>
        <v>638</v>
      </c>
      <c r="V33" s="204" t="s">
        <v>509</v>
      </c>
      <c r="W33" s="206">
        <v>669.72</v>
      </c>
      <c r="X33" s="204" t="s">
        <v>509</v>
      </c>
      <c r="Y33" s="206"/>
      <c r="Z33" s="204"/>
      <c r="AA33" s="206">
        <v>669.72</v>
      </c>
      <c r="AB33" s="204" t="s">
        <v>509</v>
      </c>
      <c r="AC33" s="206">
        <v>665</v>
      </c>
      <c r="AD33" s="204" t="s">
        <v>509</v>
      </c>
      <c r="AE33" s="206"/>
      <c r="AF33" s="204"/>
      <c r="AG33" s="206">
        <f>+AC33</f>
        <v>665</v>
      </c>
      <c r="AH33" s="204" t="s">
        <v>509</v>
      </c>
      <c r="AI33" s="206">
        <v>650</v>
      </c>
      <c r="AJ33" s="204" t="s">
        <v>509</v>
      </c>
      <c r="AK33" s="206"/>
      <c r="AL33" s="204"/>
      <c r="AM33" s="206">
        <f>+AI33</f>
        <v>650</v>
      </c>
      <c r="AN33" s="204" t="s">
        <v>509</v>
      </c>
      <c r="AO33" s="206">
        <v>610</v>
      </c>
      <c r="AP33" s="204" t="s">
        <v>509</v>
      </c>
      <c r="AQ33" s="206"/>
      <c r="AR33" s="204"/>
      <c r="AS33" s="206">
        <f>+AO33</f>
        <v>610</v>
      </c>
      <c r="AT33" s="204" t="s">
        <v>509</v>
      </c>
      <c r="AU33" s="206">
        <v>620</v>
      </c>
      <c r="AV33" s="204" t="s">
        <v>509</v>
      </c>
      <c r="AW33" s="206"/>
      <c r="AX33" s="204"/>
      <c r="AY33" s="206">
        <f>+AU33</f>
        <v>620</v>
      </c>
      <c r="AZ33" s="204" t="s">
        <v>509</v>
      </c>
      <c r="BA33" s="308">
        <f>AU33-678</f>
        <v>-58</v>
      </c>
      <c r="BB33" s="309"/>
      <c r="BC33" s="312">
        <f t="shared" ref="BC33:BC38" si="32">BA33/AO33</f>
        <v>-9.5081967213114751E-2</v>
      </c>
      <c r="BD33" s="313"/>
      <c r="BH33" s="208"/>
    </row>
    <row r="34" spans="1:60" s="207" customFormat="1" ht="34.5" customHeight="1" x14ac:dyDescent="0.25">
      <c r="A34" s="204" t="s">
        <v>436</v>
      </c>
      <c r="B34" s="205"/>
      <c r="C34" s="205" t="s">
        <v>565</v>
      </c>
      <c r="D34" s="204" t="s">
        <v>434</v>
      </c>
      <c r="E34" s="206">
        <v>354</v>
      </c>
      <c r="F34" s="204" t="s">
        <v>510</v>
      </c>
      <c r="G34" s="206">
        <v>354</v>
      </c>
      <c r="H34" s="204" t="s">
        <v>510</v>
      </c>
      <c r="I34" s="206"/>
      <c r="J34" s="204"/>
      <c r="K34" s="206">
        <v>347</v>
      </c>
      <c r="L34" s="204" t="s">
        <v>510</v>
      </c>
      <c r="M34" s="206">
        <f>+K34</f>
        <v>347</v>
      </c>
      <c r="N34" s="204" t="s">
        <v>510</v>
      </c>
      <c r="O34" s="206"/>
      <c r="P34" s="204"/>
      <c r="Q34" s="206">
        <v>330</v>
      </c>
      <c r="R34" s="204" t="s">
        <v>510</v>
      </c>
      <c r="S34" s="206">
        <f>+Q34</f>
        <v>330</v>
      </c>
      <c r="T34" s="204" t="s">
        <v>510</v>
      </c>
      <c r="U34" s="206"/>
      <c r="V34" s="204"/>
      <c r="W34" s="206">
        <v>368.6</v>
      </c>
      <c r="X34" s="204" t="s">
        <v>510</v>
      </c>
      <c r="Y34" s="206">
        <v>368.6</v>
      </c>
      <c r="Z34" s="204" t="s">
        <v>510</v>
      </c>
      <c r="AA34" s="206"/>
      <c r="AB34" s="204"/>
      <c r="AC34" s="206">
        <v>372</v>
      </c>
      <c r="AD34" s="204" t="s">
        <v>510</v>
      </c>
      <c r="AE34" s="206">
        <f>+AC34</f>
        <v>372</v>
      </c>
      <c r="AF34" s="204" t="s">
        <v>510</v>
      </c>
      <c r="AG34" s="206"/>
      <c r="AH34" s="204"/>
      <c r="AI34" s="206">
        <v>382</v>
      </c>
      <c r="AJ34" s="204" t="s">
        <v>510</v>
      </c>
      <c r="AK34" s="206">
        <f>+AI34</f>
        <v>382</v>
      </c>
      <c r="AL34" s="204" t="s">
        <v>510</v>
      </c>
      <c r="AM34" s="206"/>
      <c r="AN34" s="204"/>
      <c r="AO34" s="206">
        <v>347</v>
      </c>
      <c r="AP34" s="204" t="s">
        <v>510</v>
      </c>
      <c r="AQ34" s="206">
        <f>+AO34</f>
        <v>347</v>
      </c>
      <c r="AR34" s="204" t="s">
        <v>510</v>
      </c>
      <c r="AS34" s="206"/>
      <c r="AT34" s="204"/>
      <c r="AU34" s="206">
        <v>380</v>
      </c>
      <c r="AV34" s="204" t="s">
        <v>510</v>
      </c>
      <c r="AW34" s="206"/>
      <c r="AX34" s="204" t="s">
        <v>510</v>
      </c>
      <c r="AY34" s="206"/>
      <c r="AZ34" s="204"/>
      <c r="BA34" s="308">
        <f>AU34-395</f>
        <v>-15</v>
      </c>
      <c r="BB34" s="309"/>
      <c r="BC34" s="312">
        <f t="shared" si="32"/>
        <v>-4.3227665706051875E-2</v>
      </c>
      <c r="BD34" s="313"/>
      <c r="BH34" s="208"/>
    </row>
    <row r="35" spans="1:60" s="207" customFormat="1" ht="34.5" customHeight="1" x14ac:dyDescent="0.25">
      <c r="A35" s="204" t="s">
        <v>437</v>
      </c>
      <c r="B35" s="205"/>
      <c r="C35" s="205" t="s">
        <v>567</v>
      </c>
      <c r="D35" s="204" t="s">
        <v>434</v>
      </c>
      <c r="E35" s="206">
        <v>570</v>
      </c>
      <c r="F35" s="204" t="s">
        <v>509</v>
      </c>
      <c r="G35" s="206">
        <v>570</v>
      </c>
      <c r="H35" s="204" t="s">
        <v>509</v>
      </c>
      <c r="I35" s="206"/>
      <c r="J35" s="204"/>
      <c r="K35" s="206">
        <v>441</v>
      </c>
      <c r="L35" s="204" t="s">
        <v>509</v>
      </c>
      <c r="M35" s="206">
        <f>+K35</f>
        <v>441</v>
      </c>
      <c r="N35" s="204" t="s">
        <v>509</v>
      </c>
      <c r="O35" s="206"/>
      <c r="P35" s="204"/>
      <c r="Q35" s="206">
        <v>598</v>
      </c>
      <c r="R35" s="204" t="s">
        <v>509</v>
      </c>
      <c r="S35" s="206">
        <f>+Q35</f>
        <v>598</v>
      </c>
      <c r="T35" s="204" t="s">
        <v>509</v>
      </c>
      <c r="U35" s="206"/>
      <c r="V35" s="204"/>
      <c r="W35" s="206">
        <v>594.38</v>
      </c>
      <c r="X35" s="204" t="s">
        <v>509</v>
      </c>
      <c r="Y35" s="206">
        <v>594.38</v>
      </c>
      <c r="Z35" s="204" t="s">
        <v>509</v>
      </c>
      <c r="AA35" s="206"/>
      <c r="AB35" s="204"/>
      <c r="AC35" s="206">
        <v>598</v>
      </c>
      <c r="AD35" s="204" t="s">
        <v>509</v>
      </c>
      <c r="AE35" s="206">
        <f>+AC35</f>
        <v>598</v>
      </c>
      <c r="AF35" s="204" t="s">
        <v>509</v>
      </c>
      <c r="AG35" s="206"/>
      <c r="AH35" s="204"/>
      <c r="AI35" s="206">
        <v>458</v>
      </c>
      <c r="AJ35" s="204" t="s">
        <v>509</v>
      </c>
      <c r="AK35" s="206">
        <f>+AI35</f>
        <v>458</v>
      </c>
      <c r="AL35" s="204" t="s">
        <v>509</v>
      </c>
      <c r="AM35" s="206"/>
      <c r="AN35" s="204"/>
      <c r="AO35" s="206">
        <v>602</v>
      </c>
      <c r="AP35" s="204" t="s">
        <v>509</v>
      </c>
      <c r="AQ35" s="206">
        <f>+AO35</f>
        <v>602</v>
      </c>
      <c r="AR35" s="204" t="s">
        <v>509</v>
      </c>
      <c r="AS35" s="206"/>
      <c r="AT35" s="204"/>
      <c r="AU35" s="206">
        <v>630</v>
      </c>
      <c r="AV35" s="204" t="s">
        <v>509</v>
      </c>
      <c r="AW35" s="206">
        <f>+AU35</f>
        <v>630</v>
      </c>
      <c r="AX35" s="204" t="s">
        <v>509</v>
      </c>
      <c r="AY35" s="206"/>
      <c r="AZ35" s="204"/>
      <c r="BA35" s="308">
        <f>AU35-624</f>
        <v>6</v>
      </c>
      <c r="BB35" s="309"/>
      <c r="BC35" s="312">
        <f t="shared" si="32"/>
        <v>9.9667774086378731E-3</v>
      </c>
      <c r="BD35" s="313"/>
    </row>
    <row r="36" spans="1:60" s="207" customFormat="1" ht="34.5" customHeight="1" x14ac:dyDescent="0.25">
      <c r="A36" s="204" t="s">
        <v>438</v>
      </c>
      <c r="B36" s="205"/>
      <c r="C36" s="205" t="s">
        <v>569</v>
      </c>
      <c r="D36" s="204" t="s">
        <v>434</v>
      </c>
      <c r="E36" s="206">
        <v>412</v>
      </c>
      <c r="F36" s="204" t="s">
        <v>509</v>
      </c>
      <c r="G36" s="206"/>
      <c r="H36" s="204"/>
      <c r="I36" s="206">
        <v>412</v>
      </c>
      <c r="J36" s="204" t="s">
        <v>509</v>
      </c>
      <c r="K36" s="206">
        <v>432</v>
      </c>
      <c r="L36" s="204" t="s">
        <v>509</v>
      </c>
      <c r="M36" s="206"/>
      <c r="N36" s="204"/>
      <c r="O36" s="206">
        <f>+K36</f>
        <v>432</v>
      </c>
      <c r="P36" s="204" t="s">
        <v>509</v>
      </c>
      <c r="Q36" s="206">
        <v>419</v>
      </c>
      <c r="R36" s="204" t="s">
        <v>509</v>
      </c>
      <c r="S36" s="206"/>
      <c r="T36" s="204"/>
      <c r="U36" s="206">
        <f>+Q36</f>
        <v>419</v>
      </c>
      <c r="V36" s="204" t="s">
        <v>509</v>
      </c>
      <c r="W36" s="206">
        <v>399.58</v>
      </c>
      <c r="X36" s="204" t="s">
        <v>509</v>
      </c>
      <c r="Y36" s="206"/>
      <c r="Z36" s="204"/>
      <c r="AA36" s="206">
        <v>399.58</v>
      </c>
      <c r="AB36" s="204" t="s">
        <v>509</v>
      </c>
      <c r="AC36" s="206">
        <v>410</v>
      </c>
      <c r="AD36" s="204" t="s">
        <v>509</v>
      </c>
      <c r="AE36" s="206"/>
      <c r="AF36" s="204"/>
      <c r="AG36" s="206">
        <f>+AC36</f>
        <v>410</v>
      </c>
      <c r="AH36" s="204" t="s">
        <v>509</v>
      </c>
      <c r="AI36" s="206">
        <v>440</v>
      </c>
      <c r="AJ36" s="204" t="s">
        <v>509</v>
      </c>
      <c r="AK36" s="206"/>
      <c r="AL36" s="204"/>
      <c r="AM36" s="206">
        <f>+AI36</f>
        <v>440</v>
      </c>
      <c r="AN36" s="204" t="s">
        <v>509</v>
      </c>
      <c r="AO36" s="206">
        <v>432</v>
      </c>
      <c r="AP36" s="204" t="s">
        <v>509</v>
      </c>
      <c r="AQ36" s="206"/>
      <c r="AR36" s="204"/>
      <c r="AS36" s="206">
        <f>+AO36</f>
        <v>432</v>
      </c>
      <c r="AT36" s="204" t="s">
        <v>509</v>
      </c>
      <c r="AU36" s="206">
        <v>430</v>
      </c>
      <c r="AV36" s="204" t="s">
        <v>509</v>
      </c>
      <c r="AW36" s="206"/>
      <c r="AX36" s="204"/>
      <c r="AY36" s="206">
        <f>+AU36</f>
        <v>430</v>
      </c>
      <c r="AZ36" s="204" t="s">
        <v>509</v>
      </c>
      <c r="BA36" s="308">
        <f>AU36-423</f>
        <v>7</v>
      </c>
      <c r="BB36" s="309"/>
      <c r="BC36" s="312">
        <f t="shared" si="32"/>
        <v>1.6203703703703703E-2</v>
      </c>
      <c r="BD36" s="313"/>
    </row>
    <row r="37" spans="1:60" s="207" customFormat="1" ht="34.5" customHeight="1" x14ac:dyDescent="0.25">
      <c r="A37" s="204" t="s">
        <v>440</v>
      </c>
      <c r="B37" s="205"/>
      <c r="C37" s="205" t="s">
        <v>560</v>
      </c>
      <c r="D37" s="204" t="s">
        <v>434</v>
      </c>
      <c r="E37" s="206">
        <v>435</v>
      </c>
      <c r="F37" s="204" t="s">
        <v>509</v>
      </c>
      <c r="G37" s="206">
        <v>435</v>
      </c>
      <c r="H37" s="204" t="s">
        <v>509</v>
      </c>
      <c r="I37" s="206"/>
      <c r="J37" s="204"/>
      <c r="K37" s="206">
        <v>485</v>
      </c>
      <c r="L37" s="204" t="s">
        <v>509</v>
      </c>
      <c r="M37" s="206">
        <f>+K37</f>
        <v>485</v>
      </c>
      <c r="N37" s="204" t="s">
        <v>509</v>
      </c>
      <c r="O37" s="206"/>
      <c r="P37" s="204"/>
      <c r="Q37" s="206">
        <v>405</v>
      </c>
      <c r="R37" s="204" t="s">
        <v>509</v>
      </c>
      <c r="S37" s="206">
        <f>+Q37</f>
        <v>405</v>
      </c>
      <c r="T37" s="204" t="s">
        <v>509</v>
      </c>
      <c r="U37" s="206"/>
      <c r="V37" s="204"/>
      <c r="W37" s="206">
        <v>413.48</v>
      </c>
      <c r="X37" s="204" t="s">
        <v>509</v>
      </c>
      <c r="Y37" s="206">
        <v>413.48</v>
      </c>
      <c r="Z37" s="204" t="s">
        <v>509</v>
      </c>
      <c r="AA37" s="206"/>
      <c r="AB37" s="204"/>
      <c r="AC37" s="206">
        <v>405</v>
      </c>
      <c r="AD37" s="204" t="s">
        <v>509</v>
      </c>
      <c r="AE37" s="206">
        <v>406</v>
      </c>
      <c r="AF37" s="204" t="s">
        <v>509</v>
      </c>
      <c r="AG37" s="206"/>
      <c r="AH37" s="204"/>
      <c r="AI37" s="206">
        <v>410</v>
      </c>
      <c r="AJ37" s="204" t="s">
        <v>509</v>
      </c>
      <c r="AK37" s="206">
        <f>+AI37</f>
        <v>410</v>
      </c>
      <c r="AL37" s="204" t="s">
        <v>509</v>
      </c>
      <c r="AM37" s="206"/>
      <c r="AN37" s="204"/>
      <c r="AO37" s="206">
        <v>488</v>
      </c>
      <c r="AP37" s="204" t="s">
        <v>509</v>
      </c>
      <c r="AQ37" s="206">
        <f>+AO37</f>
        <v>488</v>
      </c>
      <c r="AR37" s="204" t="s">
        <v>509</v>
      </c>
      <c r="AS37" s="206"/>
      <c r="AT37" s="204"/>
      <c r="AU37" s="206">
        <v>480</v>
      </c>
      <c r="AV37" s="204" t="s">
        <v>509</v>
      </c>
      <c r="AW37" s="206">
        <f>+AU37</f>
        <v>480</v>
      </c>
      <c r="AX37" s="204" t="s">
        <v>509</v>
      </c>
      <c r="AY37" s="206"/>
      <c r="AZ37" s="204"/>
      <c r="BA37" s="308">
        <f>AU37-400</f>
        <v>80</v>
      </c>
      <c r="BB37" s="309"/>
      <c r="BC37" s="312">
        <f t="shared" si="32"/>
        <v>0.16393442622950818</v>
      </c>
      <c r="BD37" s="313"/>
    </row>
    <row r="38" spans="1:60" s="207" customFormat="1" ht="34.5" customHeight="1" x14ac:dyDescent="0.25">
      <c r="A38" s="204" t="s">
        <v>543</v>
      </c>
      <c r="B38" s="205"/>
      <c r="C38" s="205" t="s">
        <v>561</v>
      </c>
      <c r="D38" s="204" t="s">
        <v>434</v>
      </c>
      <c r="E38" s="206">
        <v>264</v>
      </c>
      <c r="F38" s="204" t="s">
        <v>509</v>
      </c>
      <c r="G38" s="209">
        <v>264</v>
      </c>
      <c r="H38" s="204" t="s">
        <v>509</v>
      </c>
      <c r="I38" s="209"/>
      <c r="J38" s="204"/>
      <c r="K38" s="206">
        <v>394</v>
      </c>
      <c r="L38" s="204" t="s">
        <v>509</v>
      </c>
      <c r="M38" s="209">
        <f>+K38</f>
        <v>394</v>
      </c>
      <c r="N38" s="204" t="s">
        <v>509</v>
      </c>
      <c r="O38" s="209"/>
      <c r="P38" s="204"/>
      <c r="Q38" s="206">
        <v>324</v>
      </c>
      <c r="R38" s="204" t="s">
        <v>509</v>
      </c>
      <c r="S38" s="209">
        <f>+Q38</f>
        <v>324</v>
      </c>
      <c r="T38" s="204" t="s">
        <v>509</v>
      </c>
      <c r="U38" s="209"/>
      <c r="V38" s="204"/>
      <c r="W38" s="206">
        <v>281.36</v>
      </c>
      <c r="X38" s="204" t="s">
        <v>509</v>
      </c>
      <c r="Y38" s="209">
        <v>281.36</v>
      </c>
      <c r="Z38" s="204" t="s">
        <v>509</v>
      </c>
      <c r="AA38" s="209"/>
      <c r="AB38" s="204"/>
      <c r="AC38" s="206">
        <v>281.36</v>
      </c>
      <c r="AD38" s="204" t="s">
        <v>509</v>
      </c>
      <c r="AE38" s="209">
        <v>286</v>
      </c>
      <c r="AF38" s="204" t="s">
        <v>509</v>
      </c>
      <c r="AG38" s="209"/>
      <c r="AH38" s="204"/>
      <c r="AI38" s="206">
        <v>330</v>
      </c>
      <c r="AJ38" s="204" t="s">
        <v>509</v>
      </c>
      <c r="AK38" s="209">
        <f>+AI38</f>
        <v>330</v>
      </c>
      <c r="AL38" s="204" t="s">
        <v>509</v>
      </c>
      <c r="AM38" s="209"/>
      <c r="AN38" s="204"/>
      <c r="AO38" s="206">
        <v>279</v>
      </c>
      <c r="AP38" s="204" t="s">
        <v>509</v>
      </c>
      <c r="AQ38" s="209">
        <f>+AO38</f>
        <v>279</v>
      </c>
      <c r="AR38" s="204" t="s">
        <v>509</v>
      </c>
      <c r="AS38" s="209"/>
      <c r="AT38" s="204"/>
      <c r="AU38" s="206">
        <v>280</v>
      </c>
      <c r="AV38" s="204" t="s">
        <v>509</v>
      </c>
      <c r="AW38" s="209">
        <f>+AU38</f>
        <v>280</v>
      </c>
      <c r="AX38" s="204" t="s">
        <v>509</v>
      </c>
      <c r="AY38" s="209"/>
      <c r="AZ38" s="204"/>
      <c r="BA38" s="308">
        <f>AU38-350</f>
        <v>-70</v>
      </c>
      <c r="BB38" s="309"/>
      <c r="BC38" s="312">
        <f t="shared" si="32"/>
        <v>-0.25089605734767023</v>
      </c>
      <c r="BD38" s="313"/>
    </row>
    <row r="39" spans="1:60" x14ac:dyDescent="0.2">
      <c r="A39" s="149" t="s">
        <v>70</v>
      </c>
      <c r="B39" s="166"/>
      <c r="C39" s="166" t="s">
        <v>33</v>
      </c>
      <c r="D39" s="149" t="s">
        <v>173</v>
      </c>
      <c r="E39" s="284">
        <v>35</v>
      </c>
      <c r="F39" s="285"/>
      <c r="G39" s="284">
        <v>35</v>
      </c>
      <c r="H39" s="285"/>
      <c r="I39" s="284">
        <v>35</v>
      </c>
      <c r="J39" s="285"/>
      <c r="K39" s="284">
        <v>32</v>
      </c>
      <c r="L39" s="285"/>
      <c r="M39" s="284">
        <v>32</v>
      </c>
      <c r="N39" s="285"/>
      <c r="O39" s="284">
        <v>32</v>
      </c>
      <c r="P39" s="285"/>
      <c r="Q39" s="284">
        <v>28</v>
      </c>
      <c r="R39" s="285"/>
      <c r="S39" s="284">
        <v>28</v>
      </c>
      <c r="T39" s="285"/>
      <c r="U39" s="284">
        <v>28</v>
      </c>
      <c r="V39" s="285"/>
      <c r="W39" s="284">
        <v>30</v>
      </c>
      <c r="X39" s="285"/>
      <c r="Y39" s="284">
        <v>30</v>
      </c>
      <c r="Z39" s="285"/>
      <c r="AA39" s="284">
        <v>30</v>
      </c>
      <c r="AB39" s="285"/>
      <c r="AC39" s="284">
        <v>28</v>
      </c>
      <c r="AD39" s="285"/>
      <c r="AE39" s="284">
        <v>28</v>
      </c>
      <c r="AF39" s="285"/>
      <c r="AG39" s="284">
        <v>28</v>
      </c>
      <c r="AH39" s="285"/>
      <c r="AI39" s="284">
        <v>33</v>
      </c>
      <c r="AJ39" s="285"/>
      <c r="AK39" s="284">
        <v>33</v>
      </c>
      <c r="AL39" s="285"/>
      <c r="AM39" s="284">
        <v>33</v>
      </c>
      <c r="AN39" s="285"/>
      <c r="AO39" s="284">
        <v>30</v>
      </c>
      <c r="AP39" s="285"/>
      <c r="AQ39" s="284">
        <v>30</v>
      </c>
      <c r="AR39" s="285"/>
      <c r="AS39" s="284">
        <v>30</v>
      </c>
      <c r="AT39" s="285"/>
      <c r="AU39" s="284">
        <v>30</v>
      </c>
      <c r="AV39" s="285"/>
      <c r="AW39" s="284">
        <v>30</v>
      </c>
      <c r="AX39" s="285"/>
      <c r="AY39" s="284">
        <v>30</v>
      </c>
      <c r="AZ39" s="285"/>
      <c r="BA39" s="306">
        <f t="shared" ref="BA39:BA51" si="33">AU39-AO39</f>
        <v>0</v>
      </c>
      <c r="BB39" s="307"/>
      <c r="BC39" s="302">
        <f t="shared" ref="BC39:BC51" si="34">BA39/AO39</f>
        <v>0</v>
      </c>
      <c r="BD39" s="303"/>
    </row>
    <row r="40" spans="1:60" x14ac:dyDescent="0.2">
      <c r="A40" s="149" t="s">
        <v>71</v>
      </c>
      <c r="B40" s="166"/>
      <c r="C40" s="166" t="s">
        <v>34</v>
      </c>
      <c r="D40" s="149" t="s">
        <v>174</v>
      </c>
      <c r="E40" s="288">
        <v>3964.54</v>
      </c>
      <c r="F40" s="289"/>
      <c r="G40" s="284">
        <v>2877.45</v>
      </c>
      <c r="H40" s="285"/>
      <c r="I40" s="284">
        <v>1281.1399999999999</v>
      </c>
      <c r="J40" s="285"/>
      <c r="K40" s="288">
        <v>3441.43</v>
      </c>
      <c r="L40" s="289"/>
      <c r="M40" s="284">
        <f>+K40-O40</f>
        <v>2304.92</v>
      </c>
      <c r="N40" s="285"/>
      <c r="O40" s="284">
        <v>1136.51</v>
      </c>
      <c r="P40" s="285"/>
      <c r="Q40" s="288">
        <v>3162.9</v>
      </c>
      <c r="R40" s="289"/>
      <c r="S40" s="284">
        <f>+Q40-U40</f>
        <v>2173.75</v>
      </c>
      <c r="T40" s="285"/>
      <c r="U40" s="284">
        <v>989.15</v>
      </c>
      <c r="V40" s="285"/>
      <c r="W40" s="288">
        <v>3504.01</v>
      </c>
      <c r="X40" s="289"/>
      <c r="Y40" s="284">
        <v>2417.59</v>
      </c>
      <c r="Z40" s="285"/>
      <c r="AA40" s="284">
        <v>1086</v>
      </c>
      <c r="AB40" s="285"/>
      <c r="AC40" s="288">
        <v>3317.15</v>
      </c>
      <c r="AD40" s="289"/>
      <c r="AE40" s="284">
        <v>2299.98</v>
      </c>
      <c r="AF40" s="285"/>
      <c r="AG40" s="284">
        <v>1017.17</v>
      </c>
      <c r="AH40" s="285"/>
      <c r="AI40" s="288">
        <v>4003.11</v>
      </c>
      <c r="AJ40" s="289"/>
      <c r="AK40" s="284">
        <v>2753.6</v>
      </c>
      <c r="AL40" s="285"/>
      <c r="AM40" s="284">
        <v>1249.51</v>
      </c>
      <c r="AN40" s="285"/>
      <c r="AO40" s="288">
        <v>3589.4</v>
      </c>
      <c r="AP40" s="289"/>
      <c r="AQ40" s="284">
        <v>2502.44</v>
      </c>
      <c r="AR40" s="285"/>
      <c r="AS40" s="284">
        <v>1086.96</v>
      </c>
      <c r="AT40" s="285"/>
      <c r="AU40" s="288">
        <v>3539.24</v>
      </c>
      <c r="AV40" s="289"/>
      <c r="AW40" s="284">
        <v>2474.27</v>
      </c>
      <c r="AX40" s="285"/>
      <c r="AY40" s="284">
        <v>1064.97</v>
      </c>
      <c r="AZ40" s="285"/>
      <c r="BA40" s="306">
        <f t="shared" si="33"/>
        <v>-50.160000000000309</v>
      </c>
      <c r="BB40" s="307"/>
      <c r="BC40" s="302">
        <f t="shared" si="34"/>
        <v>-1.397448041455405E-2</v>
      </c>
      <c r="BD40" s="303"/>
    </row>
    <row r="41" spans="1:60" x14ac:dyDescent="0.2">
      <c r="A41" s="149" t="s">
        <v>72</v>
      </c>
      <c r="B41" s="166"/>
      <c r="C41" s="166" t="s">
        <v>35</v>
      </c>
      <c r="D41" s="149" t="s">
        <v>174</v>
      </c>
      <c r="E41" s="298">
        <v>18.878745904745902</v>
      </c>
      <c r="F41" s="299"/>
      <c r="G41" s="298">
        <v>20.553214285714283</v>
      </c>
      <c r="H41" s="299"/>
      <c r="I41" s="298">
        <v>18.302</v>
      </c>
      <c r="J41" s="299"/>
      <c r="K41" s="298">
        <f>(K40/K39)/K32</f>
        <v>17.924114583333331</v>
      </c>
      <c r="L41" s="299"/>
      <c r="M41" s="298">
        <f>(M40/M39)/M32</f>
        <v>18.007187500000001</v>
      </c>
      <c r="N41" s="299"/>
      <c r="O41" s="298">
        <f>(O40/O39)/O32</f>
        <v>17.75796875</v>
      </c>
      <c r="P41" s="299"/>
      <c r="Q41" s="298">
        <f>(Q40/Q39)/Q32</f>
        <v>18.826785714285716</v>
      </c>
      <c r="R41" s="299"/>
      <c r="S41" s="298">
        <f>(S40/S39)/S32</f>
        <v>19.408482142857142</v>
      </c>
      <c r="T41" s="299"/>
      <c r="U41" s="298">
        <f>(U40/U39)/U32</f>
        <v>17.663392857142856</v>
      </c>
      <c r="V41" s="299"/>
      <c r="W41" s="298">
        <v>19.466722222222224</v>
      </c>
      <c r="X41" s="299"/>
      <c r="Y41" s="298">
        <v>20.146583333333336</v>
      </c>
      <c r="Z41" s="299"/>
      <c r="AA41" s="298">
        <v>18.100000000000001</v>
      </c>
      <c r="AB41" s="299"/>
      <c r="AC41" s="298">
        <f>(AC40/AC39)/AC32</f>
        <v>19.744940476190475</v>
      </c>
      <c r="AD41" s="299"/>
      <c r="AE41" s="298">
        <f>(AE40/AE39)/AE32</f>
        <v>20.535535714285714</v>
      </c>
      <c r="AF41" s="299"/>
      <c r="AG41" s="298">
        <f>(AG40/AG39)/AG32</f>
        <v>18.16375</v>
      </c>
      <c r="AH41" s="299"/>
      <c r="AI41" s="298">
        <f>(AI40/AI39)/AI32</f>
        <v>20.217727272727274</v>
      </c>
      <c r="AJ41" s="299"/>
      <c r="AK41" s="298">
        <f>(AK40/AK39)/AK32</f>
        <v>20.860606060606059</v>
      </c>
      <c r="AL41" s="299"/>
      <c r="AM41" s="298">
        <f>(AM40/AM39)/AM32</f>
        <v>18.931969696969698</v>
      </c>
      <c r="AN41" s="299"/>
      <c r="AO41" s="298">
        <f>(AO40/AO39)/AO32</f>
        <v>19.941111111111113</v>
      </c>
      <c r="AP41" s="299"/>
      <c r="AQ41" s="298">
        <f>(AQ40/AQ39)/AQ32</f>
        <v>20.853666666666665</v>
      </c>
      <c r="AR41" s="299"/>
      <c r="AS41" s="298">
        <f>(AS40/AS39)/AS32</f>
        <v>18.116</v>
      </c>
      <c r="AT41" s="299"/>
      <c r="AU41" s="298">
        <f>(AU40/AU39)/AU32</f>
        <v>19.662444444444443</v>
      </c>
      <c r="AV41" s="299"/>
      <c r="AW41" s="298">
        <f>(AW40/AW39)/AW32</f>
        <v>20.618916666666667</v>
      </c>
      <c r="AX41" s="299"/>
      <c r="AY41" s="298">
        <f>(AY40/AY39)/AY32</f>
        <v>17.749500000000001</v>
      </c>
      <c r="AZ41" s="299"/>
      <c r="BA41" s="296">
        <f t="shared" si="33"/>
        <v>-0.27866666666666973</v>
      </c>
      <c r="BB41" s="297"/>
      <c r="BC41" s="302">
        <f t="shared" si="34"/>
        <v>-1.3974480414554118E-2</v>
      </c>
      <c r="BD41" s="303"/>
    </row>
    <row r="42" spans="1:60" x14ac:dyDescent="0.2">
      <c r="A42" s="149" t="s">
        <v>73</v>
      </c>
      <c r="B42" s="166"/>
      <c r="C42" s="166" t="s">
        <v>404</v>
      </c>
      <c r="D42" s="149" t="s">
        <v>175</v>
      </c>
      <c r="E42" s="168">
        <v>8</v>
      </c>
      <c r="F42" s="168">
        <v>120</v>
      </c>
      <c r="G42" s="168">
        <v>8</v>
      </c>
      <c r="H42" s="168">
        <v>120</v>
      </c>
      <c r="I42" s="168">
        <v>8</v>
      </c>
      <c r="J42" s="168">
        <v>120</v>
      </c>
      <c r="K42" s="168">
        <v>20</v>
      </c>
      <c r="L42" s="168">
        <v>120</v>
      </c>
      <c r="M42" s="168"/>
      <c r="N42" s="168"/>
      <c r="O42" s="168"/>
      <c r="P42" s="168"/>
      <c r="Q42" s="168">
        <v>18</v>
      </c>
      <c r="R42" s="168">
        <v>120</v>
      </c>
      <c r="S42" s="168">
        <v>18</v>
      </c>
      <c r="T42" s="168">
        <v>120</v>
      </c>
      <c r="U42" s="168">
        <v>18</v>
      </c>
      <c r="V42" s="168">
        <v>120</v>
      </c>
      <c r="W42" s="168">
        <v>20</v>
      </c>
      <c r="X42" s="168">
        <v>120</v>
      </c>
      <c r="Y42" s="168">
        <v>20</v>
      </c>
      <c r="Z42" s="168">
        <v>120</v>
      </c>
      <c r="AA42" s="168">
        <v>20</v>
      </c>
      <c r="AB42" s="168">
        <v>120</v>
      </c>
      <c r="AC42" s="168">
        <v>18</v>
      </c>
      <c r="AD42" s="168">
        <v>120</v>
      </c>
      <c r="AE42" s="168">
        <v>18</v>
      </c>
      <c r="AF42" s="168">
        <v>120</v>
      </c>
      <c r="AG42" s="168">
        <v>18</v>
      </c>
      <c r="AH42" s="168">
        <v>120</v>
      </c>
      <c r="AI42" s="168">
        <v>20</v>
      </c>
      <c r="AJ42" s="168">
        <v>120</v>
      </c>
      <c r="AK42" s="168">
        <v>20</v>
      </c>
      <c r="AL42" s="168">
        <v>120</v>
      </c>
      <c r="AM42" s="168">
        <v>20</v>
      </c>
      <c r="AN42" s="168">
        <v>120</v>
      </c>
      <c r="AO42" s="168">
        <v>18</v>
      </c>
      <c r="AP42" s="168">
        <v>120</v>
      </c>
      <c r="AQ42" s="168">
        <v>18</v>
      </c>
      <c r="AR42" s="168">
        <v>120</v>
      </c>
      <c r="AS42" s="168">
        <v>18</v>
      </c>
      <c r="AT42" s="168">
        <v>120</v>
      </c>
      <c r="AU42" s="168">
        <v>18</v>
      </c>
      <c r="AV42" s="168">
        <v>120</v>
      </c>
      <c r="AW42" s="168">
        <v>18</v>
      </c>
      <c r="AX42" s="168">
        <v>120</v>
      </c>
      <c r="AY42" s="168">
        <v>18</v>
      </c>
      <c r="AZ42" s="168">
        <v>120</v>
      </c>
      <c r="BA42" s="167">
        <f t="shared" si="33"/>
        <v>0</v>
      </c>
      <c r="BB42" s="167">
        <f>AV42-AP42</f>
        <v>0</v>
      </c>
      <c r="BC42" s="169">
        <f t="shared" si="34"/>
        <v>0</v>
      </c>
      <c r="BD42" s="169">
        <f>BB42/AP42</f>
        <v>0</v>
      </c>
    </row>
    <row r="43" spans="1:60" x14ac:dyDescent="0.2">
      <c r="A43" s="149" t="s">
        <v>74</v>
      </c>
      <c r="B43" s="166"/>
      <c r="C43" s="166" t="s">
        <v>405</v>
      </c>
      <c r="D43" s="149" t="s">
        <v>175</v>
      </c>
      <c r="E43" s="168">
        <v>40</v>
      </c>
      <c r="F43" s="168">
        <v>91</v>
      </c>
      <c r="G43" s="168">
        <v>40</v>
      </c>
      <c r="H43" s="168">
        <v>91</v>
      </c>
      <c r="I43" s="168">
        <v>40</v>
      </c>
      <c r="J43" s="168">
        <v>91</v>
      </c>
      <c r="K43" s="168">
        <v>42</v>
      </c>
      <c r="L43" s="168">
        <v>92</v>
      </c>
      <c r="M43" s="168"/>
      <c r="N43" s="168"/>
      <c r="O43" s="168"/>
      <c r="P43" s="168"/>
      <c r="Q43" s="168">
        <v>40</v>
      </c>
      <c r="R43" s="168">
        <v>94</v>
      </c>
      <c r="S43" s="168">
        <v>40</v>
      </c>
      <c r="T43" s="168">
        <v>94</v>
      </c>
      <c r="U43" s="168">
        <v>40</v>
      </c>
      <c r="V43" s="168">
        <v>94</v>
      </c>
      <c r="W43" s="168">
        <v>38</v>
      </c>
      <c r="X43" s="168">
        <v>94</v>
      </c>
      <c r="Y43" s="168">
        <v>38</v>
      </c>
      <c r="Z43" s="168">
        <v>94</v>
      </c>
      <c r="AA43" s="168">
        <v>38</v>
      </c>
      <c r="AB43" s="168">
        <v>94</v>
      </c>
      <c r="AC43" s="168">
        <v>36</v>
      </c>
      <c r="AD43" s="168">
        <v>90</v>
      </c>
      <c r="AE43" s="168">
        <v>36</v>
      </c>
      <c r="AF43" s="168">
        <v>90</v>
      </c>
      <c r="AG43" s="168">
        <v>36</v>
      </c>
      <c r="AH43" s="168">
        <v>90</v>
      </c>
      <c r="AI43" s="168">
        <v>38</v>
      </c>
      <c r="AJ43" s="168">
        <v>90</v>
      </c>
      <c r="AK43" s="168">
        <v>38</v>
      </c>
      <c r="AL43" s="168">
        <v>90</v>
      </c>
      <c r="AM43" s="168">
        <v>38</v>
      </c>
      <c r="AN43" s="168">
        <v>90</v>
      </c>
      <c r="AO43" s="168">
        <v>36</v>
      </c>
      <c r="AP43" s="168">
        <v>90</v>
      </c>
      <c r="AQ43" s="168">
        <v>36</v>
      </c>
      <c r="AR43" s="168">
        <v>90</v>
      </c>
      <c r="AS43" s="168">
        <v>36</v>
      </c>
      <c r="AT43" s="168">
        <v>90</v>
      </c>
      <c r="AU43" s="168">
        <v>31</v>
      </c>
      <c r="AV43" s="168">
        <v>83</v>
      </c>
      <c r="AW43" s="168">
        <v>31</v>
      </c>
      <c r="AX43" s="168">
        <v>83</v>
      </c>
      <c r="AY43" s="168">
        <v>31</v>
      </c>
      <c r="AZ43" s="168">
        <v>83</v>
      </c>
      <c r="BA43" s="167">
        <f t="shared" si="33"/>
        <v>-5</v>
      </c>
      <c r="BB43" s="167">
        <f>AV43-AP43</f>
        <v>-7</v>
      </c>
      <c r="BC43" s="169">
        <f t="shared" si="34"/>
        <v>-0.1388888888888889</v>
      </c>
      <c r="BD43" s="169">
        <f>BB43/AP43</f>
        <v>-7.7777777777777779E-2</v>
      </c>
    </row>
    <row r="44" spans="1:60" x14ac:dyDescent="0.2">
      <c r="A44" s="149" t="s">
        <v>77</v>
      </c>
      <c r="B44" s="166"/>
      <c r="C44" s="166" t="s">
        <v>387</v>
      </c>
      <c r="D44" s="149" t="s">
        <v>176</v>
      </c>
      <c r="E44" s="284">
        <v>215318</v>
      </c>
      <c r="F44" s="285"/>
      <c r="G44" s="284">
        <v>137519</v>
      </c>
      <c r="H44" s="285"/>
      <c r="I44" s="284">
        <v>77799</v>
      </c>
      <c r="J44" s="285"/>
      <c r="K44" s="284">
        <v>197873.12880368083</v>
      </c>
      <c r="L44" s="285"/>
      <c r="M44" s="284">
        <v>127514.53291247685</v>
      </c>
      <c r="N44" s="285"/>
      <c r="O44" s="284">
        <v>70358.595891203979</v>
      </c>
      <c r="P44" s="285"/>
      <c r="Q44" s="284">
        <v>172685.02</v>
      </c>
      <c r="R44" s="285"/>
      <c r="S44" s="284">
        <f>+'W.B.Input data main'!$C$9+'W.B.Input data main'!$C$10</f>
        <v>131849.01028493716</v>
      </c>
      <c r="T44" s="285"/>
      <c r="U44" s="284">
        <f>+'W.B.Input data ind.'!$C$9+'W.B.Input data ind.'!$C$10</f>
        <v>71491.182554514235</v>
      </c>
      <c r="V44" s="285"/>
      <c r="W44" s="284">
        <v>203952.84742117842</v>
      </c>
      <c r="X44" s="285"/>
      <c r="Y44" s="284">
        <v>128951.71592214957</v>
      </c>
      <c r="Z44" s="285"/>
      <c r="AA44" s="284">
        <v>75001.131499028852</v>
      </c>
      <c r="AB44" s="285"/>
      <c r="AC44" s="284">
        <v>194522.393135085</v>
      </c>
      <c r="AD44" s="285"/>
      <c r="AE44" s="284">
        <v>123320.39313508527</v>
      </c>
      <c r="AF44" s="285"/>
      <c r="AG44" s="284">
        <v>72802</v>
      </c>
      <c r="AH44" s="285"/>
      <c r="AI44" s="284">
        <v>234939.23</v>
      </c>
      <c r="AJ44" s="285"/>
      <c r="AK44" s="284">
        <v>143721.20000000001</v>
      </c>
      <c r="AL44" s="285"/>
      <c r="AM44" s="284">
        <v>91218.03</v>
      </c>
      <c r="AN44" s="285"/>
      <c r="AO44" s="284">
        <v>210644.69</v>
      </c>
      <c r="AP44" s="285"/>
      <c r="AQ44" s="284">
        <v>134468.87</v>
      </c>
      <c r="AR44" s="285"/>
      <c r="AS44" s="284">
        <v>76441</v>
      </c>
      <c r="AT44" s="285"/>
      <c r="AU44" s="284">
        <v>203340</v>
      </c>
      <c r="AV44" s="285"/>
      <c r="AW44" s="284">
        <v>134791.01</v>
      </c>
      <c r="AX44" s="285"/>
      <c r="AY44" s="284">
        <v>73246.179999999993</v>
      </c>
      <c r="AZ44" s="285"/>
      <c r="BA44" s="306">
        <f t="shared" si="33"/>
        <v>-7304.6900000000023</v>
      </c>
      <c r="BB44" s="307"/>
      <c r="BC44" s="302">
        <f t="shared" si="34"/>
        <v>-3.4677778965137941E-2</v>
      </c>
      <c r="BD44" s="303"/>
    </row>
    <row r="45" spans="1:60" x14ac:dyDescent="0.2">
      <c r="A45" s="149" t="s">
        <v>190</v>
      </c>
      <c r="B45" s="166" t="s">
        <v>210</v>
      </c>
      <c r="C45" s="166" t="s">
        <v>187</v>
      </c>
      <c r="D45" s="149" t="s">
        <v>494</v>
      </c>
      <c r="E45" s="168">
        <v>51</v>
      </c>
      <c r="F45" s="174">
        <v>9</v>
      </c>
      <c r="G45" s="168"/>
      <c r="H45" s="174">
        <v>9</v>
      </c>
      <c r="I45" s="168">
        <v>51</v>
      </c>
      <c r="J45" s="174">
        <v>9</v>
      </c>
      <c r="K45" s="168">
        <v>0</v>
      </c>
      <c r="L45" s="174">
        <v>12</v>
      </c>
      <c r="M45" s="168"/>
      <c r="N45" s="174">
        <v>12</v>
      </c>
      <c r="O45" s="168"/>
      <c r="P45" s="174">
        <v>12</v>
      </c>
      <c r="Q45" s="168">
        <v>0</v>
      </c>
      <c r="R45" s="174">
        <v>12</v>
      </c>
      <c r="S45" s="168"/>
      <c r="T45" s="174">
        <v>12</v>
      </c>
      <c r="U45" s="168"/>
      <c r="V45" s="174">
        <v>12</v>
      </c>
      <c r="W45" s="168">
        <v>0</v>
      </c>
      <c r="X45" s="174">
        <v>12</v>
      </c>
      <c r="Y45" s="168"/>
      <c r="Z45" s="174">
        <v>12</v>
      </c>
      <c r="AA45" s="168"/>
      <c r="AB45" s="174">
        <v>12</v>
      </c>
      <c r="AC45" s="168">
        <v>0</v>
      </c>
      <c r="AD45" s="174">
        <v>12</v>
      </c>
      <c r="AE45" s="168"/>
      <c r="AF45" s="174">
        <v>12</v>
      </c>
      <c r="AG45" s="168"/>
      <c r="AH45" s="174">
        <v>12</v>
      </c>
      <c r="AI45" s="168">
        <v>0</v>
      </c>
      <c r="AJ45" s="174">
        <v>12</v>
      </c>
      <c r="AK45" s="168"/>
      <c r="AL45" s="174">
        <v>12</v>
      </c>
      <c r="AM45" s="168"/>
      <c r="AN45" s="174">
        <v>12</v>
      </c>
      <c r="AO45" s="168">
        <v>0</v>
      </c>
      <c r="AP45" s="174">
        <v>12</v>
      </c>
      <c r="AQ45" s="168"/>
      <c r="AR45" s="174">
        <v>12</v>
      </c>
      <c r="AS45" s="168"/>
      <c r="AT45" s="174">
        <v>12</v>
      </c>
      <c r="AU45" s="168">
        <v>0</v>
      </c>
      <c r="AV45" s="174">
        <v>12</v>
      </c>
      <c r="AW45" s="168"/>
      <c r="AX45" s="174">
        <v>12</v>
      </c>
      <c r="AY45" s="168"/>
      <c r="AZ45" s="174">
        <v>12</v>
      </c>
      <c r="BA45" s="167">
        <f t="shared" si="33"/>
        <v>0</v>
      </c>
      <c r="BB45" s="167">
        <f>AV45-AP45</f>
        <v>0</v>
      </c>
      <c r="BC45" s="169" t="e">
        <f t="shared" si="34"/>
        <v>#DIV/0!</v>
      </c>
      <c r="BD45" s="169">
        <f>BB45/AP45</f>
        <v>0</v>
      </c>
    </row>
    <row r="46" spans="1:60" ht="15.75" x14ac:dyDescent="0.25">
      <c r="A46" s="149" t="s">
        <v>429</v>
      </c>
      <c r="B46" s="166" t="s">
        <v>211</v>
      </c>
      <c r="C46" s="165" t="s">
        <v>189</v>
      </c>
      <c r="D46" s="149" t="s">
        <v>176</v>
      </c>
      <c r="E46" s="288">
        <v>215369</v>
      </c>
      <c r="F46" s="289"/>
      <c r="G46" s="288">
        <v>137519</v>
      </c>
      <c r="H46" s="289"/>
      <c r="I46" s="288">
        <v>77850</v>
      </c>
      <c r="J46" s="289"/>
      <c r="K46" s="288">
        <f>K44+K45</f>
        <v>197873.12880368083</v>
      </c>
      <c r="L46" s="289"/>
      <c r="M46" s="288">
        <f>M44+M45</f>
        <v>127514.53291247685</v>
      </c>
      <c r="N46" s="289"/>
      <c r="O46" s="288">
        <f>O44+O45</f>
        <v>70358.595891203979</v>
      </c>
      <c r="P46" s="289"/>
      <c r="Q46" s="288">
        <f>Q44+Q45</f>
        <v>172685.02</v>
      </c>
      <c r="R46" s="289"/>
      <c r="S46" s="288">
        <f>S44+S45</f>
        <v>131849.01028493716</v>
      </c>
      <c r="T46" s="289"/>
      <c r="U46" s="288">
        <f>U44+U45</f>
        <v>71491.182554514235</v>
      </c>
      <c r="V46" s="289"/>
      <c r="W46" s="288">
        <v>203952.84742117842</v>
      </c>
      <c r="X46" s="289"/>
      <c r="Y46" s="288">
        <v>128951.71592214957</v>
      </c>
      <c r="Z46" s="289"/>
      <c r="AA46" s="288">
        <v>75001.131499028852</v>
      </c>
      <c r="AB46" s="289"/>
      <c r="AC46" s="288">
        <f>AC44+AC45</f>
        <v>194522.393135085</v>
      </c>
      <c r="AD46" s="289"/>
      <c r="AE46" s="288">
        <f>AE44+AE45</f>
        <v>123320.39313508527</v>
      </c>
      <c r="AF46" s="289"/>
      <c r="AG46" s="288">
        <f>AG44+AG45</f>
        <v>72802</v>
      </c>
      <c r="AH46" s="289"/>
      <c r="AI46" s="288">
        <f>AI44+AI45</f>
        <v>234939.23</v>
      </c>
      <c r="AJ46" s="289"/>
      <c r="AK46" s="288">
        <f>AK44+AK45</f>
        <v>143721.20000000001</v>
      </c>
      <c r="AL46" s="289"/>
      <c r="AM46" s="288">
        <f>AM44+AM45</f>
        <v>91218.03</v>
      </c>
      <c r="AN46" s="289"/>
      <c r="AO46" s="288">
        <f>AO44+AO45</f>
        <v>210644.69</v>
      </c>
      <c r="AP46" s="289"/>
      <c r="AQ46" s="288">
        <f>AQ44+AQ45</f>
        <v>134468.87</v>
      </c>
      <c r="AR46" s="289"/>
      <c r="AS46" s="288">
        <f>AS44+AS45</f>
        <v>76441</v>
      </c>
      <c r="AT46" s="289"/>
      <c r="AU46" s="288">
        <f>AU44+AU45</f>
        <v>203340</v>
      </c>
      <c r="AV46" s="289"/>
      <c r="AW46" s="288">
        <f>AW44+AW45</f>
        <v>134791.01</v>
      </c>
      <c r="AX46" s="289"/>
      <c r="AY46" s="288">
        <f>AY44+AY45</f>
        <v>73246.179999999993</v>
      </c>
      <c r="AZ46" s="289"/>
      <c r="BA46" s="306">
        <f t="shared" si="33"/>
        <v>-7304.6900000000023</v>
      </c>
      <c r="BB46" s="307"/>
      <c r="BC46" s="302">
        <f t="shared" si="34"/>
        <v>-3.4677778965137941E-2</v>
      </c>
      <c r="BD46" s="303"/>
    </row>
    <row r="47" spans="1:60" x14ac:dyDescent="0.2">
      <c r="A47" s="149" t="s">
        <v>430</v>
      </c>
      <c r="B47" s="166"/>
      <c r="C47" s="166" t="s">
        <v>401</v>
      </c>
      <c r="D47" s="149" t="s">
        <v>176</v>
      </c>
      <c r="E47" s="288">
        <v>4553.3999999999996</v>
      </c>
      <c r="F47" s="289"/>
      <c r="G47" s="288">
        <v>3929.1142857142859</v>
      </c>
      <c r="H47" s="289"/>
      <c r="I47" s="288">
        <v>2224.2857142857142</v>
      </c>
      <c r="J47" s="289"/>
      <c r="K47" s="288">
        <f>K46/K39</f>
        <v>6183.5352751150258</v>
      </c>
      <c r="L47" s="289"/>
      <c r="M47" s="288">
        <f>M46/M39</f>
        <v>3984.8291535149015</v>
      </c>
      <c r="N47" s="289"/>
      <c r="O47" s="288">
        <f>O46/O39</f>
        <v>2198.7061216001243</v>
      </c>
      <c r="P47" s="289"/>
      <c r="Q47" s="288">
        <f>Q46/Q39</f>
        <v>6167.3221428571424</v>
      </c>
      <c r="R47" s="289"/>
      <c r="S47" s="288">
        <f>S46/S39</f>
        <v>4708.8932244620419</v>
      </c>
      <c r="T47" s="289"/>
      <c r="U47" s="288">
        <f>U46/U39</f>
        <v>2553.2565198040797</v>
      </c>
      <c r="V47" s="289"/>
      <c r="W47" s="288">
        <v>6798.4282473724497</v>
      </c>
      <c r="X47" s="289"/>
      <c r="Y47" s="288">
        <v>4298.3905307383193</v>
      </c>
      <c r="Z47" s="289"/>
      <c r="AA47" s="288">
        <v>2500.0377166342951</v>
      </c>
      <c r="AB47" s="289"/>
      <c r="AC47" s="288">
        <f>AC46/AC39</f>
        <v>6947.2283262530354</v>
      </c>
      <c r="AD47" s="289"/>
      <c r="AE47" s="288">
        <f>AE46/AE39</f>
        <v>4404.2997548244739</v>
      </c>
      <c r="AF47" s="289"/>
      <c r="AG47" s="288">
        <f>AG46/AG39</f>
        <v>2600.0714285714284</v>
      </c>
      <c r="AH47" s="289"/>
      <c r="AI47" s="288">
        <f>AI46/AI39</f>
        <v>7119.3706060606064</v>
      </c>
      <c r="AJ47" s="289"/>
      <c r="AK47" s="288">
        <f>AK46/AK39</f>
        <v>4355.1878787878795</v>
      </c>
      <c r="AL47" s="289"/>
      <c r="AM47" s="288">
        <f>AM46/AM39</f>
        <v>2764.1827272727273</v>
      </c>
      <c r="AN47" s="289"/>
      <c r="AO47" s="288">
        <f>AO46/AO39</f>
        <v>7021.4896666666664</v>
      </c>
      <c r="AP47" s="289"/>
      <c r="AQ47" s="288">
        <f>AQ46/AQ39</f>
        <v>4482.2956666666669</v>
      </c>
      <c r="AR47" s="289"/>
      <c r="AS47" s="288">
        <f>AS46/AS39</f>
        <v>2548.0333333333333</v>
      </c>
      <c r="AT47" s="289"/>
      <c r="AU47" s="288">
        <f>AU46/AU39</f>
        <v>6778</v>
      </c>
      <c r="AV47" s="289"/>
      <c r="AW47" s="288">
        <f>AW46/AW39</f>
        <v>4493.0336666666672</v>
      </c>
      <c r="AX47" s="289"/>
      <c r="AY47" s="288">
        <f>AY46/AY39</f>
        <v>2441.5393333333332</v>
      </c>
      <c r="AZ47" s="289"/>
      <c r="BA47" s="306">
        <f t="shared" si="33"/>
        <v>-243.48966666666638</v>
      </c>
      <c r="BB47" s="307"/>
      <c r="BC47" s="302">
        <f t="shared" si="34"/>
        <v>-3.4677778965137893E-2</v>
      </c>
      <c r="BD47" s="303"/>
      <c r="BF47" s="159"/>
    </row>
    <row r="48" spans="1:60" x14ac:dyDescent="0.2">
      <c r="A48" s="149" t="s">
        <v>431</v>
      </c>
      <c r="B48" s="166"/>
      <c r="C48" s="166" t="s">
        <v>40</v>
      </c>
      <c r="D48" s="149" t="s">
        <v>177</v>
      </c>
      <c r="E48" s="168">
        <v>6</v>
      </c>
      <c r="F48" s="168">
        <v>0</v>
      </c>
      <c r="G48" s="168">
        <v>4</v>
      </c>
      <c r="H48" s="168">
        <v>0</v>
      </c>
      <c r="I48" s="168">
        <v>2</v>
      </c>
      <c r="J48" s="168">
        <v>0</v>
      </c>
      <c r="K48" s="168">
        <v>6</v>
      </c>
      <c r="L48" s="168">
        <v>0</v>
      </c>
      <c r="M48" s="168">
        <v>4</v>
      </c>
      <c r="N48" s="168">
        <v>0</v>
      </c>
      <c r="O48" s="168">
        <v>2</v>
      </c>
      <c r="P48" s="168">
        <v>0</v>
      </c>
      <c r="Q48" s="168">
        <v>6</v>
      </c>
      <c r="R48" s="168">
        <v>0</v>
      </c>
      <c r="S48" s="168">
        <v>4</v>
      </c>
      <c r="T48" s="168">
        <v>0</v>
      </c>
      <c r="U48" s="168">
        <v>2</v>
      </c>
      <c r="V48" s="168">
        <v>0</v>
      </c>
      <c r="W48" s="168">
        <v>6</v>
      </c>
      <c r="X48" s="168">
        <v>0</v>
      </c>
      <c r="Y48" s="168">
        <v>4</v>
      </c>
      <c r="Z48" s="168">
        <v>0</v>
      </c>
      <c r="AA48" s="168">
        <v>2</v>
      </c>
      <c r="AB48" s="168">
        <v>0</v>
      </c>
      <c r="AC48" s="168">
        <v>6</v>
      </c>
      <c r="AD48" s="168">
        <v>0</v>
      </c>
      <c r="AE48" s="168">
        <v>4</v>
      </c>
      <c r="AF48" s="168">
        <v>0</v>
      </c>
      <c r="AG48" s="168">
        <v>2</v>
      </c>
      <c r="AH48" s="168">
        <v>0</v>
      </c>
      <c r="AI48" s="168">
        <v>6</v>
      </c>
      <c r="AJ48" s="168">
        <v>0</v>
      </c>
      <c r="AK48" s="168">
        <v>4</v>
      </c>
      <c r="AL48" s="168">
        <v>0</v>
      </c>
      <c r="AM48" s="168">
        <v>2</v>
      </c>
      <c r="AN48" s="168">
        <v>0</v>
      </c>
      <c r="AO48" s="168">
        <v>6</v>
      </c>
      <c r="AP48" s="168">
        <v>0</v>
      </c>
      <c r="AQ48" s="168">
        <v>4</v>
      </c>
      <c r="AR48" s="168">
        <v>0</v>
      </c>
      <c r="AS48" s="168">
        <v>2</v>
      </c>
      <c r="AT48" s="168">
        <v>0</v>
      </c>
      <c r="AU48" s="168">
        <v>6</v>
      </c>
      <c r="AV48" s="168">
        <v>0</v>
      </c>
      <c r="AW48" s="168">
        <v>4</v>
      </c>
      <c r="AX48" s="168">
        <v>0</v>
      </c>
      <c r="AY48" s="168">
        <v>2</v>
      </c>
      <c r="AZ48" s="168">
        <v>0</v>
      </c>
      <c r="BA48" s="167">
        <f t="shared" si="33"/>
        <v>0</v>
      </c>
      <c r="BB48" s="167">
        <f>AV48-AP48</f>
        <v>0</v>
      </c>
      <c r="BC48" s="169">
        <f t="shared" si="34"/>
        <v>0</v>
      </c>
      <c r="BD48" s="169" t="e">
        <f>BB48/AP48</f>
        <v>#DIV/0!</v>
      </c>
      <c r="BF48" s="159"/>
    </row>
    <row r="49" spans="1:61" x14ac:dyDescent="0.2">
      <c r="A49" s="149" t="s">
        <v>432</v>
      </c>
      <c r="B49" s="166"/>
      <c r="C49" s="166" t="s">
        <v>41</v>
      </c>
      <c r="D49" s="149" t="s">
        <v>177</v>
      </c>
      <c r="E49" s="168">
        <v>6</v>
      </c>
      <c r="F49" s="168">
        <v>0</v>
      </c>
      <c r="G49" s="168">
        <v>4</v>
      </c>
      <c r="H49" s="168">
        <v>0</v>
      </c>
      <c r="I49" s="168">
        <v>2</v>
      </c>
      <c r="J49" s="168">
        <v>0</v>
      </c>
      <c r="K49" s="168">
        <v>6</v>
      </c>
      <c r="L49" s="168">
        <v>0</v>
      </c>
      <c r="M49" s="168">
        <v>4</v>
      </c>
      <c r="N49" s="168">
        <v>0</v>
      </c>
      <c r="O49" s="168">
        <v>2</v>
      </c>
      <c r="P49" s="168">
        <v>0</v>
      </c>
      <c r="Q49" s="168">
        <v>6</v>
      </c>
      <c r="R49" s="168">
        <v>0</v>
      </c>
      <c r="S49" s="168">
        <v>4</v>
      </c>
      <c r="T49" s="168">
        <v>0</v>
      </c>
      <c r="U49" s="168">
        <v>2</v>
      </c>
      <c r="V49" s="168">
        <v>0</v>
      </c>
      <c r="W49" s="168">
        <v>6</v>
      </c>
      <c r="X49" s="168">
        <v>0</v>
      </c>
      <c r="Y49" s="168">
        <v>4</v>
      </c>
      <c r="Z49" s="168">
        <v>0</v>
      </c>
      <c r="AA49" s="168">
        <v>2</v>
      </c>
      <c r="AB49" s="168">
        <v>0</v>
      </c>
      <c r="AC49" s="168">
        <v>6</v>
      </c>
      <c r="AD49" s="168">
        <v>0</v>
      </c>
      <c r="AE49" s="168">
        <v>4</v>
      </c>
      <c r="AF49" s="168">
        <v>0</v>
      </c>
      <c r="AG49" s="168">
        <v>2</v>
      </c>
      <c r="AH49" s="168">
        <v>0</v>
      </c>
      <c r="AI49" s="168">
        <v>6</v>
      </c>
      <c r="AJ49" s="168">
        <v>0</v>
      </c>
      <c r="AK49" s="168">
        <v>4</v>
      </c>
      <c r="AL49" s="168">
        <v>0</v>
      </c>
      <c r="AM49" s="168">
        <v>2</v>
      </c>
      <c r="AN49" s="168">
        <v>0</v>
      </c>
      <c r="AO49" s="168">
        <v>6</v>
      </c>
      <c r="AP49" s="168">
        <v>0</v>
      </c>
      <c r="AQ49" s="168">
        <v>4</v>
      </c>
      <c r="AR49" s="168">
        <v>0</v>
      </c>
      <c r="AS49" s="168">
        <v>2</v>
      </c>
      <c r="AT49" s="168">
        <v>0</v>
      </c>
      <c r="AU49" s="168">
        <v>6</v>
      </c>
      <c r="AV49" s="168">
        <v>0</v>
      </c>
      <c r="AW49" s="168">
        <v>4</v>
      </c>
      <c r="AX49" s="168">
        <v>0</v>
      </c>
      <c r="AY49" s="168">
        <v>2</v>
      </c>
      <c r="AZ49" s="168">
        <v>0</v>
      </c>
      <c r="BA49" s="167">
        <f t="shared" si="33"/>
        <v>0</v>
      </c>
      <c r="BB49" s="167">
        <f>AV49-AP49</f>
        <v>0</v>
      </c>
      <c r="BC49" s="169">
        <f t="shared" si="34"/>
        <v>0</v>
      </c>
      <c r="BD49" s="169" t="e">
        <f>BB49/AP49</f>
        <v>#DIV/0!</v>
      </c>
    </row>
    <row r="50" spans="1:61" x14ac:dyDescent="0.2">
      <c r="A50" s="149" t="s">
        <v>433</v>
      </c>
      <c r="B50" s="166"/>
      <c r="C50" s="166" t="s">
        <v>42</v>
      </c>
      <c r="D50" s="149" t="s">
        <v>178</v>
      </c>
      <c r="E50" s="284">
        <v>0</v>
      </c>
      <c r="F50" s="285"/>
      <c r="G50" s="284">
        <v>0</v>
      </c>
      <c r="H50" s="285"/>
      <c r="I50" s="284">
        <v>0</v>
      </c>
      <c r="J50" s="285"/>
      <c r="K50" s="284">
        <v>0</v>
      </c>
      <c r="L50" s="285"/>
      <c r="M50" s="284">
        <v>0</v>
      </c>
      <c r="N50" s="285"/>
      <c r="O50" s="284">
        <v>0</v>
      </c>
      <c r="P50" s="285"/>
      <c r="Q50" s="284">
        <v>0</v>
      </c>
      <c r="R50" s="285"/>
      <c r="S50" s="284">
        <v>0</v>
      </c>
      <c r="T50" s="285"/>
      <c r="U50" s="284">
        <v>0</v>
      </c>
      <c r="V50" s="285"/>
      <c r="W50" s="284">
        <v>0</v>
      </c>
      <c r="X50" s="285"/>
      <c r="Y50" s="284">
        <v>0</v>
      </c>
      <c r="Z50" s="285"/>
      <c r="AA50" s="284">
        <v>0</v>
      </c>
      <c r="AB50" s="285"/>
      <c r="AC50" s="284">
        <v>0</v>
      </c>
      <c r="AD50" s="285"/>
      <c r="AE50" s="284">
        <v>0</v>
      </c>
      <c r="AF50" s="285"/>
      <c r="AG50" s="284">
        <v>0</v>
      </c>
      <c r="AH50" s="285"/>
      <c r="AI50" s="284">
        <v>0</v>
      </c>
      <c r="AJ50" s="285"/>
      <c r="AK50" s="284">
        <v>0</v>
      </c>
      <c r="AL50" s="285"/>
      <c r="AM50" s="284">
        <v>0</v>
      </c>
      <c r="AN50" s="285"/>
      <c r="AO50" s="284">
        <v>0</v>
      </c>
      <c r="AP50" s="285"/>
      <c r="AQ50" s="284">
        <v>0</v>
      </c>
      <c r="AR50" s="285"/>
      <c r="AS50" s="284">
        <v>0</v>
      </c>
      <c r="AT50" s="285"/>
      <c r="AU50" s="284">
        <v>0</v>
      </c>
      <c r="AV50" s="285"/>
      <c r="AW50" s="284">
        <v>0</v>
      </c>
      <c r="AX50" s="285"/>
      <c r="AY50" s="284">
        <v>0</v>
      </c>
      <c r="AZ50" s="285"/>
      <c r="BA50" s="306">
        <f t="shared" si="33"/>
        <v>0</v>
      </c>
      <c r="BB50" s="307"/>
      <c r="BC50" s="302" t="e">
        <f t="shared" si="34"/>
        <v>#DIV/0!</v>
      </c>
      <c r="BD50" s="303"/>
      <c r="BI50" s="175"/>
    </row>
    <row r="51" spans="1:61" x14ac:dyDescent="0.2">
      <c r="A51" s="149" t="s">
        <v>439</v>
      </c>
      <c r="B51" s="166"/>
      <c r="C51" s="166" t="s">
        <v>54</v>
      </c>
      <c r="D51" s="149" t="s">
        <v>179</v>
      </c>
      <c r="E51" s="282">
        <v>0</v>
      </c>
      <c r="F51" s="283"/>
      <c r="G51" s="282">
        <v>0</v>
      </c>
      <c r="H51" s="283"/>
      <c r="I51" s="282">
        <v>0</v>
      </c>
      <c r="J51" s="283"/>
      <c r="K51" s="282">
        <v>0</v>
      </c>
      <c r="L51" s="283"/>
      <c r="M51" s="282">
        <v>0</v>
      </c>
      <c r="N51" s="283"/>
      <c r="O51" s="282">
        <v>0</v>
      </c>
      <c r="P51" s="283"/>
      <c r="Q51" s="282">
        <v>0</v>
      </c>
      <c r="R51" s="283"/>
      <c r="S51" s="282">
        <v>0</v>
      </c>
      <c r="T51" s="283"/>
      <c r="U51" s="282">
        <v>0</v>
      </c>
      <c r="V51" s="283"/>
      <c r="W51" s="282">
        <v>0</v>
      </c>
      <c r="X51" s="283"/>
      <c r="Y51" s="282">
        <v>0</v>
      </c>
      <c r="Z51" s="283"/>
      <c r="AA51" s="282">
        <v>0</v>
      </c>
      <c r="AB51" s="283"/>
      <c r="AC51" s="282">
        <v>0</v>
      </c>
      <c r="AD51" s="283"/>
      <c r="AE51" s="282">
        <v>0</v>
      </c>
      <c r="AF51" s="283"/>
      <c r="AG51" s="282">
        <v>0</v>
      </c>
      <c r="AH51" s="283"/>
      <c r="AI51" s="282">
        <v>0</v>
      </c>
      <c r="AJ51" s="283"/>
      <c r="AK51" s="282">
        <v>0</v>
      </c>
      <c r="AL51" s="283"/>
      <c r="AM51" s="282">
        <v>0</v>
      </c>
      <c r="AN51" s="283"/>
      <c r="AO51" s="282">
        <v>0</v>
      </c>
      <c r="AP51" s="283"/>
      <c r="AQ51" s="282">
        <v>0</v>
      </c>
      <c r="AR51" s="283"/>
      <c r="AS51" s="282">
        <v>0</v>
      </c>
      <c r="AT51" s="283"/>
      <c r="AU51" s="282">
        <v>0</v>
      </c>
      <c r="AV51" s="283"/>
      <c r="AW51" s="282">
        <v>0</v>
      </c>
      <c r="AX51" s="283"/>
      <c r="AY51" s="282">
        <v>0</v>
      </c>
      <c r="AZ51" s="283"/>
      <c r="BA51" s="306">
        <f t="shared" si="33"/>
        <v>0</v>
      </c>
      <c r="BB51" s="307"/>
      <c r="BC51" s="302" t="e">
        <f t="shared" si="34"/>
        <v>#DIV/0!</v>
      </c>
      <c r="BD51" s="303"/>
      <c r="BI51" s="175"/>
    </row>
    <row r="52" spans="1:61" ht="15.75" x14ac:dyDescent="0.25">
      <c r="A52" s="195" t="s">
        <v>78</v>
      </c>
      <c r="B52" s="196" t="s">
        <v>92</v>
      </c>
      <c r="C52" s="197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9"/>
      <c r="BB52" s="199"/>
      <c r="BC52" s="199"/>
      <c r="BD52" s="199"/>
    </row>
    <row r="53" spans="1:61" x14ac:dyDescent="0.2">
      <c r="A53" s="149" t="s">
        <v>80</v>
      </c>
      <c r="B53" s="166"/>
      <c r="C53" s="166" t="s">
        <v>94</v>
      </c>
      <c r="D53" s="149" t="s">
        <v>176</v>
      </c>
      <c r="E53" s="288">
        <v>194558</v>
      </c>
      <c r="F53" s="289"/>
      <c r="G53" s="288">
        <v>122968</v>
      </c>
      <c r="H53" s="289"/>
      <c r="I53" s="288">
        <v>73190</v>
      </c>
      <c r="J53" s="289"/>
      <c r="K53" s="288">
        <v>177859</v>
      </c>
      <c r="L53" s="289"/>
      <c r="M53" s="288">
        <v>112101</v>
      </c>
      <c r="N53" s="289"/>
      <c r="O53" s="288">
        <v>65758</v>
      </c>
      <c r="P53" s="289"/>
      <c r="Q53" s="288">
        <v>153759</v>
      </c>
      <c r="R53" s="289"/>
      <c r="S53" s="288">
        <v>97392</v>
      </c>
      <c r="T53" s="289"/>
      <c r="U53" s="288">
        <v>56367</v>
      </c>
      <c r="V53" s="289"/>
      <c r="W53" s="288">
        <v>184455</v>
      </c>
      <c r="X53" s="289"/>
      <c r="Y53" s="288">
        <v>116980</v>
      </c>
      <c r="Z53" s="289"/>
      <c r="AA53" s="288">
        <v>69075</v>
      </c>
      <c r="AB53" s="289"/>
      <c r="AC53" s="288">
        <v>171546</v>
      </c>
      <c r="AD53" s="289"/>
      <c r="AE53" s="288">
        <v>106634</v>
      </c>
      <c r="AF53" s="289"/>
      <c r="AG53" s="288">
        <v>64912</v>
      </c>
      <c r="AH53" s="289"/>
      <c r="AI53" s="288">
        <v>212921</v>
      </c>
      <c r="AJ53" s="289"/>
      <c r="AK53" s="288">
        <v>132337</v>
      </c>
      <c r="AL53" s="289"/>
      <c r="AM53" s="288">
        <v>80584</v>
      </c>
      <c r="AN53" s="289"/>
      <c r="AO53" s="288">
        <v>186956</v>
      </c>
      <c r="AP53" s="289"/>
      <c r="AQ53" s="288">
        <v>116392</v>
      </c>
      <c r="AR53" s="289"/>
      <c r="AS53" s="288">
        <v>70564</v>
      </c>
      <c r="AT53" s="289"/>
      <c r="AU53" s="288">
        <f>'Water Balance'!$E$6</f>
        <v>178468</v>
      </c>
      <c r="AV53" s="289"/>
      <c r="AW53" s="288">
        <f>W.B.Main!$E$6</f>
        <v>110090</v>
      </c>
      <c r="AX53" s="289"/>
      <c r="AY53" s="288">
        <f>W.B.Ind.!$E$6</f>
        <v>68378</v>
      </c>
      <c r="AZ53" s="289"/>
      <c r="BA53" s="306">
        <f t="shared" ref="BA53:BA63" si="35">AU53-AO53</f>
        <v>-8488</v>
      </c>
      <c r="BB53" s="307"/>
      <c r="BC53" s="302">
        <f t="shared" ref="BC53:BC59" si="36">BA53/AO53</f>
        <v>-4.5401056933182138E-2</v>
      </c>
      <c r="BD53" s="303"/>
      <c r="BE53" s="158"/>
      <c r="BF53" s="158"/>
    </row>
    <row r="54" spans="1:61" x14ac:dyDescent="0.2">
      <c r="A54" s="149" t="s">
        <v>84</v>
      </c>
      <c r="B54" s="166"/>
      <c r="C54" s="166" t="s">
        <v>95</v>
      </c>
      <c r="D54" s="149" t="s">
        <v>176</v>
      </c>
      <c r="E54" s="288">
        <v>135</v>
      </c>
      <c r="F54" s="289"/>
      <c r="G54" s="288">
        <v>111</v>
      </c>
      <c r="H54" s="289"/>
      <c r="I54" s="288">
        <v>24</v>
      </c>
      <c r="J54" s="289"/>
      <c r="K54" s="288">
        <v>191</v>
      </c>
      <c r="L54" s="289"/>
      <c r="M54" s="288">
        <v>157</v>
      </c>
      <c r="N54" s="289"/>
      <c r="O54" s="288">
        <v>34</v>
      </c>
      <c r="P54" s="289"/>
      <c r="Q54" s="288">
        <v>209</v>
      </c>
      <c r="R54" s="289"/>
      <c r="S54" s="288">
        <v>162</v>
      </c>
      <c r="T54" s="289"/>
      <c r="U54" s="288">
        <v>47</v>
      </c>
      <c r="V54" s="289"/>
      <c r="W54" s="288">
        <v>219</v>
      </c>
      <c r="X54" s="289"/>
      <c r="Y54" s="288">
        <v>172</v>
      </c>
      <c r="Z54" s="289"/>
      <c r="AA54" s="288">
        <v>47</v>
      </c>
      <c r="AB54" s="289"/>
      <c r="AC54" s="288">
        <v>189</v>
      </c>
      <c r="AD54" s="289"/>
      <c r="AE54" s="288">
        <v>150</v>
      </c>
      <c r="AF54" s="289"/>
      <c r="AG54" s="288">
        <v>39</v>
      </c>
      <c r="AH54" s="289"/>
      <c r="AI54" s="288">
        <v>31</v>
      </c>
      <c r="AJ54" s="289"/>
      <c r="AK54" s="288">
        <v>25</v>
      </c>
      <c r="AL54" s="289"/>
      <c r="AM54" s="288">
        <v>6</v>
      </c>
      <c r="AN54" s="289"/>
      <c r="AO54" s="288">
        <v>200</v>
      </c>
      <c r="AP54" s="289"/>
      <c r="AQ54" s="288">
        <v>163</v>
      </c>
      <c r="AR54" s="289"/>
      <c r="AS54" s="288">
        <v>37</v>
      </c>
      <c r="AT54" s="289"/>
      <c r="AU54" s="288">
        <f>'Water Balance'!$E$12</f>
        <v>183</v>
      </c>
      <c r="AV54" s="289"/>
      <c r="AW54" s="288">
        <f>W.B.Main!$E$12</f>
        <v>155</v>
      </c>
      <c r="AX54" s="289"/>
      <c r="AY54" s="288">
        <f>W.B.Ind.!$E$12</f>
        <v>28</v>
      </c>
      <c r="AZ54" s="289"/>
      <c r="BA54" s="306">
        <f t="shared" si="35"/>
        <v>-17</v>
      </c>
      <c r="BB54" s="307"/>
      <c r="BC54" s="302">
        <f t="shared" si="36"/>
        <v>-8.5000000000000006E-2</v>
      </c>
      <c r="BD54" s="303"/>
      <c r="BF54" s="218"/>
    </row>
    <row r="55" spans="1:61" x14ac:dyDescent="0.2">
      <c r="A55" s="149" t="s">
        <v>85</v>
      </c>
      <c r="B55" s="166" t="s">
        <v>210</v>
      </c>
      <c r="C55" s="166" t="s">
        <v>96</v>
      </c>
      <c r="D55" s="149" t="s">
        <v>176</v>
      </c>
      <c r="E55" s="288">
        <v>730</v>
      </c>
      <c r="F55" s="289"/>
      <c r="G55" s="288">
        <v>403</v>
      </c>
      <c r="H55" s="289"/>
      <c r="I55" s="288">
        <v>327</v>
      </c>
      <c r="J55" s="289"/>
      <c r="K55" s="288">
        <v>1140.9788036808272</v>
      </c>
      <c r="L55" s="289"/>
      <c r="M55" s="288">
        <v>719.38291247684708</v>
      </c>
      <c r="N55" s="289"/>
      <c r="O55" s="288">
        <v>421.59589120398016</v>
      </c>
      <c r="P55" s="289"/>
      <c r="Q55" s="288">
        <v>862.01</v>
      </c>
      <c r="R55" s="289"/>
      <c r="S55" s="288">
        <v>440.1</v>
      </c>
      <c r="T55" s="289"/>
      <c r="U55" s="288">
        <v>245.91</v>
      </c>
      <c r="V55" s="289"/>
      <c r="W55" s="288">
        <v>835.83742117841825</v>
      </c>
      <c r="X55" s="289"/>
      <c r="Y55" s="288">
        <v>437.32592214954502</v>
      </c>
      <c r="Z55" s="289"/>
      <c r="AA55" s="288">
        <v>438.5114990288572</v>
      </c>
      <c r="AB55" s="289"/>
      <c r="AC55" s="288">
        <v>991.24313508527177</v>
      </c>
      <c r="AD55" s="289"/>
      <c r="AE55" s="288">
        <v>710.24313508527177</v>
      </c>
      <c r="AF55" s="289"/>
      <c r="AG55" s="288">
        <v>321</v>
      </c>
      <c r="AH55" s="289"/>
      <c r="AI55" s="288">
        <v>675.49300338078524</v>
      </c>
      <c r="AJ55" s="289"/>
      <c r="AK55" s="288">
        <v>326.21433098648743</v>
      </c>
      <c r="AL55" s="289"/>
      <c r="AM55" s="288">
        <v>329.27867239429781</v>
      </c>
      <c r="AN55" s="289"/>
      <c r="AO55" s="288">
        <v>814.7186857380193</v>
      </c>
      <c r="AP55" s="289"/>
      <c r="AQ55" s="288">
        <v>826.38846573801936</v>
      </c>
      <c r="AR55" s="289"/>
      <c r="AS55" s="288">
        <v>28.330220000000004</v>
      </c>
      <c r="AT55" s="289"/>
      <c r="AU55" s="288">
        <f>'Water Balance'!$E$15</f>
        <v>49.15</v>
      </c>
      <c r="AV55" s="289"/>
      <c r="AW55" s="288">
        <f>W.B.Main!$E$15</f>
        <v>72.099999999999994</v>
      </c>
      <c r="AX55" s="289"/>
      <c r="AY55" s="288">
        <f>W.B.Ind.!$E$15</f>
        <v>17.05</v>
      </c>
      <c r="AZ55" s="289"/>
      <c r="BA55" s="306">
        <f t="shared" si="35"/>
        <v>-765.56868573801933</v>
      </c>
      <c r="BB55" s="307"/>
      <c r="BC55" s="302">
        <f t="shared" si="36"/>
        <v>-0.93967242821308672</v>
      </c>
      <c r="BD55" s="303"/>
      <c r="BF55" s="218"/>
      <c r="BG55" s="158"/>
      <c r="BH55" s="158"/>
    </row>
    <row r="56" spans="1:61" x14ac:dyDescent="0.2">
      <c r="A56" s="149" t="s">
        <v>86</v>
      </c>
      <c r="B56" s="166" t="s">
        <v>210</v>
      </c>
      <c r="C56" s="166" t="s">
        <v>97</v>
      </c>
      <c r="D56" s="149" t="s">
        <v>176</v>
      </c>
      <c r="E56" s="288">
        <v>0</v>
      </c>
      <c r="F56" s="289"/>
      <c r="G56" s="288">
        <v>0</v>
      </c>
      <c r="H56" s="289"/>
      <c r="I56" s="288">
        <v>0</v>
      </c>
      <c r="J56" s="289"/>
      <c r="K56" s="288">
        <v>0</v>
      </c>
      <c r="L56" s="289"/>
      <c r="M56" s="288">
        <v>0</v>
      </c>
      <c r="N56" s="289"/>
      <c r="O56" s="288">
        <v>0</v>
      </c>
      <c r="P56" s="289"/>
      <c r="Q56" s="288">
        <v>0</v>
      </c>
      <c r="R56" s="289"/>
      <c r="S56" s="288">
        <v>0</v>
      </c>
      <c r="T56" s="289"/>
      <c r="U56" s="288">
        <v>0</v>
      </c>
      <c r="V56" s="289"/>
      <c r="W56" s="288">
        <v>0</v>
      </c>
      <c r="X56" s="289"/>
      <c r="Y56" s="288">
        <v>0</v>
      </c>
      <c r="Z56" s="289"/>
      <c r="AA56" s="288">
        <v>0</v>
      </c>
      <c r="AB56" s="289"/>
      <c r="AC56" s="288">
        <v>0</v>
      </c>
      <c r="AD56" s="289"/>
      <c r="AE56" s="288">
        <v>0</v>
      </c>
      <c r="AF56" s="289"/>
      <c r="AG56" s="288">
        <v>0</v>
      </c>
      <c r="AH56" s="289"/>
      <c r="AI56" s="288">
        <v>0</v>
      </c>
      <c r="AJ56" s="289"/>
      <c r="AK56" s="288">
        <v>0</v>
      </c>
      <c r="AL56" s="289"/>
      <c r="AM56" s="288">
        <v>0</v>
      </c>
      <c r="AN56" s="289"/>
      <c r="AO56" s="288">
        <v>0</v>
      </c>
      <c r="AP56" s="289"/>
      <c r="AQ56" s="288">
        <v>0</v>
      </c>
      <c r="AR56" s="289"/>
      <c r="AS56" s="288">
        <v>0</v>
      </c>
      <c r="AT56" s="289"/>
      <c r="AU56" s="288">
        <f>+'Water Balance'!$E$18</f>
        <v>0</v>
      </c>
      <c r="AV56" s="289"/>
      <c r="AW56" s="288">
        <v>0</v>
      </c>
      <c r="AX56" s="289"/>
      <c r="AY56" s="288">
        <v>0</v>
      </c>
      <c r="AZ56" s="289"/>
      <c r="BA56" s="306">
        <f t="shared" si="35"/>
        <v>0</v>
      </c>
      <c r="BB56" s="307"/>
      <c r="BC56" s="302" t="e">
        <f t="shared" si="36"/>
        <v>#DIV/0!</v>
      </c>
      <c r="BD56" s="303"/>
      <c r="BF56" s="218"/>
      <c r="BH56" s="158"/>
    </row>
    <row r="57" spans="1:61" x14ac:dyDescent="0.2">
      <c r="A57" s="149" t="s">
        <v>87</v>
      </c>
      <c r="B57" s="166" t="s">
        <v>210</v>
      </c>
      <c r="C57" s="166" t="s">
        <v>98</v>
      </c>
      <c r="D57" s="149" t="s">
        <v>176</v>
      </c>
      <c r="E57" s="288">
        <v>192</v>
      </c>
      <c r="F57" s="289"/>
      <c r="G57" s="288">
        <v>172</v>
      </c>
      <c r="H57" s="289"/>
      <c r="I57" s="288">
        <v>20</v>
      </c>
      <c r="J57" s="289"/>
      <c r="K57" s="288">
        <v>426</v>
      </c>
      <c r="L57" s="289"/>
      <c r="M57" s="288">
        <v>401</v>
      </c>
      <c r="N57" s="289"/>
      <c r="O57" s="288">
        <v>25</v>
      </c>
      <c r="P57" s="289"/>
      <c r="Q57" s="288">
        <v>173</v>
      </c>
      <c r="R57" s="289"/>
      <c r="S57" s="288">
        <v>130</v>
      </c>
      <c r="T57" s="289"/>
      <c r="U57" s="288">
        <v>43</v>
      </c>
      <c r="V57" s="289"/>
      <c r="W57" s="288">
        <v>195</v>
      </c>
      <c r="X57" s="289"/>
      <c r="Y57" s="288">
        <v>98</v>
      </c>
      <c r="Z57" s="289"/>
      <c r="AA57" s="288">
        <v>97</v>
      </c>
      <c r="AB57" s="289"/>
      <c r="AC57" s="288">
        <v>345</v>
      </c>
      <c r="AD57" s="289"/>
      <c r="AE57" s="288">
        <v>334</v>
      </c>
      <c r="AF57" s="289"/>
      <c r="AG57" s="288">
        <v>11</v>
      </c>
      <c r="AH57" s="289"/>
      <c r="AI57" s="288">
        <v>187</v>
      </c>
      <c r="AJ57" s="289"/>
      <c r="AK57" s="288">
        <v>125</v>
      </c>
      <c r="AL57" s="289"/>
      <c r="AM57" s="288">
        <v>62</v>
      </c>
      <c r="AN57" s="289"/>
      <c r="AO57" s="288">
        <v>294</v>
      </c>
      <c r="AP57" s="289"/>
      <c r="AQ57" s="288">
        <v>244</v>
      </c>
      <c r="AR57" s="289"/>
      <c r="AS57" s="288">
        <v>50</v>
      </c>
      <c r="AT57" s="289"/>
      <c r="AU57" s="288">
        <f>+'Water Balance'!$E$21</f>
        <v>50</v>
      </c>
      <c r="AV57" s="289"/>
      <c r="AW57" s="288">
        <f>+W.B.Main!$E$21</f>
        <v>33</v>
      </c>
      <c r="AX57" s="289"/>
      <c r="AY57" s="288">
        <f>+W.B.Ind.!$E$21</f>
        <v>17</v>
      </c>
      <c r="AZ57" s="289"/>
      <c r="BA57" s="306">
        <f t="shared" si="35"/>
        <v>-244</v>
      </c>
      <c r="BB57" s="307"/>
      <c r="BC57" s="302">
        <f t="shared" si="36"/>
        <v>-0.82993197278911568</v>
      </c>
      <c r="BD57" s="303"/>
      <c r="BG57" s="158"/>
    </row>
    <row r="58" spans="1:61" x14ac:dyDescent="0.2">
      <c r="A58" s="149" t="s">
        <v>88</v>
      </c>
      <c r="B58" s="166" t="s">
        <v>210</v>
      </c>
      <c r="C58" s="166" t="s">
        <v>99</v>
      </c>
      <c r="D58" s="149" t="s">
        <v>176</v>
      </c>
      <c r="E58" s="288">
        <v>241</v>
      </c>
      <c r="F58" s="289"/>
      <c r="G58" s="288">
        <v>56</v>
      </c>
      <c r="H58" s="289"/>
      <c r="I58" s="288">
        <v>185</v>
      </c>
      <c r="J58" s="289"/>
      <c r="K58" s="288">
        <v>122</v>
      </c>
      <c r="L58" s="289"/>
      <c r="M58" s="288">
        <v>71</v>
      </c>
      <c r="N58" s="289"/>
      <c r="O58" s="288">
        <v>51</v>
      </c>
      <c r="P58" s="289"/>
      <c r="Q58" s="288">
        <v>115.99000000000001</v>
      </c>
      <c r="R58" s="289"/>
      <c r="S58" s="288">
        <v>84.03</v>
      </c>
      <c r="T58" s="289"/>
      <c r="U58" s="288">
        <v>31.959999999999997</v>
      </c>
      <c r="V58" s="289"/>
      <c r="W58" s="288">
        <v>75.459999999999994</v>
      </c>
      <c r="X58" s="289"/>
      <c r="Y58" s="288">
        <v>32.51</v>
      </c>
      <c r="Z58" s="289"/>
      <c r="AA58" s="288">
        <v>42.95</v>
      </c>
      <c r="AB58" s="289"/>
      <c r="AC58" s="288">
        <v>197.42000000000002</v>
      </c>
      <c r="AD58" s="289"/>
      <c r="AE58" s="288">
        <v>105.02999999999999</v>
      </c>
      <c r="AF58" s="289"/>
      <c r="AG58" s="288">
        <v>92.39</v>
      </c>
      <c r="AH58" s="289"/>
      <c r="AI58" s="288">
        <v>268.63</v>
      </c>
      <c r="AJ58" s="289"/>
      <c r="AK58" s="288">
        <v>81.420000000000016</v>
      </c>
      <c r="AL58" s="289"/>
      <c r="AM58" s="288">
        <v>187.21</v>
      </c>
      <c r="AN58" s="289"/>
      <c r="AO58" s="288">
        <v>383.99402465077077</v>
      </c>
      <c r="AP58" s="289"/>
      <c r="AQ58" s="288">
        <v>157.12214549332899</v>
      </c>
      <c r="AR58" s="289"/>
      <c r="AS58" s="288">
        <v>226.87186315744185</v>
      </c>
      <c r="AT58" s="289"/>
      <c r="AU58" s="288">
        <f>+'Water Balance'!$E$24</f>
        <v>336.09999999999997</v>
      </c>
      <c r="AV58" s="289"/>
      <c r="AW58" s="288">
        <f>W.B.Main!$E$24</f>
        <v>155.4</v>
      </c>
      <c r="AX58" s="289"/>
      <c r="AY58" s="288">
        <f>W.B.Ind.!$E$24</f>
        <v>180.70000000000002</v>
      </c>
      <c r="AZ58" s="289"/>
      <c r="BA58" s="306">
        <f t="shared" si="35"/>
        <v>-47.894024650770803</v>
      </c>
      <c r="BB58" s="307"/>
      <c r="BC58" s="302">
        <f t="shared" si="36"/>
        <v>-0.12472596336447879</v>
      </c>
      <c r="BD58" s="303"/>
    </row>
    <row r="59" spans="1:61" x14ac:dyDescent="0.2">
      <c r="A59" s="149" t="s">
        <v>89</v>
      </c>
      <c r="B59" s="166" t="s">
        <v>210</v>
      </c>
      <c r="C59" s="166" t="s">
        <v>100</v>
      </c>
      <c r="D59" s="149" t="s">
        <v>176</v>
      </c>
      <c r="E59" s="288">
        <v>17913</v>
      </c>
      <c r="F59" s="289"/>
      <c r="G59" s="288">
        <v>13809</v>
      </c>
      <c r="H59" s="289"/>
      <c r="I59" s="288">
        <v>4104</v>
      </c>
      <c r="J59" s="289"/>
      <c r="K59" s="288">
        <v>18134.149999999994</v>
      </c>
      <c r="L59" s="289"/>
      <c r="M59" s="288">
        <v>14065.149999999994</v>
      </c>
      <c r="N59" s="289"/>
      <c r="O59" s="288">
        <v>4069</v>
      </c>
      <c r="P59" s="289"/>
      <c r="Q59" s="288">
        <v>17566.019999999979</v>
      </c>
      <c r="R59" s="289"/>
      <c r="S59" s="288">
        <v>12744.159999999987</v>
      </c>
      <c r="T59" s="289"/>
      <c r="U59" s="288">
        <v>4044.7799999999979</v>
      </c>
      <c r="V59" s="289"/>
      <c r="W59" s="288">
        <v>16572.55000000001</v>
      </c>
      <c r="X59" s="289"/>
      <c r="Y59" s="288">
        <v>11231.88</v>
      </c>
      <c r="Z59" s="289"/>
      <c r="AA59" s="288">
        <v>5300.6699999999955</v>
      </c>
      <c r="AB59" s="289"/>
      <c r="AC59" s="288">
        <v>22853.729999999996</v>
      </c>
      <c r="AD59" s="289"/>
      <c r="AE59" s="288">
        <v>15387.119999999994</v>
      </c>
      <c r="AF59" s="289"/>
      <c r="AG59" s="288">
        <v>7426.45</v>
      </c>
      <c r="AH59" s="289"/>
      <c r="AI59" s="288">
        <v>20856.110000000019</v>
      </c>
      <c r="AJ59" s="289"/>
      <c r="AK59" s="288">
        <v>10826.569999999991</v>
      </c>
      <c r="AL59" s="289"/>
      <c r="AM59" s="288">
        <v>10049.540000000001</v>
      </c>
      <c r="AN59" s="289"/>
      <c r="AO59" s="288">
        <v>22421.308553414539</v>
      </c>
      <c r="AP59" s="289"/>
      <c r="AQ59" s="288">
        <v>16686.357438506679</v>
      </c>
      <c r="AR59" s="289"/>
      <c r="AS59" s="288">
        <v>5694.9511149078635</v>
      </c>
      <c r="AT59" s="289"/>
      <c r="AU59" s="288">
        <f>'Water Balance'!$E$27</f>
        <v>24253.942839451403</v>
      </c>
      <c r="AV59" s="289"/>
      <c r="AW59" s="288">
        <f>W.B.Main!$E$27</f>
        <v>21343.510284937154</v>
      </c>
      <c r="AX59" s="289"/>
      <c r="AY59" s="288">
        <f>W.B.Ind.!$E$27</f>
        <v>2870.4325545142319</v>
      </c>
      <c r="AZ59" s="289"/>
      <c r="BA59" s="306">
        <f t="shared" si="35"/>
        <v>1832.6342860368641</v>
      </c>
      <c r="BB59" s="307"/>
      <c r="BC59" s="302">
        <f t="shared" si="36"/>
        <v>8.1736276973797428E-2</v>
      </c>
      <c r="BD59" s="303"/>
      <c r="BE59" s="158"/>
      <c r="BF59" s="158"/>
    </row>
    <row r="60" spans="1:61" ht="15.75" x14ac:dyDescent="0.25">
      <c r="A60" s="149" t="s">
        <v>90</v>
      </c>
      <c r="B60" s="166" t="s">
        <v>211</v>
      </c>
      <c r="C60" s="165" t="s">
        <v>101</v>
      </c>
      <c r="D60" s="149" t="s">
        <v>176</v>
      </c>
      <c r="E60" s="288">
        <v>19211</v>
      </c>
      <c r="F60" s="289"/>
      <c r="G60" s="288">
        <v>14551</v>
      </c>
      <c r="H60" s="289"/>
      <c r="I60" s="288">
        <v>4644</v>
      </c>
      <c r="J60" s="289"/>
      <c r="K60" s="288">
        <v>20014.128803680822</v>
      </c>
      <c r="L60" s="289"/>
      <c r="M60" s="288">
        <v>15413.532912476841</v>
      </c>
      <c r="N60" s="289"/>
      <c r="O60" s="288">
        <v>4440.5958912039796</v>
      </c>
      <c r="P60" s="289"/>
      <c r="Q60" s="288">
        <v>18926.019999999979</v>
      </c>
      <c r="R60" s="289"/>
      <c r="S60" s="288">
        <v>13720.289999999986</v>
      </c>
      <c r="T60" s="289"/>
      <c r="U60" s="288">
        <v>4428.6499999999978</v>
      </c>
      <c r="V60" s="289"/>
      <c r="W60" s="288">
        <v>17897.847421178427</v>
      </c>
      <c r="X60" s="289"/>
      <c r="Y60" s="288">
        <v>11971.71592214956</v>
      </c>
      <c r="Z60" s="289"/>
      <c r="AA60" s="288">
        <v>5926.1314990288529</v>
      </c>
      <c r="AB60" s="289"/>
      <c r="AC60" s="288">
        <v>24576.393135085269</v>
      </c>
      <c r="AD60" s="289"/>
      <c r="AE60" s="288">
        <v>16686.393135085265</v>
      </c>
      <c r="AF60" s="289"/>
      <c r="AG60" s="288">
        <v>7890</v>
      </c>
      <c r="AH60" s="289"/>
      <c r="AI60" s="288">
        <v>22018.233003380803</v>
      </c>
      <c r="AJ60" s="289"/>
      <c r="AK60" s="288">
        <v>11384.204330986478</v>
      </c>
      <c r="AL60" s="289"/>
      <c r="AM60" s="288">
        <v>10634.028672394299</v>
      </c>
      <c r="AN60" s="289"/>
      <c r="AO60" s="288">
        <v>24114.02126380333</v>
      </c>
      <c r="AP60" s="289"/>
      <c r="AQ60" s="288">
        <v>18076.868065738028</v>
      </c>
      <c r="AR60" s="289"/>
      <c r="AS60" s="288">
        <v>4437.1531980653099</v>
      </c>
      <c r="AT60" s="289"/>
      <c r="AU60" s="288">
        <f>'Water Balance'!$F$20</f>
        <v>24872.192839451403</v>
      </c>
      <c r="AV60" s="289"/>
      <c r="AW60" s="288">
        <f>W.B.Main!$F$20</f>
        <v>21759.010284937154</v>
      </c>
      <c r="AX60" s="289"/>
      <c r="AY60" s="288">
        <f>W.B.Ind.!$F$20</f>
        <v>3113.1825545142319</v>
      </c>
      <c r="AZ60" s="289"/>
      <c r="BA60" s="306">
        <f t="shared" si="35"/>
        <v>758.17157564807349</v>
      </c>
      <c r="BB60" s="307"/>
      <c r="BC60" s="302">
        <f>BA44/AO44</f>
        <v>-3.4677778965137941E-2</v>
      </c>
      <c r="BD60" s="303"/>
      <c r="BF60" s="158"/>
    </row>
    <row r="61" spans="1:61" ht="15.75" x14ac:dyDescent="0.25">
      <c r="A61" s="149" t="s">
        <v>194</v>
      </c>
      <c r="B61" s="166"/>
      <c r="C61" s="165" t="s">
        <v>249</v>
      </c>
      <c r="D61" s="149" t="s">
        <v>184</v>
      </c>
      <c r="E61" s="294">
        <v>8.9200395440109603E-2</v>
      </c>
      <c r="F61" s="295"/>
      <c r="G61" s="294">
        <v>0.10581083341211033</v>
      </c>
      <c r="H61" s="295"/>
      <c r="I61" s="294">
        <v>5.9858702633269111E-2</v>
      </c>
      <c r="J61" s="295"/>
      <c r="K61" s="294">
        <v>0.10114626945398823</v>
      </c>
      <c r="L61" s="295"/>
      <c r="M61" s="294">
        <v>0.12087667625349299</v>
      </c>
      <c r="N61" s="295"/>
      <c r="O61" s="294">
        <v>6.538782977303749E-2</v>
      </c>
      <c r="P61" s="295"/>
      <c r="Q61" s="294">
        <v>0.10959850483846242</v>
      </c>
      <c r="R61" s="295"/>
      <c r="S61" s="294">
        <v>0.12262371304798649</v>
      </c>
      <c r="T61" s="295"/>
      <c r="U61" s="294">
        <v>7.2844849919345006E-2</v>
      </c>
      <c r="V61" s="295"/>
      <c r="W61" s="294">
        <v>8.7754829841713303E-2</v>
      </c>
      <c r="X61" s="295"/>
      <c r="Y61" s="294">
        <v>9.2838748492320156E-2</v>
      </c>
      <c r="Z61" s="295"/>
      <c r="AA61" s="294">
        <v>7.9013894598451317E-2</v>
      </c>
      <c r="AB61" s="295"/>
      <c r="AC61" s="294">
        <v>0.12531150952332878</v>
      </c>
      <c r="AD61" s="295"/>
      <c r="AE61" s="294">
        <v>0.13530927459414099</v>
      </c>
      <c r="AF61" s="295"/>
      <c r="AG61" s="294">
        <v>0.108374543512541</v>
      </c>
      <c r="AH61" s="295"/>
      <c r="AI61" s="294">
        <v>9.3718842621163909E-2</v>
      </c>
      <c r="AJ61" s="295"/>
      <c r="AK61" s="294">
        <v>7.9210332142562137E-2</v>
      </c>
      <c r="AL61" s="295"/>
      <c r="AM61" s="294">
        <v>0.116578144487451</v>
      </c>
      <c r="AN61" s="295"/>
      <c r="AO61" s="294">
        <v>0.11424654775423891</v>
      </c>
      <c r="AP61" s="295"/>
      <c r="AQ61" s="294">
        <v>0.13443162217220983</v>
      </c>
      <c r="AR61" s="295"/>
      <c r="AS61" s="294">
        <v>7.8812823906909329E-2</v>
      </c>
      <c r="AT61" s="295"/>
      <c r="AU61" s="294">
        <f>'Water Balance'!$F$21</f>
        <v>0.12231813343016454</v>
      </c>
      <c r="AV61" s="295"/>
      <c r="AW61" s="294">
        <f>W.B.Main!$F$21</f>
        <v>0.1650297581901756</v>
      </c>
      <c r="AX61" s="295"/>
      <c r="AY61" s="294">
        <f>W.B.Ind.!$F$21</f>
        <v>4.3546384928523654E-2</v>
      </c>
      <c r="AZ61" s="295"/>
      <c r="BA61" s="310">
        <f t="shared" si="35"/>
        <v>8.0715856759256271E-3</v>
      </c>
      <c r="BB61" s="311"/>
      <c r="BC61" s="302" t="e">
        <f>BA45/AO45</f>
        <v>#DIV/0!</v>
      </c>
      <c r="BD61" s="303"/>
      <c r="BE61" s="158"/>
      <c r="BF61" s="158"/>
    </row>
    <row r="62" spans="1:61" x14ac:dyDescent="0.2">
      <c r="A62" s="149" t="s">
        <v>216</v>
      </c>
      <c r="B62" s="166"/>
      <c r="C62" s="166" t="s">
        <v>102</v>
      </c>
      <c r="D62" s="149" t="s">
        <v>184</v>
      </c>
      <c r="E62" s="294">
        <v>8.3173530080930869E-2</v>
      </c>
      <c r="F62" s="295"/>
      <c r="G62" s="294">
        <v>0.10041521535206044</v>
      </c>
      <c r="H62" s="295"/>
      <c r="I62" s="294">
        <v>5.2716763005780348E-2</v>
      </c>
      <c r="J62" s="295"/>
      <c r="K62" s="294">
        <v>9.1645339144688795E-2</v>
      </c>
      <c r="L62" s="295"/>
      <c r="M62" s="294">
        <v>0.11030232930119425</v>
      </c>
      <c r="N62" s="295"/>
      <c r="O62" s="294">
        <v>5.7832308170161967E-2</v>
      </c>
      <c r="P62" s="295"/>
      <c r="Q62" s="294">
        <v>0.10172289408774414</v>
      </c>
      <c r="R62" s="295"/>
      <c r="S62" s="294">
        <v>0.11389964926963113</v>
      </c>
      <c r="T62" s="295"/>
      <c r="U62" s="294">
        <v>6.6530746854421285E-2</v>
      </c>
      <c r="V62" s="295"/>
      <c r="W62" s="294">
        <v>8.1256771893830987E-2</v>
      </c>
      <c r="X62" s="295"/>
      <c r="Y62" s="294">
        <v>8.7101438857788316E-2</v>
      </c>
      <c r="Z62" s="295"/>
      <c r="AA62" s="294">
        <v>7.0674533757782459E-2</v>
      </c>
      <c r="AB62" s="295"/>
      <c r="AC62" s="294">
        <v>0.11652789686417295</v>
      </c>
      <c r="AD62" s="295"/>
      <c r="AE62" s="294">
        <v>0.12477352373621554</v>
      </c>
      <c r="AF62" s="295"/>
      <c r="AG62" s="294">
        <v>0.10201107112441965</v>
      </c>
      <c r="AH62" s="295"/>
      <c r="AI62" s="294">
        <v>8.8772359275131787E-2</v>
      </c>
      <c r="AJ62" s="295"/>
      <c r="AK62" s="294">
        <v>7.5330359569397015E-2</v>
      </c>
      <c r="AL62" s="295"/>
      <c r="AM62" s="294">
        <v>0.11017054573819501</v>
      </c>
      <c r="AN62" s="295"/>
      <c r="AO62" s="294">
        <v>0.10622687399738089</v>
      </c>
      <c r="AP62" s="295"/>
      <c r="AQ62" s="294">
        <v>0.12409085968024353</v>
      </c>
      <c r="AR62" s="295"/>
      <c r="AS62" s="294">
        <v>7.4345501042035217E-2</v>
      </c>
      <c r="AT62" s="295"/>
      <c r="AU62" s="294">
        <f>'Water Balance'!$E$28</f>
        <v>0.11927766223080778</v>
      </c>
      <c r="AV62" s="295"/>
      <c r="AW62" s="294">
        <f>W.B.Main!$E$28</f>
        <v>0.16187842623021573</v>
      </c>
      <c r="AX62" s="295"/>
      <c r="AY62" s="294">
        <f>W.B.Ind.!$E$28</f>
        <v>4.0150861294334282E-2</v>
      </c>
      <c r="AZ62" s="295"/>
      <c r="BA62" s="310">
        <f t="shared" si="35"/>
        <v>1.3050788233426897E-2</v>
      </c>
      <c r="BB62" s="311"/>
      <c r="BC62" s="302">
        <f>BA62/AO62</f>
        <v>0.1228576888532809</v>
      </c>
      <c r="BD62" s="303"/>
      <c r="BE62" s="158"/>
    </row>
    <row r="63" spans="1:61" x14ac:dyDescent="0.2">
      <c r="A63" s="149" t="s">
        <v>337</v>
      </c>
      <c r="B63" s="166"/>
      <c r="C63" s="166" t="s">
        <v>568</v>
      </c>
      <c r="D63" s="149" t="s">
        <v>179</v>
      </c>
      <c r="E63" s="296">
        <v>44064.209401744098</v>
      </c>
      <c r="F63" s="297"/>
      <c r="G63" s="296">
        <v>45144.085206335119</v>
      </c>
      <c r="H63" s="297"/>
      <c r="I63" s="296">
        <v>14535.8644805409</v>
      </c>
      <c r="J63" s="297"/>
      <c r="K63" s="296">
        <v>66428.582187017324</v>
      </c>
      <c r="L63" s="297"/>
      <c r="M63" s="296">
        <v>50322.838747878108</v>
      </c>
      <c r="N63" s="297"/>
      <c r="O63" s="296">
        <v>15721.985143436765</v>
      </c>
      <c r="P63" s="297"/>
      <c r="Q63" s="296">
        <v>68901.130926994054</v>
      </c>
      <c r="R63" s="297"/>
      <c r="S63" s="296">
        <v>49310.730134894809</v>
      </c>
      <c r="T63" s="297"/>
      <c r="U63" s="296">
        <v>16502.131710171689</v>
      </c>
      <c r="V63" s="297"/>
      <c r="W63" s="296">
        <v>54906.481554201804</v>
      </c>
      <c r="X63" s="297"/>
      <c r="Y63" s="296">
        <v>36525.085553978541</v>
      </c>
      <c r="Z63" s="297"/>
      <c r="AA63" s="296">
        <v>18327.652118804857</v>
      </c>
      <c r="AB63" s="297"/>
      <c r="AC63" s="296">
        <v>83683.931117470027</v>
      </c>
      <c r="AD63" s="297"/>
      <c r="AE63" s="296">
        <v>56526.558313074311</v>
      </c>
      <c r="AF63" s="297"/>
      <c r="AG63" s="296">
        <v>26403.65383368589</v>
      </c>
      <c r="AH63" s="297"/>
      <c r="AI63" s="296">
        <v>64072.1455320639</v>
      </c>
      <c r="AJ63" s="297"/>
      <c r="AK63" s="296">
        <v>33894.08788732862</v>
      </c>
      <c r="AL63" s="297"/>
      <c r="AM63" s="296">
        <v>29594.444676651499</v>
      </c>
      <c r="AN63" s="297"/>
      <c r="AO63" s="296">
        <v>75409.672273013755</v>
      </c>
      <c r="AP63" s="297"/>
      <c r="AQ63" s="296">
        <v>55643.956413856191</v>
      </c>
      <c r="AR63" s="297"/>
      <c r="AS63" s="296">
        <v>19188.0244067598</v>
      </c>
      <c r="AT63" s="297"/>
      <c r="AU63" s="296">
        <f>AU60*AU79</f>
        <v>80009.055909138115</v>
      </c>
      <c r="AV63" s="297"/>
      <c r="AW63" s="296">
        <f>AW44*AW79</f>
        <v>421551.42</v>
      </c>
      <c r="AX63" s="297"/>
      <c r="AY63" s="296">
        <f>AY44*AY79</f>
        <v>232345.12</v>
      </c>
      <c r="AZ63" s="297"/>
      <c r="BA63" s="306">
        <f t="shared" si="35"/>
        <v>4599.3836361243593</v>
      </c>
      <c r="BB63" s="307"/>
      <c r="BC63" s="302">
        <f>BA63/AO63</f>
        <v>6.0991958955513237E-2</v>
      </c>
      <c r="BD63" s="303"/>
    </row>
    <row r="64" spans="1:61" x14ac:dyDescent="0.2">
      <c r="A64" s="149" t="s">
        <v>441</v>
      </c>
      <c r="B64" s="166"/>
      <c r="C64" s="166" t="s">
        <v>424</v>
      </c>
      <c r="D64" s="149" t="s">
        <v>428</v>
      </c>
      <c r="E64" s="176">
        <v>8.9200395440109603E-2</v>
      </c>
      <c r="F64" s="167">
        <v>19211</v>
      </c>
      <c r="G64" s="176">
        <v>0.10581083341211033</v>
      </c>
      <c r="H64" s="170">
        <v>14551</v>
      </c>
      <c r="I64" s="176"/>
      <c r="J64" s="170"/>
      <c r="K64" s="176">
        <v>0.10114626945398823</v>
      </c>
      <c r="L64" s="167">
        <v>20014.128803680822</v>
      </c>
      <c r="M64" s="176">
        <v>0.12087667625349299</v>
      </c>
      <c r="N64" s="170">
        <v>15413.532912476841</v>
      </c>
      <c r="O64" s="176"/>
      <c r="P64" s="170"/>
      <c r="Q64" s="176">
        <v>0.10959850483846242</v>
      </c>
      <c r="R64" s="167">
        <v>18926.019999999979</v>
      </c>
      <c r="S64" s="176">
        <v>0.12262371304798649</v>
      </c>
      <c r="T64" s="170">
        <v>13720.289999999986</v>
      </c>
      <c r="U64" s="176"/>
      <c r="V64" s="170"/>
      <c r="W64" s="176">
        <v>8.7754829841713303E-2</v>
      </c>
      <c r="X64" s="167">
        <v>17897.847421178427</v>
      </c>
      <c r="Y64" s="176">
        <v>9.2838748492320156E-2</v>
      </c>
      <c r="Z64" s="170">
        <v>11971.71592214956</v>
      </c>
      <c r="AA64" s="176"/>
      <c r="AB64" s="170"/>
      <c r="AC64" s="176">
        <v>0.12531150952332878</v>
      </c>
      <c r="AD64" s="167">
        <v>24576.393135085269</v>
      </c>
      <c r="AE64" s="176">
        <v>0.13530927459414099</v>
      </c>
      <c r="AF64" s="170">
        <v>16686.393135085265</v>
      </c>
      <c r="AG64" s="176"/>
      <c r="AH64" s="170"/>
      <c r="AI64" s="176">
        <v>9.3718842621163909E-2</v>
      </c>
      <c r="AJ64" s="167">
        <v>22018.233003380803</v>
      </c>
      <c r="AK64" s="176">
        <v>7.9210332142562137E-2</v>
      </c>
      <c r="AL64" s="170">
        <v>11384.204330986478</v>
      </c>
      <c r="AM64" s="176"/>
      <c r="AN64" s="170"/>
      <c r="AO64" s="176">
        <v>0.11424654775423891</v>
      </c>
      <c r="AP64" s="167">
        <v>24114.02126380333</v>
      </c>
      <c r="AQ64" s="176">
        <v>0.13443162217220983</v>
      </c>
      <c r="AR64" s="170">
        <v>18076.868065738028</v>
      </c>
      <c r="AS64" s="176"/>
      <c r="AT64" s="170"/>
      <c r="AU64" s="176">
        <f>+AU61</f>
        <v>0.12231813343016454</v>
      </c>
      <c r="AV64" s="167">
        <f>AU44</f>
        <v>203340</v>
      </c>
      <c r="AW64" s="176">
        <f>+AW61</f>
        <v>0.1650297581901756</v>
      </c>
      <c r="AX64" s="170">
        <f>AW44</f>
        <v>134791.01</v>
      </c>
      <c r="AY64" s="176"/>
      <c r="AZ64" s="170"/>
      <c r="BA64" s="217">
        <f>AU64-AO64</f>
        <v>8.0715856759256271E-3</v>
      </c>
      <c r="BB64" s="167">
        <f>AV64-AP64</f>
        <v>179225.97873619667</v>
      </c>
      <c r="BC64" s="176">
        <f>BA64/AO64</f>
        <v>7.0650587125737865E-2</v>
      </c>
      <c r="BD64" s="169" t="e">
        <f>BB64/#REF!</f>
        <v>#REF!</v>
      </c>
    </row>
    <row r="65" spans="1:58" x14ac:dyDescent="0.2">
      <c r="A65" s="149" t="s">
        <v>442</v>
      </c>
      <c r="B65" s="166"/>
      <c r="C65" s="166" t="s">
        <v>425</v>
      </c>
      <c r="D65" s="149" t="s">
        <v>428</v>
      </c>
      <c r="E65" s="176"/>
      <c r="F65" s="167"/>
      <c r="G65" s="176"/>
      <c r="H65" s="170"/>
      <c r="I65" s="176">
        <v>5.9858702633269111E-2</v>
      </c>
      <c r="J65" s="170">
        <v>4644</v>
      </c>
      <c r="K65" s="176"/>
      <c r="L65" s="167"/>
      <c r="M65" s="176"/>
      <c r="N65" s="170"/>
      <c r="O65" s="176">
        <v>6.538782977303749E-2</v>
      </c>
      <c r="P65" s="170">
        <v>4440.5958912039796</v>
      </c>
      <c r="Q65" s="176"/>
      <c r="R65" s="167"/>
      <c r="S65" s="176"/>
      <c r="T65" s="170"/>
      <c r="U65" s="176">
        <v>7.2844849919345006E-2</v>
      </c>
      <c r="V65" s="170">
        <v>4428.6499999999978</v>
      </c>
      <c r="W65" s="176"/>
      <c r="X65" s="167"/>
      <c r="Y65" s="176"/>
      <c r="Z65" s="170"/>
      <c r="AA65" s="176">
        <v>7.9013894598451317E-2</v>
      </c>
      <c r="AB65" s="170">
        <v>5926.1314990288529</v>
      </c>
      <c r="AC65" s="176"/>
      <c r="AD65" s="167"/>
      <c r="AE65" s="176"/>
      <c r="AF65" s="170"/>
      <c r="AG65" s="176">
        <v>0.108374543512541</v>
      </c>
      <c r="AH65" s="170">
        <v>7890</v>
      </c>
      <c r="AI65" s="176"/>
      <c r="AJ65" s="167"/>
      <c r="AK65" s="176"/>
      <c r="AL65" s="170"/>
      <c r="AM65" s="176">
        <f>AM45</f>
        <v>0</v>
      </c>
      <c r="AN65" s="170">
        <f>AM44</f>
        <v>91218.03</v>
      </c>
      <c r="AO65" s="176"/>
      <c r="AP65" s="167"/>
      <c r="AQ65" s="176"/>
      <c r="AR65" s="170"/>
      <c r="AS65" s="176">
        <v>7.8812823906909329E-2</v>
      </c>
      <c r="AT65" s="170">
        <v>4437.1531980653099</v>
      </c>
      <c r="AU65" s="176"/>
      <c r="AV65" s="167"/>
      <c r="AW65" s="176"/>
      <c r="AX65" s="170"/>
      <c r="AY65" s="176">
        <f>+AY61</f>
        <v>4.3546384928523654E-2</v>
      </c>
      <c r="AZ65" s="170">
        <f>AY44</f>
        <v>73246.179999999993</v>
      </c>
      <c r="BA65" s="167"/>
      <c r="BB65" s="167"/>
      <c r="BC65" s="169" t="e">
        <f t="shared" ref="BC65" si="37">BA65/E65</f>
        <v>#DIV/0!</v>
      </c>
      <c r="BD65" s="169" t="e">
        <f>BB65/#REF!</f>
        <v>#REF!</v>
      </c>
    </row>
    <row r="66" spans="1:58" x14ac:dyDescent="0.2">
      <c r="A66" s="149" t="s">
        <v>443</v>
      </c>
      <c r="B66" s="166"/>
      <c r="C66" s="166" t="s">
        <v>426</v>
      </c>
      <c r="D66" s="149" t="s">
        <v>428</v>
      </c>
      <c r="E66" s="176"/>
      <c r="F66" s="176"/>
      <c r="G66" s="176"/>
      <c r="H66" s="173"/>
      <c r="I66" s="176"/>
      <c r="J66" s="173"/>
      <c r="K66" s="176"/>
      <c r="L66" s="176"/>
      <c r="M66" s="176"/>
      <c r="N66" s="173"/>
      <c r="O66" s="176"/>
      <c r="P66" s="173"/>
      <c r="Q66" s="176"/>
      <c r="R66" s="176"/>
      <c r="S66" s="176"/>
      <c r="T66" s="173"/>
      <c r="U66" s="176"/>
      <c r="V66" s="173"/>
      <c r="W66" s="176"/>
      <c r="X66" s="176"/>
      <c r="Y66" s="176"/>
      <c r="Z66" s="173"/>
      <c r="AA66" s="176"/>
      <c r="AB66" s="173"/>
      <c r="AC66" s="176"/>
      <c r="AD66" s="176"/>
      <c r="AE66" s="176"/>
      <c r="AF66" s="173"/>
      <c r="AG66" s="176"/>
      <c r="AH66" s="173"/>
      <c r="AI66" s="176"/>
      <c r="AJ66" s="176"/>
      <c r="AK66" s="176"/>
      <c r="AL66" s="173"/>
      <c r="AM66" s="176"/>
      <c r="AN66" s="173"/>
      <c r="AO66" s="176"/>
      <c r="AP66" s="176"/>
      <c r="AQ66" s="176"/>
      <c r="AR66" s="173"/>
      <c r="AS66" s="176"/>
      <c r="AT66" s="173"/>
      <c r="AU66" s="176"/>
      <c r="AV66" s="176"/>
      <c r="AW66" s="176"/>
      <c r="AX66" s="173"/>
      <c r="AY66" s="176"/>
      <c r="AZ66" s="173"/>
      <c r="BA66" s="169"/>
      <c r="BB66" s="167"/>
      <c r="BC66" s="169"/>
      <c r="BD66" s="169"/>
    </row>
    <row r="67" spans="1:58" x14ac:dyDescent="0.2">
      <c r="A67" s="149" t="s">
        <v>444</v>
      </c>
      <c r="B67" s="166"/>
      <c r="C67" s="166" t="s">
        <v>427</v>
      </c>
      <c r="D67" s="149" t="s">
        <v>428</v>
      </c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69"/>
      <c r="BB67" s="167"/>
      <c r="BC67" s="169"/>
      <c r="BD67" s="169"/>
    </row>
    <row r="68" spans="1:58" x14ac:dyDescent="0.2">
      <c r="A68" s="149" t="s">
        <v>445</v>
      </c>
      <c r="B68" s="166"/>
      <c r="C68" s="166" t="s">
        <v>103</v>
      </c>
      <c r="D68" s="149" t="s">
        <v>185</v>
      </c>
      <c r="E68" s="284">
        <v>145</v>
      </c>
      <c r="F68" s="285"/>
      <c r="G68" s="284">
        <v>25</v>
      </c>
      <c r="H68" s="285"/>
      <c r="I68" s="284">
        <v>120</v>
      </c>
      <c r="J68" s="285"/>
      <c r="K68" s="284">
        <v>50</v>
      </c>
      <c r="L68" s="285"/>
      <c r="M68" s="284">
        <v>20</v>
      </c>
      <c r="N68" s="285"/>
      <c r="O68" s="284">
        <v>30</v>
      </c>
      <c r="P68" s="285"/>
      <c r="Q68" s="284">
        <v>50</v>
      </c>
      <c r="R68" s="285"/>
      <c r="S68" s="284">
        <v>26</v>
      </c>
      <c r="T68" s="285"/>
      <c r="U68" s="284">
        <v>24</v>
      </c>
      <c r="V68" s="285"/>
      <c r="W68" s="284">
        <v>32</v>
      </c>
      <c r="X68" s="285"/>
      <c r="Y68" s="284">
        <v>16</v>
      </c>
      <c r="Z68" s="285"/>
      <c r="AA68" s="284">
        <v>16</v>
      </c>
      <c r="AB68" s="285"/>
      <c r="AC68" s="284">
        <v>31</v>
      </c>
      <c r="AD68" s="285"/>
      <c r="AE68" s="284">
        <v>16</v>
      </c>
      <c r="AF68" s="285"/>
      <c r="AG68" s="284">
        <v>15</v>
      </c>
      <c r="AH68" s="285"/>
      <c r="AI68" s="284">
        <f>+AK68+AM68</f>
        <v>49</v>
      </c>
      <c r="AJ68" s="285"/>
      <c r="AK68" s="284">
        <v>27</v>
      </c>
      <c r="AL68" s="285"/>
      <c r="AM68" s="284">
        <v>22</v>
      </c>
      <c r="AN68" s="285"/>
      <c r="AO68" s="284">
        <v>45</v>
      </c>
      <c r="AP68" s="285"/>
      <c r="AQ68" s="284">
        <v>19</v>
      </c>
      <c r="AR68" s="285"/>
      <c r="AS68" s="284">
        <v>26</v>
      </c>
      <c r="AT68" s="285"/>
      <c r="AU68" s="284">
        <f>24+32</f>
        <v>56</v>
      </c>
      <c r="AV68" s="285"/>
      <c r="AW68" s="284">
        <v>24</v>
      </c>
      <c r="AX68" s="285"/>
      <c r="AY68" s="284">
        <v>32</v>
      </c>
      <c r="AZ68" s="285"/>
      <c r="BA68" s="306">
        <f>AU68-AO68</f>
        <v>11</v>
      </c>
      <c r="BB68" s="307"/>
      <c r="BC68" s="302">
        <f>BA68/E68</f>
        <v>7.586206896551724E-2</v>
      </c>
      <c r="BD68" s="303"/>
    </row>
    <row r="69" spans="1:58" x14ac:dyDescent="0.2">
      <c r="A69" s="149" t="s">
        <v>446</v>
      </c>
      <c r="B69" s="166"/>
      <c r="C69" s="166" t="s">
        <v>341</v>
      </c>
      <c r="D69" s="149" t="s">
        <v>179</v>
      </c>
      <c r="E69" s="282">
        <v>9673.4699999999993</v>
      </c>
      <c r="F69" s="283"/>
      <c r="G69" s="282"/>
      <c r="H69" s="283"/>
      <c r="I69" s="282"/>
      <c r="J69" s="283"/>
      <c r="K69" s="282">
        <v>12031.52</v>
      </c>
      <c r="L69" s="283"/>
      <c r="M69" s="282"/>
      <c r="N69" s="283"/>
      <c r="O69" s="282"/>
      <c r="P69" s="283"/>
      <c r="Q69" s="282">
        <v>13073.23</v>
      </c>
      <c r="R69" s="283"/>
      <c r="S69" s="282"/>
      <c r="T69" s="283"/>
      <c r="U69" s="282"/>
      <c r="V69" s="283"/>
      <c r="W69" s="282">
        <v>10726.81</v>
      </c>
      <c r="X69" s="283"/>
      <c r="Y69" s="282"/>
      <c r="Z69" s="283"/>
      <c r="AA69" s="282"/>
      <c r="AB69" s="283"/>
      <c r="AC69" s="282">
        <v>8938.2199999999993</v>
      </c>
      <c r="AD69" s="283"/>
      <c r="AE69" s="282"/>
      <c r="AF69" s="283"/>
      <c r="AG69" s="282"/>
      <c r="AH69" s="283"/>
      <c r="AI69" s="282">
        <v>13529.56</v>
      </c>
      <c r="AJ69" s="283"/>
      <c r="AK69" s="282"/>
      <c r="AL69" s="283"/>
      <c r="AM69" s="282"/>
      <c r="AN69" s="283"/>
      <c r="AO69" s="282">
        <v>13449.4926</v>
      </c>
      <c r="AP69" s="283"/>
      <c r="AQ69" s="282"/>
      <c r="AR69" s="283"/>
      <c r="AS69" s="282"/>
      <c r="AT69" s="283"/>
      <c r="AU69" s="282">
        <v>24620.571599999992</v>
      </c>
      <c r="AV69" s="283"/>
      <c r="AW69" s="282"/>
      <c r="AX69" s="283"/>
      <c r="AY69" s="282"/>
      <c r="AZ69" s="283"/>
      <c r="BA69" s="306">
        <f>AU69-AO69</f>
        <v>11171.078999999992</v>
      </c>
      <c r="BB69" s="307"/>
      <c r="BC69" s="302">
        <f>BA69/E69</f>
        <v>1.1548161104546759</v>
      </c>
      <c r="BD69" s="303"/>
    </row>
    <row r="70" spans="1:58" x14ac:dyDescent="0.2">
      <c r="A70" s="149" t="s">
        <v>447</v>
      </c>
      <c r="B70" s="166"/>
      <c r="C70" s="166" t="s">
        <v>415</v>
      </c>
      <c r="D70" s="149" t="s">
        <v>176</v>
      </c>
      <c r="E70" s="284">
        <v>192</v>
      </c>
      <c r="F70" s="285"/>
      <c r="G70" s="284">
        <v>20</v>
      </c>
      <c r="H70" s="285"/>
      <c r="I70" s="284">
        <v>172</v>
      </c>
      <c r="J70" s="285"/>
      <c r="K70" s="284">
        <v>426</v>
      </c>
      <c r="L70" s="285"/>
      <c r="M70" s="284"/>
      <c r="N70" s="285"/>
      <c r="O70" s="284"/>
      <c r="P70" s="285"/>
      <c r="Q70" s="284">
        <v>173</v>
      </c>
      <c r="R70" s="285"/>
      <c r="S70" s="284">
        <v>130</v>
      </c>
      <c r="T70" s="285"/>
      <c r="U70" s="284">
        <v>43</v>
      </c>
      <c r="V70" s="285"/>
      <c r="W70" s="284">
        <v>270</v>
      </c>
      <c r="X70" s="285"/>
      <c r="Y70" s="284">
        <v>172</v>
      </c>
      <c r="Z70" s="285"/>
      <c r="AA70" s="284">
        <v>98</v>
      </c>
      <c r="AB70" s="285"/>
      <c r="AC70" s="284">
        <v>345</v>
      </c>
      <c r="AD70" s="285"/>
      <c r="AE70" s="284">
        <v>11</v>
      </c>
      <c r="AF70" s="285"/>
      <c r="AG70" s="284">
        <v>334</v>
      </c>
      <c r="AH70" s="285"/>
      <c r="AI70" s="284">
        <v>187</v>
      </c>
      <c r="AJ70" s="285"/>
      <c r="AK70" s="284">
        <f>56+70-1</f>
        <v>125</v>
      </c>
      <c r="AL70" s="285"/>
      <c r="AM70" s="284">
        <f>10+19+8+25</f>
        <v>62</v>
      </c>
      <c r="AN70" s="285"/>
      <c r="AO70" s="284">
        <v>294</v>
      </c>
      <c r="AP70" s="285"/>
      <c r="AQ70" s="284">
        <v>244</v>
      </c>
      <c r="AR70" s="285"/>
      <c r="AS70" s="284">
        <v>50</v>
      </c>
      <c r="AT70" s="285"/>
      <c r="AU70" s="284">
        <v>50</v>
      </c>
      <c r="AV70" s="285"/>
      <c r="AW70" s="284">
        <v>33</v>
      </c>
      <c r="AX70" s="285"/>
      <c r="AY70" s="284">
        <f>50-33</f>
        <v>17</v>
      </c>
      <c r="AZ70" s="285"/>
      <c r="BA70" s="306">
        <f>AU70-AO70</f>
        <v>-244</v>
      </c>
      <c r="BB70" s="307"/>
      <c r="BC70" s="302">
        <f>BA70/E70</f>
        <v>-1.2708333333333333</v>
      </c>
      <c r="BD70" s="303"/>
      <c r="BF70" s="158"/>
    </row>
    <row r="71" spans="1:58" x14ac:dyDescent="0.2">
      <c r="A71" s="149" t="s">
        <v>448</v>
      </c>
      <c r="B71" s="166"/>
      <c r="C71" s="166" t="s">
        <v>343</v>
      </c>
      <c r="D71" s="149" t="s">
        <v>176</v>
      </c>
      <c r="E71" s="284">
        <v>11</v>
      </c>
      <c r="F71" s="285"/>
      <c r="G71" s="284">
        <v>6</v>
      </c>
      <c r="H71" s="285"/>
      <c r="I71" s="284">
        <v>5</v>
      </c>
      <c r="J71" s="285"/>
      <c r="K71" s="284">
        <v>22</v>
      </c>
      <c r="L71" s="285"/>
      <c r="M71" s="284">
        <v>14</v>
      </c>
      <c r="N71" s="285"/>
      <c r="O71" s="284">
        <v>8</v>
      </c>
      <c r="P71" s="285"/>
      <c r="Q71" s="284">
        <v>15</v>
      </c>
      <c r="R71" s="285"/>
      <c r="S71" s="284">
        <v>13</v>
      </c>
      <c r="T71" s="285"/>
      <c r="U71" s="284">
        <v>2</v>
      </c>
      <c r="V71" s="285"/>
      <c r="W71" s="284">
        <v>8</v>
      </c>
      <c r="X71" s="285"/>
      <c r="Y71" s="284">
        <v>4</v>
      </c>
      <c r="Z71" s="285"/>
      <c r="AA71" s="284">
        <v>4</v>
      </c>
      <c r="AB71" s="285"/>
      <c r="AC71" s="284">
        <v>9</v>
      </c>
      <c r="AD71" s="285"/>
      <c r="AE71" s="284">
        <v>6</v>
      </c>
      <c r="AF71" s="285"/>
      <c r="AG71" s="284">
        <v>3</v>
      </c>
      <c r="AH71" s="285"/>
      <c r="AI71" s="284">
        <v>4</v>
      </c>
      <c r="AJ71" s="285"/>
      <c r="AK71" s="284">
        <v>2</v>
      </c>
      <c r="AL71" s="285"/>
      <c r="AM71" s="284">
        <v>2</v>
      </c>
      <c r="AN71" s="285"/>
      <c r="AO71" s="284">
        <v>20</v>
      </c>
      <c r="AP71" s="285"/>
      <c r="AQ71" s="284">
        <v>13</v>
      </c>
      <c r="AR71" s="285"/>
      <c r="AS71" s="284">
        <v>7</v>
      </c>
      <c r="AT71" s="285"/>
      <c r="AU71" s="284">
        <v>29</v>
      </c>
      <c r="AV71" s="285"/>
      <c r="AW71" s="284">
        <v>19</v>
      </c>
      <c r="AX71" s="285"/>
      <c r="AY71" s="284">
        <v>10</v>
      </c>
      <c r="AZ71" s="285"/>
      <c r="BA71" s="306">
        <f>AU71-AO71</f>
        <v>9</v>
      </c>
      <c r="BB71" s="307"/>
      <c r="BC71" s="302">
        <f>BA71/E71</f>
        <v>0.81818181818181823</v>
      </c>
      <c r="BD71" s="303"/>
    </row>
    <row r="72" spans="1:58" ht="15.6" hidden="1" customHeight="1" x14ac:dyDescent="0.25">
      <c r="A72" s="177"/>
      <c r="B72" s="178"/>
      <c r="C72" s="179"/>
      <c r="D72" s="163" t="s">
        <v>36</v>
      </c>
      <c r="E72" s="290" t="s">
        <v>37</v>
      </c>
      <c r="F72" s="291"/>
      <c r="G72" s="290" t="s">
        <v>37</v>
      </c>
      <c r="H72" s="291"/>
      <c r="I72" s="290" t="s">
        <v>37</v>
      </c>
      <c r="J72" s="291"/>
      <c r="K72" s="290" t="s">
        <v>37</v>
      </c>
      <c r="L72" s="291"/>
      <c r="M72" s="290" t="s">
        <v>37</v>
      </c>
      <c r="N72" s="291"/>
      <c r="O72" s="290" t="s">
        <v>37</v>
      </c>
      <c r="P72" s="291"/>
      <c r="Q72" s="290" t="s">
        <v>37</v>
      </c>
      <c r="R72" s="291"/>
      <c r="S72" s="290" t="s">
        <v>37</v>
      </c>
      <c r="T72" s="291"/>
      <c r="U72" s="290" t="s">
        <v>37</v>
      </c>
      <c r="V72" s="291"/>
      <c r="W72" s="290" t="s">
        <v>37</v>
      </c>
      <c r="X72" s="291"/>
      <c r="Y72" s="290" t="s">
        <v>37</v>
      </c>
      <c r="Z72" s="291"/>
      <c r="AA72" s="290" t="s">
        <v>37</v>
      </c>
      <c r="AB72" s="291"/>
      <c r="AC72" s="290" t="s">
        <v>37</v>
      </c>
      <c r="AD72" s="291"/>
      <c r="AE72" s="290" t="s">
        <v>37</v>
      </c>
      <c r="AF72" s="291"/>
      <c r="AG72" s="290" t="s">
        <v>37</v>
      </c>
      <c r="AH72" s="291"/>
      <c r="AI72" s="290" t="s">
        <v>37</v>
      </c>
      <c r="AJ72" s="291"/>
      <c r="AK72" s="290" t="s">
        <v>37</v>
      </c>
      <c r="AL72" s="291"/>
      <c r="AM72" s="290" t="s">
        <v>37</v>
      </c>
      <c r="AN72" s="291"/>
      <c r="AO72" s="290" t="s">
        <v>37</v>
      </c>
      <c r="AP72" s="291"/>
      <c r="AQ72" s="290" t="s">
        <v>37</v>
      </c>
      <c r="AR72" s="291"/>
      <c r="AS72" s="290" t="s">
        <v>37</v>
      </c>
      <c r="AT72" s="291"/>
      <c r="AU72" s="290" t="s">
        <v>37</v>
      </c>
      <c r="AV72" s="291"/>
      <c r="AW72" s="290" t="s">
        <v>37</v>
      </c>
      <c r="AX72" s="291"/>
      <c r="AY72" s="290" t="s">
        <v>37</v>
      </c>
      <c r="AZ72" s="291"/>
      <c r="BA72" s="290" t="s">
        <v>575</v>
      </c>
      <c r="BB72" s="291"/>
      <c r="BC72" s="290"/>
      <c r="BD72" s="291"/>
    </row>
    <row r="73" spans="1:58" ht="15.75" x14ac:dyDescent="0.25">
      <c r="A73" s="195" t="s">
        <v>91</v>
      </c>
      <c r="B73" s="196" t="s">
        <v>57</v>
      </c>
      <c r="C73" s="197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  <c r="AK73" s="198"/>
      <c r="AL73" s="198"/>
      <c r="AM73" s="198"/>
      <c r="AN73" s="198"/>
      <c r="AO73" s="198"/>
      <c r="AP73" s="198"/>
      <c r="AQ73" s="198"/>
      <c r="AR73" s="198"/>
      <c r="AS73" s="198"/>
      <c r="AT73" s="198"/>
      <c r="AU73" s="198"/>
      <c r="AV73" s="198"/>
      <c r="AW73" s="198"/>
      <c r="AX73" s="198"/>
      <c r="AY73" s="198"/>
      <c r="AZ73" s="198"/>
      <c r="BA73" s="199"/>
      <c r="BB73" s="199"/>
      <c r="BC73" s="199"/>
      <c r="BD73" s="199"/>
    </row>
    <row r="74" spans="1:58" x14ac:dyDescent="0.2">
      <c r="A74" s="149" t="s">
        <v>93</v>
      </c>
      <c r="B74" s="166"/>
      <c r="C74" s="166" t="s">
        <v>59</v>
      </c>
      <c r="D74" s="149" t="s">
        <v>173</v>
      </c>
      <c r="E74" s="292">
        <v>30</v>
      </c>
      <c r="F74" s="293"/>
      <c r="G74" s="292">
        <v>30</v>
      </c>
      <c r="H74" s="293"/>
      <c r="I74" s="292">
        <v>30</v>
      </c>
      <c r="J74" s="293"/>
      <c r="K74" s="292">
        <v>30</v>
      </c>
      <c r="L74" s="293"/>
      <c r="M74" s="292">
        <v>30</v>
      </c>
      <c r="N74" s="293"/>
      <c r="O74" s="292">
        <v>30</v>
      </c>
      <c r="P74" s="293"/>
      <c r="Q74" s="292">
        <v>31</v>
      </c>
      <c r="R74" s="293"/>
      <c r="S74" s="292">
        <v>31</v>
      </c>
      <c r="T74" s="293"/>
      <c r="U74" s="292">
        <v>31</v>
      </c>
      <c r="V74" s="293"/>
      <c r="W74" s="292">
        <v>28</v>
      </c>
      <c r="X74" s="293"/>
      <c r="Y74" s="292">
        <v>28</v>
      </c>
      <c r="Z74" s="293"/>
      <c r="AA74" s="292">
        <v>28</v>
      </c>
      <c r="AB74" s="293"/>
      <c r="AC74" s="292">
        <v>31</v>
      </c>
      <c r="AD74" s="293"/>
      <c r="AE74" s="292">
        <v>31</v>
      </c>
      <c r="AF74" s="293"/>
      <c r="AG74" s="292">
        <v>30</v>
      </c>
      <c r="AH74" s="293"/>
      <c r="AI74" s="292">
        <v>30</v>
      </c>
      <c r="AJ74" s="293"/>
      <c r="AK74" s="292">
        <v>30</v>
      </c>
      <c r="AL74" s="293"/>
      <c r="AM74" s="292">
        <v>30</v>
      </c>
      <c r="AN74" s="293"/>
      <c r="AO74" s="292">
        <v>31</v>
      </c>
      <c r="AP74" s="293"/>
      <c r="AQ74" s="292">
        <v>31</v>
      </c>
      <c r="AR74" s="293"/>
      <c r="AS74" s="292">
        <v>31</v>
      </c>
      <c r="AT74" s="293"/>
      <c r="AU74" s="292">
        <v>30</v>
      </c>
      <c r="AV74" s="293"/>
      <c r="AW74" s="292">
        <v>30</v>
      </c>
      <c r="AX74" s="293"/>
      <c r="AY74" s="292">
        <v>30</v>
      </c>
      <c r="AZ74" s="293"/>
      <c r="BA74" s="306">
        <f t="shared" ref="BA74:BA85" si="38">AU74-AO74</f>
        <v>-1</v>
      </c>
      <c r="BB74" s="307"/>
      <c r="BC74" s="302">
        <f t="shared" ref="BC74:BC86" si="39">BA74/AO74</f>
        <v>-3.2258064516129031E-2</v>
      </c>
      <c r="BD74" s="303"/>
    </row>
    <row r="75" spans="1:58" x14ac:dyDescent="0.2">
      <c r="A75" s="149" t="s">
        <v>104</v>
      </c>
      <c r="B75" s="166"/>
      <c r="C75" s="166" t="s">
        <v>60</v>
      </c>
      <c r="D75" s="149" t="s">
        <v>180</v>
      </c>
      <c r="E75" s="282">
        <v>83438</v>
      </c>
      <c r="F75" s="283"/>
      <c r="G75" s="282">
        <v>53184</v>
      </c>
      <c r="H75" s="283"/>
      <c r="I75" s="282">
        <v>30254</v>
      </c>
      <c r="J75" s="283"/>
      <c r="K75" s="282">
        <f>7923+11892+18420+20645+6503+17407</f>
        <v>82790</v>
      </c>
      <c r="L75" s="283"/>
      <c r="M75" s="282">
        <f>7923+20645+6503+17407</f>
        <v>52478</v>
      </c>
      <c r="N75" s="283"/>
      <c r="O75" s="282">
        <f>11892+18420</f>
        <v>30312</v>
      </c>
      <c r="P75" s="283"/>
      <c r="Q75" s="282">
        <f>17980+18249+6574+8211+11783+19454</f>
        <v>82251</v>
      </c>
      <c r="R75" s="283"/>
      <c r="S75" s="282">
        <f>18249+6574+8211+19454</f>
        <v>52488</v>
      </c>
      <c r="T75" s="283"/>
      <c r="U75" s="282">
        <f>17980+11783</f>
        <v>29763</v>
      </c>
      <c r="V75" s="283"/>
      <c r="W75" s="282">
        <v>77864</v>
      </c>
      <c r="X75" s="283"/>
      <c r="Y75" s="282">
        <v>48971</v>
      </c>
      <c r="Z75" s="283"/>
      <c r="AA75" s="282">
        <v>28893</v>
      </c>
      <c r="AB75" s="283"/>
      <c r="AC75" s="282">
        <v>84955</v>
      </c>
      <c r="AD75" s="283"/>
      <c r="AE75" s="282">
        <v>53649</v>
      </c>
      <c r="AF75" s="283"/>
      <c r="AG75" s="282">
        <v>31291</v>
      </c>
      <c r="AH75" s="283"/>
      <c r="AI75" s="282">
        <f>+AK75+AM75</f>
        <v>83552</v>
      </c>
      <c r="AJ75" s="283"/>
      <c r="AK75" s="282">
        <v>52438</v>
      </c>
      <c r="AL75" s="283"/>
      <c r="AM75" s="282">
        <v>31114</v>
      </c>
      <c r="AN75" s="283"/>
      <c r="AO75" s="282">
        <f>+AQ75+AS75</f>
        <v>84665</v>
      </c>
      <c r="AP75" s="283"/>
      <c r="AQ75" s="282">
        <f>16709+19110+8643+8841</f>
        <v>53303</v>
      </c>
      <c r="AR75" s="283"/>
      <c r="AS75" s="282">
        <f>13722+17640</f>
        <v>31362</v>
      </c>
      <c r="AT75" s="283"/>
      <c r="AU75" s="282">
        <f>8456+16844+13382+17744+8688+19923</f>
        <v>85037</v>
      </c>
      <c r="AV75" s="283"/>
      <c r="AW75" s="282">
        <f>8456+17744+8688+19923</f>
        <v>54811</v>
      </c>
      <c r="AX75" s="283"/>
      <c r="AY75" s="282">
        <f>16844+13382</f>
        <v>30226</v>
      </c>
      <c r="AZ75" s="283"/>
      <c r="BA75" s="282">
        <f t="shared" si="38"/>
        <v>372</v>
      </c>
      <c r="BB75" s="283"/>
      <c r="BC75" s="302">
        <f t="shared" si="39"/>
        <v>4.3937872792771514E-3</v>
      </c>
      <c r="BD75" s="303"/>
    </row>
    <row r="76" spans="1:58" x14ac:dyDescent="0.2">
      <c r="A76" s="149" t="s">
        <v>105</v>
      </c>
      <c r="B76" s="166"/>
      <c r="C76" s="166" t="s">
        <v>478</v>
      </c>
      <c r="D76" s="149" t="s">
        <v>180</v>
      </c>
      <c r="E76" s="282">
        <v>2781.2666666666669</v>
      </c>
      <c r="F76" s="283"/>
      <c r="G76" s="282">
        <v>1772.8</v>
      </c>
      <c r="H76" s="283"/>
      <c r="I76" s="282">
        <v>10084.666666666666</v>
      </c>
      <c r="J76" s="283"/>
      <c r="K76" s="282">
        <f>K75/K74</f>
        <v>2759.6666666666665</v>
      </c>
      <c r="L76" s="283"/>
      <c r="M76" s="282">
        <f>M75/M74</f>
        <v>1749.2666666666667</v>
      </c>
      <c r="N76" s="283"/>
      <c r="O76" s="282">
        <f>O75/O74</f>
        <v>1010.4</v>
      </c>
      <c r="P76" s="283"/>
      <c r="Q76" s="282">
        <f>Q75/Q74</f>
        <v>2653.2580645161293</v>
      </c>
      <c r="R76" s="283"/>
      <c r="S76" s="282">
        <f>S75/S74</f>
        <v>1693.1612903225807</v>
      </c>
      <c r="T76" s="283"/>
      <c r="U76" s="282">
        <f>U75/U74</f>
        <v>960.09677419354841</v>
      </c>
      <c r="V76" s="283"/>
      <c r="W76" s="282">
        <v>2780.8571428571427</v>
      </c>
      <c r="X76" s="283"/>
      <c r="Y76" s="282">
        <v>1748.9642857142858</v>
      </c>
      <c r="Z76" s="283"/>
      <c r="AA76" s="282">
        <v>1031.8928571428571</v>
      </c>
      <c r="AB76" s="283"/>
      <c r="AC76" s="282">
        <f>AC75/AC74</f>
        <v>2740.483870967742</v>
      </c>
      <c r="AD76" s="283"/>
      <c r="AE76" s="282">
        <f>AE75/AE74</f>
        <v>1730.6129032258063</v>
      </c>
      <c r="AF76" s="283"/>
      <c r="AG76" s="282">
        <f>AG75/AG74</f>
        <v>1043.0333333333333</v>
      </c>
      <c r="AH76" s="283"/>
      <c r="AI76" s="282">
        <f>AI75/AI74</f>
        <v>2785.0666666666666</v>
      </c>
      <c r="AJ76" s="283"/>
      <c r="AK76" s="282">
        <f>AK75/AK74</f>
        <v>1747.9333333333334</v>
      </c>
      <c r="AL76" s="283"/>
      <c r="AM76" s="282">
        <f>AM75/AM74</f>
        <v>1037.1333333333334</v>
      </c>
      <c r="AN76" s="283"/>
      <c r="AO76" s="282">
        <f>AO75/AO74</f>
        <v>2731.1290322580644</v>
      </c>
      <c r="AP76" s="283"/>
      <c r="AQ76" s="282">
        <f>AQ75/AQ74</f>
        <v>1719.4516129032259</v>
      </c>
      <c r="AR76" s="283"/>
      <c r="AS76" s="282">
        <f>AS75/AS74</f>
        <v>1011.6774193548387</v>
      </c>
      <c r="AT76" s="283"/>
      <c r="AU76" s="282">
        <f>AU75/AU74</f>
        <v>2834.5666666666666</v>
      </c>
      <c r="AV76" s="283"/>
      <c r="AW76" s="282">
        <f>AW75/AW74</f>
        <v>1827.0333333333333</v>
      </c>
      <c r="AX76" s="283"/>
      <c r="AY76" s="282">
        <f>AY75/AY74</f>
        <v>1007.5333333333333</v>
      </c>
      <c r="AZ76" s="283"/>
      <c r="BA76" s="282">
        <f t="shared" si="38"/>
        <v>103.43763440860221</v>
      </c>
      <c r="BB76" s="283"/>
      <c r="BC76" s="302">
        <f t="shared" si="39"/>
        <v>3.7873580188586414E-2</v>
      </c>
      <c r="BD76" s="303"/>
    </row>
    <row r="77" spans="1:58" x14ac:dyDescent="0.2">
      <c r="A77" s="149" t="s">
        <v>106</v>
      </c>
      <c r="B77" s="166"/>
      <c r="C77" s="166" t="s">
        <v>61</v>
      </c>
      <c r="D77" s="149" t="s">
        <v>179</v>
      </c>
      <c r="E77" s="282">
        <v>669326.21</v>
      </c>
      <c r="F77" s="283"/>
      <c r="G77" s="282">
        <v>426648.99</v>
      </c>
      <c r="H77" s="283"/>
      <c r="I77" s="282">
        <v>242677.22000000003</v>
      </c>
      <c r="J77" s="283"/>
      <c r="K77" s="282">
        <f>62889.29+94349.23+144492.84+163729.1+51633.77+138063.38</f>
        <v>655157.61</v>
      </c>
      <c r="L77" s="283"/>
      <c r="M77" s="282">
        <f>163729.1+51633.77+62889.29+138063.38</f>
        <v>416315.54</v>
      </c>
      <c r="N77" s="283"/>
      <c r="O77" s="282">
        <f>94349.23+144492.84</f>
        <v>238842.07</v>
      </c>
      <c r="P77" s="283"/>
      <c r="Q77" s="282">
        <f>136836.54+140251.67+50081.36+62532.53+89701.53+149264.9</f>
        <v>628668.53</v>
      </c>
      <c r="R77" s="283"/>
      <c r="S77" s="282">
        <f>140251.67+50081.36+62532.53+149264.9</f>
        <v>402130.46</v>
      </c>
      <c r="T77" s="283"/>
      <c r="U77" s="282">
        <f>136836.54+89701.53</f>
        <v>226538.07</v>
      </c>
      <c r="V77" s="283"/>
      <c r="W77" s="282">
        <v>625379.81000000006</v>
      </c>
      <c r="X77" s="283"/>
      <c r="Y77" s="282">
        <v>393425.01</v>
      </c>
      <c r="Z77" s="283"/>
      <c r="AA77" s="282">
        <v>231954.8</v>
      </c>
      <c r="AB77" s="283"/>
      <c r="AC77" s="282">
        <v>645593</v>
      </c>
      <c r="AD77" s="283"/>
      <c r="AE77" s="282">
        <v>417758.19</v>
      </c>
      <c r="AF77" s="283"/>
      <c r="AG77" s="282">
        <v>243629.76</v>
      </c>
      <c r="AH77" s="283"/>
      <c r="AI77" s="282">
        <f>+AK77+AM77</f>
        <v>681744.48</v>
      </c>
      <c r="AJ77" s="283"/>
      <c r="AK77" s="282">
        <v>427899.82</v>
      </c>
      <c r="AL77" s="283"/>
      <c r="AM77" s="282">
        <v>253844.66</v>
      </c>
      <c r="AN77" s="283"/>
      <c r="AO77" s="282">
        <f>+AQ77+AS77</f>
        <v>657382.90999999992</v>
      </c>
      <c r="AP77" s="283"/>
      <c r="AQ77" s="282">
        <f>129525.89+148134.33+67180.07+69079.86</f>
        <v>413920.14999999997</v>
      </c>
      <c r="AR77" s="283"/>
      <c r="AS77" s="282">
        <f>106631.58+136831.18</f>
        <v>243462.76</v>
      </c>
      <c r="AT77" s="283"/>
      <c r="AU77" s="282">
        <f>65049.96+129452.09+102893.03+136526.17+66832.27+153143.02</f>
        <v>653896.54</v>
      </c>
      <c r="AV77" s="283"/>
      <c r="AW77" s="282">
        <f>153143.02+66832.27+136526.17+65049.96</f>
        <v>421551.42</v>
      </c>
      <c r="AX77" s="283"/>
      <c r="AY77" s="282">
        <f>102893.03+129452.09</f>
        <v>232345.12</v>
      </c>
      <c r="AZ77" s="283"/>
      <c r="BA77" s="282">
        <f t="shared" si="38"/>
        <v>-3486.3699999998789</v>
      </c>
      <c r="BB77" s="283"/>
      <c r="BC77" s="302">
        <f t="shared" si="39"/>
        <v>-5.3034083286404255E-3</v>
      </c>
      <c r="BD77" s="303"/>
    </row>
    <row r="78" spans="1:58" ht="15.75" x14ac:dyDescent="0.25">
      <c r="A78" s="149" t="s">
        <v>107</v>
      </c>
      <c r="B78" s="166"/>
      <c r="C78" s="165" t="s">
        <v>62</v>
      </c>
      <c r="D78" s="149" t="s">
        <v>180</v>
      </c>
      <c r="E78" s="286">
        <v>8.02183909010283</v>
      </c>
      <c r="F78" s="287"/>
      <c r="G78" s="286">
        <v>8.022130527978339</v>
      </c>
      <c r="H78" s="287"/>
      <c r="I78" s="286">
        <v>8.0213267667085351</v>
      </c>
      <c r="J78" s="287"/>
      <c r="K78" s="286">
        <f>K77/K75</f>
        <v>7.9134872569150865</v>
      </c>
      <c r="L78" s="287"/>
      <c r="M78" s="286">
        <f>M77/M75</f>
        <v>7.9331441747017797</v>
      </c>
      <c r="N78" s="287"/>
      <c r="O78" s="286">
        <f>O77/O75</f>
        <v>7.8794559910266564</v>
      </c>
      <c r="P78" s="287"/>
      <c r="Q78" s="286">
        <f>Q77/Q75</f>
        <v>7.6432934553987186</v>
      </c>
      <c r="R78" s="287"/>
      <c r="S78" s="286">
        <f>S77/S75</f>
        <v>7.6613789818625211</v>
      </c>
      <c r="T78" s="287"/>
      <c r="U78" s="286">
        <f>U77/U75</f>
        <v>7.6113990525148676</v>
      </c>
      <c r="V78" s="287"/>
      <c r="W78" s="286">
        <v>8.0316938508168096</v>
      </c>
      <c r="X78" s="287"/>
      <c r="Y78" s="286">
        <v>8.0338365563292555</v>
      </c>
      <c r="Z78" s="287"/>
      <c r="AA78" s="286">
        <v>8.0280621443848705</v>
      </c>
      <c r="AB78" s="287"/>
      <c r="AC78" s="286">
        <f>AC77/AC75</f>
        <v>7.5992348890589136</v>
      </c>
      <c r="AD78" s="287"/>
      <c r="AE78" s="286">
        <f>AE77/AE75</f>
        <v>7.7868774814069228</v>
      </c>
      <c r="AF78" s="287"/>
      <c r="AG78" s="286">
        <f>AG77/AG75</f>
        <v>7.7859371704323932</v>
      </c>
      <c r="AH78" s="287"/>
      <c r="AI78" s="286">
        <f>AI77/AI75</f>
        <v>8.1595231711987743</v>
      </c>
      <c r="AJ78" s="287"/>
      <c r="AK78" s="286">
        <f>AK77/AK75</f>
        <v>8.1601094626034563</v>
      </c>
      <c r="AL78" s="287"/>
      <c r="AM78" s="286">
        <f>AM77/AM75</f>
        <v>8.1585350646011445</v>
      </c>
      <c r="AN78" s="287"/>
      <c r="AO78" s="286">
        <f>AO77/AO75</f>
        <v>7.7645179235811721</v>
      </c>
      <c r="AP78" s="287"/>
      <c r="AQ78" s="286">
        <f>AQ77/AQ75</f>
        <v>7.765419394780781</v>
      </c>
      <c r="AR78" s="287"/>
      <c r="AS78" s="286">
        <f>AS77/AS75</f>
        <v>7.7629857789681784</v>
      </c>
      <c r="AT78" s="287"/>
      <c r="AU78" s="286">
        <f>AU77/AU75</f>
        <v>7.6895532532897448</v>
      </c>
      <c r="AV78" s="287"/>
      <c r="AW78" s="286">
        <f>AW77/AW75</f>
        <v>7.6910003466457457</v>
      </c>
      <c r="AX78" s="287"/>
      <c r="AY78" s="286">
        <f>AY77/AY75</f>
        <v>7.6869291338582677</v>
      </c>
      <c r="AZ78" s="287"/>
      <c r="BA78" s="306">
        <f t="shared" si="38"/>
        <v>-7.4964670291427282E-2</v>
      </c>
      <c r="BB78" s="307"/>
      <c r="BC78" s="302">
        <f t="shared" si="39"/>
        <v>-9.6547745821741731E-3</v>
      </c>
      <c r="BD78" s="303"/>
    </row>
    <row r="79" spans="1:58" ht="15.75" x14ac:dyDescent="0.25">
      <c r="A79" s="149" t="s">
        <v>108</v>
      </c>
      <c r="B79" s="166"/>
      <c r="C79" s="165" t="s">
        <v>63</v>
      </c>
      <c r="D79" s="149" t="s">
        <v>179</v>
      </c>
      <c r="E79" s="286">
        <v>3.12655298534448</v>
      </c>
      <c r="F79" s="287"/>
      <c r="G79" s="286">
        <v>3.1024730400890057</v>
      </c>
      <c r="H79" s="287"/>
      <c r="I79" s="286">
        <v>3.1192845666396742</v>
      </c>
      <c r="J79" s="287"/>
      <c r="K79" s="286">
        <f>K77/(K44-K83)</f>
        <v>3.3109983854857443</v>
      </c>
      <c r="L79" s="287"/>
      <c r="M79" s="286">
        <f>M77/M44</f>
        <v>3.2648477823759094</v>
      </c>
      <c r="N79" s="287"/>
      <c r="O79" s="286">
        <f>O77/O44</f>
        <v>3.3946395173849586</v>
      </c>
      <c r="P79" s="287"/>
      <c r="Q79" s="286">
        <f>Q77/(Q44-Q83)</f>
        <v>3.6405504658134218</v>
      </c>
      <c r="R79" s="287"/>
      <c r="S79" s="286">
        <f>S77/S44</f>
        <v>3.0499315780297569</v>
      </c>
      <c r="T79" s="287"/>
      <c r="U79" s="286">
        <f>U77/U44</f>
        <v>3.1687553892014266</v>
      </c>
      <c r="V79" s="287"/>
      <c r="W79" s="286">
        <v>3.0677701212957742</v>
      </c>
      <c r="X79" s="287"/>
      <c r="Y79" s="286">
        <v>3.0509482342795473</v>
      </c>
      <c r="Z79" s="287"/>
      <c r="AA79" s="286">
        <v>3.0926840084139724</v>
      </c>
      <c r="AB79" s="287"/>
      <c r="AC79" s="286">
        <f>AC77/(AC44-AC83)</f>
        <v>3.3502944149712781</v>
      </c>
      <c r="AD79" s="287"/>
      <c r="AE79" s="286">
        <f>AE77/AE44</f>
        <v>3.3875839946632942</v>
      </c>
      <c r="AF79" s="287"/>
      <c r="AG79" s="286">
        <f>AG77/AG44</f>
        <v>3.3464707013543586</v>
      </c>
      <c r="AH79" s="287"/>
      <c r="AI79" s="286">
        <f>AI77/(AI44-AI83)</f>
        <v>2.9098909905673525</v>
      </c>
      <c r="AJ79" s="287"/>
      <c r="AK79" s="286">
        <f>AK77/AK44</f>
        <v>2.9772908937581928</v>
      </c>
      <c r="AL79" s="287"/>
      <c r="AM79" s="286">
        <f>AM77/AM44</f>
        <v>2.78283427081247</v>
      </c>
      <c r="AN79" s="287"/>
      <c r="AO79" s="286">
        <f>AO77/(AO44-AO83)</f>
        <v>3.127212647282867</v>
      </c>
      <c r="AP79" s="287"/>
      <c r="AQ79" s="286">
        <f>AQ77/AQ44</f>
        <v>3.0781856797041574</v>
      </c>
      <c r="AR79" s="287"/>
      <c r="AS79" s="286">
        <f>AS77/AS44</f>
        <v>3.1849761253777422</v>
      </c>
      <c r="AT79" s="287"/>
      <c r="AU79" s="286">
        <f>AU77/(AU44-AU83)</f>
        <v>3.2168074775550366</v>
      </c>
      <c r="AV79" s="287"/>
      <c r="AW79" s="286">
        <f>AW77/AW44</f>
        <v>3.127444627056359</v>
      </c>
      <c r="AX79" s="287"/>
      <c r="AY79" s="286">
        <f>AY77/AY44</f>
        <v>3.1721124569226684</v>
      </c>
      <c r="AZ79" s="287"/>
      <c r="BA79" s="306">
        <f t="shared" si="38"/>
        <v>8.9594830272169634E-2</v>
      </c>
      <c r="BB79" s="307"/>
      <c r="BC79" s="302">
        <f t="shared" si="39"/>
        <v>2.8650060094255393E-2</v>
      </c>
      <c r="BD79" s="303"/>
    </row>
    <row r="80" spans="1:58" ht="15.75" x14ac:dyDescent="0.25">
      <c r="A80" s="149" t="s">
        <v>109</v>
      </c>
      <c r="B80" s="166"/>
      <c r="C80" s="165" t="s">
        <v>511</v>
      </c>
      <c r="D80" s="149" t="s">
        <v>180</v>
      </c>
      <c r="E80" s="282">
        <v>0.38975513597847511</v>
      </c>
      <c r="F80" s="283"/>
      <c r="G80" s="282">
        <v>0.38882309075755583</v>
      </c>
      <c r="H80" s="283"/>
      <c r="I80" s="282">
        <v>0.3914044711239909</v>
      </c>
      <c r="J80" s="283"/>
      <c r="K80" s="282">
        <f t="shared" ref="K80" si="40">K75/(K44-K83)</f>
        <v>0.41839940824981764</v>
      </c>
      <c r="L80" s="283"/>
      <c r="M80" s="282">
        <f t="shared" ref="M80" si="41">M75/(M44-M83)</f>
        <v>0.41154524744265608</v>
      </c>
      <c r="N80" s="283"/>
      <c r="O80" s="282">
        <f t="shared" ref="O80" si="42">O75/(O44-O83)</f>
        <v>0.43082155941360273</v>
      </c>
      <c r="P80" s="283"/>
      <c r="Q80" s="282">
        <f t="shared" ref="Q80" si="43">Q75/(Q44-Q83)</f>
        <v>0.476306514600977</v>
      </c>
      <c r="R80" s="283"/>
      <c r="S80" s="282">
        <f t="shared" ref="S80" si="44">S75/(S44-S83)</f>
        <v>0.3980917254256886</v>
      </c>
      <c r="T80" s="283"/>
      <c r="U80" s="282">
        <f t="shared" ref="U80" si="45">U75/(U44-U83)</f>
        <v>0.41631707486870556</v>
      </c>
      <c r="V80" s="283"/>
      <c r="W80" s="282">
        <v>0.38195804998017785</v>
      </c>
      <c r="X80" s="283"/>
      <c r="Y80" s="282">
        <v>0.3799833014800118</v>
      </c>
      <c r="Z80" s="283"/>
      <c r="AA80" s="282">
        <v>0.38535234504642402</v>
      </c>
      <c r="AB80" s="283"/>
      <c r="AC80" s="282">
        <f t="shared" ref="AC80" si="46">AC75/(AC44-AC83)</f>
        <v>0.44087259623924818</v>
      </c>
      <c r="AD80" s="283"/>
      <c r="AE80" s="282">
        <f t="shared" ref="AE80" si="47">AE75/(AE44-AE83)</f>
        <v>0.43902118154000674</v>
      </c>
      <c r="AF80" s="283"/>
      <c r="AG80" s="282">
        <f t="shared" ref="AG80" si="48">AG75/(AG44-AG83)</f>
        <v>0.43401853084775854</v>
      </c>
      <c r="AH80" s="283"/>
      <c r="AI80" s="282">
        <f t="shared" ref="AI80" si="49">AI75/(AI44-AI83)</f>
        <v>0.35662512741413532</v>
      </c>
      <c r="AJ80" s="283"/>
      <c r="AK80" s="282">
        <f t="shared" ref="AK80" si="50">AK75/(AK44-AK83)</f>
        <v>0.36547203028710579</v>
      </c>
      <c r="AL80" s="283"/>
      <c r="AM80" s="282">
        <f t="shared" ref="AM80" si="51">AM75/(AM44-AM83)</f>
        <v>0.34264621684503599</v>
      </c>
      <c r="AN80" s="283"/>
      <c r="AO80" s="282">
        <f t="shared" ref="AO80" si="52">AO75/(AO44-AO83)</f>
        <v>0.40275683282092617</v>
      </c>
      <c r="AP80" s="283"/>
      <c r="AQ80" s="282">
        <f t="shared" ref="AQ80" si="53">AQ75/(AQ44-AQ83)</f>
        <v>0.3965794307984406</v>
      </c>
      <c r="AR80" s="283"/>
      <c r="AS80" s="282">
        <f t="shared" ref="AS80" si="54">AS75/(AS44-AS83)</f>
        <v>0.41226732569145019</v>
      </c>
      <c r="AT80" s="283"/>
      <c r="AU80" s="282">
        <f t="shared" ref="AU80" si="55">AU75/(AU44-AU83)</f>
        <v>0.41833476817119664</v>
      </c>
      <c r="AV80" s="283"/>
      <c r="AW80" s="282">
        <f t="shared" ref="AW80" si="56">AW75/(AW44-AW83)</f>
        <v>0.40683309778119309</v>
      </c>
      <c r="AX80" s="283"/>
      <c r="AY80" s="282">
        <f t="shared" ref="AY80" si="57">AY75/(AY44-AY83)</f>
        <v>0.41266315867940145</v>
      </c>
      <c r="AZ80" s="283"/>
      <c r="BA80" s="306">
        <f t="shared" si="38"/>
        <v>1.5577935350270466E-2</v>
      </c>
      <c r="BB80" s="307"/>
      <c r="BC80" s="302">
        <f t="shared" si="39"/>
        <v>3.867826460239529E-2</v>
      </c>
      <c r="BD80" s="303"/>
    </row>
    <row r="81" spans="1:56" x14ac:dyDescent="0.2">
      <c r="A81" s="149" t="s">
        <v>110</v>
      </c>
      <c r="B81" s="166"/>
      <c r="C81" s="166" t="s">
        <v>64</v>
      </c>
      <c r="D81" s="149" t="s">
        <v>181</v>
      </c>
      <c r="E81" s="284">
        <v>4</v>
      </c>
      <c r="F81" s="285"/>
      <c r="G81" s="284">
        <v>3</v>
      </c>
      <c r="H81" s="285"/>
      <c r="I81" s="284">
        <v>1</v>
      </c>
      <c r="J81" s="285"/>
      <c r="K81" s="284">
        <v>4</v>
      </c>
      <c r="L81" s="285"/>
      <c r="M81" s="284">
        <v>3</v>
      </c>
      <c r="N81" s="285"/>
      <c r="O81" s="284">
        <v>1</v>
      </c>
      <c r="P81" s="285"/>
      <c r="Q81" s="284">
        <v>4</v>
      </c>
      <c r="R81" s="285"/>
      <c r="S81" s="284">
        <v>3</v>
      </c>
      <c r="T81" s="285"/>
      <c r="U81" s="284">
        <v>1</v>
      </c>
      <c r="V81" s="285"/>
      <c r="W81" s="284">
        <v>4</v>
      </c>
      <c r="X81" s="285"/>
      <c r="Y81" s="284">
        <v>3</v>
      </c>
      <c r="Z81" s="285"/>
      <c r="AA81" s="284">
        <v>1</v>
      </c>
      <c r="AB81" s="285"/>
      <c r="AC81" s="284">
        <v>4</v>
      </c>
      <c r="AD81" s="285"/>
      <c r="AE81" s="284">
        <v>3</v>
      </c>
      <c r="AF81" s="285"/>
      <c r="AG81" s="284">
        <v>1</v>
      </c>
      <c r="AH81" s="285"/>
      <c r="AI81" s="284">
        <v>4</v>
      </c>
      <c r="AJ81" s="285"/>
      <c r="AK81" s="284">
        <v>3</v>
      </c>
      <c r="AL81" s="285"/>
      <c r="AM81" s="284">
        <v>1</v>
      </c>
      <c r="AN81" s="285"/>
      <c r="AO81" s="284">
        <v>4</v>
      </c>
      <c r="AP81" s="285"/>
      <c r="AQ81" s="284">
        <v>3</v>
      </c>
      <c r="AR81" s="285"/>
      <c r="AS81" s="284">
        <v>1</v>
      </c>
      <c r="AT81" s="285"/>
      <c r="AU81" s="284">
        <v>4</v>
      </c>
      <c r="AV81" s="285"/>
      <c r="AW81" s="284">
        <v>3</v>
      </c>
      <c r="AX81" s="285"/>
      <c r="AY81" s="284">
        <v>1</v>
      </c>
      <c r="AZ81" s="285"/>
      <c r="BA81" s="306">
        <f t="shared" si="38"/>
        <v>0</v>
      </c>
      <c r="BB81" s="307"/>
      <c r="BC81" s="302">
        <f t="shared" si="39"/>
        <v>0</v>
      </c>
      <c r="BD81" s="303"/>
    </row>
    <row r="82" spans="1:56" x14ac:dyDescent="0.2">
      <c r="A82" s="149" t="s">
        <v>111</v>
      </c>
      <c r="B82" s="166"/>
      <c r="C82" s="166" t="s">
        <v>65</v>
      </c>
      <c r="D82" s="149" t="s">
        <v>174</v>
      </c>
      <c r="E82" s="282">
        <v>18.98</v>
      </c>
      <c r="F82" s="283"/>
      <c r="G82" s="282">
        <v>18.98</v>
      </c>
      <c r="H82" s="283"/>
      <c r="I82" s="284">
        <v>5.0199999999999996</v>
      </c>
      <c r="J82" s="285"/>
      <c r="K82" s="282">
        <v>0</v>
      </c>
      <c r="L82" s="283"/>
      <c r="M82" s="282">
        <v>0</v>
      </c>
      <c r="N82" s="283"/>
      <c r="O82" s="284">
        <v>0</v>
      </c>
      <c r="P82" s="285"/>
      <c r="Q82" s="282">
        <v>0</v>
      </c>
      <c r="R82" s="283"/>
      <c r="S82" s="282">
        <v>0</v>
      </c>
      <c r="T82" s="283"/>
      <c r="U82" s="284">
        <v>0</v>
      </c>
      <c r="V82" s="285"/>
      <c r="W82" s="282">
        <v>0.71</v>
      </c>
      <c r="X82" s="283"/>
      <c r="Y82" s="282">
        <v>0.59</v>
      </c>
      <c r="Z82" s="283"/>
      <c r="AA82" s="282">
        <v>0.12</v>
      </c>
      <c r="AB82" s="283"/>
      <c r="AC82" s="282">
        <v>31.97</v>
      </c>
      <c r="AD82" s="283"/>
      <c r="AE82" s="282">
        <v>25.45</v>
      </c>
      <c r="AF82" s="283"/>
      <c r="AG82" s="282">
        <v>7</v>
      </c>
      <c r="AH82" s="283"/>
      <c r="AI82" s="282">
        <f>+AM82+AK82</f>
        <v>8.1999999999999993</v>
      </c>
      <c r="AJ82" s="283"/>
      <c r="AK82" s="282">
        <v>4.3</v>
      </c>
      <c r="AL82" s="283"/>
      <c r="AM82" s="282">
        <v>3.9</v>
      </c>
      <c r="AN82" s="283"/>
      <c r="AO82" s="282">
        <f>+AS82+AQ82</f>
        <v>10.210000000000001</v>
      </c>
      <c r="AP82" s="283"/>
      <c r="AQ82" s="282">
        <v>2.5499999999999998</v>
      </c>
      <c r="AR82" s="283"/>
      <c r="AS82" s="282">
        <v>7.66</v>
      </c>
      <c r="AT82" s="283"/>
      <c r="AU82" s="282">
        <v>1.06</v>
      </c>
      <c r="AV82" s="283"/>
      <c r="AW82" s="282">
        <v>1.06</v>
      </c>
      <c r="AX82" s="283"/>
      <c r="AY82" s="282"/>
      <c r="AZ82" s="283"/>
      <c r="BA82" s="306">
        <f t="shared" si="38"/>
        <v>-9.15</v>
      </c>
      <c r="BB82" s="307"/>
      <c r="BC82" s="302">
        <f t="shared" si="39"/>
        <v>-0.89618021547502447</v>
      </c>
      <c r="BD82" s="303"/>
    </row>
    <row r="83" spans="1:56" x14ac:dyDescent="0.2">
      <c r="A83" s="149" t="s">
        <v>112</v>
      </c>
      <c r="B83" s="166"/>
      <c r="C83" s="166" t="s">
        <v>66</v>
      </c>
      <c r="D83" s="149" t="s">
        <v>176</v>
      </c>
      <c r="E83" s="282">
        <v>1240</v>
      </c>
      <c r="F83" s="283"/>
      <c r="G83" s="284">
        <v>737</v>
      </c>
      <c r="H83" s="285"/>
      <c r="I83" s="284">
        <v>503</v>
      </c>
      <c r="J83" s="285"/>
      <c r="K83" s="282">
        <v>0</v>
      </c>
      <c r="L83" s="283"/>
      <c r="M83" s="284">
        <v>0</v>
      </c>
      <c r="N83" s="285"/>
      <c r="O83" s="284">
        <v>0</v>
      </c>
      <c r="P83" s="285"/>
      <c r="Q83" s="282">
        <v>0</v>
      </c>
      <c r="R83" s="283"/>
      <c r="S83" s="284">
        <v>0</v>
      </c>
      <c r="T83" s="285"/>
      <c r="U83" s="284">
        <v>0</v>
      </c>
      <c r="V83" s="285"/>
      <c r="W83" s="282">
        <v>98</v>
      </c>
      <c r="X83" s="283"/>
      <c r="Y83" s="284">
        <v>75</v>
      </c>
      <c r="Z83" s="285"/>
      <c r="AA83" s="284">
        <v>23</v>
      </c>
      <c r="AB83" s="285"/>
      <c r="AC83" s="282">
        <v>1825</v>
      </c>
      <c r="AD83" s="283"/>
      <c r="AE83" s="284">
        <v>1119</v>
      </c>
      <c r="AF83" s="285"/>
      <c r="AG83" s="284">
        <v>706</v>
      </c>
      <c r="AH83" s="285"/>
      <c r="AI83" s="282">
        <f>+AK83+AM83</f>
        <v>654</v>
      </c>
      <c r="AJ83" s="283"/>
      <c r="AK83" s="284">
        <v>241</v>
      </c>
      <c r="AL83" s="285"/>
      <c r="AM83" s="284">
        <v>413</v>
      </c>
      <c r="AN83" s="285"/>
      <c r="AO83" s="282">
        <f>+AQ83+AS83</f>
        <v>431</v>
      </c>
      <c r="AP83" s="283"/>
      <c r="AQ83" s="284">
        <v>62</v>
      </c>
      <c r="AR83" s="285"/>
      <c r="AS83" s="284">
        <v>369</v>
      </c>
      <c r="AT83" s="285"/>
      <c r="AU83" s="282">
        <v>65</v>
      </c>
      <c r="AV83" s="283"/>
      <c r="AW83" s="284">
        <v>65</v>
      </c>
      <c r="AX83" s="285"/>
      <c r="AY83" s="284"/>
      <c r="AZ83" s="285"/>
      <c r="BA83" s="306">
        <f t="shared" si="38"/>
        <v>-366</v>
      </c>
      <c r="BB83" s="307"/>
      <c r="BC83" s="302">
        <f t="shared" si="39"/>
        <v>-0.84918793503480283</v>
      </c>
      <c r="BD83" s="303"/>
    </row>
    <row r="84" spans="1:56" x14ac:dyDescent="0.2">
      <c r="A84" s="149" t="s">
        <v>113</v>
      </c>
      <c r="B84" s="166"/>
      <c r="C84" s="166" t="s">
        <v>67</v>
      </c>
      <c r="D84" s="149" t="s">
        <v>179</v>
      </c>
      <c r="E84" s="282">
        <v>2350</v>
      </c>
      <c r="F84" s="283"/>
      <c r="G84" s="282"/>
      <c r="H84" s="283"/>
      <c r="I84" s="282"/>
      <c r="J84" s="283"/>
      <c r="K84" s="282">
        <v>9300</v>
      </c>
      <c r="L84" s="283"/>
      <c r="M84" s="282"/>
      <c r="N84" s="283"/>
      <c r="O84" s="282"/>
      <c r="P84" s="283"/>
      <c r="Q84" s="282">
        <v>0</v>
      </c>
      <c r="R84" s="283"/>
      <c r="S84" s="282"/>
      <c r="T84" s="283"/>
      <c r="U84" s="282"/>
      <c r="V84" s="283"/>
      <c r="W84" s="282">
        <v>11090</v>
      </c>
      <c r="X84" s="283"/>
      <c r="Y84" s="282"/>
      <c r="Z84" s="283"/>
      <c r="AA84" s="282"/>
      <c r="AB84" s="283"/>
      <c r="AC84" s="282">
        <v>2850</v>
      </c>
      <c r="AD84" s="283"/>
      <c r="AE84" s="282"/>
      <c r="AF84" s="283"/>
      <c r="AG84" s="282"/>
      <c r="AH84" s="283"/>
      <c r="AI84" s="282">
        <v>2940</v>
      </c>
      <c r="AJ84" s="283"/>
      <c r="AK84" s="282"/>
      <c r="AL84" s="283"/>
      <c r="AM84" s="282"/>
      <c r="AN84" s="283"/>
      <c r="AO84" s="282">
        <v>72185</v>
      </c>
      <c r="AP84" s="283"/>
      <c r="AQ84" s="282"/>
      <c r="AR84" s="283"/>
      <c r="AS84" s="282"/>
      <c r="AT84" s="283"/>
      <c r="AU84" s="282">
        <v>0</v>
      </c>
      <c r="AV84" s="283"/>
      <c r="AW84" s="282"/>
      <c r="AX84" s="283"/>
      <c r="AY84" s="282"/>
      <c r="AZ84" s="283"/>
      <c r="BA84" s="306">
        <f t="shared" si="38"/>
        <v>-72185</v>
      </c>
      <c r="BB84" s="307"/>
      <c r="BC84" s="302">
        <f t="shared" si="39"/>
        <v>-1</v>
      </c>
      <c r="BD84" s="303"/>
    </row>
    <row r="85" spans="1:56" x14ac:dyDescent="0.2">
      <c r="A85" s="149" t="s">
        <v>195</v>
      </c>
      <c r="B85" s="166"/>
      <c r="C85" s="166" t="s">
        <v>68</v>
      </c>
      <c r="D85" s="149" t="s">
        <v>179</v>
      </c>
      <c r="E85" s="286">
        <v>1.8951452903225801</v>
      </c>
      <c r="F85" s="287"/>
      <c r="G85" s="286">
        <v>0</v>
      </c>
      <c r="H85" s="287"/>
      <c r="I85" s="286">
        <v>0</v>
      </c>
      <c r="J85" s="287"/>
      <c r="K85" s="286" t="e">
        <f>K84/K83</f>
        <v>#DIV/0!</v>
      </c>
      <c r="L85" s="287"/>
      <c r="M85" s="286" t="e">
        <f>M84/M83</f>
        <v>#DIV/0!</v>
      </c>
      <c r="N85" s="287"/>
      <c r="O85" s="286" t="e">
        <f>O84/O83</f>
        <v>#DIV/0!</v>
      </c>
      <c r="P85" s="287"/>
      <c r="Q85" s="286" t="e">
        <f>Q84/Q83</f>
        <v>#DIV/0!</v>
      </c>
      <c r="R85" s="287"/>
      <c r="S85" s="286" t="e">
        <f>S84/S83</f>
        <v>#DIV/0!</v>
      </c>
      <c r="T85" s="287"/>
      <c r="U85" s="286" t="e">
        <f>U84/U83</f>
        <v>#DIV/0!</v>
      </c>
      <c r="V85" s="287"/>
      <c r="W85" s="286">
        <v>113.163265304522</v>
      </c>
      <c r="X85" s="287"/>
      <c r="Y85" s="286">
        <v>0</v>
      </c>
      <c r="Z85" s="287"/>
      <c r="AA85" s="286">
        <v>0</v>
      </c>
      <c r="AB85" s="287"/>
      <c r="AC85" s="286">
        <f>AC84/AC83</f>
        <v>1.5616438356164384</v>
      </c>
      <c r="AD85" s="287"/>
      <c r="AE85" s="286">
        <f>AE84/AE83</f>
        <v>0</v>
      </c>
      <c r="AF85" s="287"/>
      <c r="AG85" s="286">
        <f>AG84/AG83</f>
        <v>0</v>
      </c>
      <c r="AH85" s="287"/>
      <c r="AI85" s="286">
        <f>AI84/AI83</f>
        <v>4.4954128440366974</v>
      </c>
      <c r="AJ85" s="287"/>
      <c r="AK85" s="286">
        <f>AK84/AK83</f>
        <v>0</v>
      </c>
      <c r="AL85" s="287"/>
      <c r="AM85" s="286">
        <f>AM84/AM83</f>
        <v>0</v>
      </c>
      <c r="AN85" s="287"/>
      <c r="AO85" s="286">
        <f>AO84/AO83</f>
        <v>167.48259860788863</v>
      </c>
      <c r="AP85" s="287"/>
      <c r="AQ85" s="286">
        <f>AQ84/AQ83</f>
        <v>0</v>
      </c>
      <c r="AR85" s="287"/>
      <c r="AS85" s="286">
        <f>AS84/AS83</f>
        <v>0</v>
      </c>
      <c r="AT85" s="287"/>
      <c r="AU85" s="286">
        <f>AU84/AU83</f>
        <v>0</v>
      </c>
      <c r="AV85" s="287"/>
      <c r="AW85" s="286">
        <f>AW84/AW83</f>
        <v>0</v>
      </c>
      <c r="AX85" s="287"/>
      <c r="AY85" s="286" t="e">
        <f>AY84/AY83</f>
        <v>#DIV/0!</v>
      </c>
      <c r="AZ85" s="287"/>
      <c r="BA85" s="306">
        <f t="shared" si="38"/>
        <v>-167.48259860788863</v>
      </c>
      <c r="BB85" s="307"/>
      <c r="BC85" s="302">
        <f t="shared" si="39"/>
        <v>-1</v>
      </c>
      <c r="BD85" s="303"/>
    </row>
    <row r="86" spans="1:56" x14ac:dyDescent="0.2">
      <c r="A86" s="149" t="s">
        <v>248</v>
      </c>
      <c r="B86" s="166"/>
      <c r="C86" s="166" t="s">
        <v>191</v>
      </c>
      <c r="D86" s="149" t="s">
        <v>179</v>
      </c>
      <c r="E86" s="282">
        <v>0</v>
      </c>
      <c r="F86" s="283"/>
      <c r="G86" s="282"/>
      <c r="H86" s="283"/>
      <c r="I86" s="282"/>
      <c r="J86" s="283"/>
      <c r="K86" s="282">
        <v>0</v>
      </c>
      <c r="L86" s="283"/>
      <c r="M86" s="282">
        <v>0</v>
      </c>
      <c r="N86" s="283"/>
      <c r="O86" s="282">
        <v>0</v>
      </c>
      <c r="P86" s="283"/>
      <c r="Q86" s="282">
        <v>0</v>
      </c>
      <c r="R86" s="283"/>
      <c r="S86" s="282">
        <v>0</v>
      </c>
      <c r="T86" s="283"/>
      <c r="U86" s="282">
        <v>0</v>
      </c>
      <c r="V86" s="283"/>
      <c r="W86" s="282">
        <v>0</v>
      </c>
      <c r="X86" s="283"/>
      <c r="Y86" s="282">
        <v>0</v>
      </c>
      <c r="Z86" s="283"/>
      <c r="AA86" s="282">
        <v>0</v>
      </c>
      <c r="AB86" s="283"/>
      <c r="AC86" s="282">
        <v>0</v>
      </c>
      <c r="AD86" s="283"/>
      <c r="AE86" s="282"/>
      <c r="AF86" s="283"/>
      <c r="AG86" s="282"/>
      <c r="AH86" s="283"/>
      <c r="AI86" s="282"/>
      <c r="AJ86" s="283"/>
      <c r="AK86" s="282"/>
      <c r="AL86" s="283"/>
      <c r="AM86" s="282"/>
      <c r="AN86" s="283"/>
      <c r="AO86" s="282"/>
      <c r="AP86" s="283"/>
      <c r="AQ86" s="282"/>
      <c r="AR86" s="283"/>
      <c r="AS86" s="282"/>
      <c r="AT86" s="283"/>
      <c r="AU86" s="282"/>
      <c r="AV86" s="283"/>
      <c r="AW86" s="282"/>
      <c r="AX86" s="283"/>
      <c r="AY86" s="282"/>
      <c r="AZ86" s="283"/>
      <c r="BA86" s="306">
        <f>+AO86-AU86</f>
        <v>0</v>
      </c>
      <c r="BB86" s="307"/>
      <c r="BC86" s="302" t="e">
        <f t="shared" si="39"/>
        <v>#DIV/0!</v>
      </c>
      <c r="BD86" s="303"/>
    </row>
    <row r="87" spans="1:56" ht="15.75" x14ac:dyDescent="0.25">
      <c r="A87" s="195" t="s">
        <v>196</v>
      </c>
      <c r="B87" s="196" t="s">
        <v>79</v>
      </c>
      <c r="C87" s="197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198"/>
      <c r="AI87" s="198"/>
      <c r="AJ87" s="198"/>
      <c r="AK87" s="198"/>
      <c r="AL87" s="198"/>
      <c r="AM87" s="198"/>
      <c r="AN87" s="198"/>
      <c r="AO87" s="198"/>
      <c r="AP87" s="198"/>
      <c r="AQ87" s="198"/>
      <c r="AR87" s="198"/>
      <c r="AS87" s="198"/>
      <c r="AT87" s="198"/>
      <c r="AU87" s="198"/>
      <c r="AV87" s="198"/>
      <c r="AW87" s="198"/>
      <c r="AX87" s="198"/>
      <c r="AY87" s="198"/>
      <c r="AZ87" s="198"/>
      <c r="BA87" s="199"/>
      <c r="BB87" s="199"/>
      <c r="BC87" s="199"/>
      <c r="BD87" s="199"/>
    </row>
    <row r="88" spans="1:56" x14ac:dyDescent="0.2">
      <c r="A88" s="149" t="s">
        <v>114</v>
      </c>
      <c r="B88" s="166"/>
      <c r="C88" s="166" t="s">
        <v>81</v>
      </c>
      <c r="D88" s="149" t="s">
        <v>176</v>
      </c>
      <c r="E88" s="284">
        <v>186694</v>
      </c>
      <c r="F88" s="285"/>
      <c r="G88" s="284">
        <v>128349</v>
      </c>
      <c r="H88" s="285"/>
      <c r="I88" s="284">
        <v>72312</v>
      </c>
      <c r="J88" s="285"/>
      <c r="K88" s="284">
        <v>168270</v>
      </c>
      <c r="L88" s="285"/>
      <c r="M88" s="284">
        <f>+K88-O88</f>
        <v>103975</v>
      </c>
      <c r="N88" s="285"/>
      <c r="O88" s="284">
        <v>64295</v>
      </c>
      <c r="P88" s="285"/>
      <c r="Q88" s="284">
        <v>147123</v>
      </c>
      <c r="R88" s="285"/>
      <c r="S88" s="284">
        <v>92014</v>
      </c>
      <c r="T88" s="285"/>
      <c r="U88" s="284">
        <v>55109</v>
      </c>
      <c r="V88" s="285"/>
      <c r="W88" s="284">
        <v>181227</v>
      </c>
      <c r="X88" s="285"/>
      <c r="Y88" s="284">
        <v>113067</v>
      </c>
      <c r="Z88" s="285"/>
      <c r="AA88" s="284">
        <v>68144</v>
      </c>
      <c r="AB88" s="285"/>
      <c r="AC88" s="284">
        <v>169192</v>
      </c>
      <c r="AD88" s="285"/>
      <c r="AE88" s="284">
        <v>104912</v>
      </c>
      <c r="AF88" s="285"/>
      <c r="AG88" s="284">
        <v>64280</v>
      </c>
      <c r="AH88" s="285"/>
      <c r="AI88" s="284">
        <v>209740</v>
      </c>
      <c r="AJ88" s="285"/>
      <c r="AK88" s="284">
        <v>130031</v>
      </c>
      <c r="AL88" s="285"/>
      <c r="AM88" s="284">
        <v>79709</v>
      </c>
      <c r="AN88" s="285"/>
      <c r="AO88" s="284">
        <v>184071</v>
      </c>
      <c r="AP88" s="285"/>
      <c r="AQ88" s="284">
        <v>114170</v>
      </c>
      <c r="AR88" s="285"/>
      <c r="AS88" s="284">
        <v>69901</v>
      </c>
      <c r="AT88" s="285"/>
      <c r="AU88" s="284">
        <v>175698</v>
      </c>
      <c r="AV88" s="285"/>
      <c r="AW88" s="284">
        <v>107922</v>
      </c>
      <c r="AX88" s="285"/>
      <c r="AY88" s="284">
        <v>67776</v>
      </c>
      <c r="AZ88" s="285"/>
      <c r="BA88" s="306">
        <f>AU88-AO88</f>
        <v>-8373</v>
      </c>
      <c r="BB88" s="307"/>
      <c r="BC88" s="302">
        <f>BA88/AO88</f>
        <v>-4.5487882393206967E-2</v>
      </c>
      <c r="BD88" s="303"/>
    </row>
    <row r="89" spans="1:56" x14ac:dyDescent="0.2">
      <c r="A89" s="149" t="s">
        <v>115</v>
      </c>
      <c r="B89" s="166" t="s">
        <v>210</v>
      </c>
      <c r="C89" s="166" t="s">
        <v>82</v>
      </c>
      <c r="D89" s="149" t="s">
        <v>176</v>
      </c>
      <c r="E89" s="284">
        <v>4414</v>
      </c>
      <c r="F89" s="285"/>
      <c r="G89" s="284">
        <v>3044</v>
      </c>
      <c r="H89" s="285"/>
      <c r="I89" s="284">
        <v>895</v>
      </c>
      <c r="J89" s="285"/>
      <c r="K89" s="284">
        <v>5495</v>
      </c>
      <c r="L89" s="285"/>
      <c r="M89" s="284">
        <f>+K89-O89</f>
        <v>4005</v>
      </c>
      <c r="N89" s="285"/>
      <c r="O89" s="284">
        <v>1490</v>
      </c>
      <c r="P89" s="285"/>
      <c r="Q89" s="284">
        <v>5204</v>
      </c>
      <c r="R89" s="285"/>
      <c r="S89" s="284">
        <v>3916</v>
      </c>
      <c r="T89" s="285"/>
      <c r="U89" s="284">
        <v>1288</v>
      </c>
      <c r="V89" s="285"/>
      <c r="W89" s="284">
        <v>3833</v>
      </c>
      <c r="X89" s="285"/>
      <c r="Y89" s="284">
        <v>2879</v>
      </c>
      <c r="Z89" s="285"/>
      <c r="AA89" s="284">
        <v>954</v>
      </c>
      <c r="AB89" s="285"/>
      <c r="AC89" s="284">
        <v>2543</v>
      </c>
      <c r="AD89" s="285"/>
      <c r="AE89" s="284">
        <v>1872</v>
      </c>
      <c r="AF89" s="285"/>
      <c r="AG89" s="284">
        <v>671</v>
      </c>
      <c r="AH89" s="285"/>
      <c r="AI89" s="284">
        <v>3181</v>
      </c>
      <c r="AJ89" s="285"/>
      <c r="AK89" s="284">
        <v>2306</v>
      </c>
      <c r="AL89" s="285"/>
      <c r="AM89" s="284">
        <v>875</v>
      </c>
      <c r="AN89" s="285"/>
      <c r="AO89" s="284">
        <v>3044</v>
      </c>
      <c r="AP89" s="285"/>
      <c r="AQ89" s="284">
        <v>2367</v>
      </c>
      <c r="AR89" s="285"/>
      <c r="AS89" s="284">
        <v>693</v>
      </c>
      <c r="AT89" s="285"/>
      <c r="AU89" s="284">
        <v>2922</v>
      </c>
      <c r="AV89" s="285"/>
      <c r="AW89" s="284">
        <v>2298</v>
      </c>
      <c r="AX89" s="285"/>
      <c r="AY89" s="284">
        <v>624</v>
      </c>
      <c r="AZ89" s="285"/>
      <c r="BA89" s="306">
        <f>AU89-AO89</f>
        <v>-122</v>
      </c>
      <c r="BB89" s="307"/>
      <c r="BC89" s="302">
        <f>BA89/AO89</f>
        <v>-4.0078843626806832E-2</v>
      </c>
      <c r="BD89" s="303"/>
    </row>
    <row r="90" spans="1:56" ht="15.75" x14ac:dyDescent="0.25">
      <c r="A90" s="149" t="s">
        <v>197</v>
      </c>
      <c r="B90" s="166" t="s">
        <v>211</v>
      </c>
      <c r="C90" s="165" t="s">
        <v>83</v>
      </c>
      <c r="D90" s="149" t="s">
        <v>176</v>
      </c>
      <c r="E90" s="288">
        <v>191108</v>
      </c>
      <c r="F90" s="289"/>
      <c r="G90" s="288">
        <v>131393</v>
      </c>
      <c r="H90" s="289"/>
      <c r="I90" s="288">
        <v>73207</v>
      </c>
      <c r="J90" s="289"/>
      <c r="K90" s="288">
        <f>K88+K89</f>
        <v>173765</v>
      </c>
      <c r="L90" s="289"/>
      <c r="M90" s="288">
        <f>M88+M89</f>
        <v>107980</v>
      </c>
      <c r="N90" s="289"/>
      <c r="O90" s="288">
        <f>O88+O89</f>
        <v>65785</v>
      </c>
      <c r="P90" s="289"/>
      <c r="Q90" s="288">
        <f>Q88+Q89</f>
        <v>152327</v>
      </c>
      <c r="R90" s="289"/>
      <c r="S90" s="288">
        <f>S88+S89</f>
        <v>95930</v>
      </c>
      <c r="T90" s="289"/>
      <c r="U90" s="288">
        <f>U88+U89</f>
        <v>56397</v>
      </c>
      <c r="V90" s="289"/>
      <c r="W90" s="288">
        <v>185044</v>
      </c>
      <c r="X90" s="289"/>
      <c r="Y90" s="288">
        <v>115946</v>
      </c>
      <c r="Z90" s="289"/>
      <c r="AA90" s="288">
        <v>69114</v>
      </c>
      <c r="AB90" s="289"/>
      <c r="AC90" s="288">
        <f>AC88+AC89</f>
        <v>171735</v>
      </c>
      <c r="AD90" s="289"/>
      <c r="AE90" s="288">
        <f>AE88+AE89</f>
        <v>106784</v>
      </c>
      <c r="AF90" s="289"/>
      <c r="AG90" s="288">
        <f>AG88+AG89</f>
        <v>64951</v>
      </c>
      <c r="AH90" s="289"/>
      <c r="AI90" s="288">
        <f>AI88+AI89</f>
        <v>212921</v>
      </c>
      <c r="AJ90" s="289"/>
      <c r="AK90" s="288">
        <f>AK88+AK89</f>
        <v>132337</v>
      </c>
      <c r="AL90" s="289"/>
      <c r="AM90" s="288">
        <f>AM88+AM89</f>
        <v>80584</v>
      </c>
      <c r="AN90" s="289"/>
      <c r="AO90" s="288">
        <f>AO88+AO89</f>
        <v>187115</v>
      </c>
      <c r="AP90" s="289"/>
      <c r="AQ90" s="288">
        <f>AQ88+AQ89</f>
        <v>116537</v>
      </c>
      <c r="AR90" s="289"/>
      <c r="AS90" s="288">
        <f>AS88+AS89</f>
        <v>70594</v>
      </c>
      <c r="AT90" s="289"/>
      <c r="AU90" s="288">
        <f>AU88+AU89</f>
        <v>178620</v>
      </c>
      <c r="AV90" s="289"/>
      <c r="AW90" s="288">
        <f>AW88+AW89</f>
        <v>110220</v>
      </c>
      <c r="AX90" s="289"/>
      <c r="AY90" s="288">
        <f>AY88+AY89</f>
        <v>68400</v>
      </c>
      <c r="AZ90" s="289"/>
      <c r="BA90" s="306">
        <f>AU90-AO90</f>
        <v>-8495</v>
      </c>
      <c r="BB90" s="307"/>
      <c r="BC90" s="302">
        <f>BA90/AO90</f>
        <v>-4.5399887769553483E-2</v>
      </c>
      <c r="BD90" s="303"/>
    </row>
    <row r="91" spans="1:56" x14ac:dyDescent="0.2">
      <c r="A91" s="149" t="s">
        <v>198</v>
      </c>
      <c r="B91" s="166" t="s">
        <v>210</v>
      </c>
      <c r="C91" s="166" t="s">
        <v>193</v>
      </c>
      <c r="D91" s="149" t="s">
        <v>183</v>
      </c>
      <c r="E91" s="168">
        <v>5147</v>
      </c>
      <c r="F91" s="174">
        <v>9</v>
      </c>
      <c r="G91" s="168">
        <v>5174</v>
      </c>
      <c r="H91" s="174">
        <v>9</v>
      </c>
      <c r="I91" s="168"/>
      <c r="J91" s="174">
        <v>9</v>
      </c>
      <c r="K91" s="168">
        <v>4258</v>
      </c>
      <c r="L91" s="174">
        <v>12</v>
      </c>
      <c r="M91" s="168">
        <v>4258</v>
      </c>
      <c r="N91" s="174">
        <v>12</v>
      </c>
      <c r="O91" s="168"/>
      <c r="P91" s="174">
        <v>12</v>
      </c>
      <c r="Q91" s="168">
        <v>1598</v>
      </c>
      <c r="R91" s="174">
        <v>12</v>
      </c>
      <c r="S91" s="168">
        <v>1598</v>
      </c>
      <c r="T91" s="174">
        <v>12</v>
      </c>
      <c r="U91" s="168"/>
      <c r="V91" s="174">
        <v>12</v>
      </c>
      <c r="W91" s="168">
        <v>1184</v>
      </c>
      <c r="X91" s="174">
        <v>12</v>
      </c>
      <c r="Y91" s="168"/>
      <c r="Z91" s="174">
        <v>12</v>
      </c>
      <c r="AA91" s="168"/>
      <c r="AB91" s="174">
        <v>12</v>
      </c>
      <c r="AC91" s="168">
        <v>0</v>
      </c>
      <c r="AD91" s="174">
        <v>12</v>
      </c>
      <c r="AE91" s="168"/>
      <c r="AF91" s="174">
        <v>12</v>
      </c>
      <c r="AG91" s="168"/>
      <c r="AH91" s="174">
        <v>12</v>
      </c>
      <c r="AI91" s="168">
        <v>0</v>
      </c>
      <c r="AJ91" s="174">
        <v>12</v>
      </c>
      <c r="AK91" s="168"/>
      <c r="AL91" s="174">
        <v>12</v>
      </c>
      <c r="AM91" s="168"/>
      <c r="AN91" s="174">
        <v>12</v>
      </c>
      <c r="AO91" s="168">
        <v>0</v>
      </c>
      <c r="AP91" s="174">
        <v>12</v>
      </c>
      <c r="AQ91" s="168"/>
      <c r="AR91" s="174">
        <v>12</v>
      </c>
      <c r="AS91" s="168"/>
      <c r="AT91" s="174">
        <v>12</v>
      </c>
      <c r="AU91" s="168">
        <v>0</v>
      </c>
      <c r="AV91" s="174">
        <v>12</v>
      </c>
      <c r="AW91" s="168"/>
      <c r="AX91" s="174">
        <v>12</v>
      </c>
      <c r="AY91" s="168"/>
      <c r="AZ91" s="174">
        <v>12</v>
      </c>
      <c r="BA91" s="167">
        <f>AU91-AO91</f>
        <v>0</v>
      </c>
      <c r="BB91" s="167">
        <f>AV91-AP91</f>
        <v>0</v>
      </c>
      <c r="BC91" s="169" t="e">
        <f>BA91/AO91</f>
        <v>#DIV/0!</v>
      </c>
      <c r="BD91" s="169">
        <f>BB91/AP91</f>
        <v>0</v>
      </c>
    </row>
    <row r="92" spans="1:56" x14ac:dyDescent="0.2">
      <c r="A92" s="149" t="s">
        <v>199</v>
      </c>
      <c r="B92" s="166" t="s">
        <v>210</v>
      </c>
      <c r="C92" s="166" t="s">
        <v>182</v>
      </c>
      <c r="D92" s="149" t="s">
        <v>183</v>
      </c>
      <c r="E92" s="168"/>
      <c r="F92" s="174"/>
      <c r="G92" s="168"/>
      <c r="H92" s="174"/>
      <c r="I92" s="168"/>
      <c r="J92" s="174"/>
      <c r="K92" s="168"/>
      <c r="L92" s="174"/>
      <c r="M92" s="168"/>
      <c r="N92" s="174"/>
      <c r="O92" s="168"/>
      <c r="P92" s="174"/>
      <c r="Q92" s="168"/>
      <c r="R92" s="174"/>
      <c r="S92" s="168"/>
      <c r="T92" s="174"/>
      <c r="U92" s="168"/>
      <c r="V92" s="174"/>
      <c r="W92" s="168"/>
      <c r="X92" s="174"/>
      <c r="Y92" s="168"/>
      <c r="Z92" s="174"/>
      <c r="AA92" s="168"/>
      <c r="AB92" s="174"/>
      <c r="AC92" s="168"/>
      <c r="AD92" s="174"/>
      <c r="AE92" s="168"/>
      <c r="AF92" s="174"/>
      <c r="AG92" s="168"/>
      <c r="AH92" s="174"/>
      <c r="AI92" s="168"/>
      <c r="AJ92" s="174"/>
      <c r="AK92" s="168"/>
      <c r="AL92" s="174"/>
      <c r="AM92" s="168"/>
      <c r="AN92" s="174"/>
      <c r="AO92" s="168"/>
      <c r="AP92" s="174"/>
      <c r="AQ92" s="168"/>
      <c r="AR92" s="174"/>
      <c r="AS92" s="168"/>
      <c r="AT92" s="174"/>
      <c r="AU92" s="168"/>
      <c r="AV92" s="174"/>
      <c r="AW92" s="168"/>
      <c r="AX92" s="174"/>
      <c r="AY92" s="168"/>
      <c r="AZ92" s="174"/>
      <c r="BA92" s="167"/>
      <c r="BB92" s="169"/>
      <c r="BC92" s="169"/>
      <c r="BD92" s="169"/>
    </row>
    <row r="93" spans="1:56" x14ac:dyDescent="0.2">
      <c r="A93" s="149" t="s">
        <v>200</v>
      </c>
      <c r="B93" s="166" t="s">
        <v>210</v>
      </c>
      <c r="C93" s="166" t="s">
        <v>192</v>
      </c>
      <c r="D93" s="149" t="s">
        <v>183</v>
      </c>
      <c r="E93" s="168"/>
      <c r="F93" s="174"/>
      <c r="G93" s="168"/>
      <c r="H93" s="174"/>
      <c r="I93" s="168"/>
      <c r="J93" s="174"/>
      <c r="K93" s="168"/>
      <c r="L93" s="174"/>
      <c r="M93" s="168"/>
      <c r="N93" s="174"/>
      <c r="O93" s="168"/>
      <c r="P93" s="174"/>
      <c r="Q93" s="168"/>
      <c r="R93" s="174"/>
      <c r="S93" s="168"/>
      <c r="T93" s="174"/>
      <c r="U93" s="168"/>
      <c r="V93" s="174"/>
      <c r="W93" s="168"/>
      <c r="X93" s="174"/>
      <c r="Y93" s="168"/>
      <c r="Z93" s="174"/>
      <c r="AA93" s="168"/>
      <c r="AB93" s="174"/>
      <c r="AC93" s="168"/>
      <c r="AD93" s="174"/>
      <c r="AE93" s="168"/>
      <c r="AF93" s="174"/>
      <c r="AG93" s="168"/>
      <c r="AH93" s="174"/>
      <c r="AI93" s="168"/>
      <c r="AJ93" s="174"/>
      <c r="AK93" s="168"/>
      <c r="AL93" s="174"/>
      <c r="AM93" s="168"/>
      <c r="AN93" s="174"/>
      <c r="AO93" s="168"/>
      <c r="AP93" s="174"/>
      <c r="AQ93" s="168"/>
      <c r="AR93" s="174"/>
      <c r="AS93" s="168"/>
      <c r="AT93" s="174"/>
      <c r="AU93" s="168"/>
      <c r="AV93" s="174"/>
      <c r="AW93" s="168"/>
      <c r="AX93" s="174"/>
      <c r="AY93" s="168"/>
      <c r="AZ93" s="174"/>
      <c r="BA93" s="167"/>
      <c r="BB93" s="169"/>
      <c r="BC93" s="169"/>
      <c r="BD93" s="169"/>
    </row>
    <row r="94" spans="1:56" ht="15.75" x14ac:dyDescent="0.25">
      <c r="A94" s="149" t="s">
        <v>201</v>
      </c>
      <c r="B94" s="166" t="s">
        <v>211</v>
      </c>
      <c r="C94" s="165" t="s">
        <v>251</v>
      </c>
      <c r="D94" s="149" t="s">
        <v>176</v>
      </c>
      <c r="E94" s="288">
        <v>196255</v>
      </c>
      <c r="F94" s="289"/>
      <c r="G94" s="288">
        <v>136567</v>
      </c>
      <c r="H94" s="289"/>
      <c r="I94" s="288">
        <v>73207</v>
      </c>
      <c r="J94" s="289"/>
      <c r="K94" s="288">
        <f>K90+K91</f>
        <v>178023</v>
      </c>
      <c r="L94" s="289"/>
      <c r="M94" s="288">
        <f>M90+M91</f>
        <v>112238</v>
      </c>
      <c r="N94" s="289"/>
      <c r="O94" s="288">
        <f>O90+O91</f>
        <v>65785</v>
      </c>
      <c r="P94" s="289"/>
      <c r="Q94" s="288">
        <f>Q90+Q91</f>
        <v>153925</v>
      </c>
      <c r="R94" s="289"/>
      <c r="S94" s="288">
        <f>S90+S91</f>
        <v>97528</v>
      </c>
      <c r="T94" s="289"/>
      <c r="U94" s="288">
        <f>U90+U91</f>
        <v>56397</v>
      </c>
      <c r="V94" s="289"/>
      <c r="W94" s="288">
        <v>186244</v>
      </c>
      <c r="X94" s="289"/>
      <c r="Y94" s="288">
        <v>115946</v>
      </c>
      <c r="Z94" s="289"/>
      <c r="AA94" s="288">
        <v>69114</v>
      </c>
      <c r="AB94" s="289"/>
      <c r="AC94" s="288">
        <f>AC90+AC91</f>
        <v>171735</v>
      </c>
      <c r="AD94" s="289"/>
      <c r="AE94" s="288">
        <f>AE90+AE91</f>
        <v>106784</v>
      </c>
      <c r="AF94" s="289"/>
      <c r="AG94" s="288">
        <f>AG90+AG91</f>
        <v>64951</v>
      </c>
      <c r="AH94" s="289"/>
      <c r="AI94" s="288">
        <f>AI90+AI91</f>
        <v>212921</v>
      </c>
      <c r="AJ94" s="289"/>
      <c r="AK94" s="288">
        <f>AK90+AK91</f>
        <v>132337</v>
      </c>
      <c r="AL94" s="289"/>
      <c r="AM94" s="288">
        <f>AM90+AM91</f>
        <v>80584</v>
      </c>
      <c r="AN94" s="289"/>
      <c r="AO94" s="288">
        <f>AO90+AO91</f>
        <v>187115</v>
      </c>
      <c r="AP94" s="289"/>
      <c r="AQ94" s="288">
        <f>AQ90+AQ91</f>
        <v>116537</v>
      </c>
      <c r="AR94" s="289"/>
      <c r="AS94" s="288">
        <f>AS90+AS91</f>
        <v>70594</v>
      </c>
      <c r="AT94" s="289"/>
      <c r="AU94" s="288">
        <f>AU90+AU91</f>
        <v>178620</v>
      </c>
      <c r="AV94" s="289"/>
      <c r="AW94" s="288">
        <f>AW90+AW91</f>
        <v>110220</v>
      </c>
      <c r="AX94" s="289"/>
      <c r="AY94" s="288">
        <f>AY90+AY91</f>
        <v>68400</v>
      </c>
      <c r="AZ94" s="289"/>
      <c r="BA94" s="306">
        <f>AU94-AO94</f>
        <v>-8495</v>
      </c>
      <c r="BB94" s="307"/>
      <c r="BC94" s="302">
        <f>BA94/AO94</f>
        <v>-4.5399887769553483E-2</v>
      </c>
      <c r="BD94" s="303"/>
    </row>
    <row r="95" spans="1:56" ht="15.75" x14ac:dyDescent="0.25">
      <c r="A95" s="149" t="s">
        <v>202</v>
      </c>
      <c r="B95" s="166"/>
      <c r="C95" s="165" t="s">
        <v>217</v>
      </c>
      <c r="D95" s="149" t="s">
        <v>176</v>
      </c>
      <c r="E95" s="286">
        <v>21.751422717944401</v>
      </c>
      <c r="F95" s="287"/>
      <c r="G95" s="286">
        <v>23.463035714285713</v>
      </c>
      <c r="H95" s="287"/>
      <c r="I95" s="286">
        <v>22.927341058565613</v>
      </c>
      <c r="J95" s="287"/>
      <c r="K95" s="286">
        <f>K90/K10</f>
        <v>19.732568703156939</v>
      </c>
      <c r="L95" s="287"/>
      <c r="M95" s="286">
        <f>M90/M10</f>
        <v>19.24434147210836</v>
      </c>
      <c r="N95" s="287"/>
      <c r="O95" s="286">
        <f>O90/O10</f>
        <v>20.589984350547731</v>
      </c>
      <c r="P95" s="287"/>
      <c r="Q95" s="286">
        <f>Q90/Q10</f>
        <v>17.256938937351308</v>
      </c>
      <c r="R95" s="287"/>
      <c r="S95" s="286">
        <f>S90/S10</f>
        <v>17.030001775252973</v>
      </c>
      <c r="T95" s="287"/>
      <c r="U95" s="286">
        <f>U90/U10</f>
        <v>17.657169693174701</v>
      </c>
      <c r="V95" s="287"/>
      <c r="W95" s="286">
        <v>20.92018991634637</v>
      </c>
      <c r="X95" s="287"/>
      <c r="Y95" s="286">
        <v>20.517784462926915</v>
      </c>
      <c r="Z95" s="287"/>
      <c r="AA95" s="286">
        <v>21.631924882629107</v>
      </c>
      <c r="AB95" s="287"/>
      <c r="AC95" s="286">
        <f>AC90/AC10</f>
        <v>19.416054267947992</v>
      </c>
      <c r="AD95" s="287"/>
      <c r="AE95" s="286">
        <f>AE90/AE10</f>
        <v>18.896478499380642</v>
      </c>
      <c r="AF95" s="287"/>
      <c r="AG95" s="286">
        <f>AG90/AG10</f>
        <v>20.335316217908577</v>
      </c>
      <c r="AH95" s="287"/>
      <c r="AI95" s="286">
        <f>AI90/AI10</f>
        <v>24.004622322435175</v>
      </c>
      <c r="AJ95" s="287"/>
      <c r="AK95" s="286">
        <f>AK90/AK10</f>
        <v>23.348094565984475</v>
      </c>
      <c r="AL95" s="287"/>
      <c r="AM95" s="286">
        <f>AM90/AM10</f>
        <v>25.166770768269831</v>
      </c>
      <c r="AN95" s="287"/>
      <c r="AO95" s="286">
        <f>AO90/AO10</f>
        <v>21.017072896776366</v>
      </c>
      <c r="AP95" s="287"/>
      <c r="AQ95" s="286">
        <f>AQ90/AQ10</f>
        <v>20.470226594062883</v>
      </c>
      <c r="AR95" s="287"/>
      <c r="AS95" s="286">
        <f>AS90/AS10</f>
        <v>21.991900311526479</v>
      </c>
      <c r="AT95" s="287"/>
      <c r="AU95" s="286">
        <f>AU90/AU10</f>
        <v>19.993284083277366</v>
      </c>
      <c r="AV95" s="287"/>
      <c r="AW95" s="286">
        <f>AW90/AW10</f>
        <v>19.313124233397581</v>
      </c>
      <c r="AX95" s="287"/>
      <c r="AY95" s="286">
        <f>AY90/AY10</f>
        <v>21.196157421753952</v>
      </c>
      <c r="AZ95" s="287"/>
      <c r="BA95" s="306">
        <f>AU95-AO95</f>
        <v>-1.0237888134989994</v>
      </c>
      <c r="BB95" s="307"/>
      <c r="BC95" s="302">
        <f>BA95/AO95</f>
        <v>-4.8712245445750438E-2</v>
      </c>
      <c r="BD95" s="303"/>
    </row>
    <row r="96" spans="1:56" ht="15.75" x14ac:dyDescent="0.25">
      <c r="A96" s="149" t="s">
        <v>203</v>
      </c>
      <c r="B96" s="166"/>
      <c r="C96" s="165" t="s">
        <v>495</v>
      </c>
      <c r="D96" s="149" t="s">
        <v>176</v>
      </c>
      <c r="E96" s="286">
        <v>0.62146922051315401</v>
      </c>
      <c r="F96" s="287"/>
      <c r="G96" s="286">
        <v>0.67037244897959181</v>
      </c>
      <c r="H96" s="287"/>
      <c r="I96" s="286">
        <v>0.65506688738758889</v>
      </c>
      <c r="J96" s="287"/>
      <c r="K96" s="286">
        <f>K95/K39</f>
        <v>0.61664277197365436</v>
      </c>
      <c r="L96" s="287"/>
      <c r="M96" s="286">
        <f>M95/M39</f>
        <v>0.60138567100338625</v>
      </c>
      <c r="N96" s="287"/>
      <c r="O96" s="286">
        <f>O95/O39</f>
        <v>0.64343701095461658</v>
      </c>
      <c r="P96" s="287"/>
      <c r="Q96" s="286">
        <f>Q95/Q39</f>
        <v>0.61631924776254665</v>
      </c>
      <c r="R96" s="287"/>
      <c r="S96" s="286">
        <f>S95/S39</f>
        <v>0.60821434911617767</v>
      </c>
      <c r="T96" s="287"/>
      <c r="U96" s="286">
        <f>U95/U39</f>
        <v>0.6306132033276679</v>
      </c>
      <c r="V96" s="287"/>
      <c r="W96" s="286">
        <v>0.69733966387821233</v>
      </c>
      <c r="X96" s="287"/>
      <c r="Y96" s="286">
        <v>0.68392454876423103</v>
      </c>
      <c r="Z96" s="287"/>
      <c r="AA96" s="286">
        <v>0.72106416275430363</v>
      </c>
      <c r="AB96" s="287"/>
      <c r="AC96" s="286">
        <f>AC95/AC39</f>
        <v>0.69343050956957109</v>
      </c>
      <c r="AD96" s="287"/>
      <c r="AE96" s="286">
        <f>AE95/AE39</f>
        <v>0.67487423212073716</v>
      </c>
      <c r="AF96" s="287"/>
      <c r="AG96" s="286">
        <f>AG95/AG39</f>
        <v>0.72626129349673485</v>
      </c>
      <c r="AH96" s="287"/>
      <c r="AI96" s="286">
        <f>AI95/AI39</f>
        <v>0.7274127976495508</v>
      </c>
      <c r="AJ96" s="287"/>
      <c r="AK96" s="286">
        <f>AK95/AK39</f>
        <v>0.70751801715104468</v>
      </c>
      <c r="AL96" s="287"/>
      <c r="AM96" s="286">
        <f>AM95/AM39</f>
        <v>0.76262941722029787</v>
      </c>
      <c r="AN96" s="287"/>
      <c r="AO96" s="286">
        <f>AO95/AO39</f>
        <v>0.70056909655921218</v>
      </c>
      <c r="AP96" s="287"/>
      <c r="AQ96" s="286">
        <f>AQ95/AQ39</f>
        <v>0.68234088646876279</v>
      </c>
      <c r="AR96" s="287"/>
      <c r="AS96" s="286">
        <f>AS95/AS39</f>
        <v>0.73306334371754933</v>
      </c>
      <c r="AT96" s="287"/>
      <c r="AU96" s="286">
        <f>AU95/AU39</f>
        <v>0.66644280277591217</v>
      </c>
      <c r="AV96" s="287"/>
      <c r="AW96" s="286">
        <f>AW95/AW39</f>
        <v>0.64377080777991935</v>
      </c>
      <c r="AX96" s="287"/>
      <c r="AY96" s="286">
        <f>AY95/AY39</f>
        <v>0.70653858072513176</v>
      </c>
      <c r="AZ96" s="287"/>
      <c r="BA96" s="296">
        <f>AU96-AO96</f>
        <v>-3.412629378330001E-2</v>
      </c>
      <c r="BB96" s="297"/>
      <c r="BC96" s="302">
        <f>BA96/AO96</f>
        <v>-4.8712245445750479E-2</v>
      </c>
      <c r="BD96" s="303"/>
    </row>
    <row r="97" spans="1:56" ht="15.75" x14ac:dyDescent="0.25">
      <c r="A97" s="149" t="s">
        <v>204</v>
      </c>
      <c r="B97" s="166"/>
      <c r="C97" s="165" t="s">
        <v>219</v>
      </c>
      <c r="D97" s="149" t="s">
        <v>179</v>
      </c>
      <c r="E97" s="286">
        <v>493.49303437286591</v>
      </c>
      <c r="F97" s="287"/>
      <c r="G97" s="286">
        <v>774.25532142857139</v>
      </c>
      <c r="H97" s="287"/>
      <c r="I97" s="286">
        <v>518.01327904791731</v>
      </c>
      <c r="J97" s="287"/>
      <c r="K97" s="286">
        <f>L132/K10</f>
        <v>447.57498296615944</v>
      </c>
      <c r="L97" s="287"/>
      <c r="M97" s="286">
        <f>N132/M10</f>
        <v>438.56200320798428</v>
      </c>
      <c r="N97" s="287"/>
      <c r="O97" s="286">
        <f>P132/O10</f>
        <v>463.40341158059465</v>
      </c>
      <c r="P97" s="287"/>
      <c r="Q97" s="286">
        <f>R132/Q10</f>
        <v>396.04294324232467</v>
      </c>
      <c r="R97" s="287"/>
      <c r="S97" s="286">
        <f>T132/S10</f>
        <v>395.17760695899165</v>
      </c>
      <c r="T97" s="287"/>
      <c r="U97" s="286">
        <f>V132/U10</f>
        <v>397.56906700062621</v>
      </c>
      <c r="V97" s="287"/>
      <c r="W97" s="286">
        <v>467.98416233325798</v>
      </c>
      <c r="X97" s="287"/>
      <c r="Y97" s="286">
        <v>444.19952220845897</v>
      </c>
      <c r="Z97" s="287"/>
      <c r="AA97" s="286">
        <v>481.75286384976528</v>
      </c>
      <c r="AB97" s="287"/>
      <c r="AC97" s="286">
        <f>AD132/AC10</f>
        <v>433.93907292255511</v>
      </c>
      <c r="AD97" s="287"/>
      <c r="AE97" s="286">
        <f>AF132/AE10</f>
        <v>423.48095912227922</v>
      </c>
      <c r="AF97" s="287"/>
      <c r="AG97" s="286">
        <f>AH132/AG10</f>
        <v>452.44214151534123</v>
      </c>
      <c r="AH97" s="287"/>
      <c r="AI97" s="286">
        <f>AJ132/AI10</f>
        <v>542.90066516347235</v>
      </c>
      <c r="AJ97" s="287"/>
      <c r="AK97" s="286">
        <f>AL132/AK10</f>
        <v>527.4679604798871</v>
      </c>
      <c r="AL97" s="287"/>
      <c r="AM97" s="286">
        <f>AN132/AM10</f>
        <v>570.21876951905062</v>
      </c>
      <c r="AN97" s="287"/>
      <c r="AO97" s="286">
        <f>AP132/AO10</f>
        <v>470.3305402673256</v>
      </c>
      <c r="AP97" s="287"/>
      <c r="AQ97" s="286">
        <f>AR132/AQ10</f>
        <v>735.52657649745299</v>
      </c>
      <c r="AR97" s="287"/>
      <c r="AS97" s="286">
        <f>AT132/AS10</f>
        <v>0</v>
      </c>
      <c r="AT97" s="287"/>
      <c r="AU97" s="286">
        <f>AV132/AU10</f>
        <v>447.17885605551817</v>
      </c>
      <c r="AV97" s="287"/>
      <c r="AW97" s="286">
        <f>AX132/AW10</f>
        <v>434.19144909759939</v>
      </c>
      <c r="AX97" s="287"/>
      <c r="AY97" s="286">
        <f>AZ132/AY10</f>
        <v>470.14728850325383</v>
      </c>
      <c r="AZ97" s="287"/>
      <c r="BA97" s="306">
        <f>AU97-AO97</f>
        <v>-23.151684211807435</v>
      </c>
      <c r="BB97" s="307"/>
      <c r="BC97" s="302">
        <f>BA97/AO97</f>
        <v>-4.9224284263251379E-2</v>
      </c>
      <c r="BD97" s="303"/>
    </row>
    <row r="98" spans="1:56" ht="15.75" x14ac:dyDescent="0.25">
      <c r="A98" s="195" t="s">
        <v>116</v>
      </c>
      <c r="B98" s="196" t="s">
        <v>420</v>
      </c>
      <c r="C98" s="197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  <c r="AS98" s="198"/>
      <c r="AT98" s="198"/>
      <c r="AU98" s="198"/>
      <c r="AV98" s="198"/>
      <c r="AW98" s="198"/>
      <c r="AX98" s="198"/>
      <c r="AY98" s="198"/>
      <c r="AZ98" s="198"/>
      <c r="BA98" s="199"/>
      <c r="BB98" s="199"/>
      <c r="BC98" s="199"/>
      <c r="BD98" s="199"/>
    </row>
    <row r="99" spans="1:56" x14ac:dyDescent="0.2">
      <c r="A99" s="149" t="s">
        <v>118</v>
      </c>
      <c r="B99" s="166"/>
      <c r="C99" s="166" t="s">
        <v>421</v>
      </c>
      <c r="D99" s="149" t="s">
        <v>171</v>
      </c>
      <c r="E99" s="284">
        <v>155</v>
      </c>
      <c r="F99" s="285"/>
      <c r="G99" s="284">
        <v>101</v>
      </c>
      <c r="H99" s="285"/>
      <c r="I99" s="284">
        <v>54</v>
      </c>
      <c r="J99" s="285"/>
      <c r="K99" s="284">
        <v>159</v>
      </c>
      <c r="L99" s="285"/>
      <c r="M99" s="284">
        <v>100</v>
      </c>
      <c r="N99" s="285"/>
      <c r="O99" s="284">
        <v>59</v>
      </c>
      <c r="P99" s="285"/>
      <c r="Q99" s="284">
        <v>172</v>
      </c>
      <c r="R99" s="285"/>
      <c r="S99" s="284">
        <v>166</v>
      </c>
      <c r="T99" s="285"/>
      <c r="U99" s="284">
        <v>116</v>
      </c>
      <c r="V99" s="285"/>
      <c r="W99" s="284">
        <v>145</v>
      </c>
      <c r="X99" s="285"/>
      <c r="Y99" s="284">
        <v>63</v>
      </c>
      <c r="Z99" s="285"/>
      <c r="AA99" s="284">
        <v>98</v>
      </c>
      <c r="AB99" s="285"/>
      <c r="AC99" s="284">
        <v>242</v>
      </c>
      <c r="AD99" s="285"/>
      <c r="AE99" s="284">
        <v>91</v>
      </c>
      <c r="AF99" s="285"/>
      <c r="AG99" s="284">
        <v>151</v>
      </c>
      <c r="AH99" s="285"/>
      <c r="AI99" s="284">
        <v>191</v>
      </c>
      <c r="AJ99" s="285"/>
      <c r="AK99" s="284">
        <v>126</v>
      </c>
      <c r="AL99" s="285"/>
      <c r="AM99" s="284">
        <v>65</v>
      </c>
      <c r="AN99" s="285"/>
      <c r="AO99" s="284">
        <v>204</v>
      </c>
      <c r="AP99" s="285"/>
      <c r="AQ99" s="284">
        <v>133</v>
      </c>
      <c r="AR99" s="285"/>
      <c r="AS99" s="284">
        <v>71</v>
      </c>
      <c r="AT99" s="285"/>
      <c r="AU99" s="284">
        <v>195</v>
      </c>
      <c r="AV99" s="285"/>
      <c r="AW99" s="284">
        <v>129</v>
      </c>
      <c r="AX99" s="285"/>
      <c r="AY99" s="284">
        <v>66</v>
      </c>
      <c r="AZ99" s="285"/>
      <c r="BA99" s="306">
        <f>AU99-AO99</f>
        <v>-9</v>
      </c>
      <c r="BB99" s="307"/>
      <c r="BC99" s="317">
        <f>BA99/AO99</f>
        <v>-4.4117647058823532E-2</v>
      </c>
      <c r="BD99" s="318"/>
    </row>
    <row r="100" spans="1:56" x14ac:dyDescent="0.2">
      <c r="A100" s="149" t="s">
        <v>132</v>
      </c>
      <c r="B100" s="166"/>
      <c r="C100" s="166" t="s">
        <v>422</v>
      </c>
      <c r="D100" s="149" t="s">
        <v>171</v>
      </c>
      <c r="E100" s="284">
        <v>450</v>
      </c>
      <c r="F100" s="285"/>
      <c r="G100" s="284">
        <v>333</v>
      </c>
      <c r="H100" s="285"/>
      <c r="I100" s="284">
        <v>277</v>
      </c>
      <c r="J100" s="285"/>
      <c r="K100" s="284">
        <v>413</v>
      </c>
      <c r="L100" s="285"/>
      <c r="M100" s="284">
        <v>241</v>
      </c>
      <c r="N100" s="285"/>
      <c r="O100" s="284">
        <v>172</v>
      </c>
      <c r="P100" s="285"/>
      <c r="Q100" s="284">
        <v>282</v>
      </c>
      <c r="R100" s="285"/>
      <c r="S100" s="284">
        <v>102</v>
      </c>
      <c r="T100" s="285"/>
      <c r="U100" s="284">
        <v>70</v>
      </c>
      <c r="V100" s="285"/>
      <c r="W100" s="284">
        <v>511</v>
      </c>
      <c r="X100" s="285"/>
      <c r="Y100" s="284">
        <v>204</v>
      </c>
      <c r="Z100" s="285"/>
      <c r="AA100" s="284">
        <v>307</v>
      </c>
      <c r="AB100" s="285"/>
      <c r="AC100" s="284">
        <v>391</v>
      </c>
      <c r="AD100" s="285"/>
      <c r="AE100" s="284">
        <v>157</v>
      </c>
      <c r="AF100" s="285"/>
      <c r="AG100" s="284">
        <v>234</v>
      </c>
      <c r="AH100" s="285"/>
      <c r="AI100" s="284">
        <v>862</v>
      </c>
      <c r="AJ100" s="285"/>
      <c r="AK100" s="284">
        <v>511</v>
      </c>
      <c r="AL100" s="285"/>
      <c r="AM100" s="284">
        <v>351</v>
      </c>
      <c r="AN100" s="285"/>
      <c r="AO100" s="284">
        <v>554</v>
      </c>
      <c r="AP100" s="285"/>
      <c r="AQ100" s="284">
        <v>329</v>
      </c>
      <c r="AR100" s="285"/>
      <c r="AS100" s="284">
        <v>225</v>
      </c>
      <c r="AT100" s="285"/>
      <c r="AU100" s="284">
        <v>444</v>
      </c>
      <c r="AV100" s="285"/>
      <c r="AW100" s="284">
        <v>270</v>
      </c>
      <c r="AX100" s="285"/>
      <c r="AY100" s="284">
        <v>190</v>
      </c>
      <c r="AZ100" s="285"/>
      <c r="BA100" s="306">
        <f>AU100-AO100</f>
        <v>-110</v>
      </c>
      <c r="BB100" s="307"/>
      <c r="BC100" s="317">
        <f>BA100/AO100</f>
        <v>-0.19855595667870035</v>
      </c>
      <c r="BD100" s="318"/>
    </row>
    <row r="101" spans="1:56" ht="15.75" x14ac:dyDescent="0.25">
      <c r="A101" s="195" t="s">
        <v>142</v>
      </c>
      <c r="B101" s="196" t="s">
        <v>143</v>
      </c>
      <c r="C101" s="197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198"/>
      <c r="AS101" s="198"/>
      <c r="AT101" s="198"/>
      <c r="AU101" s="198"/>
      <c r="AV101" s="198"/>
      <c r="AW101" s="198"/>
      <c r="AX101" s="198"/>
      <c r="AY101" s="198"/>
      <c r="AZ101" s="198"/>
      <c r="BA101" s="199"/>
      <c r="BB101" s="199"/>
      <c r="BC101" s="199"/>
      <c r="BD101" s="199"/>
    </row>
    <row r="102" spans="1:56" x14ac:dyDescent="0.2">
      <c r="A102" s="149" t="s">
        <v>144</v>
      </c>
      <c r="B102" s="166"/>
      <c r="C102" s="166" t="s">
        <v>145</v>
      </c>
      <c r="D102" s="149" t="s">
        <v>179</v>
      </c>
      <c r="E102" s="286">
        <v>3115806.49</v>
      </c>
      <c r="F102" s="287"/>
      <c r="G102" s="286"/>
      <c r="H102" s="287"/>
      <c r="I102" s="286"/>
      <c r="J102" s="287"/>
      <c r="K102" s="286">
        <v>4749497.67</v>
      </c>
      <c r="L102" s="287"/>
      <c r="M102" s="286"/>
      <c r="N102" s="287"/>
      <c r="O102" s="286"/>
      <c r="P102" s="287"/>
      <c r="Q102" s="286">
        <v>3692215.51</v>
      </c>
      <c r="R102" s="287"/>
      <c r="S102" s="286"/>
      <c r="T102" s="287"/>
      <c r="U102" s="286"/>
      <c r="V102" s="287"/>
      <c r="W102" s="286">
        <v>2443764.14</v>
      </c>
      <c r="X102" s="287"/>
      <c r="Y102" s="286"/>
      <c r="Z102" s="287"/>
      <c r="AA102" s="286"/>
      <c r="AB102" s="287"/>
      <c r="AC102" s="286">
        <v>2679936.14</v>
      </c>
      <c r="AD102" s="287"/>
      <c r="AE102" s="286"/>
      <c r="AF102" s="287"/>
      <c r="AG102" s="286"/>
      <c r="AH102" s="287"/>
      <c r="AI102" s="286">
        <f>7791.6+2464.4+18532.8+368042.4+19753.5+1876868+444396.2+1689745.21</f>
        <v>4427594.1100000003</v>
      </c>
      <c r="AJ102" s="287"/>
      <c r="AK102" s="286"/>
      <c r="AL102" s="287"/>
      <c r="AM102" s="286"/>
      <c r="AN102" s="287"/>
      <c r="AO102" s="286">
        <v>4567151.33</v>
      </c>
      <c r="AP102" s="287"/>
      <c r="AQ102" s="286"/>
      <c r="AR102" s="287"/>
      <c r="AS102" s="286"/>
      <c r="AT102" s="287"/>
      <c r="AU102" s="286">
        <v>4188655.56</v>
      </c>
      <c r="AV102" s="287"/>
      <c r="AW102" s="286"/>
      <c r="AX102" s="287"/>
      <c r="AY102" s="286"/>
      <c r="AZ102" s="287"/>
      <c r="BA102" s="282">
        <f t="shared" ref="BA102:BA118" si="58">AU102-AO102</f>
        <v>-378495.77</v>
      </c>
      <c r="BB102" s="283"/>
      <c r="BC102" s="302">
        <f t="shared" ref="BC102:BC118" si="59">BA102/AO102</f>
        <v>-8.2873489983525464E-2</v>
      </c>
      <c r="BD102" s="303"/>
    </row>
    <row r="103" spans="1:56" x14ac:dyDescent="0.2">
      <c r="A103" s="149" t="s">
        <v>156</v>
      </c>
      <c r="B103" s="166" t="s">
        <v>210</v>
      </c>
      <c r="C103" s="166" t="s">
        <v>496</v>
      </c>
      <c r="D103" s="149" t="s">
        <v>497</v>
      </c>
      <c r="E103" s="149">
        <v>440</v>
      </c>
      <c r="F103" s="150">
        <v>1.88</v>
      </c>
      <c r="G103" s="149"/>
      <c r="H103" s="150"/>
      <c r="I103" s="149"/>
      <c r="J103" s="150"/>
      <c r="K103" s="149">
        <v>426</v>
      </c>
      <c r="L103" s="150">
        <v>1.81</v>
      </c>
      <c r="M103" s="149"/>
      <c r="N103" s="150"/>
      <c r="O103" s="149"/>
      <c r="P103" s="150"/>
      <c r="Q103" s="149">
        <v>271</v>
      </c>
      <c r="R103" s="150">
        <v>2.02</v>
      </c>
      <c r="S103" s="149"/>
      <c r="T103" s="150"/>
      <c r="U103" s="149"/>
      <c r="V103" s="150"/>
      <c r="W103" s="149">
        <v>275</v>
      </c>
      <c r="X103" s="150">
        <v>1.63</v>
      </c>
      <c r="Y103" s="149"/>
      <c r="Z103" s="150"/>
      <c r="AA103" s="149"/>
      <c r="AB103" s="150"/>
      <c r="AC103" s="242">
        <v>216</v>
      </c>
      <c r="AD103" s="150">
        <v>1.76</v>
      </c>
      <c r="AE103" s="149"/>
      <c r="AF103" s="150"/>
      <c r="AG103" s="149"/>
      <c r="AH103" s="150"/>
      <c r="AI103" s="242">
        <v>385</v>
      </c>
      <c r="AJ103" s="150">
        <v>1.66</v>
      </c>
      <c r="AK103" s="149"/>
      <c r="AL103" s="150"/>
      <c r="AM103" s="149"/>
      <c r="AN103" s="150"/>
      <c r="AO103" s="149">
        <v>374</v>
      </c>
      <c r="AP103" s="150">
        <v>1.66</v>
      </c>
      <c r="AQ103" s="149"/>
      <c r="AR103" s="150"/>
      <c r="AS103" s="149"/>
      <c r="AT103" s="150"/>
      <c r="AU103" s="149">
        <v>298</v>
      </c>
      <c r="AV103" s="150">
        <v>1.66</v>
      </c>
      <c r="AW103" s="149"/>
      <c r="AX103" s="150"/>
      <c r="AY103" s="149"/>
      <c r="AZ103" s="150"/>
      <c r="BA103" s="167">
        <f t="shared" si="58"/>
        <v>-76</v>
      </c>
      <c r="BB103" s="167">
        <f t="shared" ref="BB103:BB110" si="60">AV103-AP103</f>
        <v>0</v>
      </c>
      <c r="BC103" s="150">
        <f t="shared" si="59"/>
        <v>-0.20320855614973263</v>
      </c>
      <c r="BD103" s="169">
        <f t="shared" ref="BD103:BD110" si="61">BB103/AP103</f>
        <v>0</v>
      </c>
    </row>
    <row r="104" spans="1:56" x14ac:dyDescent="0.2">
      <c r="A104" s="149" t="s">
        <v>157</v>
      </c>
      <c r="B104" s="166" t="s">
        <v>210</v>
      </c>
      <c r="C104" s="166" t="s">
        <v>498</v>
      </c>
      <c r="D104" s="149" t="s">
        <v>497</v>
      </c>
      <c r="E104" s="149">
        <v>396</v>
      </c>
      <c r="F104" s="150">
        <v>1.95</v>
      </c>
      <c r="G104" s="149"/>
      <c r="H104" s="150"/>
      <c r="I104" s="149"/>
      <c r="J104" s="150"/>
      <c r="K104" s="149">
        <v>265</v>
      </c>
      <c r="L104" s="150">
        <v>2</v>
      </c>
      <c r="M104" s="149"/>
      <c r="N104" s="150"/>
      <c r="O104" s="149"/>
      <c r="P104" s="150"/>
      <c r="Q104" s="149">
        <v>382</v>
      </c>
      <c r="R104" s="150">
        <v>1.94</v>
      </c>
      <c r="S104" s="149"/>
      <c r="T104" s="150"/>
      <c r="U104" s="149"/>
      <c r="V104" s="150"/>
      <c r="W104" s="149">
        <v>452</v>
      </c>
      <c r="X104" s="150">
        <v>1.96</v>
      </c>
      <c r="Y104" s="149"/>
      <c r="Z104" s="150"/>
      <c r="AA104" s="149"/>
      <c r="AB104" s="150"/>
      <c r="AC104" s="242">
        <v>259</v>
      </c>
      <c r="AD104" s="150">
        <v>1.83</v>
      </c>
      <c r="AE104" s="149"/>
      <c r="AF104" s="150"/>
      <c r="AG104" s="149"/>
      <c r="AH104" s="150"/>
      <c r="AI104" s="242">
        <v>346</v>
      </c>
      <c r="AJ104" s="150">
        <v>1.93</v>
      </c>
      <c r="AK104" s="149"/>
      <c r="AL104" s="150"/>
      <c r="AM104" s="149"/>
      <c r="AN104" s="150"/>
      <c r="AO104" s="149">
        <v>631</v>
      </c>
      <c r="AP104" s="150">
        <v>1.87</v>
      </c>
      <c r="AQ104" s="149"/>
      <c r="AR104" s="150"/>
      <c r="AS104" s="149"/>
      <c r="AT104" s="150"/>
      <c r="AU104" s="149">
        <v>592</v>
      </c>
      <c r="AV104" s="150">
        <v>1.8</v>
      </c>
      <c r="AW104" s="149"/>
      <c r="AX104" s="150"/>
      <c r="AY104" s="149"/>
      <c r="AZ104" s="150"/>
      <c r="BA104" s="167">
        <f t="shared" si="58"/>
        <v>-39</v>
      </c>
      <c r="BB104" s="167">
        <f t="shared" si="60"/>
        <v>-7.0000000000000062E-2</v>
      </c>
      <c r="BC104" s="150">
        <f t="shared" si="59"/>
        <v>-6.1806656101426306E-2</v>
      </c>
      <c r="BD104" s="169">
        <f t="shared" si="61"/>
        <v>-3.7433155080213935E-2</v>
      </c>
    </row>
    <row r="105" spans="1:56" x14ac:dyDescent="0.2">
      <c r="A105" s="149" t="s">
        <v>158</v>
      </c>
      <c r="B105" s="166" t="s">
        <v>210</v>
      </c>
      <c r="C105" s="166" t="s">
        <v>499</v>
      </c>
      <c r="D105" s="149" t="s">
        <v>497</v>
      </c>
      <c r="E105" s="149">
        <v>114</v>
      </c>
      <c r="F105" s="150">
        <v>3.22</v>
      </c>
      <c r="G105" s="149"/>
      <c r="H105" s="150"/>
      <c r="I105" s="149"/>
      <c r="J105" s="150"/>
      <c r="K105" s="149">
        <v>32</v>
      </c>
      <c r="L105" s="150">
        <v>4.2300000000000004</v>
      </c>
      <c r="M105" s="149"/>
      <c r="N105" s="150"/>
      <c r="O105" s="149">
        <v>0</v>
      </c>
      <c r="P105" s="150"/>
      <c r="Q105" s="149">
        <v>37</v>
      </c>
      <c r="R105" s="150">
        <v>4.32</v>
      </c>
      <c r="S105" s="149"/>
      <c r="T105" s="150"/>
      <c r="U105" s="149">
        <v>0</v>
      </c>
      <c r="V105" s="150"/>
      <c r="W105" s="149">
        <v>482</v>
      </c>
      <c r="X105" s="150">
        <v>2.2599999999999998</v>
      </c>
      <c r="Y105" s="149"/>
      <c r="Z105" s="150"/>
      <c r="AA105" s="149">
        <v>0</v>
      </c>
      <c r="AB105" s="150"/>
      <c r="AC105" s="242">
        <v>700</v>
      </c>
      <c r="AD105" s="150">
        <v>2.33</v>
      </c>
      <c r="AE105" s="149"/>
      <c r="AF105" s="150"/>
      <c r="AG105" s="149">
        <v>0</v>
      </c>
      <c r="AH105" s="150"/>
      <c r="AI105" s="242">
        <v>569</v>
      </c>
      <c r="AJ105" s="150">
        <v>2.62</v>
      </c>
      <c r="AK105" s="149"/>
      <c r="AL105" s="150"/>
      <c r="AM105" s="149">
        <v>0</v>
      </c>
      <c r="AN105" s="150"/>
      <c r="AO105" s="149">
        <v>812</v>
      </c>
      <c r="AP105" s="150">
        <v>2.71</v>
      </c>
      <c r="AQ105" s="149"/>
      <c r="AR105" s="150"/>
      <c r="AS105" s="149">
        <v>0</v>
      </c>
      <c r="AT105" s="150"/>
      <c r="AU105" s="149">
        <v>898</v>
      </c>
      <c r="AV105" s="150">
        <v>2.72</v>
      </c>
      <c r="AW105" s="149"/>
      <c r="AX105" s="150"/>
      <c r="AY105" s="149">
        <v>0</v>
      </c>
      <c r="AZ105" s="150"/>
      <c r="BA105" s="167">
        <f t="shared" si="58"/>
        <v>86</v>
      </c>
      <c r="BB105" s="167">
        <f t="shared" si="60"/>
        <v>1.0000000000000231E-2</v>
      </c>
      <c r="BC105" s="150">
        <f t="shared" si="59"/>
        <v>0.10591133004926108</v>
      </c>
      <c r="BD105" s="169">
        <f t="shared" si="61"/>
        <v>3.690036900369089E-3</v>
      </c>
    </row>
    <row r="106" spans="1:56" ht="15.75" x14ac:dyDescent="0.25">
      <c r="A106" s="149" t="s">
        <v>159</v>
      </c>
      <c r="B106" s="166" t="s">
        <v>211</v>
      </c>
      <c r="C106" s="165" t="s">
        <v>500</v>
      </c>
      <c r="D106" s="149" t="s">
        <v>497</v>
      </c>
      <c r="E106" s="164">
        <v>950</v>
      </c>
      <c r="F106" s="150">
        <v>2.08</v>
      </c>
      <c r="G106" s="164">
        <v>0</v>
      </c>
      <c r="H106" s="150"/>
      <c r="I106" s="164">
        <v>0</v>
      </c>
      <c r="J106" s="150"/>
      <c r="K106" s="164">
        <f>SUM(K103:K105)</f>
        <v>723</v>
      </c>
      <c r="L106" s="150">
        <v>2</v>
      </c>
      <c r="M106" s="164">
        <f>SUM(M103:M105)</f>
        <v>0</v>
      </c>
      <c r="N106" s="150"/>
      <c r="O106" s="164">
        <f>SUM(O103:O105)</f>
        <v>0</v>
      </c>
      <c r="P106" s="150"/>
      <c r="Q106" s="164">
        <f>SUM(Q103:Q105)</f>
        <v>690</v>
      </c>
      <c r="R106" s="150">
        <v>2.1</v>
      </c>
      <c r="S106" s="164">
        <f>SUM(S103:S105)</f>
        <v>0</v>
      </c>
      <c r="T106" s="150"/>
      <c r="U106" s="164">
        <f>SUM(U103:U105)</f>
        <v>0</v>
      </c>
      <c r="V106" s="150"/>
      <c r="W106" s="164">
        <v>1369</v>
      </c>
      <c r="X106" s="150">
        <v>2.02</v>
      </c>
      <c r="Y106" s="164">
        <v>0</v>
      </c>
      <c r="Z106" s="150"/>
      <c r="AA106" s="164">
        <v>0</v>
      </c>
      <c r="AB106" s="150"/>
      <c r="AC106" s="243">
        <f>SUM(AC103:AC105)</f>
        <v>1175</v>
      </c>
      <c r="AD106" s="150">
        <v>2.13</v>
      </c>
      <c r="AE106" s="164">
        <f>SUM(AE103:AE105)</f>
        <v>0</v>
      </c>
      <c r="AF106" s="150"/>
      <c r="AG106" s="164">
        <f>SUM(AG103:AG105)</f>
        <v>0</v>
      </c>
      <c r="AH106" s="150"/>
      <c r="AI106" s="243">
        <f>SUM(AI103:AI105)</f>
        <v>1300</v>
      </c>
      <c r="AJ106" s="150">
        <v>2.2000000000000002</v>
      </c>
      <c r="AK106" s="164">
        <f>SUM(AK103:AK105)</f>
        <v>0</v>
      </c>
      <c r="AL106" s="150"/>
      <c r="AM106" s="164">
        <f>SUM(AM103:AM105)</f>
        <v>0</v>
      </c>
      <c r="AN106" s="150"/>
      <c r="AO106" s="164">
        <f>SUM(AO103:AO105)</f>
        <v>1817</v>
      </c>
      <c r="AP106" s="150">
        <v>2.25</v>
      </c>
      <c r="AQ106" s="164">
        <f>SUM(AQ103:AQ105)</f>
        <v>0</v>
      </c>
      <c r="AR106" s="150"/>
      <c r="AS106" s="164">
        <f>SUM(AS103:AS105)</f>
        <v>0</v>
      </c>
      <c r="AT106" s="150"/>
      <c r="AU106" s="164">
        <f>SUM(AU103:AU105)</f>
        <v>1788</v>
      </c>
      <c r="AV106" s="150">
        <v>2.29</v>
      </c>
      <c r="AW106" s="164">
        <f>SUM(AW103:AW105)</f>
        <v>0</v>
      </c>
      <c r="AX106" s="150"/>
      <c r="AY106" s="164">
        <f>SUM(AY103:AY105)</f>
        <v>0</v>
      </c>
      <c r="AZ106" s="150"/>
      <c r="BA106" s="167">
        <f t="shared" si="58"/>
        <v>-29</v>
      </c>
      <c r="BB106" s="167">
        <f t="shared" si="60"/>
        <v>4.0000000000000036E-2</v>
      </c>
      <c r="BC106" s="150">
        <f t="shared" si="59"/>
        <v>-1.5960374243258118E-2</v>
      </c>
      <c r="BD106" s="169">
        <f t="shared" si="61"/>
        <v>1.7777777777777795E-2</v>
      </c>
    </row>
    <row r="107" spans="1:56" x14ac:dyDescent="0.2">
      <c r="A107" s="149" t="s">
        <v>160</v>
      </c>
      <c r="B107" s="166"/>
      <c r="C107" s="166" t="s">
        <v>501</v>
      </c>
      <c r="D107" s="149" t="s">
        <v>502</v>
      </c>
      <c r="E107" s="170">
        <v>310450</v>
      </c>
      <c r="F107" s="170">
        <v>271724.17</v>
      </c>
      <c r="G107" s="170"/>
      <c r="H107" s="170"/>
      <c r="I107" s="170"/>
      <c r="J107" s="170"/>
      <c r="K107" s="170">
        <v>292440</v>
      </c>
      <c r="L107" s="170">
        <v>236667.78</v>
      </c>
      <c r="M107" s="170"/>
      <c r="N107" s="170"/>
      <c r="O107" s="170"/>
      <c r="P107" s="170"/>
      <c r="Q107" s="170">
        <v>191100</v>
      </c>
      <c r="R107" s="170">
        <v>194513.2</v>
      </c>
      <c r="S107" s="170"/>
      <c r="T107" s="170"/>
      <c r="U107" s="170"/>
      <c r="V107" s="170"/>
      <c r="W107" s="170">
        <v>190800</v>
      </c>
      <c r="X107" s="170">
        <v>120529.91</v>
      </c>
      <c r="Y107" s="170"/>
      <c r="Z107" s="170"/>
      <c r="AA107" s="170"/>
      <c r="AB107" s="170"/>
      <c r="AC107" s="244">
        <v>136300</v>
      </c>
      <c r="AD107" s="244">
        <v>103542.38</v>
      </c>
      <c r="AE107" s="170"/>
      <c r="AF107" s="170"/>
      <c r="AG107" s="170"/>
      <c r="AH107" s="170"/>
      <c r="AI107" s="244">
        <v>276200</v>
      </c>
      <c r="AJ107" s="244">
        <v>182305.21</v>
      </c>
      <c r="AK107" s="170"/>
      <c r="AL107" s="170"/>
      <c r="AM107" s="170"/>
      <c r="AN107" s="170"/>
      <c r="AO107" s="170">
        <v>248500</v>
      </c>
      <c r="AP107" s="170">
        <v>163569.32999999999</v>
      </c>
      <c r="AQ107" s="170"/>
      <c r="AR107" s="170"/>
      <c r="AS107" s="170"/>
      <c r="AT107" s="170"/>
      <c r="AU107" s="170">
        <v>197200</v>
      </c>
      <c r="AV107" s="170">
        <v>130782.79</v>
      </c>
      <c r="AW107" s="170"/>
      <c r="AX107" s="170"/>
      <c r="AY107" s="170"/>
      <c r="AZ107" s="170"/>
      <c r="BA107" s="167">
        <f t="shared" si="58"/>
        <v>-51300</v>
      </c>
      <c r="BB107" s="167">
        <f t="shared" si="60"/>
        <v>-32786.539999999994</v>
      </c>
      <c r="BC107" s="150">
        <f t="shared" si="59"/>
        <v>-0.20643863179074445</v>
      </c>
      <c r="BD107" s="169">
        <f t="shared" si="61"/>
        <v>-0.20044430089675122</v>
      </c>
    </row>
    <row r="108" spans="1:56" x14ac:dyDescent="0.2">
      <c r="A108" s="149" t="s">
        <v>449</v>
      </c>
      <c r="B108" s="166"/>
      <c r="C108" s="166" t="s">
        <v>503</v>
      </c>
      <c r="D108" s="149" t="s">
        <v>502</v>
      </c>
      <c r="E108" s="170">
        <v>290300</v>
      </c>
      <c r="F108" s="170">
        <v>274386.09000000003</v>
      </c>
      <c r="G108" s="170"/>
      <c r="H108" s="170"/>
      <c r="I108" s="170"/>
      <c r="J108" s="170"/>
      <c r="K108" s="170">
        <v>202350</v>
      </c>
      <c r="L108" s="170">
        <v>201457.83</v>
      </c>
      <c r="M108" s="170"/>
      <c r="N108" s="170"/>
      <c r="O108" s="170"/>
      <c r="P108" s="170"/>
      <c r="Q108" s="170">
        <v>273800</v>
      </c>
      <c r="R108" s="170">
        <v>254428.79999999999</v>
      </c>
      <c r="S108" s="170"/>
      <c r="T108" s="170"/>
      <c r="U108" s="170"/>
      <c r="V108" s="170"/>
      <c r="W108" s="170">
        <v>445900</v>
      </c>
      <c r="X108" s="170">
        <v>445502.5</v>
      </c>
      <c r="Y108" s="170"/>
      <c r="Z108" s="170"/>
      <c r="AA108" s="170"/>
      <c r="AB108" s="170"/>
      <c r="AC108" s="244">
        <v>213300</v>
      </c>
      <c r="AD108" s="244">
        <v>174440.7</v>
      </c>
      <c r="AE108" s="170"/>
      <c r="AF108" s="170"/>
      <c r="AG108" s="170"/>
      <c r="AH108" s="170"/>
      <c r="AI108" s="244">
        <v>269000</v>
      </c>
      <c r="AJ108" s="244">
        <v>250091.16</v>
      </c>
      <c r="AK108" s="170"/>
      <c r="AL108" s="170"/>
      <c r="AM108" s="170"/>
      <c r="AN108" s="170"/>
      <c r="AO108" s="170">
        <v>525350</v>
      </c>
      <c r="AP108" s="170">
        <v>458586.32</v>
      </c>
      <c r="AQ108" s="170"/>
      <c r="AR108" s="170"/>
      <c r="AS108" s="170"/>
      <c r="AT108" s="170"/>
      <c r="AU108" s="170">
        <v>471200</v>
      </c>
      <c r="AV108" s="170">
        <v>378444.44</v>
      </c>
      <c r="AW108" s="170"/>
      <c r="AX108" s="170"/>
      <c r="AY108" s="170"/>
      <c r="AZ108" s="170"/>
      <c r="BA108" s="167">
        <f t="shared" si="58"/>
        <v>-54150</v>
      </c>
      <c r="BB108" s="167">
        <f t="shared" si="60"/>
        <v>-80141.88</v>
      </c>
      <c r="BC108" s="150">
        <f t="shared" si="59"/>
        <v>-0.10307414104882459</v>
      </c>
      <c r="BD108" s="169">
        <f t="shared" si="61"/>
        <v>-0.17475854927377688</v>
      </c>
    </row>
    <row r="109" spans="1:56" x14ac:dyDescent="0.2">
      <c r="A109" s="149" t="s">
        <v>450</v>
      </c>
      <c r="B109" s="166"/>
      <c r="C109" s="166" t="s">
        <v>504</v>
      </c>
      <c r="D109" s="149" t="s">
        <v>502</v>
      </c>
      <c r="E109" s="170">
        <v>93500</v>
      </c>
      <c r="F109" s="170">
        <v>207109.5</v>
      </c>
      <c r="G109" s="170"/>
      <c r="H109" s="170"/>
      <c r="I109" s="170"/>
      <c r="J109" s="170"/>
      <c r="K109" s="170">
        <v>25000</v>
      </c>
      <c r="L109" s="170">
        <v>80658.8</v>
      </c>
      <c r="M109" s="170"/>
      <c r="N109" s="170"/>
      <c r="O109" s="170"/>
      <c r="P109" s="170"/>
      <c r="Q109" s="170">
        <v>27800</v>
      </c>
      <c r="R109" s="170">
        <v>92416.7</v>
      </c>
      <c r="S109" s="170"/>
      <c r="T109" s="170"/>
      <c r="U109" s="170"/>
      <c r="V109" s="170"/>
      <c r="W109" s="170">
        <v>397800</v>
      </c>
      <c r="X109" s="170">
        <v>500444.51</v>
      </c>
      <c r="Y109" s="170"/>
      <c r="Z109" s="170"/>
      <c r="AA109" s="170"/>
      <c r="AB109" s="170"/>
      <c r="AC109" s="244">
        <v>599300</v>
      </c>
      <c r="AD109" s="244">
        <v>794414.06</v>
      </c>
      <c r="AE109" s="170"/>
      <c r="AF109" s="170"/>
      <c r="AG109" s="170"/>
      <c r="AH109" s="170"/>
      <c r="AI109" s="244">
        <v>526450</v>
      </c>
      <c r="AJ109" s="244">
        <v>854877.57</v>
      </c>
      <c r="AK109" s="170"/>
      <c r="AL109" s="170"/>
      <c r="AM109" s="170"/>
      <c r="AN109" s="170"/>
      <c r="AO109" s="170">
        <v>754150</v>
      </c>
      <c r="AP109" s="170">
        <v>1289153.72</v>
      </c>
      <c r="AQ109" s="170"/>
      <c r="AR109" s="170"/>
      <c r="AS109" s="170"/>
      <c r="AT109" s="170"/>
      <c r="AU109" s="170">
        <v>834250</v>
      </c>
      <c r="AV109" s="170">
        <v>1432962.03</v>
      </c>
      <c r="AW109" s="170"/>
      <c r="AX109" s="170"/>
      <c r="AY109" s="170"/>
      <c r="AZ109" s="170"/>
      <c r="BA109" s="167">
        <f t="shared" si="58"/>
        <v>80100</v>
      </c>
      <c r="BB109" s="167">
        <f t="shared" si="60"/>
        <v>143808.31000000006</v>
      </c>
      <c r="BC109" s="150">
        <f t="shared" si="59"/>
        <v>0.10621229198435325</v>
      </c>
      <c r="BD109" s="169">
        <f t="shared" si="61"/>
        <v>0.11155249197124456</v>
      </c>
    </row>
    <row r="110" spans="1:56" x14ac:dyDescent="0.2">
      <c r="A110" s="149" t="s">
        <v>451</v>
      </c>
      <c r="B110" s="166"/>
      <c r="C110" s="166" t="s">
        <v>505</v>
      </c>
      <c r="D110" s="149" t="s">
        <v>502</v>
      </c>
      <c r="E110" s="170">
        <v>694250</v>
      </c>
      <c r="F110" s="170">
        <v>753219.76</v>
      </c>
      <c r="G110" s="170">
        <v>0</v>
      </c>
      <c r="H110" s="170">
        <v>0</v>
      </c>
      <c r="I110" s="170">
        <v>0</v>
      </c>
      <c r="J110" s="170">
        <v>0</v>
      </c>
      <c r="K110" s="170">
        <f t="shared" ref="K110:L110" si="62">SUM(K107:K109)</f>
        <v>519790</v>
      </c>
      <c r="L110" s="170">
        <f t="shared" si="62"/>
        <v>518784.41</v>
      </c>
      <c r="M110" s="170">
        <f t="shared" ref="M110:R110" si="63">SUM(M107:M109)</f>
        <v>0</v>
      </c>
      <c r="N110" s="170">
        <f t="shared" si="63"/>
        <v>0</v>
      </c>
      <c r="O110" s="170">
        <f t="shared" si="63"/>
        <v>0</v>
      </c>
      <c r="P110" s="170">
        <f t="shared" si="63"/>
        <v>0</v>
      </c>
      <c r="Q110" s="170">
        <f t="shared" si="63"/>
        <v>492700</v>
      </c>
      <c r="R110" s="170">
        <f t="shared" si="63"/>
        <v>541358.69999999995</v>
      </c>
      <c r="S110" s="170">
        <f t="shared" ref="S110:V110" si="64">SUM(S107:S109)</f>
        <v>0</v>
      </c>
      <c r="T110" s="170">
        <f t="shared" si="64"/>
        <v>0</v>
      </c>
      <c r="U110" s="170">
        <f t="shared" si="64"/>
        <v>0</v>
      </c>
      <c r="V110" s="170">
        <f t="shared" si="64"/>
        <v>0</v>
      </c>
      <c r="W110" s="170">
        <f>+SUM(W107:W109)</f>
        <v>1034500</v>
      </c>
      <c r="X110" s="170">
        <f>+SUM(X107:X109)</f>
        <v>1066476.92</v>
      </c>
      <c r="Y110" s="170">
        <v>0</v>
      </c>
      <c r="Z110" s="170">
        <v>0</v>
      </c>
      <c r="AA110" s="170">
        <v>0</v>
      </c>
      <c r="AB110" s="170">
        <v>0</v>
      </c>
      <c r="AC110" s="244">
        <f t="shared" ref="AC110:AD110" si="65">SUM(AC107:AC109)</f>
        <v>948900</v>
      </c>
      <c r="AD110" s="244">
        <f t="shared" si="65"/>
        <v>1072397.1400000001</v>
      </c>
      <c r="AE110" s="170">
        <f t="shared" ref="AE110:AJ110" si="66">SUM(AE107:AE109)</f>
        <v>0</v>
      </c>
      <c r="AF110" s="170">
        <f t="shared" si="66"/>
        <v>0</v>
      </c>
      <c r="AG110" s="170">
        <f t="shared" si="66"/>
        <v>0</v>
      </c>
      <c r="AH110" s="170">
        <f t="shared" si="66"/>
        <v>0</v>
      </c>
      <c r="AI110" s="170">
        <f t="shared" si="66"/>
        <v>1071650</v>
      </c>
      <c r="AJ110" s="170">
        <f t="shared" si="66"/>
        <v>1287273.94</v>
      </c>
      <c r="AK110" s="170">
        <f t="shared" ref="AK110:AP110" si="67">SUM(AK107:AK109)</f>
        <v>0</v>
      </c>
      <c r="AL110" s="170">
        <f t="shared" si="67"/>
        <v>0</v>
      </c>
      <c r="AM110" s="170">
        <f t="shared" si="67"/>
        <v>0</v>
      </c>
      <c r="AN110" s="170">
        <f t="shared" si="67"/>
        <v>0</v>
      </c>
      <c r="AO110" s="170">
        <f t="shared" si="67"/>
        <v>1528000</v>
      </c>
      <c r="AP110" s="170">
        <f t="shared" si="67"/>
        <v>1911309.37</v>
      </c>
      <c r="AQ110" s="170">
        <f t="shared" ref="AQ110:AV110" si="68">SUM(AQ107:AQ109)</f>
        <v>0</v>
      </c>
      <c r="AR110" s="170">
        <f t="shared" si="68"/>
        <v>0</v>
      </c>
      <c r="AS110" s="170">
        <f t="shared" si="68"/>
        <v>0</v>
      </c>
      <c r="AT110" s="170">
        <f t="shared" si="68"/>
        <v>0</v>
      </c>
      <c r="AU110" s="170">
        <f t="shared" si="68"/>
        <v>1502650</v>
      </c>
      <c r="AV110" s="170">
        <f t="shared" si="68"/>
        <v>1942189.26</v>
      </c>
      <c r="AW110" s="170">
        <f t="shared" ref="AW110:AZ110" si="69">SUM(AW107:AW109)</f>
        <v>0</v>
      </c>
      <c r="AX110" s="170">
        <f t="shared" si="69"/>
        <v>0</v>
      </c>
      <c r="AY110" s="170">
        <f t="shared" si="69"/>
        <v>0</v>
      </c>
      <c r="AZ110" s="170">
        <f t="shared" si="69"/>
        <v>0</v>
      </c>
      <c r="BA110" s="167">
        <f t="shared" si="58"/>
        <v>-25350</v>
      </c>
      <c r="BB110" s="167">
        <f t="shared" si="60"/>
        <v>30879.889999999898</v>
      </c>
      <c r="BC110" s="150">
        <f t="shared" si="59"/>
        <v>-1.6590314136125654E-2</v>
      </c>
      <c r="BD110" s="169">
        <f t="shared" si="61"/>
        <v>1.6156405909316447E-2</v>
      </c>
    </row>
    <row r="111" spans="1:56" x14ac:dyDescent="0.2">
      <c r="A111" s="149" t="s">
        <v>452</v>
      </c>
      <c r="B111" s="166"/>
      <c r="C111" s="180" t="s">
        <v>146</v>
      </c>
      <c r="D111" s="149"/>
      <c r="E111" s="181">
        <v>4698</v>
      </c>
      <c r="F111" s="181">
        <v>2436804</v>
      </c>
      <c r="G111" s="181"/>
      <c r="H111" s="181"/>
      <c r="I111" s="181"/>
      <c r="J111" s="181"/>
      <c r="K111" s="181">
        <v>5053</v>
      </c>
      <c r="L111" s="181">
        <v>2324383.9900000002</v>
      </c>
      <c r="M111" s="181"/>
      <c r="N111" s="181"/>
      <c r="O111" s="181"/>
      <c r="P111" s="181"/>
      <c r="Q111" s="181">
        <v>4984</v>
      </c>
      <c r="R111" s="181">
        <v>2034551.03</v>
      </c>
      <c r="S111" s="181"/>
      <c r="T111" s="181"/>
      <c r="U111" s="181"/>
      <c r="V111" s="181"/>
      <c r="W111" s="181">
        <v>5072</v>
      </c>
      <c r="X111" s="241">
        <v>2465805.1</v>
      </c>
      <c r="Y111" s="181"/>
      <c r="Z111" s="181"/>
      <c r="AA111" s="181"/>
      <c r="AB111" s="181"/>
      <c r="AC111" s="245">
        <v>3891</v>
      </c>
      <c r="AD111" s="245">
        <v>1763357.93</v>
      </c>
      <c r="AE111" s="181"/>
      <c r="AF111" s="181"/>
      <c r="AG111" s="181"/>
      <c r="AH111" s="181"/>
      <c r="AI111" s="245">
        <v>3812</v>
      </c>
      <c r="AJ111" s="245">
        <v>2195252.8000000003</v>
      </c>
      <c r="AK111" s="181"/>
      <c r="AL111" s="181"/>
      <c r="AM111" s="181"/>
      <c r="AN111" s="181"/>
      <c r="AO111" s="181">
        <v>5903</v>
      </c>
      <c r="AP111" s="181">
        <v>2893217.93</v>
      </c>
      <c r="AQ111" s="181"/>
      <c r="AR111" s="181"/>
      <c r="AS111" s="181"/>
      <c r="AT111" s="181"/>
      <c r="AU111" s="181">
        <v>6031</v>
      </c>
      <c r="AV111" s="181">
        <v>2792438.5</v>
      </c>
      <c r="AW111" s="181"/>
      <c r="AX111" s="181"/>
      <c r="AY111" s="181"/>
      <c r="AZ111" s="181"/>
      <c r="BA111" s="306">
        <f t="shared" si="58"/>
        <v>128</v>
      </c>
      <c r="BB111" s="307"/>
      <c r="BC111" s="278">
        <f t="shared" si="59"/>
        <v>2.1683889547687615E-2</v>
      </c>
      <c r="BD111" s="279"/>
    </row>
    <row r="112" spans="1:56" x14ac:dyDescent="0.2">
      <c r="A112" s="149" t="s">
        <v>544</v>
      </c>
      <c r="B112" s="166"/>
      <c r="C112" s="180" t="s">
        <v>615</v>
      </c>
      <c r="D112" s="149"/>
      <c r="E112" s="181">
        <v>1219</v>
      </c>
      <c r="F112" s="181">
        <v>513180.2</v>
      </c>
      <c r="G112" s="181"/>
      <c r="H112" s="181"/>
      <c r="I112" s="181"/>
      <c r="J112" s="181"/>
      <c r="K112" s="181">
        <v>663</v>
      </c>
      <c r="L112" s="181">
        <v>330754.74</v>
      </c>
      <c r="M112" s="181"/>
      <c r="N112" s="181"/>
      <c r="O112" s="181"/>
      <c r="P112" s="181"/>
      <c r="Q112" s="181">
        <v>1235</v>
      </c>
      <c r="R112" s="181">
        <v>559248.35</v>
      </c>
      <c r="S112" s="181"/>
      <c r="T112" s="181"/>
      <c r="U112" s="181"/>
      <c r="V112" s="181"/>
      <c r="W112" s="181">
        <v>2554</v>
      </c>
      <c r="X112" s="241">
        <v>1069081.96</v>
      </c>
      <c r="Y112" s="181"/>
      <c r="Z112" s="181"/>
      <c r="AA112" s="181"/>
      <c r="AB112" s="181"/>
      <c r="AC112" s="245">
        <v>1694</v>
      </c>
      <c r="AD112" s="245">
        <v>839535.08</v>
      </c>
      <c r="AE112" s="181"/>
      <c r="AF112" s="181"/>
      <c r="AG112" s="181"/>
      <c r="AH112" s="181"/>
      <c r="AI112" s="245">
        <v>1467</v>
      </c>
      <c r="AJ112" s="245">
        <v>691899.72</v>
      </c>
      <c r="AK112" s="181"/>
      <c r="AL112" s="181"/>
      <c r="AM112" s="181"/>
      <c r="AN112" s="181"/>
      <c r="AO112" s="181">
        <v>2374</v>
      </c>
      <c r="AP112" s="181">
        <v>1417363.6</v>
      </c>
      <c r="AQ112" s="181"/>
      <c r="AR112" s="181"/>
      <c r="AS112" s="181"/>
      <c r="AT112" s="181"/>
      <c r="AU112" s="181">
        <v>2534</v>
      </c>
      <c r="AV112" s="181">
        <v>1290962.3500000001</v>
      </c>
      <c r="AW112" s="181"/>
      <c r="AX112" s="181"/>
      <c r="AY112" s="181"/>
      <c r="AZ112" s="181"/>
      <c r="BA112" s="306">
        <f t="shared" si="58"/>
        <v>160</v>
      </c>
      <c r="BB112" s="307"/>
      <c r="BC112" s="278">
        <f t="shared" si="59"/>
        <v>6.7396798652064022E-2</v>
      </c>
      <c r="BD112" s="279"/>
    </row>
    <row r="113" spans="1:57" x14ac:dyDescent="0.2">
      <c r="A113" s="149" t="s">
        <v>545</v>
      </c>
      <c r="B113" s="166"/>
      <c r="C113" s="180" t="s">
        <v>616</v>
      </c>
      <c r="D113" s="149"/>
      <c r="E113" s="181">
        <v>168</v>
      </c>
      <c r="F113" s="181">
        <v>81351.92</v>
      </c>
      <c r="G113" s="181"/>
      <c r="H113" s="181"/>
      <c r="I113" s="181"/>
      <c r="J113" s="181"/>
      <c r="K113" s="181">
        <v>44</v>
      </c>
      <c r="L113" s="181">
        <v>31563.7</v>
      </c>
      <c r="M113" s="181"/>
      <c r="N113" s="181"/>
      <c r="O113" s="181"/>
      <c r="P113" s="181"/>
      <c r="Q113" s="181">
        <v>73</v>
      </c>
      <c r="R113" s="181">
        <v>44931</v>
      </c>
      <c r="S113" s="181"/>
      <c r="T113" s="181"/>
      <c r="U113" s="181"/>
      <c r="V113" s="181"/>
      <c r="W113" s="181">
        <v>814</v>
      </c>
      <c r="X113" s="241">
        <v>372206.77</v>
      </c>
      <c r="Y113" s="181"/>
      <c r="Z113" s="181"/>
      <c r="AA113" s="181"/>
      <c r="AB113" s="181"/>
      <c r="AC113" s="245">
        <v>1039</v>
      </c>
      <c r="AD113" s="245">
        <v>447546.5</v>
      </c>
      <c r="AE113" s="181"/>
      <c r="AF113" s="181"/>
      <c r="AG113" s="181"/>
      <c r="AH113" s="181"/>
      <c r="AI113" s="245">
        <v>772</v>
      </c>
      <c r="AJ113" s="245">
        <v>375199.96</v>
      </c>
      <c r="AK113" s="181"/>
      <c r="AL113" s="181"/>
      <c r="AM113" s="181"/>
      <c r="AN113" s="181"/>
      <c r="AO113" s="181">
        <v>1040</v>
      </c>
      <c r="AP113" s="181">
        <v>492692.05</v>
      </c>
      <c r="AQ113" s="181"/>
      <c r="AR113" s="181"/>
      <c r="AS113" s="181"/>
      <c r="AT113" s="181"/>
      <c r="AU113" s="181">
        <v>1142</v>
      </c>
      <c r="AV113" s="181">
        <v>644047.21</v>
      </c>
      <c r="AW113" s="181"/>
      <c r="AX113" s="181"/>
      <c r="AY113" s="181"/>
      <c r="AZ113" s="181"/>
      <c r="BA113" s="306">
        <f t="shared" si="58"/>
        <v>102</v>
      </c>
      <c r="BB113" s="307"/>
      <c r="BC113" s="278">
        <f t="shared" si="59"/>
        <v>9.8076923076923075E-2</v>
      </c>
      <c r="BD113" s="279"/>
    </row>
    <row r="114" spans="1:57" x14ac:dyDescent="0.2">
      <c r="A114" s="149" t="s">
        <v>546</v>
      </c>
      <c r="B114" s="166"/>
      <c r="C114" s="180" t="s">
        <v>149</v>
      </c>
      <c r="D114" s="149"/>
      <c r="E114" s="181">
        <v>82</v>
      </c>
      <c r="F114" s="181">
        <v>62191.02</v>
      </c>
      <c r="G114" s="181"/>
      <c r="H114" s="181"/>
      <c r="I114" s="181"/>
      <c r="J114" s="181"/>
      <c r="K114" s="181">
        <v>22</v>
      </c>
      <c r="L114" s="181">
        <v>24417.42</v>
      </c>
      <c r="M114" s="181"/>
      <c r="N114" s="181"/>
      <c r="O114" s="181"/>
      <c r="P114" s="181"/>
      <c r="Q114" s="181">
        <v>17</v>
      </c>
      <c r="R114" s="181">
        <v>36945.72</v>
      </c>
      <c r="S114" s="181"/>
      <c r="T114" s="181"/>
      <c r="U114" s="181"/>
      <c r="V114" s="181"/>
      <c r="W114" s="181">
        <v>68</v>
      </c>
      <c r="X114" s="241">
        <v>69128.639999999999</v>
      </c>
      <c r="Y114" s="181"/>
      <c r="Z114" s="181"/>
      <c r="AA114" s="181"/>
      <c r="AB114" s="181"/>
      <c r="AC114" s="245">
        <v>498</v>
      </c>
      <c r="AD114" s="245">
        <v>245233.1</v>
      </c>
      <c r="AE114" s="181"/>
      <c r="AF114" s="181"/>
      <c r="AG114" s="181"/>
      <c r="AH114" s="181"/>
      <c r="AI114" s="245">
        <v>825</v>
      </c>
      <c r="AJ114" s="245">
        <v>374525.04</v>
      </c>
      <c r="AK114" s="181"/>
      <c r="AL114" s="181"/>
      <c r="AM114" s="181"/>
      <c r="AN114" s="181"/>
      <c r="AO114" s="181">
        <v>1236</v>
      </c>
      <c r="AP114" s="181">
        <v>620314.38</v>
      </c>
      <c r="AQ114" s="181"/>
      <c r="AR114" s="181"/>
      <c r="AS114" s="181"/>
      <c r="AT114" s="181"/>
      <c r="AU114" s="181">
        <v>1449</v>
      </c>
      <c r="AV114" s="181">
        <v>684625.5</v>
      </c>
      <c r="AW114" s="181"/>
      <c r="AX114" s="181"/>
      <c r="AY114" s="181"/>
      <c r="AZ114" s="181"/>
      <c r="BA114" s="306">
        <f t="shared" si="58"/>
        <v>213</v>
      </c>
      <c r="BB114" s="307"/>
      <c r="BC114" s="278">
        <f t="shared" si="59"/>
        <v>0.17233009708737865</v>
      </c>
      <c r="BD114" s="279"/>
    </row>
    <row r="115" spans="1:57" x14ac:dyDescent="0.2">
      <c r="A115" s="149" t="s">
        <v>547</v>
      </c>
      <c r="B115" s="166"/>
      <c r="C115" s="180" t="s">
        <v>150</v>
      </c>
      <c r="D115" s="149"/>
      <c r="E115" s="181">
        <v>4567</v>
      </c>
      <c r="F115" s="181">
        <v>3093527.14</v>
      </c>
      <c r="G115" s="181">
        <v>0</v>
      </c>
      <c r="H115" s="181">
        <v>0</v>
      </c>
      <c r="I115" s="181">
        <v>0</v>
      </c>
      <c r="J115" s="181">
        <v>0</v>
      </c>
      <c r="K115" s="181">
        <f t="shared" ref="K115:L115" si="70">SUM(K111:K114)</f>
        <v>5782</v>
      </c>
      <c r="L115" s="181">
        <f t="shared" si="70"/>
        <v>2711119.8500000006</v>
      </c>
      <c r="M115" s="181">
        <f t="shared" ref="M115:R115" si="71">SUM(M111:M114)</f>
        <v>0</v>
      </c>
      <c r="N115" s="181">
        <f t="shared" si="71"/>
        <v>0</v>
      </c>
      <c r="O115" s="181">
        <f t="shared" si="71"/>
        <v>0</v>
      </c>
      <c r="P115" s="181">
        <f t="shared" si="71"/>
        <v>0</v>
      </c>
      <c r="Q115" s="181">
        <f t="shared" si="71"/>
        <v>6309</v>
      </c>
      <c r="R115" s="181">
        <f t="shared" si="71"/>
        <v>2675676.1</v>
      </c>
      <c r="S115" s="181">
        <f t="shared" ref="S115:V115" si="72">SUM(S111:S114)</f>
        <v>0</v>
      </c>
      <c r="T115" s="181">
        <f t="shared" si="72"/>
        <v>0</v>
      </c>
      <c r="U115" s="181">
        <f t="shared" si="72"/>
        <v>0</v>
      </c>
      <c r="V115" s="181">
        <f t="shared" si="72"/>
        <v>0</v>
      </c>
      <c r="W115" s="181">
        <f>+SUM(W111:W114)</f>
        <v>8508</v>
      </c>
      <c r="X115" s="241">
        <f>+SUM(X111:X114)</f>
        <v>3976222.47</v>
      </c>
      <c r="Y115" s="181">
        <v>0</v>
      </c>
      <c r="Z115" s="181">
        <f>+SUM(Z111:Z114)</f>
        <v>0</v>
      </c>
      <c r="AA115" s="181">
        <v>0</v>
      </c>
      <c r="AB115" s="181">
        <v>0</v>
      </c>
      <c r="AC115" s="245">
        <f t="shared" ref="AC115:AD115" si="73">SUM(AC111:AC114)</f>
        <v>7122</v>
      </c>
      <c r="AD115" s="245">
        <f t="shared" si="73"/>
        <v>3295672.61</v>
      </c>
      <c r="AE115" s="181">
        <f t="shared" ref="AE115:AJ115" si="74">SUM(AE111:AE114)</f>
        <v>0</v>
      </c>
      <c r="AF115" s="181">
        <f t="shared" si="74"/>
        <v>0</v>
      </c>
      <c r="AG115" s="181">
        <f t="shared" si="74"/>
        <v>0</v>
      </c>
      <c r="AH115" s="181">
        <f t="shared" si="74"/>
        <v>0</v>
      </c>
      <c r="AI115" s="245">
        <f t="shared" si="74"/>
        <v>6876</v>
      </c>
      <c r="AJ115" s="245">
        <f t="shared" si="74"/>
        <v>3636877.5200000005</v>
      </c>
      <c r="AK115" s="181">
        <f t="shared" ref="AK115:AP115" si="75">SUM(AK111:AK114)</f>
        <v>0</v>
      </c>
      <c r="AL115" s="181">
        <f t="shared" si="75"/>
        <v>0</v>
      </c>
      <c r="AM115" s="181">
        <f t="shared" si="75"/>
        <v>0</v>
      </c>
      <c r="AN115" s="181">
        <f t="shared" si="75"/>
        <v>0</v>
      </c>
      <c r="AO115" s="181">
        <f t="shared" si="75"/>
        <v>10553</v>
      </c>
      <c r="AP115" s="181">
        <f t="shared" si="75"/>
        <v>5423587.96</v>
      </c>
      <c r="AQ115" s="181">
        <f t="shared" ref="AQ115:AV115" si="76">SUM(AQ111:AQ114)</f>
        <v>0</v>
      </c>
      <c r="AR115" s="181">
        <f t="shared" si="76"/>
        <v>0</v>
      </c>
      <c r="AS115" s="181">
        <f t="shared" si="76"/>
        <v>0</v>
      </c>
      <c r="AT115" s="181">
        <f t="shared" si="76"/>
        <v>0</v>
      </c>
      <c r="AU115" s="181">
        <f t="shared" si="76"/>
        <v>11156</v>
      </c>
      <c r="AV115" s="181">
        <f t="shared" si="76"/>
        <v>5412073.5600000005</v>
      </c>
      <c r="AW115" s="181">
        <f t="shared" ref="AW115:AZ115" si="77">SUM(AW111:AW114)</f>
        <v>0</v>
      </c>
      <c r="AX115" s="181">
        <f t="shared" si="77"/>
        <v>0</v>
      </c>
      <c r="AY115" s="181">
        <f t="shared" si="77"/>
        <v>0</v>
      </c>
      <c r="AZ115" s="181">
        <f t="shared" si="77"/>
        <v>0</v>
      </c>
      <c r="BA115" s="306">
        <f t="shared" si="58"/>
        <v>603</v>
      </c>
      <c r="BB115" s="307"/>
      <c r="BC115" s="278">
        <f t="shared" si="59"/>
        <v>5.7140149720458638E-2</v>
      </c>
      <c r="BD115" s="279"/>
    </row>
    <row r="116" spans="1:57" ht="15.6" customHeight="1" x14ac:dyDescent="0.2">
      <c r="A116" s="149" t="s">
        <v>548</v>
      </c>
      <c r="B116" s="166"/>
      <c r="C116" s="180" t="s">
        <v>151</v>
      </c>
      <c r="D116" s="149"/>
      <c r="E116" s="278">
        <v>4.64010445059699E-2</v>
      </c>
      <c r="F116" s="279"/>
      <c r="G116" s="278" t="e">
        <v>#DIV/0!</v>
      </c>
      <c r="H116" s="279"/>
      <c r="I116" s="278" t="e">
        <v>#DIV/0!</v>
      </c>
      <c r="J116" s="279"/>
      <c r="K116" s="278">
        <f>(L113+L114)/L115</f>
        <v>2.0648707212261377E-2</v>
      </c>
      <c r="L116" s="279"/>
      <c r="M116" s="278" t="e">
        <f>(N113+N114)/N115</f>
        <v>#DIV/0!</v>
      </c>
      <c r="N116" s="279"/>
      <c r="O116" s="278" t="e">
        <f>(P113+P114)/P115</f>
        <v>#DIV/0!</v>
      </c>
      <c r="P116" s="279"/>
      <c r="Q116" s="278">
        <f>(R113+R114)/R115</f>
        <v>3.0600385450241904E-2</v>
      </c>
      <c r="R116" s="279"/>
      <c r="S116" s="278" t="e">
        <f>(T113+T114)/T115</f>
        <v>#DIV/0!</v>
      </c>
      <c r="T116" s="279"/>
      <c r="U116" s="278" t="e">
        <f>(V113+V114)/V115</f>
        <v>#DIV/0!</v>
      </c>
      <c r="V116" s="279"/>
      <c r="W116" s="278">
        <f>(X113+X114)/X115</f>
        <v>0.11099364115811156</v>
      </c>
      <c r="X116" s="279"/>
      <c r="Y116" s="278" t="e">
        <v>#DIV/0!</v>
      </c>
      <c r="Z116" s="279"/>
      <c r="AA116" s="278" t="e">
        <v>#DIV/0!</v>
      </c>
      <c r="AB116" s="279"/>
      <c r="AC116" s="278">
        <f>(AD113+AD114)/AD115</f>
        <v>0.21020886537634575</v>
      </c>
      <c r="AD116" s="279"/>
      <c r="AE116" s="278" t="e">
        <f>(AF113+AF114)/AF115</f>
        <v>#DIV/0!</v>
      </c>
      <c r="AF116" s="279"/>
      <c r="AG116" s="278" t="e">
        <f>(AH113+AH114)/AH115</f>
        <v>#DIV/0!</v>
      </c>
      <c r="AH116" s="279"/>
      <c r="AI116" s="278">
        <f>(AJ113+AJ114)/AJ115</f>
        <v>0.20614524296655443</v>
      </c>
      <c r="AJ116" s="279"/>
      <c r="AK116" s="278" t="e">
        <f>(AL113+AL114)/AL115</f>
        <v>#DIV/0!</v>
      </c>
      <c r="AL116" s="279"/>
      <c r="AM116" s="278" t="e">
        <f>(AN113+AN114)/AN115</f>
        <v>#DIV/0!</v>
      </c>
      <c r="AN116" s="279"/>
      <c r="AO116" s="278">
        <f>(AP113+AP114)/AP115</f>
        <v>0.20521588996226031</v>
      </c>
      <c r="AP116" s="279"/>
      <c r="AQ116" s="278" t="e">
        <f>(AR113+AR114)/AR115</f>
        <v>#DIV/0!</v>
      </c>
      <c r="AR116" s="279"/>
      <c r="AS116" s="278" t="e">
        <f>(AT113+AT114)/AT115</f>
        <v>#DIV/0!</v>
      </c>
      <c r="AT116" s="279"/>
      <c r="AU116" s="278">
        <f>(AV113+AV114)/AV115</f>
        <v>0.24550159846681754</v>
      </c>
      <c r="AV116" s="279"/>
      <c r="AW116" s="278" t="e">
        <f>(AX113+AX114)/AX115</f>
        <v>#DIV/0!</v>
      </c>
      <c r="AX116" s="279"/>
      <c r="AY116" s="278" t="e">
        <f>(AZ113+AZ114)/AZ115</f>
        <v>#DIV/0!</v>
      </c>
      <c r="AZ116" s="279"/>
      <c r="BA116" s="278">
        <f t="shared" si="58"/>
        <v>4.0285708504557233E-2</v>
      </c>
      <c r="BB116" s="279"/>
      <c r="BC116" s="278">
        <f t="shared" si="59"/>
        <v>0.19630891405127482</v>
      </c>
      <c r="BD116" s="279"/>
    </row>
    <row r="117" spans="1:57" x14ac:dyDescent="0.2">
      <c r="A117" s="149" t="s">
        <v>549</v>
      </c>
      <c r="B117" s="166"/>
      <c r="C117" s="180" t="s">
        <v>152</v>
      </c>
      <c r="D117" s="149"/>
      <c r="E117" s="282">
        <v>542653.82999999996</v>
      </c>
      <c r="F117" s="283"/>
      <c r="G117" s="282"/>
      <c r="H117" s="283"/>
      <c r="I117" s="282"/>
      <c r="J117" s="283"/>
      <c r="K117" s="280">
        <v>542581.62200000009</v>
      </c>
      <c r="L117" s="281"/>
      <c r="M117" s="282"/>
      <c r="N117" s="283"/>
      <c r="O117" s="282"/>
      <c r="P117" s="283"/>
      <c r="Q117" s="280">
        <v>570767.39199999999</v>
      </c>
      <c r="R117" s="281"/>
      <c r="S117" s="282"/>
      <c r="T117" s="283"/>
      <c r="U117" s="282"/>
      <c r="V117" s="283"/>
      <c r="W117" s="280">
        <v>580577.85199999996</v>
      </c>
      <c r="X117" s="281"/>
      <c r="Y117" s="282"/>
      <c r="Z117" s="283"/>
      <c r="AA117" s="282"/>
      <c r="AB117" s="283"/>
      <c r="AC117" s="280">
        <v>445080.522</v>
      </c>
      <c r="AD117" s="281"/>
      <c r="AE117" s="282"/>
      <c r="AF117" s="283"/>
      <c r="AG117" s="282"/>
      <c r="AH117" s="283"/>
      <c r="AI117" s="280">
        <v>591538.64</v>
      </c>
      <c r="AJ117" s="281"/>
      <c r="AK117" s="282"/>
      <c r="AL117" s="283"/>
      <c r="AM117" s="282"/>
      <c r="AN117" s="283"/>
      <c r="AO117" s="280">
        <v>592707.56999999995</v>
      </c>
      <c r="AP117" s="281"/>
      <c r="AQ117" s="282"/>
      <c r="AR117" s="283"/>
      <c r="AS117" s="282"/>
      <c r="AT117" s="283"/>
      <c r="AU117" s="280">
        <v>599431.25199999986</v>
      </c>
      <c r="AV117" s="281"/>
      <c r="AW117" s="282"/>
      <c r="AX117" s="283"/>
      <c r="AY117" s="282"/>
      <c r="AZ117" s="283"/>
      <c r="BA117" s="306">
        <f t="shared" si="58"/>
        <v>6723.6819999999134</v>
      </c>
      <c r="BB117" s="307"/>
      <c r="BC117" s="278">
        <f t="shared" si="59"/>
        <v>1.1344012360091697E-2</v>
      </c>
      <c r="BD117" s="279"/>
    </row>
    <row r="118" spans="1:57" x14ac:dyDescent="0.2">
      <c r="A118" s="149" t="s">
        <v>550</v>
      </c>
      <c r="B118" s="166"/>
      <c r="C118" s="166" t="s">
        <v>389</v>
      </c>
      <c r="D118" s="149" t="s">
        <v>179</v>
      </c>
      <c r="E118" s="282">
        <v>39915828.291234396</v>
      </c>
      <c r="F118" s="283"/>
      <c r="G118" s="282"/>
      <c r="H118" s="283"/>
      <c r="I118" s="282"/>
      <c r="J118" s="283"/>
      <c r="K118" s="280">
        <v>39657244.570222199</v>
      </c>
      <c r="L118" s="281"/>
      <c r="M118" s="282"/>
      <c r="N118" s="283"/>
      <c r="O118" s="282"/>
      <c r="P118" s="283"/>
      <c r="Q118" s="280">
        <v>39547397.646876588</v>
      </c>
      <c r="R118" s="281"/>
      <c r="S118" s="282"/>
      <c r="T118" s="283"/>
      <c r="U118" s="282"/>
      <c r="V118" s="283"/>
      <c r="W118" s="280">
        <v>39403435.254364401</v>
      </c>
      <c r="X118" s="281"/>
      <c r="Y118" s="282"/>
      <c r="Z118" s="283"/>
      <c r="AA118" s="282"/>
      <c r="AB118" s="283"/>
      <c r="AC118" s="280">
        <v>39134170.431463197</v>
      </c>
      <c r="AD118" s="281"/>
      <c r="AE118" s="282"/>
      <c r="AF118" s="283"/>
      <c r="AG118" s="282"/>
      <c r="AH118" s="283"/>
      <c r="AI118" s="280">
        <v>38876836.979999997</v>
      </c>
      <c r="AJ118" s="281"/>
      <c r="AK118" s="282"/>
      <c r="AL118" s="283"/>
      <c r="AM118" s="282"/>
      <c r="AN118" s="283"/>
      <c r="AO118" s="280">
        <v>40548440.417216502</v>
      </c>
      <c r="AP118" s="281"/>
      <c r="AQ118" s="282"/>
      <c r="AR118" s="283"/>
      <c r="AS118" s="282"/>
      <c r="AT118" s="283"/>
      <c r="AU118" s="280">
        <v>40433903.481259897</v>
      </c>
      <c r="AV118" s="281"/>
      <c r="AW118" s="282"/>
      <c r="AX118" s="283"/>
      <c r="AY118" s="282"/>
      <c r="AZ118" s="283"/>
      <c r="BA118" s="306">
        <f t="shared" si="58"/>
        <v>-114536.93595660478</v>
      </c>
      <c r="BB118" s="307"/>
      <c r="BC118" s="278">
        <f t="shared" si="59"/>
        <v>-2.8246939901534025E-3</v>
      </c>
      <c r="BD118" s="279"/>
    </row>
    <row r="119" spans="1:57" ht="15.75" x14ac:dyDescent="0.25">
      <c r="A119" s="195" t="s">
        <v>453</v>
      </c>
      <c r="B119" s="196" t="s">
        <v>475</v>
      </c>
      <c r="C119" s="197"/>
      <c r="D119" s="198"/>
      <c r="E119" s="198" t="s">
        <v>473</v>
      </c>
      <c r="F119" s="198" t="s">
        <v>474</v>
      </c>
      <c r="G119" s="198" t="s">
        <v>473</v>
      </c>
      <c r="H119" s="198" t="s">
        <v>474</v>
      </c>
      <c r="I119" s="198" t="s">
        <v>473</v>
      </c>
      <c r="J119" s="198" t="s">
        <v>474</v>
      </c>
      <c r="K119" s="198" t="s">
        <v>473</v>
      </c>
      <c r="L119" s="198" t="s">
        <v>474</v>
      </c>
      <c r="M119" s="198" t="s">
        <v>473</v>
      </c>
      <c r="N119" s="198" t="s">
        <v>474</v>
      </c>
      <c r="O119" s="198" t="s">
        <v>473</v>
      </c>
      <c r="P119" s="198" t="s">
        <v>474</v>
      </c>
      <c r="Q119" s="198" t="s">
        <v>473</v>
      </c>
      <c r="R119" s="198" t="s">
        <v>474</v>
      </c>
      <c r="S119" s="198" t="s">
        <v>473</v>
      </c>
      <c r="T119" s="198" t="s">
        <v>474</v>
      </c>
      <c r="U119" s="198" t="s">
        <v>473</v>
      </c>
      <c r="V119" s="198" t="s">
        <v>474</v>
      </c>
      <c r="W119" s="198" t="s">
        <v>473</v>
      </c>
      <c r="X119" s="198" t="s">
        <v>474</v>
      </c>
      <c r="Y119" s="198" t="s">
        <v>473</v>
      </c>
      <c r="Z119" s="198" t="s">
        <v>474</v>
      </c>
      <c r="AA119" s="198" t="s">
        <v>473</v>
      </c>
      <c r="AB119" s="198" t="s">
        <v>474</v>
      </c>
      <c r="AC119" s="198" t="s">
        <v>473</v>
      </c>
      <c r="AD119" s="198" t="s">
        <v>474</v>
      </c>
      <c r="AE119" s="198" t="s">
        <v>473</v>
      </c>
      <c r="AF119" s="198" t="s">
        <v>474</v>
      </c>
      <c r="AG119" s="198" t="s">
        <v>473</v>
      </c>
      <c r="AH119" s="198" t="s">
        <v>474</v>
      </c>
      <c r="AI119" s="198" t="s">
        <v>473</v>
      </c>
      <c r="AJ119" s="198" t="s">
        <v>474</v>
      </c>
      <c r="AK119" s="198" t="s">
        <v>473</v>
      </c>
      <c r="AL119" s="198" t="s">
        <v>474</v>
      </c>
      <c r="AM119" s="198" t="s">
        <v>473</v>
      </c>
      <c r="AN119" s="198" t="s">
        <v>474</v>
      </c>
      <c r="AO119" s="198" t="s">
        <v>473</v>
      </c>
      <c r="AP119" s="198" t="s">
        <v>474</v>
      </c>
      <c r="AQ119" s="198" t="s">
        <v>473</v>
      </c>
      <c r="AR119" s="198" t="s">
        <v>474</v>
      </c>
      <c r="AS119" s="198" t="s">
        <v>473</v>
      </c>
      <c r="AT119" s="198" t="s">
        <v>474</v>
      </c>
      <c r="AU119" s="198" t="s">
        <v>473</v>
      </c>
      <c r="AV119" s="198" t="s">
        <v>474</v>
      </c>
      <c r="AW119" s="198" t="s">
        <v>473</v>
      </c>
      <c r="AX119" s="198" t="s">
        <v>474</v>
      </c>
      <c r="AY119" s="198" t="s">
        <v>473</v>
      </c>
      <c r="AZ119" s="198" t="s">
        <v>474</v>
      </c>
      <c r="BA119" s="199"/>
      <c r="BB119" s="199"/>
      <c r="BC119" s="199"/>
      <c r="BD119" s="199"/>
    </row>
    <row r="120" spans="1:57" ht="15.75" x14ac:dyDescent="0.25">
      <c r="A120" s="164"/>
      <c r="B120" s="165"/>
      <c r="C120" s="165" t="s">
        <v>8</v>
      </c>
      <c r="D120" s="149"/>
      <c r="E120" s="182">
        <v>9316</v>
      </c>
      <c r="F120" s="182">
        <v>8786</v>
      </c>
      <c r="G120" s="149"/>
      <c r="H120" s="182">
        <v>5440</v>
      </c>
      <c r="I120" s="149"/>
      <c r="J120" s="182">
        <v>3193</v>
      </c>
      <c r="K120" s="182">
        <f>K121+K122</f>
        <v>8792</v>
      </c>
      <c r="L120" s="182">
        <f>L121+L122</f>
        <v>8806</v>
      </c>
      <c r="M120" s="182">
        <f>M121+M122</f>
        <v>5549</v>
      </c>
      <c r="N120" s="182">
        <f>N121+N122</f>
        <v>5611</v>
      </c>
      <c r="O120" s="182">
        <f>+K120-M120</f>
        <v>3243</v>
      </c>
      <c r="P120" s="182">
        <f>P121+P122</f>
        <v>3195</v>
      </c>
      <c r="Q120" s="182">
        <f>Q121+Q122</f>
        <v>8829</v>
      </c>
      <c r="R120" s="182">
        <f>R121+R122</f>
        <v>8827</v>
      </c>
      <c r="S120" s="182">
        <f>S121+S122</f>
        <v>5565</v>
      </c>
      <c r="T120" s="182">
        <f>T121+T122</f>
        <v>5633</v>
      </c>
      <c r="U120" s="182">
        <f>+Q120-S120</f>
        <v>3264</v>
      </c>
      <c r="V120" s="182">
        <f>V121+V122</f>
        <v>3194</v>
      </c>
      <c r="W120" s="182">
        <v>8876</v>
      </c>
      <c r="X120" s="182">
        <v>8846</v>
      </c>
      <c r="Y120" s="182">
        <v>5581</v>
      </c>
      <c r="Z120" s="182">
        <v>5620</v>
      </c>
      <c r="AA120" s="182">
        <v>3295</v>
      </c>
      <c r="AB120" s="182">
        <v>3195</v>
      </c>
      <c r="AC120" s="182">
        <f>AC121+AC122</f>
        <v>8936</v>
      </c>
      <c r="AD120" s="182">
        <f>AD121+AD122</f>
        <v>8845</v>
      </c>
      <c r="AE120" s="182">
        <f>AE121+AE122</f>
        <v>5610</v>
      </c>
      <c r="AF120" s="182">
        <f>AF121+AF122</f>
        <v>5651</v>
      </c>
      <c r="AG120" s="182">
        <f>+AC120-AE120</f>
        <v>3326</v>
      </c>
      <c r="AH120" s="182">
        <f>AH121+AH122</f>
        <v>3194</v>
      </c>
      <c r="AI120" s="182">
        <f>AI121+AI122</f>
        <v>8982</v>
      </c>
      <c r="AJ120" s="182">
        <f>AJ121+AJ122</f>
        <v>8870</v>
      </c>
      <c r="AK120" s="182">
        <f>AK121+AK122</f>
        <v>5641</v>
      </c>
      <c r="AL120" s="182">
        <f>AL121+AL122</f>
        <v>5668</v>
      </c>
      <c r="AM120" s="182">
        <f>+AI120-AK120</f>
        <v>3341</v>
      </c>
      <c r="AN120" s="182">
        <f>AN121+AN122</f>
        <v>3202</v>
      </c>
      <c r="AO120" s="182">
        <f>AO121+AO122</f>
        <v>9060</v>
      </c>
      <c r="AP120" s="182">
        <f>AP121+AP122</f>
        <v>8903</v>
      </c>
      <c r="AQ120" s="182">
        <f>AQ121+AQ122</f>
        <v>5672</v>
      </c>
      <c r="AR120" s="182">
        <f>AR121+AR122</f>
        <v>5693</v>
      </c>
      <c r="AS120" s="182">
        <f>+AO120-AQ120</f>
        <v>3388</v>
      </c>
      <c r="AT120" s="182">
        <f>AT121+AT122</f>
        <v>3210</v>
      </c>
      <c r="AU120" s="182">
        <f>AU121+AU122</f>
        <v>9150</v>
      </c>
      <c r="AV120" s="182">
        <f>AV121+AV122</f>
        <v>8934</v>
      </c>
      <c r="AW120" s="182">
        <f>AW121+AW122</f>
        <v>5703</v>
      </c>
      <c r="AX120" s="182">
        <f>AX121+AX122</f>
        <v>5707</v>
      </c>
      <c r="AY120" s="182">
        <f>+AU120-AW120</f>
        <v>3447</v>
      </c>
      <c r="AZ120" s="182">
        <f>AZ121+AZ122</f>
        <v>3227</v>
      </c>
      <c r="BA120" s="304">
        <f t="shared" ref="BA120:BA142" si="78">+AV120-AU120</f>
        <v>-216</v>
      </c>
      <c r="BB120" s="305"/>
      <c r="BC120" s="316">
        <f t="shared" ref="BC120:BC142" si="79">BA120/AP120</f>
        <v>-2.4261484892732787E-2</v>
      </c>
      <c r="BD120" s="315"/>
    </row>
    <row r="121" spans="1:57" ht="15.75" x14ac:dyDescent="0.25">
      <c r="A121" s="164" t="s">
        <v>532</v>
      </c>
      <c r="B121" s="165"/>
      <c r="C121" s="165" t="s">
        <v>522</v>
      </c>
      <c r="D121" s="149" t="s">
        <v>171</v>
      </c>
      <c r="E121" s="183">
        <v>9180</v>
      </c>
      <c r="F121" s="183">
        <v>8629</v>
      </c>
      <c r="G121" s="183"/>
      <c r="H121" s="183">
        <v>5471</v>
      </c>
      <c r="I121" s="183"/>
      <c r="J121" s="183">
        <v>3164</v>
      </c>
      <c r="K121" s="183">
        <v>8640</v>
      </c>
      <c r="L121" s="183">
        <v>8651</v>
      </c>
      <c r="M121" s="183">
        <v>5423</v>
      </c>
      <c r="N121" s="183">
        <f>+L121-P121</f>
        <v>5483</v>
      </c>
      <c r="O121" s="183">
        <v>3217</v>
      </c>
      <c r="P121" s="183">
        <v>3168</v>
      </c>
      <c r="Q121" s="183">
        <v>8675</v>
      </c>
      <c r="R121" s="183">
        <v>8671</v>
      </c>
      <c r="S121" s="183">
        <v>5438</v>
      </c>
      <c r="T121" s="183">
        <f>+R121-V121</f>
        <v>5504</v>
      </c>
      <c r="U121" s="182">
        <f>+Q121-S121</f>
        <v>3237</v>
      </c>
      <c r="V121" s="183">
        <v>3167</v>
      </c>
      <c r="W121" s="183">
        <v>8720</v>
      </c>
      <c r="X121" s="183">
        <v>8687</v>
      </c>
      <c r="Y121" s="183">
        <v>5453</v>
      </c>
      <c r="Z121" s="183">
        <v>5519</v>
      </c>
      <c r="AA121" s="182">
        <v>3267</v>
      </c>
      <c r="AB121" s="183">
        <v>3168</v>
      </c>
      <c r="AC121" s="183">
        <v>8778</v>
      </c>
      <c r="AD121" s="183">
        <v>8687</v>
      </c>
      <c r="AE121" s="183">
        <v>5481</v>
      </c>
      <c r="AF121" s="183">
        <v>5521</v>
      </c>
      <c r="AG121" s="182">
        <f>+AC121-AE121</f>
        <v>3297</v>
      </c>
      <c r="AH121" s="183">
        <v>3166</v>
      </c>
      <c r="AI121" s="183">
        <v>8838</v>
      </c>
      <c r="AJ121" s="183">
        <v>8712</v>
      </c>
      <c r="AK121" s="183">
        <v>5511</v>
      </c>
      <c r="AL121" s="183">
        <v>5538</v>
      </c>
      <c r="AM121" s="182">
        <f>+AI121-AK121</f>
        <v>3327</v>
      </c>
      <c r="AN121" s="183">
        <v>3174</v>
      </c>
      <c r="AO121" s="183">
        <v>8898</v>
      </c>
      <c r="AP121" s="183">
        <v>8745</v>
      </c>
      <c r="AQ121" s="183">
        <v>5541</v>
      </c>
      <c r="AR121" s="183">
        <v>5563</v>
      </c>
      <c r="AS121" s="182">
        <f>+AO121-AQ121</f>
        <v>3357</v>
      </c>
      <c r="AT121" s="183">
        <v>3182</v>
      </c>
      <c r="AU121" s="183">
        <v>8986</v>
      </c>
      <c r="AV121" s="183">
        <v>8776</v>
      </c>
      <c r="AW121" s="183">
        <v>5571</v>
      </c>
      <c r="AX121" s="183">
        <f>+AV121-AZ121</f>
        <v>5577</v>
      </c>
      <c r="AY121" s="182">
        <v>3415</v>
      </c>
      <c r="AZ121" s="183">
        <v>3199</v>
      </c>
      <c r="BA121" s="304">
        <f t="shared" si="78"/>
        <v>-210</v>
      </c>
      <c r="BB121" s="305"/>
      <c r="BC121" s="316">
        <f t="shared" si="79"/>
        <v>-2.4013722126929673E-2</v>
      </c>
      <c r="BD121" s="315"/>
    </row>
    <row r="122" spans="1:57" ht="15.75" x14ac:dyDescent="0.25">
      <c r="A122" s="164" t="s">
        <v>533</v>
      </c>
      <c r="B122" s="165"/>
      <c r="C122" s="165" t="s">
        <v>523</v>
      </c>
      <c r="D122" s="149"/>
      <c r="E122" s="183">
        <v>136</v>
      </c>
      <c r="F122" s="183">
        <v>157</v>
      </c>
      <c r="G122" s="183"/>
      <c r="H122" s="183">
        <v>129</v>
      </c>
      <c r="I122" s="183"/>
      <c r="J122" s="183">
        <v>29</v>
      </c>
      <c r="K122" s="183">
        <v>152</v>
      </c>
      <c r="L122" s="183">
        <v>155</v>
      </c>
      <c r="M122" s="183">
        <v>126</v>
      </c>
      <c r="N122" s="183">
        <f>+L122-P122</f>
        <v>128</v>
      </c>
      <c r="O122" s="183">
        <v>26</v>
      </c>
      <c r="P122" s="183">
        <v>27</v>
      </c>
      <c r="Q122" s="183">
        <v>154</v>
      </c>
      <c r="R122" s="183">
        <v>156</v>
      </c>
      <c r="S122" s="183">
        <v>127</v>
      </c>
      <c r="T122" s="183">
        <f>+R122-V122</f>
        <v>129</v>
      </c>
      <c r="U122" s="182">
        <f>+Q122-S122</f>
        <v>27</v>
      </c>
      <c r="V122" s="183">
        <v>27</v>
      </c>
      <c r="W122" s="183">
        <v>156</v>
      </c>
      <c r="X122" s="183">
        <v>159</v>
      </c>
      <c r="Y122" s="183">
        <v>128</v>
      </c>
      <c r="Z122" s="183">
        <v>101</v>
      </c>
      <c r="AA122" s="182">
        <v>28</v>
      </c>
      <c r="AB122" s="183">
        <v>27</v>
      </c>
      <c r="AC122" s="183">
        <v>158</v>
      </c>
      <c r="AD122" s="183">
        <v>158</v>
      </c>
      <c r="AE122" s="183">
        <v>129</v>
      </c>
      <c r="AF122" s="183">
        <v>130</v>
      </c>
      <c r="AG122" s="182">
        <f>+AC122-AE122</f>
        <v>29</v>
      </c>
      <c r="AH122" s="183">
        <v>28</v>
      </c>
      <c r="AI122" s="183">
        <v>144</v>
      </c>
      <c r="AJ122" s="183">
        <v>158</v>
      </c>
      <c r="AK122" s="183">
        <v>130</v>
      </c>
      <c r="AL122" s="183">
        <v>130</v>
      </c>
      <c r="AM122" s="182">
        <f>+AI122-AK122</f>
        <v>14</v>
      </c>
      <c r="AN122" s="183">
        <v>28</v>
      </c>
      <c r="AO122" s="183">
        <v>162</v>
      </c>
      <c r="AP122" s="183">
        <v>158</v>
      </c>
      <c r="AQ122" s="183">
        <v>131</v>
      </c>
      <c r="AR122" s="183">
        <v>130</v>
      </c>
      <c r="AS122" s="182">
        <f>+AO122-AQ122</f>
        <v>31</v>
      </c>
      <c r="AT122" s="183">
        <v>28</v>
      </c>
      <c r="AU122" s="183">
        <v>164</v>
      </c>
      <c r="AV122" s="183">
        <v>158</v>
      </c>
      <c r="AW122" s="183">
        <v>132</v>
      </c>
      <c r="AX122" s="183">
        <f>+AV122-AZ122</f>
        <v>130</v>
      </c>
      <c r="AY122" s="182">
        <v>32</v>
      </c>
      <c r="AZ122" s="183">
        <v>28</v>
      </c>
      <c r="BA122" s="304">
        <f t="shared" si="78"/>
        <v>-6</v>
      </c>
      <c r="BB122" s="305"/>
      <c r="BC122" s="316">
        <f t="shared" si="79"/>
        <v>-3.7974683544303799E-2</v>
      </c>
      <c r="BD122" s="315"/>
      <c r="BE122" s="161"/>
    </row>
    <row r="123" spans="1:57" ht="15.75" x14ac:dyDescent="0.25">
      <c r="A123" s="149" t="s">
        <v>534</v>
      </c>
      <c r="B123" s="166"/>
      <c r="C123" s="151" t="s">
        <v>524</v>
      </c>
      <c r="D123" s="149" t="s">
        <v>176</v>
      </c>
      <c r="E123" s="185">
        <v>0.68</v>
      </c>
      <c r="F123" s="185">
        <v>0.45814534944184099</v>
      </c>
      <c r="G123" s="184"/>
      <c r="H123" s="185">
        <v>0.67028226754053843</v>
      </c>
      <c r="I123" s="184"/>
      <c r="J123" s="185">
        <v>0.65298898320390097</v>
      </c>
      <c r="K123" s="184">
        <v>0.59372337962962962</v>
      </c>
      <c r="L123" s="185">
        <f>(K88/L121)/K$39</f>
        <v>0.60784157900820712</v>
      </c>
      <c r="M123" s="184">
        <v>0.59</v>
      </c>
      <c r="N123" s="185">
        <f>(M88/N121)/M$39</f>
        <v>0.59259871420755061</v>
      </c>
      <c r="O123" s="184">
        <v>0.6</v>
      </c>
      <c r="P123" s="185">
        <f>(O88/P121)/O$39</f>
        <v>0.63422309027777779</v>
      </c>
      <c r="Q123" s="184">
        <v>0.6</v>
      </c>
      <c r="R123" s="185">
        <f>(Q88/R121)/Q$39</f>
        <v>0.60597311234492646</v>
      </c>
      <c r="S123" s="184">
        <v>0.45</v>
      </c>
      <c r="T123" s="185">
        <f>(S88/T121)/S$39</f>
        <v>0.59705928156146182</v>
      </c>
      <c r="U123" s="190">
        <v>0.58000000000000007</v>
      </c>
      <c r="V123" s="185">
        <f>(U88/V121)/U$39</f>
        <v>0.62146465785556415</v>
      </c>
      <c r="W123" s="184">
        <v>0.64250688073394491</v>
      </c>
      <c r="X123" s="185">
        <v>0.69539541844134911</v>
      </c>
      <c r="Y123" s="184">
        <v>0.65</v>
      </c>
      <c r="Z123" s="185">
        <v>0.68289545207465119</v>
      </c>
      <c r="AA123" s="190"/>
      <c r="AB123" s="185">
        <v>0.71717171717171724</v>
      </c>
      <c r="AC123" s="184">
        <v>0.66746411483253587</v>
      </c>
      <c r="AD123" s="185">
        <f>(AC88/AD121)/AC$39</f>
        <v>0.69558782417076426</v>
      </c>
      <c r="AE123" s="184">
        <v>0.69000000000000006</v>
      </c>
      <c r="AF123" s="185">
        <f>(AE88/AF121)/AE$39</f>
        <v>0.67865552306776722</v>
      </c>
      <c r="AG123" s="190">
        <v>0.63</v>
      </c>
      <c r="AH123" s="185">
        <f>(AG88/AH121)/AG$39</f>
        <v>0.72511506181752539</v>
      </c>
      <c r="AI123" s="184">
        <v>0.68</v>
      </c>
      <c r="AJ123" s="185">
        <f>(AI88/AJ121)/AI$39</f>
        <v>0.72954058491248575</v>
      </c>
      <c r="AK123" s="184">
        <v>0.66</v>
      </c>
      <c r="AL123" s="185">
        <f>(AK88/AL121)/AK$39</f>
        <v>0.71150836643794391</v>
      </c>
      <c r="AM123" s="190">
        <v>0.72</v>
      </c>
      <c r="AN123" s="185">
        <f>(AM88/AN121)/AM$39</f>
        <v>0.76100322697676193</v>
      </c>
      <c r="AO123" s="184">
        <v>0.65999999999999992</v>
      </c>
      <c r="AP123" s="185">
        <f>(AO88/AP121)/AO$39</f>
        <v>0.70162378502001144</v>
      </c>
      <c r="AQ123" s="184">
        <v>0.66</v>
      </c>
      <c r="AR123" s="185">
        <f>(AQ88/AR121)/AQ$39</f>
        <v>0.68410330157588828</v>
      </c>
      <c r="AS123" s="190">
        <v>0.66</v>
      </c>
      <c r="AT123" s="185">
        <f>(AS88/AT121)/AS$39</f>
        <v>0.73225434737062645</v>
      </c>
      <c r="AU123" s="184">
        <v>0.68380035450950405</v>
      </c>
      <c r="AV123" s="185">
        <f>(AU88/AV121)/AU$39</f>
        <v>0.66734275296262535</v>
      </c>
      <c r="AW123" s="184">
        <v>0.68</v>
      </c>
      <c r="AX123" s="185">
        <f>(AW88/AX121)/AW$39</f>
        <v>0.64504213734982963</v>
      </c>
      <c r="AY123" s="190">
        <v>0.69</v>
      </c>
      <c r="AZ123" s="185" t="s">
        <v>617</v>
      </c>
      <c r="BA123" s="304">
        <f t="shared" si="78"/>
        <v>-1.6457601546878697E-2</v>
      </c>
      <c r="BB123" s="305"/>
      <c r="BC123" s="314">
        <f t="shared" si="79"/>
        <v>-2.3456447598066105E-2</v>
      </c>
      <c r="BD123" s="315"/>
    </row>
    <row r="124" spans="1:57" ht="15.75" x14ac:dyDescent="0.25">
      <c r="A124" s="149" t="s">
        <v>535</v>
      </c>
      <c r="B124" s="166"/>
      <c r="C124" s="151" t="s">
        <v>525</v>
      </c>
      <c r="D124" s="149"/>
      <c r="E124" s="185">
        <v>1.35</v>
      </c>
      <c r="F124" s="185">
        <v>0.80327570518653313</v>
      </c>
      <c r="G124" s="184"/>
      <c r="H124" s="185">
        <v>0.6741971207087486</v>
      </c>
      <c r="I124" s="184"/>
      <c r="J124" s="185">
        <v>0.88177339901477836</v>
      </c>
      <c r="K124" s="184">
        <v>1.2573684210526317</v>
      </c>
      <c r="L124" s="185">
        <f>(K89/$L$122)/K$39</f>
        <v>1.1078629032258065</v>
      </c>
      <c r="M124" s="184">
        <v>1.1000000000000001</v>
      </c>
      <c r="N124" s="185">
        <f>(M89/N122)/M$39</f>
        <v>0.977783203125</v>
      </c>
      <c r="O124" s="184">
        <v>2.02</v>
      </c>
      <c r="P124" s="185">
        <f>(O89/P122)/O$39</f>
        <v>1.724537037037037</v>
      </c>
      <c r="Q124" s="184">
        <v>1.32</v>
      </c>
      <c r="R124" s="185">
        <f>(Q89/R122)/Q$39</f>
        <v>1.1913919413919414</v>
      </c>
      <c r="S124" s="184">
        <v>1.2</v>
      </c>
      <c r="T124" s="185">
        <f>(S89/T122)/S$39</f>
        <v>1.0841638981173864</v>
      </c>
      <c r="U124" s="234">
        <v>1.9</v>
      </c>
      <c r="V124" s="185">
        <f>(U89/V122)/U$39</f>
        <v>1.7037037037037037</v>
      </c>
      <c r="W124" s="184">
        <v>1.1958974358974359</v>
      </c>
      <c r="X124" s="185">
        <v>0.80356394129979036</v>
      </c>
      <c r="Y124" s="184">
        <v>1.02</v>
      </c>
      <c r="Z124" s="185">
        <v>0.95016501650165019</v>
      </c>
      <c r="AA124" s="234"/>
      <c r="AB124" s="185">
        <v>1.1777777777777778</v>
      </c>
      <c r="AC124" s="184">
        <v>0.87708844759493698</v>
      </c>
      <c r="AD124" s="185">
        <f>(AC89/AD122)/AC$39</f>
        <v>0.57481916817359857</v>
      </c>
      <c r="AE124" s="184">
        <v>0.8</v>
      </c>
      <c r="AF124" s="185">
        <f>(AE89/AF122)/AE$39</f>
        <v>0.51428571428571435</v>
      </c>
      <c r="AG124" s="234">
        <v>1.22</v>
      </c>
      <c r="AH124" s="185">
        <f>(AG89/AH122)/AG$39</f>
        <v>0.85586734693877553</v>
      </c>
      <c r="AI124" s="184">
        <v>1.01</v>
      </c>
      <c r="AJ124" s="185">
        <f>(AI89/AJ122)/AI$39</f>
        <v>0.61008822401227469</v>
      </c>
      <c r="AK124" s="184">
        <v>0.96</v>
      </c>
      <c r="AL124" s="185">
        <f>(AK89/AL122)/AK$39</f>
        <v>0.53752913752913756</v>
      </c>
      <c r="AM124" s="234">
        <v>1.24</v>
      </c>
      <c r="AN124" s="185">
        <f>(AM89/AN122)/AM$39</f>
        <v>0.94696969696969702</v>
      </c>
      <c r="AO124" s="184">
        <v>1.3790740740740741</v>
      </c>
      <c r="AP124" s="185">
        <f>(AO89/AP122)/AO$39</f>
        <v>0.64219409282700424</v>
      </c>
      <c r="AQ124" s="184">
        <v>1.27</v>
      </c>
      <c r="AR124" s="185">
        <f>(AQ89/AR122)/AQ$39</f>
        <v>0.60692307692307701</v>
      </c>
      <c r="AS124" s="234">
        <v>1.84</v>
      </c>
      <c r="AT124" s="185">
        <f>(AS89/AT122)/AS$39</f>
        <v>0.82499999999999996</v>
      </c>
      <c r="AU124" s="184">
        <v>1.2102439024390244</v>
      </c>
      <c r="AV124" s="185">
        <f>(AU89/AV122)/AU$39</f>
        <v>0.61645569620253171</v>
      </c>
      <c r="AW124" s="184">
        <v>1.06</v>
      </c>
      <c r="AX124" s="185">
        <f>(AW89/AX122)/AW$39</f>
        <v>0.58923076923076922</v>
      </c>
      <c r="AY124" s="234">
        <v>1.83</v>
      </c>
      <c r="AZ124" s="185">
        <f>(AY89/AZ122)/AY$39</f>
        <v>0.74285714285714277</v>
      </c>
      <c r="BA124" s="304">
        <f t="shared" si="78"/>
        <v>-0.59378820623649264</v>
      </c>
      <c r="BB124" s="305"/>
      <c r="BC124" s="314">
        <f t="shared" si="79"/>
        <v>-0.92462421076247536</v>
      </c>
      <c r="BD124" s="315"/>
    </row>
    <row r="125" spans="1:57" ht="15.75" x14ac:dyDescent="0.25">
      <c r="A125" s="149" t="s">
        <v>536</v>
      </c>
      <c r="B125" s="166"/>
      <c r="C125" s="151" t="s">
        <v>526</v>
      </c>
      <c r="D125" s="149" t="s">
        <v>176</v>
      </c>
      <c r="E125" s="152">
        <v>193514.40000000002</v>
      </c>
      <c r="F125" s="152">
        <v>186694</v>
      </c>
      <c r="G125" s="152"/>
      <c r="H125" s="152">
        <v>128349</v>
      </c>
      <c r="I125" s="152"/>
      <c r="J125" s="152">
        <v>72312</v>
      </c>
      <c r="K125" s="152">
        <v>164152.63999999998</v>
      </c>
      <c r="L125" s="152">
        <f>+K88</f>
        <v>168270</v>
      </c>
      <c r="M125" s="152">
        <v>102386.23999999999</v>
      </c>
      <c r="N125" s="152">
        <f>+M88</f>
        <v>103975</v>
      </c>
      <c r="O125" s="152">
        <v>45766.400000000001</v>
      </c>
      <c r="P125" s="152">
        <f>+O88</f>
        <v>64295</v>
      </c>
      <c r="Q125" s="152">
        <v>145449.91999999998</v>
      </c>
      <c r="R125" s="152">
        <f>+Q88</f>
        <v>147123</v>
      </c>
      <c r="S125" s="152">
        <v>92881.04</v>
      </c>
      <c r="T125" s="152">
        <f>+S88</f>
        <v>92014</v>
      </c>
      <c r="U125" s="152">
        <v>52568.880000000005</v>
      </c>
      <c r="V125" s="152">
        <f>+U88</f>
        <v>55109</v>
      </c>
      <c r="W125" s="152">
        <v>179285.12</v>
      </c>
      <c r="X125" s="152">
        <v>181227</v>
      </c>
      <c r="Y125" s="152">
        <v>113422.40000000001</v>
      </c>
      <c r="Z125" s="152">
        <v>113067</v>
      </c>
      <c r="AA125" s="152"/>
      <c r="AB125" s="152">
        <v>68144</v>
      </c>
      <c r="AC125" s="152">
        <v>164052</v>
      </c>
      <c r="AD125" s="152">
        <f>+AC88</f>
        <v>169192</v>
      </c>
      <c r="AE125" s="152">
        <v>105892.92000000001</v>
      </c>
      <c r="AF125" s="152">
        <f>+AE88</f>
        <v>104912</v>
      </c>
      <c r="AG125" s="152">
        <v>58159.08</v>
      </c>
      <c r="AH125" s="152">
        <f>+AG88</f>
        <v>64280</v>
      </c>
      <c r="AI125" s="152">
        <v>180981</v>
      </c>
      <c r="AJ125" s="152">
        <f>+AI88</f>
        <v>209740</v>
      </c>
      <c r="AK125" s="152">
        <v>109117.8</v>
      </c>
      <c r="AL125" s="152">
        <f>+AK88</f>
        <v>130031</v>
      </c>
      <c r="AM125" s="152">
        <v>71863.199999999997</v>
      </c>
      <c r="AN125" s="152">
        <f>+AM88</f>
        <v>79709</v>
      </c>
      <c r="AO125" s="152">
        <v>164435.03999999998</v>
      </c>
      <c r="AP125" s="152">
        <f>+AO88</f>
        <v>184071</v>
      </c>
      <c r="AQ125" s="152">
        <v>102397.68</v>
      </c>
      <c r="AR125" s="152">
        <f>+AQ88</f>
        <v>114170</v>
      </c>
      <c r="AS125" s="152">
        <v>62037.36</v>
      </c>
      <c r="AT125" s="152">
        <f>+AS88</f>
        <v>69901</v>
      </c>
      <c r="AU125" s="152">
        <v>202772.79</v>
      </c>
      <c r="AV125" s="152">
        <f>+AU88</f>
        <v>175698</v>
      </c>
      <c r="AW125" s="152">
        <v>125013.24</v>
      </c>
      <c r="AX125" s="152">
        <f>+AW88</f>
        <v>107922</v>
      </c>
      <c r="AY125" s="152">
        <v>77759.55</v>
      </c>
      <c r="AZ125" s="152">
        <f>+AY88</f>
        <v>67776</v>
      </c>
      <c r="BA125" s="304">
        <f t="shared" si="78"/>
        <v>-27074.790000000008</v>
      </c>
      <c r="BB125" s="305"/>
      <c r="BC125" s="316">
        <f t="shared" si="79"/>
        <v>-0.14708884071907041</v>
      </c>
      <c r="BD125" s="315"/>
    </row>
    <row r="126" spans="1:57" ht="15.75" x14ac:dyDescent="0.25">
      <c r="A126" s="149" t="s">
        <v>537</v>
      </c>
      <c r="B126" s="166"/>
      <c r="C126" s="151" t="s">
        <v>527</v>
      </c>
      <c r="D126" s="149"/>
      <c r="E126" s="152">
        <v>5691.6</v>
      </c>
      <c r="F126" s="152">
        <v>4414</v>
      </c>
      <c r="G126" s="152"/>
      <c r="H126" s="152">
        <v>3044</v>
      </c>
      <c r="I126" s="152"/>
      <c r="J126" s="152">
        <v>895</v>
      </c>
      <c r="K126" s="152">
        <v>4515.84</v>
      </c>
      <c r="L126" s="152">
        <f>+K89</f>
        <v>5495</v>
      </c>
      <c r="M126" s="152">
        <v>4435.2000000000007</v>
      </c>
      <c r="N126" s="152">
        <f>+M89</f>
        <v>4005</v>
      </c>
      <c r="O126" s="152">
        <v>1680.64</v>
      </c>
      <c r="P126" s="152">
        <f>+O89</f>
        <v>1490</v>
      </c>
      <c r="Q126" s="152">
        <v>5703.5999999999995</v>
      </c>
      <c r="R126" s="152">
        <f>+Q89</f>
        <v>5204</v>
      </c>
      <c r="S126" s="152">
        <v>4267.2</v>
      </c>
      <c r="T126" s="152">
        <f>+S89</f>
        <v>3916</v>
      </c>
      <c r="U126" s="152">
        <v>1436.3999999999999</v>
      </c>
      <c r="V126" s="152">
        <f>+U89</f>
        <v>1288</v>
      </c>
      <c r="W126" s="152">
        <v>5969.92</v>
      </c>
      <c r="X126" s="152">
        <v>3833</v>
      </c>
      <c r="Y126" s="152">
        <v>4177.92</v>
      </c>
      <c r="Z126" s="152">
        <v>2879</v>
      </c>
      <c r="AA126" s="152"/>
      <c r="AB126" s="152">
        <v>954</v>
      </c>
      <c r="AC126" s="152">
        <v>3880.24</v>
      </c>
      <c r="AD126" s="152">
        <f>+AC89</f>
        <v>2543</v>
      </c>
      <c r="AE126" s="152">
        <v>2889.6</v>
      </c>
      <c r="AF126" s="152">
        <f>+AE89</f>
        <v>1872</v>
      </c>
      <c r="AG126" s="152">
        <v>990.6400000000001</v>
      </c>
      <c r="AH126" s="152">
        <f>+AG89</f>
        <v>671</v>
      </c>
      <c r="AI126" s="152">
        <v>4844</v>
      </c>
      <c r="AJ126" s="152">
        <f>+AI89</f>
        <v>3181</v>
      </c>
      <c r="AK126" s="152">
        <v>3744</v>
      </c>
      <c r="AL126" s="152">
        <f>+AK89</f>
        <v>2306</v>
      </c>
      <c r="AM126" s="152">
        <v>1116</v>
      </c>
      <c r="AN126" s="152">
        <f>+AM89</f>
        <v>875</v>
      </c>
      <c r="AO126" s="152">
        <v>6255.4800000000005</v>
      </c>
      <c r="AP126" s="152">
        <f>+AO89</f>
        <v>3044</v>
      </c>
      <c r="AQ126" s="152">
        <v>4658.3600000000006</v>
      </c>
      <c r="AR126" s="152">
        <f>+AQ89</f>
        <v>2367</v>
      </c>
      <c r="AS126" s="152">
        <v>1597.12</v>
      </c>
      <c r="AT126" s="152">
        <f>+AS89</f>
        <v>693</v>
      </c>
      <c r="AU126" s="152">
        <v>6549.84</v>
      </c>
      <c r="AV126" s="152">
        <f>+AU89</f>
        <v>2922</v>
      </c>
      <c r="AW126" s="152">
        <v>4457.3599999999997</v>
      </c>
      <c r="AX126" s="152">
        <f>+AW89</f>
        <v>2298</v>
      </c>
      <c r="AY126" s="152">
        <v>1932.48</v>
      </c>
      <c r="AZ126" s="152">
        <f>+AY89</f>
        <v>624</v>
      </c>
      <c r="BA126" s="304">
        <f t="shared" si="78"/>
        <v>-3627.84</v>
      </c>
      <c r="BB126" s="305"/>
      <c r="BC126" s="316">
        <f t="shared" si="79"/>
        <v>-1.1918002628120894</v>
      </c>
      <c r="BD126" s="315"/>
    </row>
    <row r="127" spans="1:57" ht="15.75" x14ac:dyDescent="0.25">
      <c r="A127" s="149"/>
      <c r="B127" s="166"/>
      <c r="C127" s="151" t="s">
        <v>542</v>
      </c>
      <c r="D127" s="149"/>
      <c r="E127" s="152">
        <v>4000</v>
      </c>
      <c r="F127" s="152">
        <v>5147</v>
      </c>
      <c r="G127" s="152"/>
      <c r="H127" s="152">
        <v>5147</v>
      </c>
      <c r="I127" s="152"/>
      <c r="J127" s="152"/>
      <c r="K127" s="152">
        <v>3000</v>
      </c>
      <c r="L127" s="152">
        <f>+K91</f>
        <v>4258</v>
      </c>
      <c r="M127" s="152">
        <v>3000</v>
      </c>
      <c r="N127" s="152">
        <f>+L127</f>
        <v>4258</v>
      </c>
      <c r="O127" s="152"/>
      <c r="P127" s="152"/>
      <c r="Q127" s="152">
        <v>3000</v>
      </c>
      <c r="R127" s="152">
        <f>+Q91</f>
        <v>1598</v>
      </c>
      <c r="S127" s="152">
        <v>3000</v>
      </c>
      <c r="T127" s="152">
        <f>+R127</f>
        <v>1598</v>
      </c>
      <c r="U127" s="152"/>
      <c r="V127" s="152"/>
      <c r="W127" s="152">
        <v>300</v>
      </c>
      <c r="X127" s="152">
        <v>1184</v>
      </c>
      <c r="Y127" s="152">
        <v>3000</v>
      </c>
      <c r="Z127" s="152">
        <v>1184</v>
      </c>
      <c r="AA127" s="152"/>
      <c r="AB127" s="152"/>
      <c r="AC127" s="152">
        <v>3000</v>
      </c>
      <c r="AD127" s="152">
        <v>0</v>
      </c>
      <c r="AE127" s="152">
        <v>3000</v>
      </c>
      <c r="AF127" s="152">
        <f>+AD127</f>
        <v>0</v>
      </c>
      <c r="AG127" s="152"/>
      <c r="AH127" s="152"/>
      <c r="AI127" s="152">
        <v>3000</v>
      </c>
      <c r="AJ127" s="152">
        <v>0</v>
      </c>
      <c r="AK127" s="152">
        <v>3000</v>
      </c>
      <c r="AL127" s="152">
        <f>+AJ127</f>
        <v>0</v>
      </c>
      <c r="AM127" s="152"/>
      <c r="AN127" s="152"/>
      <c r="AO127" s="152">
        <v>3000</v>
      </c>
      <c r="AP127" s="152">
        <v>0</v>
      </c>
      <c r="AQ127" s="152">
        <v>3000</v>
      </c>
      <c r="AR127" s="152">
        <f>+AP127</f>
        <v>0</v>
      </c>
      <c r="AS127" s="152"/>
      <c r="AT127" s="152"/>
      <c r="AU127" s="152">
        <v>1000</v>
      </c>
      <c r="AV127" s="152">
        <v>0</v>
      </c>
      <c r="AW127" s="152">
        <v>1000</v>
      </c>
      <c r="AX127" s="152">
        <f>+AV127</f>
        <v>0</v>
      </c>
      <c r="AY127" s="152"/>
      <c r="AZ127" s="152"/>
      <c r="BA127" s="304">
        <f t="shared" si="78"/>
        <v>-1000</v>
      </c>
      <c r="BB127" s="305"/>
      <c r="BC127" s="316" t="e">
        <f t="shared" si="79"/>
        <v>#DIV/0!</v>
      </c>
      <c r="BD127" s="315"/>
    </row>
    <row r="128" spans="1:57" ht="15.75" x14ac:dyDescent="0.25">
      <c r="A128" s="149" t="s">
        <v>479</v>
      </c>
      <c r="B128" s="166"/>
      <c r="C128" s="151" t="s">
        <v>396</v>
      </c>
      <c r="D128" s="149" t="s">
        <v>176</v>
      </c>
      <c r="E128" s="152">
        <v>214200.00000000003</v>
      </c>
      <c r="F128" s="152">
        <v>215318</v>
      </c>
      <c r="G128" s="152"/>
      <c r="H128" s="152">
        <v>137519</v>
      </c>
      <c r="I128" s="152"/>
      <c r="J128" s="152"/>
      <c r="K128" s="152">
        <v>186310.19354838709</v>
      </c>
      <c r="L128" s="152">
        <f>+K44</f>
        <v>197873.12880368083</v>
      </c>
      <c r="M128" s="152">
        <v>118087.56989247311</v>
      </c>
      <c r="N128" s="152">
        <f>+M44</f>
        <v>127514.53291247685</v>
      </c>
      <c r="O128" s="152">
        <v>68222.62365591398</v>
      </c>
      <c r="P128" s="152">
        <f>+L128-N128</f>
        <v>70358.595891203979</v>
      </c>
      <c r="Q128" s="152">
        <v>165756</v>
      </c>
      <c r="R128" s="152">
        <f>+Q44</f>
        <v>172685.02</v>
      </c>
      <c r="S128" s="152"/>
      <c r="T128" s="152">
        <f>+S44</f>
        <v>131849.01028493716</v>
      </c>
      <c r="U128" s="152"/>
      <c r="V128" s="152">
        <f>+R128-T128</f>
        <v>40836.009715062828</v>
      </c>
      <c r="W128" s="152">
        <v>200424.77419354842</v>
      </c>
      <c r="X128" s="152">
        <v>203952.84742117842</v>
      </c>
      <c r="Y128" s="152">
        <v>129677.76344086023</v>
      </c>
      <c r="Z128" s="152">
        <v>128951.71592214957</v>
      </c>
      <c r="AA128" s="152"/>
      <c r="AB128" s="152">
        <v>75001.131499028852</v>
      </c>
      <c r="AC128" s="152">
        <v>183798.10752688174</v>
      </c>
      <c r="AD128" s="152">
        <f>+AC44</f>
        <v>194522.393135085</v>
      </c>
      <c r="AE128" s="152">
        <v>120196.25806451615</v>
      </c>
      <c r="AF128" s="152"/>
      <c r="AG128" s="152">
        <v>63441.849462365601</v>
      </c>
      <c r="AH128" s="152">
        <f>+AD128-AF128</f>
        <v>194522.393135085</v>
      </c>
      <c r="AI128" s="152">
        <v>201054.83870967745</v>
      </c>
      <c r="AJ128" s="152">
        <f>+AI44</f>
        <v>234939.23</v>
      </c>
      <c r="AK128" s="152"/>
      <c r="AL128" s="152"/>
      <c r="AM128" s="152"/>
      <c r="AN128" s="152">
        <f>+AJ128-AL128</f>
        <v>234939.23</v>
      </c>
      <c r="AO128" s="152">
        <v>184764</v>
      </c>
      <c r="AP128" s="152">
        <f>+AO44</f>
        <v>210644.69</v>
      </c>
      <c r="AQ128" s="152">
        <v>118339.82795698925</v>
      </c>
      <c r="AR128" s="152"/>
      <c r="AS128" s="152">
        <v>66424.172043010767</v>
      </c>
      <c r="AT128" s="152">
        <f>+AP128-AR128</f>
        <v>210644.69</v>
      </c>
      <c r="AU128" s="152">
        <v>224153.36559139786</v>
      </c>
      <c r="AV128" s="152">
        <f>+AU44</f>
        <v>203340</v>
      </c>
      <c r="AW128" s="152">
        <v>140463.01075268819</v>
      </c>
      <c r="AX128" s="152"/>
      <c r="AY128" s="152">
        <v>83690.354838709682</v>
      </c>
      <c r="AZ128" s="152">
        <f>+AV128-AX128</f>
        <v>203340</v>
      </c>
      <c r="BA128" s="304">
        <f t="shared" si="78"/>
        <v>-20813.365591397858</v>
      </c>
      <c r="BB128" s="305"/>
      <c r="BC128" s="316">
        <f t="shared" si="79"/>
        <v>-9.8807929083794419E-2</v>
      </c>
      <c r="BD128" s="315"/>
    </row>
    <row r="129" spans="1:57" ht="15.75" x14ac:dyDescent="0.25">
      <c r="A129" s="149" t="s">
        <v>480</v>
      </c>
      <c r="B129" s="166"/>
      <c r="C129" s="151" t="s">
        <v>418</v>
      </c>
      <c r="D129" s="149" t="s">
        <v>184</v>
      </c>
      <c r="E129" s="188">
        <v>7.0000000000000007E-2</v>
      </c>
      <c r="F129" s="187">
        <v>8.9200395440109603E-2</v>
      </c>
      <c r="G129" s="186"/>
      <c r="H129" s="187"/>
      <c r="I129" s="186"/>
      <c r="J129" s="187"/>
      <c r="K129" s="188">
        <v>7.0000000000000007E-2</v>
      </c>
      <c r="L129" s="187">
        <f>+K45</f>
        <v>0</v>
      </c>
      <c r="M129" s="186">
        <v>7.0000000000000007E-2</v>
      </c>
      <c r="N129" s="187"/>
      <c r="O129" s="186">
        <v>7.0000000000000007E-2</v>
      </c>
      <c r="P129" s="187"/>
      <c r="Q129" s="188">
        <v>7.0000000000000007E-2</v>
      </c>
      <c r="R129" s="187">
        <f>+Q45</f>
        <v>0</v>
      </c>
      <c r="S129" s="186">
        <v>7.0000000000000007E-2</v>
      </c>
      <c r="T129" s="187">
        <f>+S64</f>
        <v>0.12262371304798649</v>
      </c>
      <c r="U129" s="186">
        <v>7.0000000000000007E-2</v>
      </c>
      <c r="V129" s="187">
        <f>+U65</f>
        <v>7.2844849919345006E-2</v>
      </c>
      <c r="W129" s="188">
        <v>7.0000000000000007E-2</v>
      </c>
      <c r="X129" s="187">
        <v>8.7754829841713303E-2</v>
      </c>
      <c r="Y129" s="188">
        <v>7.0000000000000007E-2</v>
      </c>
      <c r="Z129" s="187">
        <v>9.2838748492320156E-2</v>
      </c>
      <c r="AA129" s="186"/>
      <c r="AB129" s="187">
        <v>7.9013894598451317E-2</v>
      </c>
      <c r="AC129" s="188">
        <v>7.0000000000000007E-2</v>
      </c>
      <c r="AD129" s="187">
        <v>0.12529999999999999</v>
      </c>
      <c r="AE129" s="188">
        <v>7.0000000000000007E-2</v>
      </c>
      <c r="AF129" s="187"/>
      <c r="AG129" s="186">
        <v>7.0000000000000007E-2</v>
      </c>
      <c r="AH129" s="187">
        <f>+AG65</f>
        <v>0.108374543512541</v>
      </c>
      <c r="AI129" s="188">
        <v>7.0000000000000007E-2</v>
      </c>
      <c r="AJ129" s="187">
        <f>+AI64</f>
        <v>9.3718842621163909E-2</v>
      </c>
      <c r="AK129" s="188">
        <v>7.0000000000000007E-2</v>
      </c>
      <c r="AL129" s="187"/>
      <c r="AM129" s="186">
        <v>7.0000000000000007E-2</v>
      </c>
      <c r="AN129" s="187">
        <f>+AM65</f>
        <v>0</v>
      </c>
      <c r="AO129" s="188">
        <v>7.0000000000000007E-2</v>
      </c>
      <c r="AP129" s="187">
        <f>+AO64</f>
        <v>0.11424654775423891</v>
      </c>
      <c r="AQ129" s="188">
        <v>7.0000000000000007E-2</v>
      </c>
      <c r="AR129" s="187"/>
      <c r="AS129" s="186">
        <v>7.0000000000000007E-2</v>
      </c>
      <c r="AT129" s="187">
        <f>+AS65</f>
        <v>7.8812823906909329E-2</v>
      </c>
      <c r="AU129" s="188">
        <v>7.0000000000000007E-2</v>
      </c>
      <c r="AV129" s="187">
        <f>+AU64</f>
        <v>0.12231813343016454</v>
      </c>
      <c r="AW129" s="188">
        <v>7.0000000000000007E-2</v>
      </c>
      <c r="AX129" s="187"/>
      <c r="AY129" s="186">
        <v>7.0000000000000007E-2</v>
      </c>
      <c r="AZ129" s="187">
        <f>+AY65</f>
        <v>4.3546384928523654E-2</v>
      </c>
      <c r="BA129" s="304">
        <f t="shared" si="78"/>
        <v>5.2318133430164532E-2</v>
      </c>
      <c r="BB129" s="305"/>
      <c r="BC129" s="314">
        <f t="shared" si="79"/>
        <v>0.45794060703443323</v>
      </c>
      <c r="BD129" s="315"/>
    </row>
    <row r="130" spans="1:57" ht="15.75" x14ac:dyDescent="0.25">
      <c r="A130" s="149" t="s">
        <v>538</v>
      </c>
      <c r="B130" s="166"/>
      <c r="C130" s="151" t="s">
        <v>528</v>
      </c>
      <c r="D130" s="149" t="s">
        <v>179</v>
      </c>
      <c r="E130" s="184">
        <v>22</v>
      </c>
      <c r="F130" s="184">
        <v>22.13949671655222</v>
      </c>
      <c r="G130" s="184"/>
      <c r="H130" s="184">
        <v>32.20368838089896</v>
      </c>
      <c r="I130" s="184"/>
      <c r="J130" s="184">
        <v>22.308496515101229</v>
      </c>
      <c r="K130" s="184">
        <v>21.94376274179934</v>
      </c>
      <c r="L130" s="184">
        <f t="shared" ref="L130" si="80">L133/L125</f>
        <v>21.927859392642777</v>
      </c>
      <c r="M130" s="184">
        <v>21.94</v>
      </c>
      <c r="N130" s="184">
        <f>N133/N125</f>
        <v>21.8954075498918</v>
      </c>
      <c r="O130" s="184">
        <v>21.95</v>
      </c>
      <c r="P130" s="184">
        <f>P133/P125</f>
        <v>21.980339062135467</v>
      </c>
      <c r="Q130" s="184">
        <v>21.94</v>
      </c>
      <c r="R130" s="184">
        <f t="shared" ref="R130:R131" si="81">R133/R125</f>
        <v>22.124201246575993</v>
      </c>
      <c r="S130" s="184">
        <v>21.94</v>
      </c>
      <c r="T130" s="184">
        <f>T133/T125</f>
        <v>22.208827569717648</v>
      </c>
      <c r="U130" s="184">
        <v>21.95</v>
      </c>
      <c r="V130" s="184">
        <f>V133/V125</f>
        <v>21.982902974105865</v>
      </c>
      <c r="W130" s="184">
        <v>21.943673630025739</v>
      </c>
      <c r="X130" s="184">
        <v>21.851198221015633</v>
      </c>
      <c r="Y130" s="184">
        <v>21.94</v>
      </c>
      <c r="Z130" s="184">
        <v>21.791207867901331</v>
      </c>
      <c r="AA130" s="184"/>
      <c r="AB130" s="184">
        <v>21.950713028169016</v>
      </c>
      <c r="AC130" s="184">
        <v>21.943545145290301</v>
      </c>
      <c r="AD130" s="184">
        <f t="shared" ref="AD130:AD131" si="82">AD133/AD125</f>
        <v>21.874807910539506</v>
      </c>
      <c r="AE130" s="184">
        <v>21.94</v>
      </c>
      <c r="AF130" s="184">
        <f>AF133/AF125</f>
        <v>21.811625934116211</v>
      </c>
      <c r="AG130" s="184">
        <v>21.95</v>
      </c>
      <c r="AH130" s="184">
        <f>AH133/AH125</f>
        <v>21.977927815805849</v>
      </c>
      <c r="AI130" s="184">
        <v>21.9439707593455</v>
      </c>
      <c r="AJ130" s="184">
        <f t="shared" ref="AJ130:AJ131" si="83">AJ133/AJ125</f>
        <v>22.271751215790978</v>
      </c>
      <c r="AK130" s="184">
        <v>21.94</v>
      </c>
      <c r="AL130" s="184">
        <f>AL133/AL125</f>
        <v>22.199130976459458</v>
      </c>
      <c r="AM130" s="184">
        <v>21.95</v>
      </c>
      <c r="AN130" s="184">
        <f>AN133/AN125</f>
        <v>22.390218168588238</v>
      </c>
      <c r="AO130" s="184">
        <v>21.943772757923131</v>
      </c>
      <c r="AP130" s="184">
        <f t="shared" ref="AP130:AP131" si="84">AP133/AP125</f>
        <v>21.93290306457834</v>
      </c>
      <c r="AQ130" s="184">
        <v>21.94</v>
      </c>
      <c r="AR130" s="184">
        <f>AR133/AR125</f>
        <v>35.361403170710346</v>
      </c>
      <c r="AS130" s="184">
        <v>21.95</v>
      </c>
      <c r="AT130" s="184">
        <f>AT133/AT125</f>
        <v>0</v>
      </c>
      <c r="AU130" s="184">
        <v>21.943834811844098</v>
      </c>
      <c r="AV130" s="184">
        <f t="shared" ref="AV130:AV131" si="85">AV133/AV125</f>
        <v>21.91763651265239</v>
      </c>
      <c r="AW130" s="184">
        <v>21.94</v>
      </c>
      <c r="AX130" s="184">
        <f>AX133/AX125</f>
        <v>21.904482867255979</v>
      </c>
      <c r="AY130" s="184">
        <v>21.95</v>
      </c>
      <c r="AZ130" s="184">
        <f>AZ133/AZ125</f>
        <v>21.938581503777147</v>
      </c>
      <c r="BA130" s="304">
        <f t="shared" si="78"/>
        <v>-2.6198299191708685E-2</v>
      </c>
      <c r="BB130" s="305"/>
      <c r="BC130" s="316">
        <f t="shared" si="79"/>
        <v>-1.194474763079538E-3</v>
      </c>
      <c r="BD130" s="315"/>
    </row>
    <row r="131" spans="1:57" ht="15.75" x14ac:dyDescent="0.25">
      <c r="A131" s="149" t="s">
        <v>539</v>
      </c>
      <c r="B131" s="166"/>
      <c r="C131" s="151" t="s">
        <v>529</v>
      </c>
      <c r="D131" s="149"/>
      <c r="E131" s="184">
        <v>45.5</v>
      </c>
      <c r="F131" s="184">
        <v>45.880969642048029</v>
      </c>
      <c r="G131" s="184"/>
      <c r="H131" s="184">
        <v>66.530420499342966</v>
      </c>
      <c r="I131" s="184"/>
      <c r="J131" s="184">
        <v>45.636201117318436</v>
      </c>
      <c r="K131" s="184">
        <v>46.136419003767266</v>
      </c>
      <c r="L131" s="184">
        <f t="shared" ref="L131" si="86">L134/L126</f>
        <v>45.776960873521382</v>
      </c>
      <c r="M131" s="184">
        <v>46.37</v>
      </c>
      <c r="N131" s="184">
        <f>N134/N126</f>
        <v>45.991610486891382</v>
      </c>
      <c r="O131" s="184">
        <v>45.52</v>
      </c>
      <c r="P131" s="184">
        <f>P134/P126</f>
        <v>45.2</v>
      </c>
      <c r="Q131" s="184">
        <v>46.16</v>
      </c>
      <c r="R131" s="184">
        <f t="shared" si="81"/>
        <v>46.289815526518062</v>
      </c>
      <c r="S131" s="184">
        <v>46.37</v>
      </c>
      <c r="T131" s="184">
        <f>T134/T126</f>
        <v>46.606843718079681</v>
      </c>
      <c r="U131" s="184">
        <v>45.52</v>
      </c>
      <c r="V131" s="184">
        <f>V134/V126</f>
        <v>45.325931677018637</v>
      </c>
      <c r="W131" s="184">
        <v>46.114854202401375</v>
      </c>
      <c r="X131" s="184">
        <v>46.898199843464646</v>
      </c>
      <c r="Y131" s="184">
        <v>46.37</v>
      </c>
      <c r="Z131" s="184">
        <v>47.489058700937825</v>
      </c>
      <c r="AA131" s="184"/>
      <c r="AB131" s="184">
        <v>45.115094339622644</v>
      </c>
      <c r="AC131" s="184">
        <v>46.15299177370472</v>
      </c>
      <c r="AD131" s="184">
        <f t="shared" si="82"/>
        <v>53.931812819504522</v>
      </c>
      <c r="AE131" s="184">
        <v>46.37</v>
      </c>
      <c r="AF131" s="184">
        <f>AF134/AF126</f>
        <v>55.97735042735043</v>
      </c>
      <c r="AG131" s="184">
        <v>45.52</v>
      </c>
      <c r="AH131" s="184">
        <f>AH134/AH126</f>
        <v>48.225037257824141</v>
      </c>
      <c r="AI131" s="184">
        <v>46.174814814814816</v>
      </c>
      <c r="AJ131" s="184">
        <f t="shared" si="83"/>
        <v>45.347940899088336</v>
      </c>
      <c r="AK131" s="184">
        <v>46.37</v>
      </c>
      <c r="AL131" s="184">
        <f>AL134/AL126</f>
        <v>44.715177797051162</v>
      </c>
      <c r="AM131" s="184">
        <v>45.52</v>
      </c>
      <c r="AN131" s="184">
        <f>AN134/AN126</f>
        <v>47.015542857142854</v>
      </c>
      <c r="AO131" s="184">
        <v>46.152981945416201</v>
      </c>
      <c r="AP131" s="184">
        <f t="shared" si="84"/>
        <v>49.323718791064387</v>
      </c>
      <c r="AQ131" s="184">
        <v>46.37</v>
      </c>
      <c r="AR131" s="184">
        <f>AR134/AR126</f>
        <v>63.431094212082805</v>
      </c>
      <c r="AS131" s="184">
        <v>45.52</v>
      </c>
      <c r="AT131" s="184">
        <f>AT134/AT126</f>
        <v>0</v>
      </c>
      <c r="AU131" s="184">
        <v>46.119214026442201</v>
      </c>
      <c r="AV131" s="184">
        <f t="shared" si="85"/>
        <v>49.35352498288843</v>
      </c>
      <c r="AW131" s="184">
        <v>46.37</v>
      </c>
      <c r="AX131" s="184">
        <f>AX134/AX126</f>
        <v>49.588772845953002</v>
      </c>
      <c r="AY131" s="184">
        <v>45.52</v>
      </c>
      <c r="AZ131" s="184">
        <f>AZ134/AZ126</f>
        <v>48.487179487179489</v>
      </c>
      <c r="BA131" s="304">
        <f t="shared" si="78"/>
        <v>3.2343109564462296</v>
      </c>
      <c r="BB131" s="305"/>
      <c r="BC131" s="316">
        <f t="shared" si="79"/>
        <v>6.5573136732588896E-2</v>
      </c>
      <c r="BD131" s="315"/>
    </row>
    <row r="132" spans="1:57" x14ac:dyDescent="0.2">
      <c r="A132" s="149" t="s">
        <v>481</v>
      </c>
      <c r="B132" s="166"/>
      <c r="C132" s="153" t="s">
        <v>419</v>
      </c>
      <c r="D132" s="149" t="s">
        <v>179</v>
      </c>
      <c r="E132" s="152">
        <v>4516284.6000000006</v>
      </c>
      <c r="F132" s="152">
        <v>4335829.8</v>
      </c>
      <c r="G132" s="184"/>
      <c r="H132" s="152">
        <v>4335829.8</v>
      </c>
      <c r="I132" s="184"/>
      <c r="J132" s="152">
        <v>1654016.4</v>
      </c>
      <c r="K132" s="152">
        <f t="shared" ref="K132:P132" si="87">K133+K134</f>
        <v>3724289.5423999997</v>
      </c>
      <c r="L132" s="152">
        <f t="shared" si="87"/>
        <v>3941345.3</v>
      </c>
      <c r="M132" s="213">
        <f t="shared" si="87"/>
        <v>2451998.3295999998</v>
      </c>
      <c r="N132" s="152">
        <f t="shared" si="87"/>
        <v>2460771.4</v>
      </c>
      <c r="O132" s="213">
        <f t="shared" si="87"/>
        <v>1432275.2127999999</v>
      </c>
      <c r="P132" s="152">
        <f t="shared" si="87"/>
        <v>1480573.9</v>
      </c>
      <c r="Q132" s="152">
        <f t="shared" ref="Q132:V132" si="88">Q133+Q134</f>
        <v>3454951.9256000002</v>
      </c>
      <c r="R132" s="152">
        <f t="shared" si="88"/>
        <v>3495871.06</v>
      </c>
      <c r="S132" s="213">
        <f t="shared" si="88"/>
        <v>2235680.0815999997</v>
      </c>
      <c r="T132" s="152">
        <f t="shared" si="88"/>
        <v>2226035.46</v>
      </c>
      <c r="U132" s="213">
        <f t="shared" si="88"/>
        <v>1219271.844</v>
      </c>
      <c r="V132" s="152">
        <f t="shared" si="88"/>
        <v>1269835.6000000001</v>
      </c>
      <c r="W132" s="152">
        <v>4209476.1503999997</v>
      </c>
      <c r="X132" s="152">
        <v>4139787.9</v>
      </c>
      <c r="Y132" s="152">
        <v>2682217.4463999998</v>
      </c>
      <c r="Z132" s="152">
        <v>2440587.5</v>
      </c>
      <c r="AA132" s="213">
        <v>0</v>
      </c>
      <c r="AB132" s="152">
        <v>1539200.4000000001</v>
      </c>
      <c r="AC132" s="152">
        <f t="shared" ref="AC132:AH132" si="89">AC133+AC134</f>
        <v>3778967.1556000002</v>
      </c>
      <c r="AD132" s="152">
        <f t="shared" si="89"/>
        <v>3838191.1</v>
      </c>
      <c r="AE132" s="152">
        <f t="shared" si="89"/>
        <v>2457281.4168000002</v>
      </c>
      <c r="AF132" s="152">
        <f t="shared" si="89"/>
        <v>2393090.9</v>
      </c>
      <c r="AG132" s="213">
        <f t="shared" si="89"/>
        <v>1321685.7388000002</v>
      </c>
      <c r="AH132" s="152">
        <f t="shared" si="89"/>
        <v>1445100.2</v>
      </c>
      <c r="AI132" s="152">
        <f t="shared" ref="AI132:AN132" si="90">AI133+AI134</f>
        <v>4195851.3719999995</v>
      </c>
      <c r="AJ132" s="152">
        <f t="shared" si="90"/>
        <v>4815528.8999999994</v>
      </c>
      <c r="AK132" s="152">
        <f t="shared" si="90"/>
        <v>2567493.8119999999</v>
      </c>
      <c r="AL132" s="152">
        <f t="shared" si="90"/>
        <v>2989688.4</v>
      </c>
      <c r="AM132" s="213">
        <f t="shared" si="90"/>
        <v>1628197.56</v>
      </c>
      <c r="AN132" s="152">
        <f t="shared" si="90"/>
        <v>1825840.5</v>
      </c>
      <c r="AO132" s="152">
        <f t="shared" ref="AO132:AT132" si="91">AO133+AO134</f>
        <v>3737034.2068000003</v>
      </c>
      <c r="AP132" s="152">
        <f t="shared" si="91"/>
        <v>4187352.8</v>
      </c>
      <c r="AQ132" s="152">
        <f t="shared" si="91"/>
        <v>2460853.2524000001</v>
      </c>
      <c r="AR132" s="152">
        <f t="shared" si="91"/>
        <v>4187352.8</v>
      </c>
      <c r="AS132" s="213">
        <f t="shared" si="91"/>
        <v>1418420.9543999999</v>
      </c>
      <c r="AT132" s="152">
        <f t="shared" si="91"/>
        <v>0</v>
      </c>
      <c r="AU132" s="184">
        <f t="shared" ref="AU132:AZ132" si="92">AU133+AU134</f>
        <v>4751525.9208999993</v>
      </c>
      <c r="AV132" s="184">
        <f t="shared" si="92"/>
        <v>3995095.8999999994</v>
      </c>
      <c r="AW132" s="152">
        <f t="shared" si="92"/>
        <v>2956897.4688000004</v>
      </c>
      <c r="AX132" s="152">
        <f t="shared" si="92"/>
        <v>2477930.5999999996</v>
      </c>
      <c r="AY132" s="213">
        <f t="shared" si="92"/>
        <v>1794788.6121</v>
      </c>
      <c r="AZ132" s="152">
        <f t="shared" si="92"/>
        <v>1517165.3</v>
      </c>
      <c r="BA132" s="304">
        <f t="shared" si="78"/>
        <v>-756430.02089999989</v>
      </c>
      <c r="BB132" s="305"/>
      <c r="BC132" s="316">
        <f t="shared" si="79"/>
        <v>-0.18064635511485919</v>
      </c>
      <c r="BD132" s="315"/>
      <c r="BE132" s="189"/>
    </row>
    <row r="133" spans="1:57" x14ac:dyDescent="0.2">
      <c r="A133" s="149" t="s">
        <v>540</v>
      </c>
      <c r="B133" s="166"/>
      <c r="C133" s="153" t="s">
        <v>531</v>
      </c>
      <c r="D133" s="190"/>
      <c r="E133" s="152">
        <v>4257316.8000000007</v>
      </c>
      <c r="F133" s="152">
        <v>4133311.2</v>
      </c>
      <c r="G133" s="184"/>
      <c r="H133" s="213">
        <v>4133311.2</v>
      </c>
      <c r="I133" s="184"/>
      <c r="J133" s="184">
        <v>1453172</v>
      </c>
      <c r="K133" s="152">
        <v>3442126.5855999999</v>
      </c>
      <c r="L133" s="152">
        <v>3689800.9</v>
      </c>
      <c r="M133" s="184">
        <v>2246354.1055999999</v>
      </c>
      <c r="N133" s="213">
        <f>+L133-P133</f>
        <v>2276575</v>
      </c>
      <c r="O133" s="184">
        <v>1355772.4799999997</v>
      </c>
      <c r="P133" s="184">
        <v>1413225.9</v>
      </c>
      <c r="Q133" s="152">
        <v>3191696.9336000001</v>
      </c>
      <c r="R133" s="152">
        <v>3254978.86</v>
      </c>
      <c r="S133" s="184">
        <v>2037810.0175999999</v>
      </c>
      <c r="T133" s="213">
        <f>+R133-V133</f>
        <v>2043523.0599999998</v>
      </c>
      <c r="U133" s="184">
        <v>1153886.916</v>
      </c>
      <c r="V133" s="184">
        <v>1211455.8</v>
      </c>
      <c r="W133" s="152">
        <v>3934174.16</v>
      </c>
      <c r="X133" s="152">
        <v>3944027.1</v>
      </c>
      <c r="Y133" s="152">
        <v>2488487.4560000002</v>
      </c>
      <c r="Z133" s="213">
        <v>2463866.5</v>
      </c>
      <c r="AA133" s="184"/>
      <c r="AB133" s="184">
        <v>1494544.6</v>
      </c>
      <c r="AC133" s="152">
        <v>3599882.4708000002</v>
      </c>
      <c r="AD133" s="152">
        <v>3701042.5</v>
      </c>
      <c r="AE133" s="152">
        <v>2323290.6648000004</v>
      </c>
      <c r="AF133" s="213">
        <f>+AD133-AH133</f>
        <v>2288301.2999999998</v>
      </c>
      <c r="AG133" s="184">
        <v>1276591.8060000001</v>
      </c>
      <c r="AH133" s="184">
        <v>1412741.2</v>
      </c>
      <c r="AI133" s="152">
        <v>3971441.7719999999</v>
      </c>
      <c r="AJ133" s="213">
        <v>4671277.0999999996</v>
      </c>
      <c r="AK133" s="152">
        <v>2394044.5320000001</v>
      </c>
      <c r="AL133" s="213">
        <f>+AJ133-AN133</f>
        <v>2886575.1999999997</v>
      </c>
      <c r="AM133" s="184">
        <v>1577397.24</v>
      </c>
      <c r="AN133" s="184">
        <v>1784701.9</v>
      </c>
      <c r="AO133" s="152">
        <v>3448325.1512000002</v>
      </c>
      <c r="AP133" s="213">
        <v>4037211.4</v>
      </c>
      <c r="AQ133" s="152">
        <v>2246445.0992000001</v>
      </c>
      <c r="AR133" s="213">
        <f>+AP133-AT133</f>
        <v>4037211.4</v>
      </c>
      <c r="AS133" s="184">
        <v>1345720.0519999999</v>
      </c>
      <c r="AT133" s="184"/>
      <c r="AU133" s="184">
        <v>4449452.4480999997</v>
      </c>
      <c r="AV133" s="213">
        <v>3850884.8999999994</v>
      </c>
      <c r="AW133" s="152">
        <v>2742790.4856000002</v>
      </c>
      <c r="AX133" s="213">
        <f>+AV133-AZ133</f>
        <v>2363975.5999999996</v>
      </c>
      <c r="AY133" s="184">
        <v>1706822.1225000001</v>
      </c>
      <c r="AZ133" s="184">
        <v>1486909.3</v>
      </c>
      <c r="BA133" s="304">
        <f t="shared" si="78"/>
        <v>-598567.54810000025</v>
      </c>
      <c r="BB133" s="305"/>
      <c r="BC133" s="316">
        <f t="shared" si="79"/>
        <v>-0.14826262209108007</v>
      </c>
      <c r="BD133" s="315"/>
      <c r="BE133" s="189"/>
    </row>
    <row r="134" spans="1:57" x14ac:dyDescent="0.2">
      <c r="A134" s="149" t="s">
        <v>541</v>
      </c>
      <c r="B134" s="166"/>
      <c r="C134" s="153" t="s">
        <v>530</v>
      </c>
      <c r="D134" s="149"/>
      <c r="E134" s="152">
        <v>258967.80000000002</v>
      </c>
      <c r="F134" s="152">
        <v>202518.6</v>
      </c>
      <c r="G134" s="184"/>
      <c r="H134" s="213">
        <v>202518.6</v>
      </c>
      <c r="I134" s="184"/>
      <c r="J134" s="184">
        <v>40844.400000000001</v>
      </c>
      <c r="K134" s="152">
        <v>282162.95680000004</v>
      </c>
      <c r="L134" s="152">
        <v>251544.4</v>
      </c>
      <c r="M134" s="184">
        <v>205644.22399999999</v>
      </c>
      <c r="N134" s="213">
        <f>+L134-P134</f>
        <v>184196.4</v>
      </c>
      <c r="O134" s="184">
        <v>76502.732800000013</v>
      </c>
      <c r="P134" s="184">
        <v>67348</v>
      </c>
      <c r="Q134" s="152">
        <v>263254.99199999997</v>
      </c>
      <c r="R134" s="152">
        <v>240892.2</v>
      </c>
      <c r="S134" s="184">
        <v>197870.06399999998</v>
      </c>
      <c r="T134" s="213">
        <f>+R134-V134</f>
        <v>182512.40000000002</v>
      </c>
      <c r="U134" s="184">
        <v>65384.928</v>
      </c>
      <c r="V134" s="184">
        <v>58379.8</v>
      </c>
      <c r="W134" s="152">
        <v>275301.99040000001</v>
      </c>
      <c r="X134" s="152">
        <v>179744.8</v>
      </c>
      <c r="Y134" s="152">
        <v>193730.15039999998</v>
      </c>
      <c r="Z134" s="213">
        <v>136721</v>
      </c>
      <c r="AA134" s="184"/>
      <c r="AB134" s="184">
        <v>43039.8</v>
      </c>
      <c r="AC134" s="152">
        <v>179084.68479999999</v>
      </c>
      <c r="AD134" s="152">
        <v>137148.6</v>
      </c>
      <c r="AE134" s="152">
        <v>133990.75199999998</v>
      </c>
      <c r="AF134" s="213">
        <f>+AD134-AH134</f>
        <v>104789.6</v>
      </c>
      <c r="AG134" s="184">
        <v>45093.93280000001</v>
      </c>
      <c r="AH134" s="184">
        <v>32359</v>
      </c>
      <c r="AI134" s="152">
        <v>224409.60000000001</v>
      </c>
      <c r="AJ134" s="152">
        <v>144251.79999999999</v>
      </c>
      <c r="AK134" s="152">
        <v>173449.28</v>
      </c>
      <c r="AL134" s="213">
        <f>+AJ134-AN134</f>
        <v>103113.19999999998</v>
      </c>
      <c r="AM134" s="184">
        <v>50800.320000000007</v>
      </c>
      <c r="AN134" s="184">
        <v>41138.6</v>
      </c>
      <c r="AO134" s="152">
        <v>288709.05560000002</v>
      </c>
      <c r="AP134" s="213">
        <v>150141.4</v>
      </c>
      <c r="AQ134" s="152">
        <v>214408.1532</v>
      </c>
      <c r="AR134" s="213">
        <f>+AP134-AT134</f>
        <v>150141.4</v>
      </c>
      <c r="AS134" s="184">
        <v>72700.902400000006</v>
      </c>
      <c r="AT134" s="184"/>
      <c r="AU134" s="184">
        <v>302073.47279999999</v>
      </c>
      <c r="AV134" s="213">
        <v>144211</v>
      </c>
      <c r="AW134" s="152">
        <v>214106.98320000002</v>
      </c>
      <c r="AX134" s="213">
        <f>+AV134-AZ134</f>
        <v>113955</v>
      </c>
      <c r="AY134" s="184">
        <v>87966.489600000001</v>
      </c>
      <c r="AZ134" s="184">
        <v>30256</v>
      </c>
      <c r="BA134" s="304">
        <f t="shared" si="78"/>
        <v>-157862.47279999999</v>
      </c>
      <c r="BB134" s="305"/>
      <c r="BC134" s="316">
        <f t="shared" si="79"/>
        <v>-1.0514253417112136</v>
      </c>
      <c r="BD134" s="315"/>
    </row>
    <row r="135" spans="1:57" x14ac:dyDescent="0.2">
      <c r="A135" s="149" t="s">
        <v>482</v>
      </c>
      <c r="B135" s="166" t="s">
        <v>210</v>
      </c>
      <c r="C135" s="153" t="s">
        <v>392</v>
      </c>
      <c r="D135" s="149" t="s">
        <v>179</v>
      </c>
      <c r="E135" s="152">
        <v>34400</v>
      </c>
      <c r="F135" s="152">
        <v>46323</v>
      </c>
      <c r="G135" s="184"/>
      <c r="H135" s="184">
        <v>46323</v>
      </c>
      <c r="I135" s="184"/>
      <c r="J135" s="184"/>
      <c r="K135" s="152">
        <v>34400</v>
      </c>
      <c r="L135" s="152">
        <f>+L127*12</f>
        <v>51096</v>
      </c>
      <c r="M135" s="184">
        <v>34400</v>
      </c>
      <c r="N135" s="184">
        <f>+L135</f>
        <v>51096</v>
      </c>
      <c r="O135" s="184"/>
      <c r="P135" s="184"/>
      <c r="Q135" s="152">
        <v>34400</v>
      </c>
      <c r="R135" s="152">
        <f>+R127*12</f>
        <v>19176</v>
      </c>
      <c r="S135" s="184">
        <v>34400</v>
      </c>
      <c r="T135" s="184">
        <f>+R135</f>
        <v>19176</v>
      </c>
      <c r="U135" s="184"/>
      <c r="V135" s="184"/>
      <c r="W135" s="152"/>
      <c r="X135" s="152">
        <v>14208</v>
      </c>
      <c r="Y135" s="152">
        <v>34400</v>
      </c>
      <c r="Z135" s="184">
        <v>14208</v>
      </c>
      <c r="AA135" s="184"/>
      <c r="AB135" s="184"/>
      <c r="AC135" s="152">
        <v>34400</v>
      </c>
      <c r="AD135" s="152">
        <v>0</v>
      </c>
      <c r="AE135" s="152">
        <v>34400</v>
      </c>
      <c r="AF135" s="184"/>
      <c r="AG135" s="184"/>
      <c r="AH135" s="184"/>
      <c r="AI135" s="152">
        <v>34400</v>
      </c>
      <c r="AJ135" s="152">
        <v>0</v>
      </c>
      <c r="AK135" s="152">
        <v>34400</v>
      </c>
      <c r="AL135" s="184"/>
      <c r="AM135" s="184"/>
      <c r="AN135" s="184"/>
      <c r="AO135" s="152">
        <v>34400</v>
      </c>
      <c r="AP135" s="152">
        <v>0</v>
      </c>
      <c r="AQ135" s="152">
        <v>34400</v>
      </c>
      <c r="AR135" s="184"/>
      <c r="AS135" s="184"/>
      <c r="AT135" s="184"/>
      <c r="AU135" s="152">
        <v>12000</v>
      </c>
      <c r="AV135" s="152">
        <v>0</v>
      </c>
      <c r="AW135" s="152">
        <v>12000</v>
      </c>
      <c r="AX135" s="184"/>
      <c r="AY135" s="184"/>
      <c r="AZ135" s="184"/>
      <c r="BA135" s="304">
        <f t="shared" si="78"/>
        <v>-12000</v>
      </c>
      <c r="BB135" s="305"/>
      <c r="BC135" s="316" t="e">
        <f t="shared" si="79"/>
        <v>#DIV/0!</v>
      </c>
      <c r="BD135" s="315"/>
      <c r="BE135" s="191"/>
    </row>
    <row r="136" spans="1:57" x14ac:dyDescent="0.2">
      <c r="A136" s="149" t="s">
        <v>483</v>
      </c>
      <c r="B136" s="166" t="s">
        <v>210</v>
      </c>
      <c r="C136" s="153" t="s">
        <v>393</v>
      </c>
      <c r="D136" s="149" t="s">
        <v>179</v>
      </c>
      <c r="E136" s="152"/>
      <c r="F136" s="152"/>
      <c r="G136" s="184"/>
      <c r="H136" s="152"/>
      <c r="I136" s="184"/>
      <c r="J136" s="152"/>
      <c r="K136" s="152"/>
      <c r="L136" s="152"/>
      <c r="M136" s="184"/>
      <c r="N136" s="152"/>
      <c r="O136" s="184"/>
      <c r="P136" s="152"/>
      <c r="Q136" s="152"/>
      <c r="R136" s="152"/>
      <c r="S136" s="184"/>
      <c r="T136" s="152"/>
      <c r="U136" s="184"/>
      <c r="V136" s="152"/>
      <c r="W136" s="152"/>
      <c r="X136" s="152"/>
      <c r="Y136" s="152"/>
      <c r="Z136" s="152"/>
      <c r="AA136" s="184"/>
      <c r="AB136" s="152"/>
      <c r="AC136" s="152"/>
      <c r="AD136" s="152"/>
      <c r="AE136" s="152"/>
      <c r="AF136" s="152"/>
      <c r="AG136" s="184"/>
      <c r="AH136" s="152"/>
      <c r="AI136" s="152"/>
      <c r="AJ136" s="152"/>
      <c r="AK136" s="152"/>
      <c r="AL136" s="152"/>
      <c r="AM136" s="184"/>
      <c r="AN136" s="152"/>
      <c r="AO136" s="152"/>
      <c r="AP136" s="152"/>
      <c r="AQ136" s="152"/>
      <c r="AR136" s="152"/>
      <c r="AS136" s="184"/>
      <c r="AT136" s="152"/>
      <c r="AU136" s="152"/>
      <c r="AV136" s="152"/>
      <c r="AW136" s="152"/>
      <c r="AX136" s="152"/>
      <c r="AY136" s="184"/>
      <c r="AZ136" s="152"/>
      <c r="BA136" s="304">
        <f t="shared" si="78"/>
        <v>0</v>
      </c>
      <c r="BB136" s="305"/>
      <c r="BC136" s="316" t="e">
        <f t="shared" si="79"/>
        <v>#DIV/0!</v>
      </c>
      <c r="BD136" s="315"/>
    </row>
    <row r="137" spans="1:57" x14ac:dyDescent="0.2">
      <c r="A137" s="149" t="s">
        <v>484</v>
      </c>
      <c r="B137" s="166" t="s">
        <v>210</v>
      </c>
      <c r="C137" s="153" t="s">
        <v>394</v>
      </c>
      <c r="D137" s="149" t="s">
        <v>179</v>
      </c>
      <c r="E137" s="152">
        <v>8000</v>
      </c>
      <c r="F137" s="152">
        <v>3507.45</v>
      </c>
      <c r="G137" s="184"/>
      <c r="H137" s="152"/>
      <c r="I137" s="184"/>
      <c r="J137" s="152"/>
      <c r="K137" s="152"/>
      <c r="L137" s="152">
        <f>[1]CMR!$F$127</f>
        <v>5244.23</v>
      </c>
      <c r="M137" s="184"/>
      <c r="N137" s="152"/>
      <c r="O137" s="184"/>
      <c r="P137" s="152"/>
      <c r="Q137" s="152"/>
      <c r="R137" s="152">
        <v>3566.1499999999996</v>
      </c>
      <c r="S137" s="184"/>
      <c r="T137" s="152"/>
      <c r="U137" s="184"/>
      <c r="V137" s="152"/>
      <c r="W137" s="152"/>
      <c r="X137" s="152">
        <v>2294.44</v>
      </c>
      <c r="Y137" s="152"/>
      <c r="Z137" s="152"/>
      <c r="AA137" s="184"/>
      <c r="AB137" s="152"/>
      <c r="AC137" s="152"/>
      <c r="AD137" s="213">
        <v>251.16</v>
      </c>
      <c r="AE137" s="152"/>
      <c r="AF137" s="152"/>
      <c r="AG137" s="184"/>
      <c r="AH137" s="152"/>
      <c r="AI137" s="152"/>
      <c r="AJ137" s="213">
        <v>563.78</v>
      </c>
      <c r="AK137" s="152"/>
      <c r="AL137" s="152"/>
      <c r="AM137" s="184"/>
      <c r="AN137" s="152"/>
      <c r="AO137" s="152"/>
      <c r="AP137" s="213">
        <v>2254.81</v>
      </c>
      <c r="AQ137" s="152"/>
      <c r="AR137" s="152"/>
      <c r="AS137" s="184"/>
      <c r="AT137" s="152"/>
      <c r="AU137" s="152"/>
      <c r="AV137" s="213">
        <v>4422.13</v>
      </c>
      <c r="AW137" s="152"/>
      <c r="AX137" s="152"/>
      <c r="AY137" s="184"/>
      <c r="AZ137" s="152"/>
      <c r="BA137" s="304">
        <f t="shared" si="78"/>
        <v>4422.13</v>
      </c>
      <c r="BB137" s="305"/>
      <c r="BC137" s="316">
        <f t="shared" si="79"/>
        <v>1.9611985045303153</v>
      </c>
      <c r="BD137" s="315"/>
    </row>
    <row r="138" spans="1:57" x14ac:dyDescent="0.2">
      <c r="A138" s="149" t="s">
        <v>485</v>
      </c>
      <c r="B138" s="166" t="s">
        <v>210</v>
      </c>
      <c r="C138" s="153" t="s">
        <v>124</v>
      </c>
      <c r="D138" s="149" t="s">
        <v>179</v>
      </c>
      <c r="E138" s="152">
        <v>43200</v>
      </c>
      <c r="F138" s="184">
        <v>16392</v>
      </c>
      <c r="G138" s="184"/>
      <c r="H138" s="184"/>
      <c r="I138" s="184"/>
      <c r="J138" s="184"/>
      <c r="K138" s="152">
        <v>16650</v>
      </c>
      <c r="L138" s="184">
        <f>[1]CMR!$F$128</f>
        <v>30378.6</v>
      </c>
      <c r="M138" s="184">
        <v>7200</v>
      </c>
      <c r="N138" s="184"/>
      <c r="O138" s="184">
        <v>9450</v>
      </c>
      <c r="P138" s="184"/>
      <c r="Q138" s="152">
        <v>16650</v>
      </c>
      <c r="R138" s="184">
        <v>24544</v>
      </c>
      <c r="S138" s="184">
        <v>7200</v>
      </c>
      <c r="T138" s="184"/>
      <c r="U138" s="184">
        <v>9450</v>
      </c>
      <c r="V138" s="184"/>
      <c r="W138" s="152">
        <v>21150</v>
      </c>
      <c r="X138" s="184">
        <v>13845</v>
      </c>
      <c r="Y138" s="152">
        <v>7200</v>
      </c>
      <c r="Z138" s="184"/>
      <c r="AA138" s="184"/>
      <c r="AB138" s="184"/>
      <c r="AC138" s="213">
        <v>27000</v>
      </c>
      <c r="AD138" s="213">
        <v>8700</v>
      </c>
      <c r="AE138" s="152">
        <v>13050</v>
      </c>
      <c r="AF138" s="184"/>
      <c r="AG138" s="184">
        <v>13950</v>
      </c>
      <c r="AH138" s="184"/>
      <c r="AI138" s="213">
        <v>27900</v>
      </c>
      <c r="AJ138" s="213">
        <v>35145</v>
      </c>
      <c r="AK138" s="152">
        <v>13950</v>
      </c>
      <c r="AL138" s="184"/>
      <c r="AM138" s="184">
        <v>13950</v>
      </c>
      <c r="AN138" s="184"/>
      <c r="AO138" s="213">
        <v>27900</v>
      </c>
      <c r="AP138" s="213">
        <v>28744</v>
      </c>
      <c r="AQ138" s="152">
        <v>13950</v>
      </c>
      <c r="AR138" s="184"/>
      <c r="AS138" s="184">
        <v>13950</v>
      </c>
      <c r="AT138" s="184"/>
      <c r="AU138" s="213">
        <v>40500</v>
      </c>
      <c r="AV138" s="213">
        <v>41507</v>
      </c>
      <c r="AW138" s="152">
        <v>13950</v>
      </c>
      <c r="AX138" s="184"/>
      <c r="AY138" s="184">
        <v>26550</v>
      </c>
      <c r="AZ138" s="184"/>
      <c r="BA138" s="304">
        <f t="shared" si="78"/>
        <v>1007</v>
      </c>
      <c r="BB138" s="305"/>
      <c r="BC138" s="316">
        <f t="shared" si="79"/>
        <v>3.5033398274422485E-2</v>
      </c>
      <c r="BD138" s="315"/>
    </row>
    <row r="139" spans="1:57" x14ac:dyDescent="0.2">
      <c r="A139" s="149" t="s">
        <v>486</v>
      </c>
      <c r="B139" s="166" t="s">
        <v>210</v>
      </c>
      <c r="C139" s="153" t="s">
        <v>125</v>
      </c>
      <c r="D139" s="149" t="s">
        <v>179</v>
      </c>
      <c r="E139" s="152">
        <v>28800</v>
      </c>
      <c r="F139" s="184">
        <v>19292.413334199991</v>
      </c>
      <c r="G139" s="184"/>
      <c r="H139" s="184"/>
      <c r="I139" s="184"/>
      <c r="J139" s="184"/>
      <c r="K139" s="152">
        <v>14800</v>
      </c>
      <c r="L139" s="184">
        <f>[1]CMR!$F$129</f>
        <v>20714.000000000015</v>
      </c>
      <c r="M139" s="184">
        <v>6400</v>
      </c>
      <c r="N139" s="184"/>
      <c r="O139" s="184">
        <v>8400</v>
      </c>
      <c r="P139" s="184"/>
      <c r="Q139" s="152">
        <v>14800</v>
      </c>
      <c r="R139" s="184">
        <v>17194.37999999999</v>
      </c>
      <c r="S139" s="184">
        <v>6400</v>
      </c>
      <c r="T139" s="184"/>
      <c r="U139" s="184">
        <v>8400</v>
      </c>
      <c r="V139" s="184"/>
      <c r="W139" s="152">
        <v>18800</v>
      </c>
      <c r="X139" s="184">
        <v>9028.0699999999979</v>
      </c>
      <c r="Y139" s="152">
        <v>6400</v>
      </c>
      <c r="Z139" s="184"/>
      <c r="AA139" s="184"/>
      <c r="AB139" s="184"/>
      <c r="AC139" s="213">
        <v>24000</v>
      </c>
      <c r="AD139" s="213">
        <v>11424.209999999997</v>
      </c>
      <c r="AE139" s="152">
        <v>11440</v>
      </c>
      <c r="AF139" s="184"/>
      <c r="AG139" s="184">
        <v>12400</v>
      </c>
      <c r="AH139" s="184"/>
      <c r="AI139" s="213">
        <v>24800</v>
      </c>
      <c r="AJ139" s="213">
        <v>17244.16</v>
      </c>
      <c r="AK139" s="152">
        <v>12400</v>
      </c>
      <c r="AL139" s="184"/>
      <c r="AM139" s="184">
        <v>12400</v>
      </c>
      <c r="AN139" s="184"/>
      <c r="AO139" s="213">
        <v>24800</v>
      </c>
      <c r="AP139" s="213">
        <v>23179.071999999986</v>
      </c>
      <c r="AQ139" s="152">
        <v>12400</v>
      </c>
      <c r="AR139" s="184"/>
      <c r="AS139" s="184">
        <v>12400</v>
      </c>
      <c r="AT139" s="184"/>
      <c r="AU139" s="213">
        <v>34400</v>
      </c>
      <c r="AV139" s="213">
        <v>21424.370999999996</v>
      </c>
      <c r="AW139" s="152">
        <v>12400</v>
      </c>
      <c r="AX139" s="184"/>
      <c r="AY139" s="184">
        <v>23440</v>
      </c>
      <c r="AZ139" s="184"/>
      <c r="BA139" s="304">
        <f t="shared" si="78"/>
        <v>-12975.629000000004</v>
      </c>
      <c r="BB139" s="305"/>
      <c r="BC139" s="316">
        <f t="shared" si="79"/>
        <v>-0.55979933105173552</v>
      </c>
      <c r="BD139" s="315"/>
    </row>
    <row r="140" spans="1:57" x14ac:dyDescent="0.2">
      <c r="A140" s="149" t="s">
        <v>487</v>
      </c>
      <c r="B140" s="166" t="s">
        <v>210</v>
      </c>
      <c r="C140" s="153" t="s">
        <v>126</v>
      </c>
      <c r="D140" s="149" t="s">
        <v>179</v>
      </c>
      <c r="E140" s="152">
        <v>720</v>
      </c>
      <c r="F140" s="184">
        <v>46895.28</v>
      </c>
      <c r="G140" s="184"/>
      <c r="H140" s="184"/>
      <c r="I140" s="184"/>
      <c r="J140" s="184"/>
      <c r="K140" s="152">
        <v>1500</v>
      </c>
      <c r="L140" s="184">
        <v>9300</v>
      </c>
      <c r="M140" s="184">
        <v>1500</v>
      </c>
      <c r="N140" s="184"/>
      <c r="O140" s="184"/>
      <c r="P140" s="184"/>
      <c r="Q140" s="152"/>
      <c r="R140" s="184">
        <v>12216.5</v>
      </c>
      <c r="S140" s="184"/>
      <c r="T140" s="184"/>
      <c r="U140" s="184"/>
      <c r="V140" s="184"/>
      <c r="W140" s="152"/>
      <c r="X140" s="184">
        <v>9125.9</v>
      </c>
      <c r="Y140" s="152"/>
      <c r="Z140" s="184"/>
      <c r="AA140" s="184"/>
      <c r="AB140" s="184"/>
      <c r="AC140" s="213">
        <v>2644</v>
      </c>
      <c r="AD140" s="213">
        <v>9158.75</v>
      </c>
      <c r="AE140" s="152"/>
      <c r="AF140" s="184"/>
      <c r="AG140" s="184"/>
      <c r="AH140" s="184"/>
      <c r="AI140" s="213"/>
      <c r="AJ140" s="213">
        <v>1449.82</v>
      </c>
      <c r="AK140" s="152"/>
      <c r="AL140" s="184"/>
      <c r="AM140" s="184"/>
      <c r="AN140" s="184"/>
      <c r="AO140" s="213"/>
      <c r="AP140" s="213">
        <v>5444.01</v>
      </c>
      <c r="AQ140" s="152"/>
      <c r="AR140" s="184"/>
      <c r="AS140" s="184"/>
      <c r="AT140" s="184"/>
      <c r="AU140" s="213"/>
      <c r="AV140" s="213">
        <v>5545.51</v>
      </c>
      <c r="AW140" s="152"/>
      <c r="AX140" s="184"/>
      <c r="AY140" s="184"/>
      <c r="AZ140" s="184"/>
      <c r="BA140" s="304">
        <f t="shared" si="78"/>
        <v>5545.51</v>
      </c>
      <c r="BB140" s="305"/>
      <c r="BC140" s="316">
        <f t="shared" si="79"/>
        <v>1.0186443448854796</v>
      </c>
      <c r="BD140" s="315"/>
    </row>
    <row r="141" spans="1:57" x14ac:dyDescent="0.2">
      <c r="A141" s="149" t="s">
        <v>488</v>
      </c>
      <c r="B141" s="166" t="s">
        <v>212</v>
      </c>
      <c r="C141" s="153" t="s">
        <v>395</v>
      </c>
      <c r="D141" s="149" t="s">
        <v>179</v>
      </c>
      <c r="E141" s="152">
        <v>-4500</v>
      </c>
      <c r="F141" s="152">
        <v>-4963.3</v>
      </c>
      <c r="G141" s="184"/>
      <c r="H141" s="152"/>
      <c r="I141" s="184"/>
      <c r="J141" s="152"/>
      <c r="K141" s="152">
        <v>-4084</v>
      </c>
      <c r="L141" s="152">
        <f>[1]CMR!$F$131</f>
        <v>-4676</v>
      </c>
      <c r="M141" s="184">
        <v>-3114</v>
      </c>
      <c r="N141" s="152"/>
      <c r="O141" s="184">
        <v>-970</v>
      </c>
      <c r="P141" s="152"/>
      <c r="Q141" s="152">
        <v>-4084</v>
      </c>
      <c r="R141" s="152">
        <v>-2920</v>
      </c>
      <c r="S141" s="184">
        <v>-3114</v>
      </c>
      <c r="T141" s="152"/>
      <c r="U141" s="184">
        <v>-970</v>
      </c>
      <c r="V141" s="152"/>
      <c r="W141" s="152">
        <v>-4084</v>
      </c>
      <c r="X141" s="152">
        <v>-2716</v>
      </c>
      <c r="Y141" s="152">
        <v>-3114</v>
      </c>
      <c r="Z141" s="152"/>
      <c r="AA141" s="184"/>
      <c r="AB141" s="152"/>
      <c r="AC141" s="213">
        <v>-4084</v>
      </c>
      <c r="AD141" s="213">
        <v>-2910</v>
      </c>
      <c r="AE141" s="152">
        <v>-3114</v>
      </c>
      <c r="AF141" s="152"/>
      <c r="AG141" s="184">
        <v>-970</v>
      </c>
      <c r="AH141" s="152"/>
      <c r="AI141" s="213">
        <v>-4084</v>
      </c>
      <c r="AJ141" s="213">
        <v>-9362.35</v>
      </c>
      <c r="AK141" s="152">
        <v>-3114</v>
      </c>
      <c r="AL141" s="152"/>
      <c r="AM141" s="184">
        <v>-970</v>
      </c>
      <c r="AN141" s="152"/>
      <c r="AO141" s="213">
        <v>-4084</v>
      </c>
      <c r="AP141" s="213">
        <v>-431981.8</v>
      </c>
      <c r="AQ141" s="152">
        <v>-3114</v>
      </c>
      <c r="AR141" s="152"/>
      <c r="AS141" s="184">
        <v>-970</v>
      </c>
      <c r="AT141" s="152"/>
      <c r="AU141" s="213">
        <v>-4084</v>
      </c>
      <c r="AV141" s="213">
        <v>-92674</v>
      </c>
      <c r="AW141" s="152">
        <v>-3114</v>
      </c>
      <c r="AX141" s="152"/>
      <c r="AY141" s="184">
        <v>-970</v>
      </c>
      <c r="AZ141" s="152"/>
      <c r="BA141" s="304">
        <f t="shared" si="78"/>
        <v>-88590</v>
      </c>
      <c r="BB141" s="305"/>
      <c r="BC141" s="316">
        <f t="shared" si="79"/>
        <v>0.2050780843081815</v>
      </c>
      <c r="BD141" s="315"/>
    </row>
    <row r="142" spans="1:57" ht="15.75" x14ac:dyDescent="0.25">
      <c r="A142" s="149" t="s">
        <v>489</v>
      </c>
      <c r="B142" s="166" t="s">
        <v>211</v>
      </c>
      <c r="C142" s="151" t="s">
        <v>127</v>
      </c>
      <c r="D142" s="149" t="s">
        <v>179</v>
      </c>
      <c r="E142" s="152">
        <v>4627784.6000000006</v>
      </c>
      <c r="F142" s="152">
        <v>4416381.5233342005</v>
      </c>
      <c r="G142" s="184"/>
      <c r="H142" s="184"/>
      <c r="I142" s="184"/>
      <c r="J142" s="184"/>
      <c r="K142" s="152">
        <f>SUM(K133:K141)-K140</f>
        <v>3786055.5423999997</v>
      </c>
      <c r="L142" s="152">
        <f>SUM(L133:L141)-L140</f>
        <v>4044102.13</v>
      </c>
      <c r="M142" s="152">
        <f>SUM(M133:M141)-M140</f>
        <v>2496884.3295999998</v>
      </c>
      <c r="N142" s="184"/>
      <c r="O142" s="152">
        <f>SUM(O133:O141)-O140</f>
        <v>1449155.2127999999</v>
      </c>
      <c r="P142" s="184"/>
      <c r="Q142" s="152">
        <f>SUM(Q133:Q141)-Q140</f>
        <v>3516717.9256000002</v>
      </c>
      <c r="R142" s="152">
        <f>SUM(R133:R141)-R140</f>
        <v>3557431.59</v>
      </c>
      <c r="S142" s="152">
        <f>SUM(S133:S141)-S140</f>
        <v>2280566.0815999997</v>
      </c>
      <c r="T142" s="184"/>
      <c r="U142" s="152">
        <f>SUM(U133:U141)-U140</f>
        <v>1236151.844</v>
      </c>
      <c r="V142" s="184"/>
      <c r="W142" s="152">
        <v>4245342.1503999997</v>
      </c>
      <c r="X142" s="152">
        <v>4176447.4099999997</v>
      </c>
      <c r="Y142" s="152">
        <v>2728703.4463999998</v>
      </c>
      <c r="Z142" s="184"/>
      <c r="AA142" s="152">
        <v>0</v>
      </c>
      <c r="AB142" s="184"/>
      <c r="AC142" s="213">
        <f>SUM(AC133:AC141)-AC140</f>
        <v>3860283.1556000002</v>
      </c>
      <c r="AD142" s="213">
        <f>SUM(AD133:AD141)-AD140</f>
        <v>3855656.47</v>
      </c>
      <c r="AE142" s="152">
        <f>SUM(AE133:AE141)-AE140</f>
        <v>2513057.4168000002</v>
      </c>
      <c r="AF142" s="184"/>
      <c r="AG142" s="152">
        <f>SUM(AG133:AG141)-AG140</f>
        <v>1347065.7388000002</v>
      </c>
      <c r="AH142" s="184"/>
      <c r="AI142" s="213">
        <f>SUM(AI133:AI141)-AI140</f>
        <v>4278867.3719999995</v>
      </c>
      <c r="AJ142" s="213">
        <f>SUM(AJ133:AJ141)-AJ140</f>
        <v>4859119.49</v>
      </c>
      <c r="AK142" s="152">
        <f>SUM(AK133:AK141)-AK140</f>
        <v>2625129.8119999999</v>
      </c>
      <c r="AL142" s="184"/>
      <c r="AM142" s="152">
        <f>SUM(AM133:AM141)-AM140</f>
        <v>1653577.56</v>
      </c>
      <c r="AN142" s="184"/>
      <c r="AO142" s="213">
        <f>SUM(AO133:AO141)-AO140</f>
        <v>3820050.2068000003</v>
      </c>
      <c r="AP142" s="213">
        <f>SUM(AP133:AP141)-AP140</f>
        <v>3809548.8819999993</v>
      </c>
      <c r="AQ142" s="152">
        <f>SUM(AQ133:AQ141)-AQ140</f>
        <v>2518489.2524000001</v>
      </c>
      <c r="AR142" s="184"/>
      <c r="AS142" s="152">
        <f>SUM(AS133:AS141)-AS140</f>
        <v>1443800.9543999999</v>
      </c>
      <c r="AT142" s="184"/>
      <c r="AU142" s="213">
        <f>SUM(AU133:AU141)-AU140</f>
        <v>4834341.9208999993</v>
      </c>
      <c r="AV142" s="213">
        <f>SUM(AV133:AV141)-AV140</f>
        <v>3969775.4009999991</v>
      </c>
      <c r="AW142" s="152">
        <f>SUM(AW133:AW141)-AW140</f>
        <v>2992133.4688000004</v>
      </c>
      <c r="AX142" s="184"/>
      <c r="AY142" s="152">
        <f>SUM(AY133:AY141)-AY140</f>
        <v>1843808.6121</v>
      </c>
      <c r="AZ142" s="184"/>
      <c r="BA142" s="304">
        <f t="shared" si="78"/>
        <v>-864566.51990000019</v>
      </c>
      <c r="BB142" s="305"/>
      <c r="BC142" s="316">
        <f t="shared" si="79"/>
        <v>-0.22694721781496235</v>
      </c>
      <c r="BD142" s="315"/>
    </row>
    <row r="143" spans="1:57" x14ac:dyDescent="0.2">
      <c r="A143" s="149" t="s">
        <v>506</v>
      </c>
      <c r="B143" s="166"/>
      <c r="C143" s="153" t="s">
        <v>507</v>
      </c>
      <c r="D143" s="149" t="s">
        <v>179</v>
      </c>
      <c r="E143" s="184">
        <v>0.25</v>
      </c>
      <c r="F143" s="184">
        <v>62534.843466684011</v>
      </c>
      <c r="G143" s="184">
        <v>0.25</v>
      </c>
      <c r="H143" s="184">
        <v>0.25</v>
      </c>
      <c r="I143" s="184">
        <v>0.25</v>
      </c>
      <c r="J143" s="184">
        <v>0.25</v>
      </c>
      <c r="K143" s="184">
        <v>0.25</v>
      </c>
      <c r="L143" s="184">
        <f>[1]CMR!$F$133</f>
        <v>95287.936600000001</v>
      </c>
      <c r="M143" s="184">
        <v>0.25</v>
      </c>
      <c r="N143" s="184">
        <f>K143</f>
        <v>0.25</v>
      </c>
      <c r="O143" s="184">
        <v>0.25</v>
      </c>
      <c r="P143" s="184">
        <f>N143</f>
        <v>0.25</v>
      </c>
      <c r="Q143" s="184">
        <v>0.25</v>
      </c>
      <c r="R143" s="184">
        <v>74382.304600000003</v>
      </c>
      <c r="S143" s="184">
        <v>0.25</v>
      </c>
      <c r="T143" s="184">
        <f>Q143</f>
        <v>0.25</v>
      </c>
      <c r="U143" s="184">
        <v>0.25</v>
      </c>
      <c r="V143" s="184">
        <f>T143</f>
        <v>0.25</v>
      </c>
      <c r="W143" s="184">
        <v>0.25</v>
      </c>
      <c r="X143" s="184">
        <v>52382.926199999994</v>
      </c>
      <c r="Y143" s="184">
        <v>0.25</v>
      </c>
      <c r="Z143" s="184">
        <v>0.25</v>
      </c>
      <c r="AA143" s="184">
        <v>0.25</v>
      </c>
      <c r="AB143" s="184">
        <v>0.25</v>
      </c>
      <c r="AC143" s="184">
        <v>0.25</v>
      </c>
      <c r="AD143" s="184">
        <v>53825.833400000003</v>
      </c>
      <c r="AE143" s="184">
        <v>0.25</v>
      </c>
      <c r="AF143" s="184">
        <f>AC143</f>
        <v>0.25</v>
      </c>
      <c r="AG143" s="184">
        <v>0.25</v>
      </c>
      <c r="AH143" s="184">
        <f>AF143</f>
        <v>0.25</v>
      </c>
      <c r="AI143" s="184">
        <v>0.25</v>
      </c>
      <c r="AJ143" s="184">
        <v>89503.015800000023</v>
      </c>
      <c r="AK143" s="184">
        <v>0.25</v>
      </c>
      <c r="AL143" s="184">
        <f>AI143</f>
        <v>0.25</v>
      </c>
      <c r="AM143" s="184">
        <v>0.25</v>
      </c>
      <c r="AN143" s="184">
        <f>AL143</f>
        <v>0.25</v>
      </c>
      <c r="AO143" s="184">
        <v>0.25</v>
      </c>
      <c r="AP143" s="184">
        <v>92164.027639999986</v>
      </c>
      <c r="AQ143" s="184">
        <v>0.25</v>
      </c>
      <c r="AR143" s="184">
        <f>AO143</f>
        <v>0.25</v>
      </c>
      <c r="AS143" s="184">
        <v>0.25</v>
      </c>
      <c r="AT143" s="184">
        <f>AR143</f>
        <v>0.25</v>
      </c>
      <c r="AU143" s="184">
        <v>0.25</v>
      </c>
      <c r="AV143" s="184">
        <v>84855.420020000005</v>
      </c>
      <c r="AW143" s="184">
        <v>0.25</v>
      </c>
      <c r="AX143" s="184">
        <f>AU143</f>
        <v>0.25</v>
      </c>
      <c r="AY143" s="184">
        <v>0.25</v>
      </c>
      <c r="AZ143" s="184">
        <f>AX143</f>
        <v>0.25</v>
      </c>
      <c r="BA143" s="304">
        <f>+AV143-AP143</f>
        <v>-7308.6076199999807</v>
      </c>
      <c r="BB143" s="305"/>
      <c r="BC143" s="314">
        <f>+BA143/AP143</f>
        <v>-7.930000247545585E-2</v>
      </c>
      <c r="BD143" s="315"/>
    </row>
    <row r="144" spans="1:57" ht="15.75" x14ac:dyDescent="0.25">
      <c r="A144" s="195" t="s">
        <v>454</v>
      </c>
      <c r="B144" s="196" t="s">
        <v>455</v>
      </c>
      <c r="C144" s="197"/>
      <c r="D144" s="198"/>
      <c r="E144" s="198"/>
      <c r="F144" s="198"/>
      <c r="G144" s="198"/>
      <c r="H144" s="198"/>
      <c r="I144" s="198"/>
      <c r="J144" s="198" t="s">
        <v>552</v>
      </c>
      <c r="K144" s="198"/>
      <c r="L144" s="198"/>
      <c r="M144" s="198"/>
      <c r="N144" s="198"/>
      <c r="O144" s="198"/>
      <c r="P144" s="198" t="s">
        <v>552</v>
      </c>
      <c r="Q144" s="198"/>
      <c r="R144" s="198"/>
      <c r="S144" s="198"/>
      <c r="T144" s="198"/>
      <c r="U144" s="198"/>
      <c r="V144" s="198" t="s">
        <v>552</v>
      </c>
      <c r="W144" s="198"/>
      <c r="X144" s="198"/>
      <c r="Y144" s="198"/>
      <c r="Z144" s="198"/>
      <c r="AA144" s="198"/>
      <c r="AB144" s="198" t="s">
        <v>552</v>
      </c>
      <c r="AC144" s="198"/>
      <c r="AD144" s="198"/>
      <c r="AE144" s="198"/>
      <c r="AF144" s="198"/>
      <c r="AG144" s="198"/>
      <c r="AH144" s="198" t="s">
        <v>552</v>
      </c>
      <c r="AI144" s="198"/>
      <c r="AJ144" s="198"/>
      <c r="AK144" s="198"/>
      <c r="AL144" s="198"/>
      <c r="AM144" s="198"/>
      <c r="AN144" s="198" t="s">
        <v>552</v>
      </c>
      <c r="AO144" s="198"/>
      <c r="AP144" s="198"/>
      <c r="AQ144" s="198"/>
      <c r="AR144" s="198"/>
      <c r="AS144" s="198"/>
      <c r="AT144" s="198" t="s">
        <v>552</v>
      </c>
      <c r="AU144" s="198"/>
      <c r="AV144" s="198"/>
      <c r="AW144" s="198"/>
      <c r="AX144" s="198"/>
      <c r="AY144" s="198"/>
      <c r="AZ144" s="198" t="s">
        <v>552</v>
      </c>
      <c r="BA144" s="199"/>
      <c r="BB144" s="199" t="s">
        <v>552</v>
      </c>
      <c r="BC144" s="199"/>
      <c r="BD144" s="199"/>
    </row>
    <row r="145" spans="1:56" ht="15.75" x14ac:dyDescent="0.25">
      <c r="A145" s="149" t="s">
        <v>456</v>
      </c>
      <c r="B145" s="165"/>
      <c r="C145" s="166" t="s">
        <v>462</v>
      </c>
      <c r="D145" s="149" t="s">
        <v>460</v>
      </c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302"/>
      <c r="BD145" s="303"/>
    </row>
    <row r="146" spans="1:56" x14ac:dyDescent="0.2">
      <c r="A146" s="149" t="s">
        <v>458</v>
      </c>
      <c r="B146" s="166"/>
      <c r="C146" s="166" t="s">
        <v>457</v>
      </c>
      <c r="D146" s="149" t="s">
        <v>460</v>
      </c>
      <c r="E146" s="149"/>
      <c r="F146" s="149">
        <v>48</v>
      </c>
      <c r="G146" s="149"/>
      <c r="H146" s="149"/>
      <c r="I146" s="149"/>
      <c r="J146" s="149"/>
      <c r="K146" s="149"/>
      <c r="L146" s="149">
        <v>10</v>
      </c>
      <c r="M146" s="149"/>
      <c r="N146" s="149"/>
      <c r="O146" s="149"/>
      <c r="P146" s="149"/>
      <c r="R146" s="149">
        <v>12</v>
      </c>
      <c r="S146" s="149"/>
      <c r="T146" s="149"/>
      <c r="U146" s="149"/>
      <c r="V146" s="149"/>
      <c r="X146" s="149">
        <v>21</v>
      </c>
      <c r="Y146" s="149"/>
      <c r="Z146" s="149"/>
      <c r="AA146" s="149"/>
      <c r="AB146" s="149"/>
      <c r="AD146" s="149">
        <v>12</v>
      </c>
      <c r="AE146" s="149"/>
      <c r="AF146" s="149"/>
      <c r="AG146" s="149"/>
      <c r="AH146" s="149"/>
      <c r="AJ146" s="213">
        <v>0</v>
      </c>
      <c r="AK146" s="149"/>
      <c r="AL146" s="149"/>
      <c r="AM146" s="149"/>
      <c r="AN146" s="149"/>
      <c r="AP146" s="213">
        <v>22</v>
      </c>
      <c r="AQ146" s="149"/>
      <c r="AR146" s="149"/>
      <c r="AS146" s="149"/>
      <c r="AT146" s="149"/>
      <c r="AV146" s="213">
        <v>3</v>
      </c>
      <c r="AW146" s="149"/>
      <c r="AX146" s="149"/>
      <c r="AY146" s="149"/>
      <c r="AZ146" s="149"/>
      <c r="BA146" s="149"/>
      <c r="BB146" s="246">
        <f>AV146-AP146</f>
        <v>-19</v>
      </c>
      <c r="BC146" s="316">
        <f>+BB146/AP146</f>
        <v>-0.86363636363636365</v>
      </c>
      <c r="BD146" s="315"/>
    </row>
    <row r="147" spans="1:56" x14ac:dyDescent="0.2">
      <c r="A147" s="149" t="s">
        <v>461</v>
      </c>
      <c r="B147" s="166"/>
      <c r="C147" s="166" t="s">
        <v>459</v>
      </c>
      <c r="D147" s="149" t="s">
        <v>460</v>
      </c>
      <c r="E147" s="149"/>
      <c r="F147" s="149">
        <v>20</v>
      </c>
      <c r="G147" s="149"/>
      <c r="H147" s="149"/>
      <c r="I147" s="149"/>
      <c r="J147" s="149"/>
      <c r="K147" s="149"/>
      <c r="L147" s="149">
        <v>41</v>
      </c>
      <c r="M147" s="149"/>
      <c r="N147" s="149"/>
      <c r="O147" s="149"/>
      <c r="P147" s="149"/>
      <c r="Q147" s="149"/>
      <c r="R147" s="149">
        <v>35</v>
      </c>
      <c r="S147" s="149"/>
      <c r="T147" s="149"/>
      <c r="U147" s="149"/>
      <c r="V147" s="149"/>
      <c r="W147" s="149"/>
      <c r="X147" s="149">
        <v>0</v>
      </c>
      <c r="Y147" s="149"/>
      <c r="Z147" s="149"/>
      <c r="AA147" s="149"/>
      <c r="AB147" s="149"/>
      <c r="AC147" s="149"/>
      <c r="AD147" s="149">
        <v>0</v>
      </c>
      <c r="AE147" s="149"/>
      <c r="AF147" s="149"/>
      <c r="AG147" s="149"/>
      <c r="AH147" s="149"/>
      <c r="AI147" s="149"/>
      <c r="AJ147" s="213">
        <v>0</v>
      </c>
      <c r="AK147" s="149"/>
      <c r="AL147" s="149"/>
      <c r="AM147" s="149"/>
      <c r="AN147" s="149"/>
      <c r="AO147" s="149"/>
      <c r="AP147" s="213">
        <v>22</v>
      </c>
      <c r="AQ147" s="149"/>
      <c r="AR147" s="149"/>
      <c r="AS147" s="149"/>
      <c r="AT147" s="149"/>
      <c r="AU147" s="149"/>
      <c r="AV147" s="213">
        <v>3</v>
      </c>
      <c r="AW147" s="149"/>
      <c r="AX147" s="149"/>
      <c r="AY147" s="149"/>
      <c r="AZ147" s="149"/>
      <c r="BA147" s="149"/>
      <c r="BB147" s="246">
        <f>AV147-AP147</f>
        <v>-19</v>
      </c>
      <c r="BC147" s="316">
        <f>+BB147/AP147</f>
        <v>-0.86363636363636365</v>
      </c>
      <c r="BD147" s="315"/>
    </row>
    <row r="148" spans="1:56" x14ac:dyDescent="0.2">
      <c r="A148" s="149" t="s">
        <v>476</v>
      </c>
      <c r="B148" s="166"/>
      <c r="C148" s="166" t="s">
        <v>477</v>
      </c>
      <c r="D148" s="149" t="s">
        <v>460</v>
      </c>
      <c r="E148" s="149">
        <v>0</v>
      </c>
      <c r="F148" s="149">
        <v>68</v>
      </c>
      <c r="G148" s="149">
        <v>0</v>
      </c>
      <c r="H148" s="149"/>
      <c r="I148" s="149">
        <v>0</v>
      </c>
      <c r="J148" s="149">
        <v>0</v>
      </c>
      <c r="K148" s="149">
        <f>SUM(K145:K147)</f>
        <v>0</v>
      </c>
      <c r="L148" s="149">
        <f>SUM(L146:L147)</f>
        <v>51</v>
      </c>
      <c r="M148" s="149">
        <f>SUM(M145:M147)</f>
        <v>0</v>
      </c>
      <c r="N148" s="149"/>
      <c r="O148" s="149">
        <f>SUM(O145:O147)</f>
        <v>0</v>
      </c>
      <c r="P148" s="149">
        <f>SUM(P146:P147)</f>
        <v>0</v>
      </c>
      <c r="Q148" s="149">
        <f>SUM(Q145:Q147)</f>
        <v>0</v>
      </c>
      <c r="R148" s="149">
        <f>SUM(R146:R147)</f>
        <v>47</v>
      </c>
      <c r="S148" s="149">
        <f>SUM(S145:S147)</f>
        <v>0</v>
      </c>
      <c r="T148" s="149"/>
      <c r="U148" s="149">
        <f>SUM(U145:U147)</f>
        <v>0</v>
      </c>
      <c r="V148" s="149">
        <f>SUM(V146:V147)</f>
        <v>0</v>
      </c>
      <c r="W148" s="149">
        <v>0</v>
      </c>
      <c r="X148" s="149">
        <v>21</v>
      </c>
      <c r="Y148" s="149">
        <v>0</v>
      </c>
      <c r="Z148" s="149"/>
      <c r="AA148" s="149">
        <v>0</v>
      </c>
      <c r="AB148" s="149">
        <v>0</v>
      </c>
      <c r="AC148" s="149">
        <f>SUM(AC145:AC147)</f>
        <v>0</v>
      </c>
      <c r="AD148" s="149">
        <f>SUM(AD146:AD147)</f>
        <v>12</v>
      </c>
      <c r="AE148" s="149">
        <f>SUM(AE145:AE147)</f>
        <v>0</v>
      </c>
      <c r="AF148" s="149"/>
      <c r="AG148" s="149">
        <f>SUM(AG145:AG147)</f>
        <v>0</v>
      </c>
      <c r="AH148" s="149">
        <f>SUM(AH146:AH147)</f>
        <v>0</v>
      </c>
      <c r="AI148" s="149">
        <f>SUM(AI145:AI147)</f>
        <v>0</v>
      </c>
      <c r="AJ148" s="149">
        <f>SUM(AJ146:AJ147)</f>
        <v>0</v>
      </c>
      <c r="AK148" s="149">
        <f>SUM(AK145:AK147)</f>
        <v>0</v>
      </c>
      <c r="AL148" s="149"/>
      <c r="AM148" s="149">
        <f>SUM(AM145:AM147)</f>
        <v>0</v>
      </c>
      <c r="AN148" s="149">
        <f>SUM(AN146:AN147)</f>
        <v>0</v>
      </c>
      <c r="AO148" s="149">
        <f>SUM(AO145:AO147)</f>
        <v>0</v>
      </c>
      <c r="AP148" s="149">
        <f>SUM(AP146:AP147)</f>
        <v>44</v>
      </c>
      <c r="AQ148" s="149">
        <f>SUM(AQ145:AQ147)</f>
        <v>0</v>
      </c>
      <c r="AR148" s="149"/>
      <c r="AS148" s="149">
        <f>SUM(AS145:AS147)</f>
        <v>0</v>
      </c>
      <c r="AT148" s="149">
        <f>SUM(AT146:AT147)</f>
        <v>0</v>
      </c>
      <c r="AU148" s="149">
        <f>SUM(AU145:AU147)</f>
        <v>0</v>
      </c>
      <c r="AV148" s="149">
        <f>SUM(AV146:AV147)</f>
        <v>6</v>
      </c>
      <c r="AW148" s="149">
        <f>SUM(AW145:AW147)</f>
        <v>0</v>
      </c>
      <c r="AX148" s="149"/>
      <c r="AY148" s="149">
        <f>SUM(AY145:AY147)</f>
        <v>0</v>
      </c>
      <c r="AZ148" s="149">
        <f>SUM(AZ146:AZ147)</f>
        <v>0</v>
      </c>
      <c r="BA148" s="149"/>
      <c r="BB148" s="149">
        <f>AV148-AP148</f>
        <v>-38</v>
      </c>
      <c r="BC148" s="302">
        <f>+BB148/AP148</f>
        <v>-0.86363636363636365</v>
      </c>
      <c r="BD148" s="303"/>
    </row>
    <row r="149" spans="1:56" ht="15.75" x14ac:dyDescent="0.25">
      <c r="A149" s="195" t="s">
        <v>512</v>
      </c>
      <c r="B149" s="196"/>
      <c r="C149" s="196" t="s">
        <v>513</v>
      </c>
      <c r="D149" s="196"/>
      <c r="E149" s="198"/>
      <c r="F149" s="198"/>
      <c r="G149" s="196"/>
      <c r="H149" s="196"/>
      <c r="I149" s="196"/>
      <c r="J149" s="196"/>
      <c r="K149" s="198"/>
      <c r="L149" s="198"/>
      <c r="M149" s="196"/>
      <c r="N149" s="196"/>
      <c r="O149" s="196"/>
      <c r="P149" s="196"/>
      <c r="Q149" s="198"/>
      <c r="R149" s="198"/>
      <c r="S149" s="196"/>
      <c r="T149" s="196"/>
      <c r="U149" s="196"/>
      <c r="V149" s="196"/>
      <c r="W149" s="198"/>
      <c r="X149" s="198"/>
      <c r="Y149" s="196"/>
      <c r="Z149" s="196"/>
      <c r="AA149" s="196"/>
      <c r="AB149" s="196"/>
      <c r="AC149" s="198"/>
      <c r="AD149" s="198"/>
      <c r="AE149" s="196"/>
      <c r="AF149" s="196"/>
      <c r="AG149" s="196"/>
      <c r="AH149" s="196"/>
      <c r="AI149" s="198"/>
      <c r="AJ149" s="198"/>
      <c r="AK149" s="196"/>
      <c r="AL149" s="196"/>
      <c r="AM149" s="196"/>
      <c r="AN149" s="196"/>
      <c r="AO149" s="198"/>
      <c r="AP149" s="198"/>
      <c r="AQ149" s="196"/>
      <c r="AR149" s="196"/>
      <c r="AS149" s="196"/>
      <c r="AT149" s="196"/>
      <c r="AU149" s="198"/>
      <c r="AV149" s="198"/>
      <c r="AW149" s="196"/>
      <c r="AX149" s="196"/>
      <c r="AY149" s="196"/>
      <c r="AZ149" s="196"/>
      <c r="BA149" s="196"/>
      <c r="BB149" s="196"/>
      <c r="BC149" s="196"/>
      <c r="BD149" s="196"/>
    </row>
    <row r="150" spans="1:56" x14ac:dyDescent="0.2">
      <c r="A150" s="166" t="s">
        <v>514</v>
      </c>
      <c r="B150" s="166" t="s">
        <v>515</v>
      </c>
      <c r="C150" s="166"/>
      <c r="D150" s="149" t="s">
        <v>516</v>
      </c>
      <c r="E150" s="166" t="s">
        <v>517</v>
      </c>
      <c r="F150" s="166"/>
      <c r="G150" s="166" t="s">
        <v>517</v>
      </c>
      <c r="H150" s="166"/>
      <c r="I150" s="166" t="s">
        <v>517</v>
      </c>
      <c r="J150" s="166"/>
      <c r="K150" s="166" t="s">
        <v>517</v>
      </c>
      <c r="L150" s="166"/>
      <c r="M150" s="166" t="s">
        <v>517</v>
      </c>
      <c r="N150" s="166"/>
      <c r="O150" s="166" t="s">
        <v>517</v>
      </c>
      <c r="P150" s="166"/>
      <c r="Q150" s="166" t="s">
        <v>517</v>
      </c>
      <c r="R150" s="166"/>
      <c r="S150" s="166" t="s">
        <v>517</v>
      </c>
      <c r="T150" s="166"/>
      <c r="U150" s="166" t="s">
        <v>517</v>
      </c>
      <c r="V150" s="166"/>
      <c r="W150" s="166" t="s">
        <v>517</v>
      </c>
      <c r="X150" s="166"/>
      <c r="Y150" s="166" t="s">
        <v>517</v>
      </c>
      <c r="Z150" s="166"/>
      <c r="AA150" s="166" t="s">
        <v>517</v>
      </c>
      <c r="AB150" s="166"/>
      <c r="AC150" s="166" t="s">
        <v>517</v>
      </c>
      <c r="AD150" s="166"/>
      <c r="AE150" s="166" t="s">
        <v>517</v>
      </c>
      <c r="AF150" s="166"/>
      <c r="AG150" s="166" t="s">
        <v>517</v>
      </c>
      <c r="AH150" s="166"/>
      <c r="AI150" s="166" t="s">
        <v>517</v>
      </c>
      <c r="AJ150" s="166"/>
      <c r="AK150" s="166" t="s">
        <v>517</v>
      </c>
      <c r="AL150" s="166"/>
      <c r="AM150" s="166" t="s">
        <v>517</v>
      </c>
      <c r="AN150" s="166"/>
      <c r="AO150" s="166" t="s">
        <v>517</v>
      </c>
      <c r="AP150" s="166"/>
      <c r="AQ150" s="166" t="s">
        <v>517</v>
      </c>
      <c r="AR150" s="166"/>
      <c r="AS150" s="166" t="s">
        <v>517</v>
      </c>
      <c r="AT150" s="166"/>
      <c r="AU150" s="166" t="s">
        <v>517</v>
      </c>
      <c r="AV150" s="166"/>
      <c r="AW150" s="166" t="s">
        <v>517</v>
      </c>
      <c r="AX150" s="166"/>
      <c r="AY150" s="166" t="s">
        <v>517</v>
      </c>
      <c r="AZ150" s="166"/>
      <c r="BA150" s="166"/>
      <c r="BB150" s="166"/>
      <c r="BC150" s="166"/>
      <c r="BD150" s="166"/>
    </row>
    <row r="151" spans="1:56" x14ac:dyDescent="0.2">
      <c r="A151" s="166" t="s">
        <v>518</v>
      </c>
      <c r="B151" s="166" t="s">
        <v>519</v>
      </c>
      <c r="C151" s="166"/>
      <c r="D151" s="149" t="s">
        <v>516</v>
      </c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6"/>
      <c r="AC151" s="166"/>
      <c r="AD151" s="166"/>
      <c r="AE151" s="166"/>
      <c r="AF151" s="166"/>
      <c r="AG151" s="166"/>
      <c r="AH151" s="166"/>
      <c r="AI151" s="166"/>
      <c r="AJ151" s="166"/>
      <c r="AK151" s="166"/>
      <c r="AL151" s="166"/>
      <c r="AM151" s="166"/>
      <c r="AN151" s="166"/>
      <c r="AO151" s="166"/>
      <c r="AP151" s="166"/>
      <c r="AQ151" s="166"/>
      <c r="AR151" s="166"/>
      <c r="AS151" s="166"/>
      <c r="AT151" s="166"/>
      <c r="AU151" s="166"/>
      <c r="AV151" s="166"/>
      <c r="AW151" s="166"/>
      <c r="AX151" s="166"/>
      <c r="AY151" s="166"/>
      <c r="AZ151" s="166"/>
      <c r="BA151" s="166"/>
      <c r="BB151" s="166"/>
      <c r="BC151" s="166"/>
      <c r="BD151" s="166"/>
    </row>
    <row r="152" spans="1:56" x14ac:dyDescent="0.2"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  <c r="AA152" s="192"/>
      <c r="AB152" s="192"/>
      <c r="AC152" s="192"/>
      <c r="AD152" s="192"/>
      <c r="AE152" s="192"/>
      <c r="AF152" s="192"/>
      <c r="AG152" s="192"/>
      <c r="AH152" s="192"/>
      <c r="AI152" s="192"/>
      <c r="AJ152" s="192"/>
      <c r="AK152" s="192"/>
      <c r="AL152" s="192"/>
      <c r="AM152" s="192"/>
      <c r="AN152" s="192"/>
      <c r="AO152" s="192"/>
      <c r="AP152" s="192"/>
      <c r="AQ152" s="192"/>
      <c r="AR152" s="192"/>
      <c r="AS152" s="192"/>
      <c r="AT152" s="192"/>
      <c r="AU152" s="192"/>
      <c r="AV152" s="192"/>
      <c r="AW152" s="192"/>
      <c r="AX152" s="192"/>
      <c r="AY152" s="192"/>
      <c r="AZ152" s="192"/>
    </row>
    <row r="161" spans="48:48" x14ac:dyDescent="0.2">
      <c r="AV161" s="159"/>
    </row>
    <row r="179" spans="1:3" x14ac:dyDescent="0.2">
      <c r="A179" s="155"/>
      <c r="C179" s="157"/>
    </row>
  </sheetData>
  <mergeCells count="1790">
    <mergeCell ref="AU99:AV99"/>
    <mergeCell ref="AW99:AX99"/>
    <mergeCell ref="AY99:AZ99"/>
    <mergeCell ref="AU100:AV100"/>
    <mergeCell ref="AW100:AX100"/>
    <mergeCell ref="AY100:AZ100"/>
    <mergeCell ref="AU102:AV102"/>
    <mergeCell ref="AW102:AX102"/>
    <mergeCell ref="AY102:AZ102"/>
    <mergeCell ref="AU116:AV116"/>
    <mergeCell ref="AW116:AX116"/>
    <mergeCell ref="AY116:AZ116"/>
    <mergeCell ref="AU117:AV117"/>
    <mergeCell ref="AW117:AX117"/>
    <mergeCell ref="AY117:AZ117"/>
    <mergeCell ref="AU118:AV118"/>
    <mergeCell ref="AW118:AX118"/>
    <mergeCell ref="AY118:AZ118"/>
    <mergeCell ref="AU89:AV89"/>
    <mergeCell ref="AW89:AX89"/>
    <mergeCell ref="AY89:AZ89"/>
    <mergeCell ref="AU90:AV90"/>
    <mergeCell ref="AW90:AX90"/>
    <mergeCell ref="AY90:AZ90"/>
    <mergeCell ref="AU94:AV94"/>
    <mergeCell ref="AW94:AX94"/>
    <mergeCell ref="AY94:AZ94"/>
    <mergeCell ref="AU95:AV95"/>
    <mergeCell ref="AW95:AX95"/>
    <mergeCell ref="AY95:AZ95"/>
    <mergeCell ref="AU96:AV96"/>
    <mergeCell ref="AW96:AX96"/>
    <mergeCell ref="AY96:AZ96"/>
    <mergeCell ref="AU97:AV97"/>
    <mergeCell ref="AW97:AX97"/>
    <mergeCell ref="AY97:AZ97"/>
    <mergeCell ref="AU82:AV82"/>
    <mergeCell ref="AW82:AX82"/>
    <mergeCell ref="AY82:AZ82"/>
    <mergeCell ref="AU83:AV83"/>
    <mergeCell ref="AW83:AX83"/>
    <mergeCell ref="AY83:AZ83"/>
    <mergeCell ref="AU84:AV84"/>
    <mergeCell ref="AW84:AX84"/>
    <mergeCell ref="AY84:AZ84"/>
    <mergeCell ref="AU85:AV85"/>
    <mergeCell ref="AW85:AX85"/>
    <mergeCell ref="AY85:AZ85"/>
    <mergeCell ref="AU86:AV86"/>
    <mergeCell ref="AW86:AX86"/>
    <mergeCell ref="AY86:AZ86"/>
    <mergeCell ref="AU88:AV88"/>
    <mergeCell ref="AW88:AX88"/>
    <mergeCell ref="AY88:AZ88"/>
    <mergeCell ref="AU76:AV76"/>
    <mergeCell ref="AW76:AX76"/>
    <mergeCell ref="AY76:AZ76"/>
    <mergeCell ref="AU77:AV77"/>
    <mergeCell ref="AW77:AX77"/>
    <mergeCell ref="AY77:AZ77"/>
    <mergeCell ref="AU78:AV78"/>
    <mergeCell ref="AW78:AX78"/>
    <mergeCell ref="AY78:AZ78"/>
    <mergeCell ref="AU79:AV79"/>
    <mergeCell ref="AW79:AX79"/>
    <mergeCell ref="AY79:AZ79"/>
    <mergeCell ref="AU80:AV80"/>
    <mergeCell ref="AW80:AX80"/>
    <mergeCell ref="AY80:AZ80"/>
    <mergeCell ref="AU81:AV81"/>
    <mergeCell ref="AW81:AX81"/>
    <mergeCell ref="AY81:AZ81"/>
    <mergeCell ref="AU69:AV69"/>
    <mergeCell ref="AW69:AX69"/>
    <mergeCell ref="AY69:AZ69"/>
    <mergeCell ref="AU70:AV70"/>
    <mergeCell ref="AW70:AX70"/>
    <mergeCell ref="AY70:AZ70"/>
    <mergeCell ref="AU71:AV71"/>
    <mergeCell ref="AW71:AX71"/>
    <mergeCell ref="AY71:AZ71"/>
    <mergeCell ref="AU72:AV72"/>
    <mergeCell ref="AW72:AX72"/>
    <mergeCell ref="AY72:AZ72"/>
    <mergeCell ref="AU74:AV74"/>
    <mergeCell ref="AW74:AX74"/>
    <mergeCell ref="AY74:AZ74"/>
    <mergeCell ref="AU75:AV75"/>
    <mergeCell ref="AW75:AX75"/>
    <mergeCell ref="AY75:AZ75"/>
    <mergeCell ref="AU59:AV59"/>
    <mergeCell ref="AW59:AX59"/>
    <mergeCell ref="AY59:AZ59"/>
    <mergeCell ref="AU60:AV60"/>
    <mergeCell ref="AW60:AX60"/>
    <mergeCell ref="AY60:AZ60"/>
    <mergeCell ref="AU61:AV61"/>
    <mergeCell ref="AW61:AX61"/>
    <mergeCell ref="AY61:AZ61"/>
    <mergeCell ref="AU62:AV62"/>
    <mergeCell ref="AW62:AX62"/>
    <mergeCell ref="AY62:AZ62"/>
    <mergeCell ref="AU63:AV63"/>
    <mergeCell ref="AW63:AX63"/>
    <mergeCell ref="AY63:AZ63"/>
    <mergeCell ref="AU68:AV68"/>
    <mergeCell ref="AW68:AX68"/>
    <mergeCell ref="AY68:AZ68"/>
    <mergeCell ref="AU53:AV53"/>
    <mergeCell ref="AW53:AX53"/>
    <mergeCell ref="AY53:AZ53"/>
    <mergeCell ref="AU54:AV54"/>
    <mergeCell ref="AW54:AX54"/>
    <mergeCell ref="AY54:AZ54"/>
    <mergeCell ref="AU55:AV55"/>
    <mergeCell ref="AW55:AX55"/>
    <mergeCell ref="AY55:AZ55"/>
    <mergeCell ref="AU56:AV56"/>
    <mergeCell ref="AW56:AX56"/>
    <mergeCell ref="AY56:AZ56"/>
    <mergeCell ref="AU57:AV57"/>
    <mergeCell ref="AW57:AX57"/>
    <mergeCell ref="AY57:AZ57"/>
    <mergeCell ref="AU58:AV58"/>
    <mergeCell ref="AW58:AX58"/>
    <mergeCell ref="AY58:AZ58"/>
    <mergeCell ref="AU41:AV41"/>
    <mergeCell ref="AW41:AX41"/>
    <mergeCell ref="AY41:AZ41"/>
    <mergeCell ref="AU44:AV44"/>
    <mergeCell ref="AW44:AX44"/>
    <mergeCell ref="AY44:AZ44"/>
    <mergeCell ref="AU46:AV46"/>
    <mergeCell ref="AW46:AX46"/>
    <mergeCell ref="AY46:AZ46"/>
    <mergeCell ref="AU47:AV47"/>
    <mergeCell ref="AW47:AX47"/>
    <mergeCell ref="AY47:AZ47"/>
    <mergeCell ref="AU50:AV50"/>
    <mergeCell ref="AW50:AX50"/>
    <mergeCell ref="AY50:AZ50"/>
    <mergeCell ref="AU51:AV51"/>
    <mergeCell ref="AW51:AX51"/>
    <mergeCell ref="AY51:AZ51"/>
    <mergeCell ref="AU17:AV17"/>
    <mergeCell ref="AW17:AX17"/>
    <mergeCell ref="AY17:AZ17"/>
    <mergeCell ref="AU18:AV18"/>
    <mergeCell ref="AW18:AX18"/>
    <mergeCell ref="AY18:AZ18"/>
    <mergeCell ref="AU22:AV22"/>
    <mergeCell ref="AW22:AX22"/>
    <mergeCell ref="AY22:AZ22"/>
    <mergeCell ref="AU32:AV32"/>
    <mergeCell ref="AW32:AX32"/>
    <mergeCell ref="AY32:AZ32"/>
    <mergeCell ref="AU39:AV39"/>
    <mergeCell ref="AW39:AX39"/>
    <mergeCell ref="AY39:AZ39"/>
    <mergeCell ref="AU40:AV40"/>
    <mergeCell ref="AW40:AX40"/>
    <mergeCell ref="AY40:AZ40"/>
    <mergeCell ref="AU11:AV11"/>
    <mergeCell ref="AW11:AX11"/>
    <mergeCell ref="AY11:AZ11"/>
    <mergeCell ref="AU12:AV12"/>
    <mergeCell ref="AW12:AX12"/>
    <mergeCell ref="AY12:AZ12"/>
    <mergeCell ref="AU13:AV13"/>
    <mergeCell ref="AW13:AX13"/>
    <mergeCell ref="AY13:AZ13"/>
    <mergeCell ref="AU14:AV14"/>
    <mergeCell ref="AW14:AX14"/>
    <mergeCell ref="AY14:AZ14"/>
    <mergeCell ref="AU15:AV15"/>
    <mergeCell ref="AW15:AX15"/>
    <mergeCell ref="AY15:AZ15"/>
    <mergeCell ref="AU16:AV16"/>
    <mergeCell ref="AW16:AX16"/>
    <mergeCell ref="AY16:AZ16"/>
    <mergeCell ref="AU3:AV3"/>
    <mergeCell ref="AW3:AX3"/>
    <mergeCell ref="AY3:AZ3"/>
    <mergeCell ref="AU6:AV6"/>
    <mergeCell ref="AW6:AX6"/>
    <mergeCell ref="AY6:AZ6"/>
    <mergeCell ref="AU7:AV7"/>
    <mergeCell ref="AW7:AX7"/>
    <mergeCell ref="AY7:AZ7"/>
    <mergeCell ref="AU8:AV8"/>
    <mergeCell ref="AW8:AX8"/>
    <mergeCell ref="AY8:AZ8"/>
    <mergeCell ref="AU9:AV9"/>
    <mergeCell ref="AW9:AX9"/>
    <mergeCell ref="AY9:AZ9"/>
    <mergeCell ref="AU10:AV10"/>
    <mergeCell ref="AW10:AX10"/>
    <mergeCell ref="AY10:AZ10"/>
    <mergeCell ref="AO99:AP99"/>
    <mergeCell ref="AQ99:AR99"/>
    <mergeCell ref="AS99:AT99"/>
    <mergeCell ref="AO100:AP100"/>
    <mergeCell ref="AQ100:AR100"/>
    <mergeCell ref="AS100:AT100"/>
    <mergeCell ref="AO102:AP102"/>
    <mergeCell ref="AQ102:AR102"/>
    <mergeCell ref="AS102:AT102"/>
    <mergeCell ref="AO116:AP116"/>
    <mergeCell ref="AQ116:AR116"/>
    <mergeCell ref="AS116:AT116"/>
    <mergeCell ref="AO117:AP117"/>
    <mergeCell ref="AQ117:AR117"/>
    <mergeCell ref="AS117:AT117"/>
    <mergeCell ref="AO118:AP118"/>
    <mergeCell ref="AQ118:AR118"/>
    <mergeCell ref="AS118:AT118"/>
    <mergeCell ref="AO89:AP89"/>
    <mergeCell ref="AQ89:AR89"/>
    <mergeCell ref="AS89:AT89"/>
    <mergeCell ref="AO90:AP90"/>
    <mergeCell ref="AQ90:AR90"/>
    <mergeCell ref="AS90:AT90"/>
    <mergeCell ref="AO94:AP94"/>
    <mergeCell ref="AQ94:AR94"/>
    <mergeCell ref="AS94:AT94"/>
    <mergeCell ref="AO95:AP95"/>
    <mergeCell ref="AQ95:AR95"/>
    <mergeCell ref="AS95:AT95"/>
    <mergeCell ref="AO96:AP96"/>
    <mergeCell ref="AQ96:AR96"/>
    <mergeCell ref="AS96:AT96"/>
    <mergeCell ref="AO97:AP97"/>
    <mergeCell ref="AQ97:AR97"/>
    <mergeCell ref="AS97:AT97"/>
    <mergeCell ref="AO82:AP82"/>
    <mergeCell ref="AQ82:AR82"/>
    <mergeCell ref="AS82:AT82"/>
    <mergeCell ref="AO83:AP83"/>
    <mergeCell ref="AQ83:AR83"/>
    <mergeCell ref="AS83:AT83"/>
    <mergeCell ref="AO84:AP84"/>
    <mergeCell ref="AQ84:AR84"/>
    <mergeCell ref="AS84:AT84"/>
    <mergeCell ref="AO85:AP85"/>
    <mergeCell ref="AQ85:AR85"/>
    <mergeCell ref="AS85:AT85"/>
    <mergeCell ref="AO86:AP86"/>
    <mergeCell ref="AQ86:AR86"/>
    <mergeCell ref="AS86:AT86"/>
    <mergeCell ref="AO88:AP88"/>
    <mergeCell ref="AQ88:AR88"/>
    <mergeCell ref="AS88:AT88"/>
    <mergeCell ref="AO76:AP76"/>
    <mergeCell ref="AQ76:AR76"/>
    <mergeCell ref="AS76:AT76"/>
    <mergeCell ref="AO77:AP77"/>
    <mergeCell ref="AQ77:AR77"/>
    <mergeCell ref="AS77:AT77"/>
    <mergeCell ref="AO78:AP78"/>
    <mergeCell ref="AQ78:AR78"/>
    <mergeCell ref="AS78:AT78"/>
    <mergeCell ref="AO79:AP79"/>
    <mergeCell ref="AQ79:AR79"/>
    <mergeCell ref="AS79:AT79"/>
    <mergeCell ref="AO80:AP80"/>
    <mergeCell ref="AQ80:AR80"/>
    <mergeCell ref="AS80:AT80"/>
    <mergeCell ref="AO81:AP81"/>
    <mergeCell ref="AQ81:AR81"/>
    <mergeCell ref="AS81:AT81"/>
    <mergeCell ref="AO69:AP69"/>
    <mergeCell ref="AQ69:AR69"/>
    <mergeCell ref="AS69:AT69"/>
    <mergeCell ref="AO70:AP70"/>
    <mergeCell ref="AQ70:AR70"/>
    <mergeCell ref="AS70:AT70"/>
    <mergeCell ref="AO71:AP71"/>
    <mergeCell ref="AQ71:AR71"/>
    <mergeCell ref="AS71:AT71"/>
    <mergeCell ref="AO72:AP72"/>
    <mergeCell ref="AQ72:AR72"/>
    <mergeCell ref="AS72:AT72"/>
    <mergeCell ref="AO74:AP74"/>
    <mergeCell ref="AQ74:AR74"/>
    <mergeCell ref="AS74:AT74"/>
    <mergeCell ref="AO75:AP75"/>
    <mergeCell ref="AQ75:AR75"/>
    <mergeCell ref="AS75:AT75"/>
    <mergeCell ref="AO59:AP59"/>
    <mergeCell ref="AQ59:AR59"/>
    <mergeCell ref="AS59:AT59"/>
    <mergeCell ref="AO60:AP60"/>
    <mergeCell ref="AQ60:AR60"/>
    <mergeCell ref="AS60:AT60"/>
    <mergeCell ref="AO61:AP61"/>
    <mergeCell ref="AQ61:AR61"/>
    <mergeCell ref="AS61:AT61"/>
    <mergeCell ref="AO62:AP62"/>
    <mergeCell ref="AQ62:AR62"/>
    <mergeCell ref="AS62:AT62"/>
    <mergeCell ref="AO63:AP63"/>
    <mergeCell ref="AQ63:AR63"/>
    <mergeCell ref="AS63:AT63"/>
    <mergeCell ref="AO68:AP68"/>
    <mergeCell ref="AQ68:AR68"/>
    <mergeCell ref="AS68:AT68"/>
    <mergeCell ref="AO53:AP53"/>
    <mergeCell ref="AQ53:AR53"/>
    <mergeCell ref="AS53:AT53"/>
    <mergeCell ref="AO54:AP54"/>
    <mergeCell ref="AQ54:AR54"/>
    <mergeCell ref="AS54:AT54"/>
    <mergeCell ref="AO55:AP55"/>
    <mergeCell ref="AQ55:AR55"/>
    <mergeCell ref="AS55:AT55"/>
    <mergeCell ref="AO56:AP56"/>
    <mergeCell ref="AQ56:AR56"/>
    <mergeCell ref="AS56:AT56"/>
    <mergeCell ref="AO57:AP57"/>
    <mergeCell ref="AQ57:AR57"/>
    <mergeCell ref="AS57:AT57"/>
    <mergeCell ref="AO58:AP58"/>
    <mergeCell ref="AQ58:AR58"/>
    <mergeCell ref="AS58:AT58"/>
    <mergeCell ref="AO41:AP41"/>
    <mergeCell ref="AQ41:AR41"/>
    <mergeCell ref="AS41:AT41"/>
    <mergeCell ref="AO44:AP44"/>
    <mergeCell ref="AQ44:AR44"/>
    <mergeCell ref="AS44:AT44"/>
    <mergeCell ref="AO46:AP46"/>
    <mergeCell ref="AQ46:AR46"/>
    <mergeCell ref="AS46:AT46"/>
    <mergeCell ref="AO47:AP47"/>
    <mergeCell ref="AQ47:AR47"/>
    <mergeCell ref="AS47:AT47"/>
    <mergeCell ref="AO50:AP50"/>
    <mergeCell ref="AQ50:AR50"/>
    <mergeCell ref="AS50:AT50"/>
    <mergeCell ref="AO51:AP51"/>
    <mergeCell ref="AQ51:AR51"/>
    <mergeCell ref="AS51:AT51"/>
    <mergeCell ref="AO17:AP17"/>
    <mergeCell ref="AQ17:AR17"/>
    <mergeCell ref="AS17:AT17"/>
    <mergeCell ref="AO18:AP18"/>
    <mergeCell ref="AQ18:AR18"/>
    <mergeCell ref="AS18:AT18"/>
    <mergeCell ref="AO22:AP22"/>
    <mergeCell ref="AQ22:AR22"/>
    <mergeCell ref="AS22:AT22"/>
    <mergeCell ref="AO32:AP32"/>
    <mergeCell ref="AQ32:AR32"/>
    <mergeCell ref="AS32:AT32"/>
    <mergeCell ref="AO39:AP39"/>
    <mergeCell ref="AQ39:AR39"/>
    <mergeCell ref="AS39:AT39"/>
    <mergeCell ref="AO40:AP40"/>
    <mergeCell ref="AQ40:AR40"/>
    <mergeCell ref="AS40:AT40"/>
    <mergeCell ref="AO11:AP11"/>
    <mergeCell ref="AQ11:AR11"/>
    <mergeCell ref="AS11:AT11"/>
    <mergeCell ref="AO12:AP12"/>
    <mergeCell ref="AQ12:AR12"/>
    <mergeCell ref="AS12:AT12"/>
    <mergeCell ref="AO13:AP13"/>
    <mergeCell ref="AQ13:AR13"/>
    <mergeCell ref="AS13:AT13"/>
    <mergeCell ref="AO14:AP14"/>
    <mergeCell ref="AQ14:AR14"/>
    <mergeCell ref="AS14:AT14"/>
    <mergeCell ref="AO15:AP15"/>
    <mergeCell ref="AQ15:AR15"/>
    <mergeCell ref="AS15:AT15"/>
    <mergeCell ref="AO16:AP16"/>
    <mergeCell ref="AQ16:AR16"/>
    <mergeCell ref="AS16:AT16"/>
    <mergeCell ref="AO3:AP3"/>
    <mergeCell ref="AQ3:AR3"/>
    <mergeCell ref="AS3:AT3"/>
    <mergeCell ref="AO6:AP6"/>
    <mergeCell ref="AQ6:AR6"/>
    <mergeCell ref="AS6:AT6"/>
    <mergeCell ref="AO7:AP7"/>
    <mergeCell ref="AQ7:AR7"/>
    <mergeCell ref="AS7:AT7"/>
    <mergeCell ref="AO8:AP8"/>
    <mergeCell ref="AQ8:AR8"/>
    <mergeCell ref="AS8:AT8"/>
    <mergeCell ref="AO9:AP9"/>
    <mergeCell ref="AQ9:AR9"/>
    <mergeCell ref="AS9:AT9"/>
    <mergeCell ref="AO10:AP10"/>
    <mergeCell ref="AQ10:AR10"/>
    <mergeCell ref="AS10:AT10"/>
    <mergeCell ref="AI99:AJ99"/>
    <mergeCell ref="AK99:AL99"/>
    <mergeCell ref="AM99:AN99"/>
    <mergeCell ref="AI100:AJ100"/>
    <mergeCell ref="AK100:AL100"/>
    <mergeCell ref="AM100:AN100"/>
    <mergeCell ref="AI102:AJ102"/>
    <mergeCell ref="AK102:AL102"/>
    <mergeCell ref="AM102:AN102"/>
    <mergeCell ref="AI116:AJ116"/>
    <mergeCell ref="AK116:AL116"/>
    <mergeCell ref="AM116:AN116"/>
    <mergeCell ref="AI117:AJ117"/>
    <mergeCell ref="AK117:AL117"/>
    <mergeCell ref="AM117:AN117"/>
    <mergeCell ref="AI118:AJ118"/>
    <mergeCell ref="AK118:AL118"/>
    <mergeCell ref="AM118:AN118"/>
    <mergeCell ref="AI89:AJ89"/>
    <mergeCell ref="AK89:AL89"/>
    <mergeCell ref="AM89:AN89"/>
    <mergeCell ref="AI90:AJ90"/>
    <mergeCell ref="AK90:AL90"/>
    <mergeCell ref="AM90:AN90"/>
    <mergeCell ref="AI94:AJ94"/>
    <mergeCell ref="AK94:AL94"/>
    <mergeCell ref="AM94:AN94"/>
    <mergeCell ref="AI95:AJ95"/>
    <mergeCell ref="AK95:AL95"/>
    <mergeCell ref="AM95:AN95"/>
    <mergeCell ref="AI96:AJ96"/>
    <mergeCell ref="AK96:AL96"/>
    <mergeCell ref="AM96:AN96"/>
    <mergeCell ref="AI97:AJ97"/>
    <mergeCell ref="AK97:AL97"/>
    <mergeCell ref="AM97:AN97"/>
    <mergeCell ref="AI82:AJ82"/>
    <mergeCell ref="AK82:AL82"/>
    <mergeCell ref="AM82:AN82"/>
    <mergeCell ref="AI83:AJ83"/>
    <mergeCell ref="AK83:AL83"/>
    <mergeCell ref="AM83:AN83"/>
    <mergeCell ref="AI84:AJ84"/>
    <mergeCell ref="AK84:AL84"/>
    <mergeCell ref="AM84:AN84"/>
    <mergeCell ref="AI85:AJ85"/>
    <mergeCell ref="AK85:AL85"/>
    <mergeCell ref="AM85:AN85"/>
    <mergeCell ref="AI86:AJ86"/>
    <mergeCell ref="AK86:AL86"/>
    <mergeCell ref="AM86:AN86"/>
    <mergeCell ref="AI88:AJ88"/>
    <mergeCell ref="AK88:AL88"/>
    <mergeCell ref="AM88:AN88"/>
    <mergeCell ref="AI76:AJ76"/>
    <mergeCell ref="AK76:AL76"/>
    <mergeCell ref="AM76:AN76"/>
    <mergeCell ref="AI77:AJ77"/>
    <mergeCell ref="AK77:AL77"/>
    <mergeCell ref="AM77:AN77"/>
    <mergeCell ref="AI78:AJ78"/>
    <mergeCell ref="AK78:AL78"/>
    <mergeCell ref="AM78:AN78"/>
    <mergeCell ref="AI79:AJ79"/>
    <mergeCell ref="AK79:AL79"/>
    <mergeCell ref="AM79:AN79"/>
    <mergeCell ref="AI80:AJ80"/>
    <mergeCell ref="AK80:AL80"/>
    <mergeCell ref="AM80:AN80"/>
    <mergeCell ref="AI81:AJ81"/>
    <mergeCell ref="AK81:AL81"/>
    <mergeCell ref="AM81:AN81"/>
    <mergeCell ref="AI69:AJ69"/>
    <mergeCell ref="AK69:AL69"/>
    <mergeCell ref="AM69:AN69"/>
    <mergeCell ref="AI70:AJ70"/>
    <mergeCell ref="AK70:AL70"/>
    <mergeCell ref="AM70:AN70"/>
    <mergeCell ref="AI71:AJ71"/>
    <mergeCell ref="AK71:AL71"/>
    <mergeCell ref="AM71:AN71"/>
    <mergeCell ref="AI72:AJ72"/>
    <mergeCell ref="AK72:AL72"/>
    <mergeCell ref="AM72:AN72"/>
    <mergeCell ref="AI74:AJ74"/>
    <mergeCell ref="AK74:AL74"/>
    <mergeCell ref="AM74:AN74"/>
    <mergeCell ref="AI75:AJ75"/>
    <mergeCell ref="AK75:AL75"/>
    <mergeCell ref="AM75:AN75"/>
    <mergeCell ref="AI59:AJ59"/>
    <mergeCell ref="AK59:AL59"/>
    <mergeCell ref="AM59:AN59"/>
    <mergeCell ref="AI60:AJ60"/>
    <mergeCell ref="AK60:AL60"/>
    <mergeCell ref="AM60:AN60"/>
    <mergeCell ref="AI61:AJ61"/>
    <mergeCell ref="AK61:AL61"/>
    <mergeCell ref="AM61:AN61"/>
    <mergeCell ref="AI62:AJ62"/>
    <mergeCell ref="AK62:AL62"/>
    <mergeCell ref="AM62:AN62"/>
    <mergeCell ref="AI63:AJ63"/>
    <mergeCell ref="AK63:AL63"/>
    <mergeCell ref="AM63:AN63"/>
    <mergeCell ref="AI68:AJ68"/>
    <mergeCell ref="AK68:AL68"/>
    <mergeCell ref="AM68:AN68"/>
    <mergeCell ref="AI53:AJ53"/>
    <mergeCell ref="AK53:AL53"/>
    <mergeCell ref="AM53:AN53"/>
    <mergeCell ref="AI54:AJ54"/>
    <mergeCell ref="AK54:AL54"/>
    <mergeCell ref="AM54:AN54"/>
    <mergeCell ref="AI55:AJ55"/>
    <mergeCell ref="AK55:AL55"/>
    <mergeCell ref="AM55:AN55"/>
    <mergeCell ref="AI56:AJ56"/>
    <mergeCell ref="AK56:AL56"/>
    <mergeCell ref="AM56:AN56"/>
    <mergeCell ref="AI57:AJ57"/>
    <mergeCell ref="AK57:AL57"/>
    <mergeCell ref="AM57:AN57"/>
    <mergeCell ref="AI58:AJ58"/>
    <mergeCell ref="AK58:AL58"/>
    <mergeCell ref="AM58:AN58"/>
    <mergeCell ref="AI41:AJ41"/>
    <mergeCell ref="AK41:AL41"/>
    <mergeCell ref="AM41:AN41"/>
    <mergeCell ref="AI44:AJ44"/>
    <mergeCell ref="AK44:AL44"/>
    <mergeCell ref="AM44:AN44"/>
    <mergeCell ref="AI46:AJ46"/>
    <mergeCell ref="AK46:AL46"/>
    <mergeCell ref="AM46:AN46"/>
    <mergeCell ref="AI47:AJ47"/>
    <mergeCell ref="AK47:AL47"/>
    <mergeCell ref="AM47:AN47"/>
    <mergeCell ref="AI50:AJ50"/>
    <mergeCell ref="AK50:AL50"/>
    <mergeCell ref="AM50:AN50"/>
    <mergeCell ref="AI51:AJ51"/>
    <mergeCell ref="AK51:AL51"/>
    <mergeCell ref="AM51:AN51"/>
    <mergeCell ref="AI17:AJ17"/>
    <mergeCell ref="AK17:AL17"/>
    <mergeCell ref="AM17:AN17"/>
    <mergeCell ref="AI18:AJ18"/>
    <mergeCell ref="AK18:AL18"/>
    <mergeCell ref="AM18:AN18"/>
    <mergeCell ref="AI22:AJ22"/>
    <mergeCell ref="AK22:AL22"/>
    <mergeCell ref="AM22:AN22"/>
    <mergeCell ref="AI32:AJ32"/>
    <mergeCell ref="AK32:AL32"/>
    <mergeCell ref="AM32:AN32"/>
    <mergeCell ref="AI39:AJ39"/>
    <mergeCell ref="AK39:AL39"/>
    <mergeCell ref="AM39:AN39"/>
    <mergeCell ref="AI40:AJ40"/>
    <mergeCell ref="AK40:AL40"/>
    <mergeCell ref="AM40:AN40"/>
    <mergeCell ref="AI11:AJ11"/>
    <mergeCell ref="AK11:AL11"/>
    <mergeCell ref="AM11:AN11"/>
    <mergeCell ref="AI12:AJ12"/>
    <mergeCell ref="AK12:AL12"/>
    <mergeCell ref="AM12:AN12"/>
    <mergeCell ref="AI13:AJ13"/>
    <mergeCell ref="AK13:AL13"/>
    <mergeCell ref="AM13:AN13"/>
    <mergeCell ref="AI14:AJ14"/>
    <mergeCell ref="AK14:AL14"/>
    <mergeCell ref="AM14:AN14"/>
    <mergeCell ref="AI15:AJ15"/>
    <mergeCell ref="AK15:AL15"/>
    <mergeCell ref="AM15:AN15"/>
    <mergeCell ref="AI16:AJ16"/>
    <mergeCell ref="AK16:AL16"/>
    <mergeCell ref="AM16:AN16"/>
    <mergeCell ref="AI3:AJ3"/>
    <mergeCell ref="AK3:AL3"/>
    <mergeCell ref="AM3:AN3"/>
    <mergeCell ref="AI6:AJ6"/>
    <mergeCell ref="AK6:AL6"/>
    <mergeCell ref="AM6:AN6"/>
    <mergeCell ref="AI7:AJ7"/>
    <mergeCell ref="AK7:AL7"/>
    <mergeCell ref="AM7:AN7"/>
    <mergeCell ref="AI8:AJ8"/>
    <mergeCell ref="AK8:AL8"/>
    <mergeCell ref="AM8:AN8"/>
    <mergeCell ref="AI9:AJ9"/>
    <mergeCell ref="AK9:AL9"/>
    <mergeCell ref="AM9:AN9"/>
    <mergeCell ref="AI10:AJ10"/>
    <mergeCell ref="AK10:AL10"/>
    <mergeCell ref="AM10:AN10"/>
    <mergeCell ref="W117:X117"/>
    <mergeCell ref="Y117:Z117"/>
    <mergeCell ref="AA117:AB117"/>
    <mergeCell ref="W118:X118"/>
    <mergeCell ref="Y118:Z118"/>
    <mergeCell ref="AA118:AB118"/>
    <mergeCell ref="W95:X95"/>
    <mergeCell ref="Y95:Z95"/>
    <mergeCell ref="AA95:AB95"/>
    <mergeCell ref="W96:X96"/>
    <mergeCell ref="Y96:Z96"/>
    <mergeCell ref="AA96:AB96"/>
    <mergeCell ref="W97:X97"/>
    <mergeCell ref="Y97:Z97"/>
    <mergeCell ref="AA97:AB97"/>
    <mergeCell ref="W99:X99"/>
    <mergeCell ref="Y99:Z99"/>
    <mergeCell ref="AA99:AB99"/>
    <mergeCell ref="W100:X100"/>
    <mergeCell ref="Y100:Z100"/>
    <mergeCell ref="AA100:AB100"/>
    <mergeCell ref="W102:X102"/>
    <mergeCell ref="Y102:Z102"/>
    <mergeCell ref="AA102:AB102"/>
    <mergeCell ref="W85:X85"/>
    <mergeCell ref="Y85:Z85"/>
    <mergeCell ref="AA85:AB85"/>
    <mergeCell ref="W86:X86"/>
    <mergeCell ref="Y86:Z86"/>
    <mergeCell ref="AA86:AB86"/>
    <mergeCell ref="W88:X88"/>
    <mergeCell ref="Y88:Z88"/>
    <mergeCell ref="AA88:AB88"/>
    <mergeCell ref="W89:X89"/>
    <mergeCell ref="Y89:Z89"/>
    <mergeCell ref="AA89:AB89"/>
    <mergeCell ref="W90:X90"/>
    <mergeCell ref="Y90:Z90"/>
    <mergeCell ref="AA90:AB90"/>
    <mergeCell ref="W94:X94"/>
    <mergeCell ref="Y94:Z94"/>
    <mergeCell ref="AA94:AB94"/>
    <mergeCell ref="W79:X79"/>
    <mergeCell ref="Y79:Z79"/>
    <mergeCell ref="AA79:AB79"/>
    <mergeCell ref="W80:X80"/>
    <mergeCell ref="Y80:Z80"/>
    <mergeCell ref="AA80:AB80"/>
    <mergeCell ref="W81:X81"/>
    <mergeCell ref="Y81:Z81"/>
    <mergeCell ref="AA81:AB81"/>
    <mergeCell ref="W82:X82"/>
    <mergeCell ref="Y82:Z82"/>
    <mergeCell ref="AA82:AB82"/>
    <mergeCell ref="W83:X83"/>
    <mergeCell ref="Y83:Z83"/>
    <mergeCell ref="AA83:AB83"/>
    <mergeCell ref="W84:X84"/>
    <mergeCell ref="Y84:Z84"/>
    <mergeCell ref="AA84:AB84"/>
    <mergeCell ref="W72:X72"/>
    <mergeCell ref="Y72:Z72"/>
    <mergeCell ref="AA72:AB72"/>
    <mergeCell ref="W74:X74"/>
    <mergeCell ref="Y74:Z74"/>
    <mergeCell ref="AA74:AB74"/>
    <mergeCell ref="W75:X75"/>
    <mergeCell ref="Y75:Z75"/>
    <mergeCell ref="AA75:AB75"/>
    <mergeCell ref="W76:X76"/>
    <mergeCell ref="Y76:Z76"/>
    <mergeCell ref="AA76:AB76"/>
    <mergeCell ref="W77:X77"/>
    <mergeCell ref="Y77:Z77"/>
    <mergeCell ref="AA77:AB77"/>
    <mergeCell ref="W78:X78"/>
    <mergeCell ref="Y78:Z78"/>
    <mergeCell ref="AA78:AB78"/>
    <mergeCell ref="W62:X62"/>
    <mergeCell ref="Y62:Z62"/>
    <mergeCell ref="AA62:AB62"/>
    <mergeCell ref="W63:X63"/>
    <mergeCell ref="Y63:Z63"/>
    <mergeCell ref="AA63:AB63"/>
    <mergeCell ref="W68:X68"/>
    <mergeCell ref="Y68:Z68"/>
    <mergeCell ref="AA68:AB68"/>
    <mergeCell ref="W69:X69"/>
    <mergeCell ref="Y69:Z69"/>
    <mergeCell ref="AA69:AB69"/>
    <mergeCell ref="W70:X70"/>
    <mergeCell ref="Y70:Z70"/>
    <mergeCell ref="AA70:AB70"/>
    <mergeCell ref="W71:X71"/>
    <mergeCell ref="Y71:Z71"/>
    <mergeCell ref="AA71:AB71"/>
    <mergeCell ref="W56:X56"/>
    <mergeCell ref="Y56:Z56"/>
    <mergeCell ref="AA56:AB56"/>
    <mergeCell ref="W57:X57"/>
    <mergeCell ref="Y57:Z57"/>
    <mergeCell ref="AA57:AB57"/>
    <mergeCell ref="W58:X58"/>
    <mergeCell ref="Y58:Z58"/>
    <mergeCell ref="AA58:AB58"/>
    <mergeCell ref="W59:X59"/>
    <mergeCell ref="Y59:Z59"/>
    <mergeCell ref="AA59:AB59"/>
    <mergeCell ref="W60:X60"/>
    <mergeCell ref="Y60:Z60"/>
    <mergeCell ref="AA60:AB60"/>
    <mergeCell ref="W61:X61"/>
    <mergeCell ref="Y61:Z61"/>
    <mergeCell ref="AA61:AB61"/>
    <mergeCell ref="W47:X47"/>
    <mergeCell ref="Y47:Z47"/>
    <mergeCell ref="AA47:AB47"/>
    <mergeCell ref="W50:X50"/>
    <mergeCell ref="Y50:Z50"/>
    <mergeCell ref="AA50:AB50"/>
    <mergeCell ref="W51:X51"/>
    <mergeCell ref="Y51:Z51"/>
    <mergeCell ref="AA51:AB51"/>
    <mergeCell ref="W53:X53"/>
    <mergeCell ref="Y53:Z53"/>
    <mergeCell ref="AA53:AB53"/>
    <mergeCell ref="W54:X54"/>
    <mergeCell ref="Y54:Z54"/>
    <mergeCell ref="AA54:AB54"/>
    <mergeCell ref="W55:X55"/>
    <mergeCell ref="Y55:Z55"/>
    <mergeCell ref="AA55:AB55"/>
    <mergeCell ref="W32:X32"/>
    <mergeCell ref="Y32:Z32"/>
    <mergeCell ref="AA32:AB32"/>
    <mergeCell ref="W39:X39"/>
    <mergeCell ref="Y39:Z39"/>
    <mergeCell ref="AA39:AB39"/>
    <mergeCell ref="W40:X40"/>
    <mergeCell ref="Y40:Z40"/>
    <mergeCell ref="AA40:AB40"/>
    <mergeCell ref="W41:X41"/>
    <mergeCell ref="Y41:Z41"/>
    <mergeCell ref="AA41:AB41"/>
    <mergeCell ref="W44:X44"/>
    <mergeCell ref="Y44:Z44"/>
    <mergeCell ref="AA44:AB44"/>
    <mergeCell ref="W46:X46"/>
    <mergeCell ref="Y46:Z46"/>
    <mergeCell ref="AA46:AB46"/>
    <mergeCell ref="W14:X14"/>
    <mergeCell ref="Y14:Z14"/>
    <mergeCell ref="AA14:AB14"/>
    <mergeCell ref="W15:X15"/>
    <mergeCell ref="Y15:Z15"/>
    <mergeCell ref="AA15:AB15"/>
    <mergeCell ref="W16:X16"/>
    <mergeCell ref="Y16:Z16"/>
    <mergeCell ref="AA16:AB16"/>
    <mergeCell ref="W17:X17"/>
    <mergeCell ref="Y17:Z17"/>
    <mergeCell ref="AA17:AB17"/>
    <mergeCell ref="W18:X18"/>
    <mergeCell ref="Y18:Z18"/>
    <mergeCell ref="AA18:AB18"/>
    <mergeCell ref="W22:X22"/>
    <mergeCell ref="Y22:Z22"/>
    <mergeCell ref="AA22:AB22"/>
    <mergeCell ref="W8:X8"/>
    <mergeCell ref="Y8:Z8"/>
    <mergeCell ref="AA8:AB8"/>
    <mergeCell ref="W9:X9"/>
    <mergeCell ref="Y9:Z9"/>
    <mergeCell ref="AA9:AB9"/>
    <mergeCell ref="W10:X10"/>
    <mergeCell ref="Y10:Z10"/>
    <mergeCell ref="AA10:AB10"/>
    <mergeCell ref="W11:X11"/>
    <mergeCell ref="Y11:Z11"/>
    <mergeCell ref="AA11:AB11"/>
    <mergeCell ref="W12:X12"/>
    <mergeCell ref="Y12:Z12"/>
    <mergeCell ref="AA12:AB12"/>
    <mergeCell ref="W13:X13"/>
    <mergeCell ref="Y13:Z13"/>
    <mergeCell ref="AA13:AB13"/>
    <mergeCell ref="K97:L97"/>
    <mergeCell ref="M97:N97"/>
    <mergeCell ref="O97:P97"/>
    <mergeCell ref="K99:L99"/>
    <mergeCell ref="M99:N99"/>
    <mergeCell ref="O99:P99"/>
    <mergeCell ref="K117:L117"/>
    <mergeCell ref="M117:N117"/>
    <mergeCell ref="O117:P117"/>
    <mergeCell ref="K118:L118"/>
    <mergeCell ref="M118:N118"/>
    <mergeCell ref="O118:P118"/>
    <mergeCell ref="K100:L100"/>
    <mergeCell ref="M100:N100"/>
    <mergeCell ref="O100:P100"/>
    <mergeCell ref="K102:L102"/>
    <mergeCell ref="M102:N102"/>
    <mergeCell ref="O102:P102"/>
    <mergeCell ref="K116:L116"/>
    <mergeCell ref="M116:N116"/>
    <mergeCell ref="O116:P116"/>
    <mergeCell ref="K88:L88"/>
    <mergeCell ref="M88:N88"/>
    <mergeCell ref="O88:P88"/>
    <mergeCell ref="K89:L89"/>
    <mergeCell ref="M89:N89"/>
    <mergeCell ref="O89:P89"/>
    <mergeCell ref="K90:L90"/>
    <mergeCell ref="M90:N90"/>
    <mergeCell ref="O90:P90"/>
    <mergeCell ref="K94:L94"/>
    <mergeCell ref="M94:N94"/>
    <mergeCell ref="O94:P94"/>
    <mergeCell ref="K95:L95"/>
    <mergeCell ref="M95:N95"/>
    <mergeCell ref="O95:P95"/>
    <mergeCell ref="K96:L96"/>
    <mergeCell ref="M96:N96"/>
    <mergeCell ref="O96:P96"/>
    <mergeCell ref="K81:L81"/>
    <mergeCell ref="M81:N81"/>
    <mergeCell ref="O81:P81"/>
    <mergeCell ref="K82:L82"/>
    <mergeCell ref="M82:N82"/>
    <mergeCell ref="O82:P82"/>
    <mergeCell ref="K83:L83"/>
    <mergeCell ref="M83:N83"/>
    <mergeCell ref="O83:P83"/>
    <mergeCell ref="K84:L84"/>
    <mergeCell ref="M84:N84"/>
    <mergeCell ref="O84:P84"/>
    <mergeCell ref="K85:L85"/>
    <mergeCell ref="M85:N85"/>
    <mergeCell ref="O85:P85"/>
    <mergeCell ref="K86:L86"/>
    <mergeCell ref="M86:N86"/>
    <mergeCell ref="O86:P86"/>
    <mergeCell ref="K75:L75"/>
    <mergeCell ref="M75:N75"/>
    <mergeCell ref="O75:P75"/>
    <mergeCell ref="K76:L76"/>
    <mergeCell ref="M76:N76"/>
    <mergeCell ref="O76:P76"/>
    <mergeCell ref="K77:L77"/>
    <mergeCell ref="M77:N77"/>
    <mergeCell ref="O77:P77"/>
    <mergeCell ref="K78:L78"/>
    <mergeCell ref="M78:N78"/>
    <mergeCell ref="O78:P78"/>
    <mergeCell ref="K79:L79"/>
    <mergeCell ref="M79:N79"/>
    <mergeCell ref="O79:P79"/>
    <mergeCell ref="K80:L80"/>
    <mergeCell ref="M80:N80"/>
    <mergeCell ref="O80:P80"/>
    <mergeCell ref="K68:L68"/>
    <mergeCell ref="M68:N68"/>
    <mergeCell ref="O68:P68"/>
    <mergeCell ref="K69:L69"/>
    <mergeCell ref="M69:N69"/>
    <mergeCell ref="O69:P69"/>
    <mergeCell ref="K70:L70"/>
    <mergeCell ref="M70:N70"/>
    <mergeCell ref="O70:P70"/>
    <mergeCell ref="K71:L71"/>
    <mergeCell ref="M71:N71"/>
    <mergeCell ref="O71:P71"/>
    <mergeCell ref="K72:L72"/>
    <mergeCell ref="M72:N72"/>
    <mergeCell ref="O72:P72"/>
    <mergeCell ref="K74:L74"/>
    <mergeCell ref="M74:N74"/>
    <mergeCell ref="O74:P74"/>
    <mergeCell ref="K58:L58"/>
    <mergeCell ref="M58:N58"/>
    <mergeCell ref="O58:P58"/>
    <mergeCell ref="K59:L59"/>
    <mergeCell ref="M59:N59"/>
    <mergeCell ref="O59:P59"/>
    <mergeCell ref="K60:L60"/>
    <mergeCell ref="M60:N60"/>
    <mergeCell ref="O60:P60"/>
    <mergeCell ref="K61:L61"/>
    <mergeCell ref="M61:N61"/>
    <mergeCell ref="O61:P61"/>
    <mergeCell ref="K62:L62"/>
    <mergeCell ref="M62:N62"/>
    <mergeCell ref="O62:P62"/>
    <mergeCell ref="K63:L63"/>
    <mergeCell ref="M63:N63"/>
    <mergeCell ref="O63:P63"/>
    <mergeCell ref="K51:L51"/>
    <mergeCell ref="M51:N51"/>
    <mergeCell ref="O51:P51"/>
    <mergeCell ref="K53:L53"/>
    <mergeCell ref="M53:N53"/>
    <mergeCell ref="O53:P53"/>
    <mergeCell ref="K54:L54"/>
    <mergeCell ref="M54:N54"/>
    <mergeCell ref="O54:P54"/>
    <mergeCell ref="K55:L55"/>
    <mergeCell ref="M55:N55"/>
    <mergeCell ref="O55:P55"/>
    <mergeCell ref="K56:L56"/>
    <mergeCell ref="M56:N56"/>
    <mergeCell ref="O56:P56"/>
    <mergeCell ref="K57:L57"/>
    <mergeCell ref="M57:N57"/>
    <mergeCell ref="O57:P57"/>
    <mergeCell ref="K40:L40"/>
    <mergeCell ref="M40:N40"/>
    <mergeCell ref="O40:P40"/>
    <mergeCell ref="K41:L41"/>
    <mergeCell ref="M41:N41"/>
    <mergeCell ref="O41:P41"/>
    <mergeCell ref="K44:L44"/>
    <mergeCell ref="M44:N44"/>
    <mergeCell ref="O44:P44"/>
    <mergeCell ref="K46:L46"/>
    <mergeCell ref="M46:N46"/>
    <mergeCell ref="O46:P46"/>
    <mergeCell ref="K47:L47"/>
    <mergeCell ref="M47:N47"/>
    <mergeCell ref="O47:P47"/>
    <mergeCell ref="K50:L50"/>
    <mergeCell ref="M50:N50"/>
    <mergeCell ref="O50:P50"/>
    <mergeCell ref="K16:L16"/>
    <mergeCell ref="M16:N16"/>
    <mergeCell ref="O16:P16"/>
    <mergeCell ref="K17:L17"/>
    <mergeCell ref="M17:N17"/>
    <mergeCell ref="O17:P17"/>
    <mergeCell ref="K18:L18"/>
    <mergeCell ref="M18:N18"/>
    <mergeCell ref="O18:P18"/>
    <mergeCell ref="K22:L22"/>
    <mergeCell ref="M22:N22"/>
    <mergeCell ref="O22:P22"/>
    <mergeCell ref="K32:L32"/>
    <mergeCell ref="M32:N32"/>
    <mergeCell ref="O32:P32"/>
    <mergeCell ref="K39:L39"/>
    <mergeCell ref="M39:N39"/>
    <mergeCell ref="O39:P39"/>
    <mergeCell ref="I86:J86"/>
    <mergeCell ref="I88:J88"/>
    <mergeCell ref="I89:J89"/>
    <mergeCell ref="I90:J90"/>
    <mergeCell ref="I94:J94"/>
    <mergeCell ref="I95:J95"/>
    <mergeCell ref="I96:J96"/>
    <mergeCell ref="I97:J97"/>
    <mergeCell ref="I99:J99"/>
    <mergeCell ref="I100:J100"/>
    <mergeCell ref="I102:J102"/>
    <mergeCell ref="I116:J116"/>
    <mergeCell ref="I117:J117"/>
    <mergeCell ref="I118:J118"/>
    <mergeCell ref="K3:L3"/>
    <mergeCell ref="M3:N3"/>
    <mergeCell ref="O3:P3"/>
    <mergeCell ref="K6:L6"/>
    <mergeCell ref="M6:N6"/>
    <mergeCell ref="O6:P6"/>
    <mergeCell ref="K7:L7"/>
    <mergeCell ref="M7:N7"/>
    <mergeCell ref="O7:P7"/>
    <mergeCell ref="K8:L8"/>
    <mergeCell ref="M8:N8"/>
    <mergeCell ref="O8:P8"/>
    <mergeCell ref="K9:L9"/>
    <mergeCell ref="M9:N9"/>
    <mergeCell ref="O9:P9"/>
    <mergeCell ref="K10:L10"/>
    <mergeCell ref="M10:N10"/>
    <mergeCell ref="O10:P10"/>
    <mergeCell ref="I68:J68"/>
    <mergeCell ref="I69:J69"/>
    <mergeCell ref="I70:J70"/>
    <mergeCell ref="I71:J71"/>
    <mergeCell ref="I72:J72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  <mergeCell ref="I83:J83"/>
    <mergeCell ref="I84:J84"/>
    <mergeCell ref="I85:J85"/>
    <mergeCell ref="BC111:BD111"/>
    <mergeCell ref="BC112:BD112"/>
    <mergeCell ref="BC113:BD113"/>
    <mergeCell ref="BC114:BD114"/>
    <mergeCell ref="BC117:BD117"/>
    <mergeCell ref="BC120:BD120"/>
    <mergeCell ref="BC123:BD123"/>
    <mergeCell ref="BC124:BD124"/>
    <mergeCell ref="BC125:BD125"/>
    <mergeCell ref="BC126:BD126"/>
    <mergeCell ref="BC127:BD127"/>
    <mergeCell ref="BC128:BD128"/>
    <mergeCell ref="I32:J32"/>
    <mergeCell ref="I39:J39"/>
    <mergeCell ref="I40:J40"/>
    <mergeCell ref="I41:J41"/>
    <mergeCell ref="I44:J44"/>
    <mergeCell ref="I46:J46"/>
    <mergeCell ref="I47:J47"/>
    <mergeCell ref="I50:J50"/>
    <mergeCell ref="I51:J51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BC115:BD115"/>
    <mergeCell ref="BC116:BD116"/>
    <mergeCell ref="BC90:BD90"/>
    <mergeCell ref="BC94:BD94"/>
    <mergeCell ref="BC143:BD143"/>
    <mergeCell ref="BC145:BD145"/>
    <mergeCell ref="BC146:BD146"/>
    <mergeCell ref="BC147:BD147"/>
    <mergeCell ref="BC148:BD148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29:BD129"/>
    <mergeCell ref="BC130:BD130"/>
    <mergeCell ref="BC131:BD131"/>
    <mergeCell ref="BC95:BD95"/>
    <mergeCell ref="BC96:BD96"/>
    <mergeCell ref="BC97:BD97"/>
    <mergeCell ref="BC99:BD99"/>
    <mergeCell ref="BC100:BD100"/>
    <mergeCell ref="BC102:BD102"/>
    <mergeCell ref="BC118:BD118"/>
    <mergeCell ref="BC121:BD121"/>
    <mergeCell ref="BC122:BD122"/>
    <mergeCell ref="BC71:BD71"/>
    <mergeCell ref="BC72:BD72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8:BD88"/>
    <mergeCell ref="BC89:BD89"/>
    <mergeCell ref="BC47:BD47"/>
    <mergeCell ref="BC50:BD50"/>
    <mergeCell ref="BC51:BD51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8:BD68"/>
    <mergeCell ref="BC69:BD69"/>
    <mergeCell ref="BC70:BD70"/>
    <mergeCell ref="BC34:BD34"/>
    <mergeCell ref="BC35:BD35"/>
    <mergeCell ref="BC36:BD36"/>
    <mergeCell ref="BC37:BD37"/>
    <mergeCell ref="BA38:BB38"/>
    <mergeCell ref="BC39:BD39"/>
    <mergeCell ref="BC40:BD40"/>
    <mergeCell ref="BC41:BD41"/>
    <mergeCell ref="BC44:BD44"/>
    <mergeCell ref="BC46:BD46"/>
    <mergeCell ref="BA35:BB35"/>
    <mergeCell ref="BA36:BB36"/>
    <mergeCell ref="BA37:BB37"/>
    <mergeCell ref="BA39:BB39"/>
    <mergeCell ref="BA40:BB40"/>
    <mergeCell ref="BA41:BB41"/>
    <mergeCell ref="BA44:BB44"/>
    <mergeCell ref="BA46:BB46"/>
    <mergeCell ref="BC38:BD38"/>
    <mergeCell ref="BC3:BD3"/>
    <mergeCell ref="BC6:BD6"/>
    <mergeCell ref="BC7:BD7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22:BD22"/>
    <mergeCell ref="BC32:BD32"/>
    <mergeCell ref="BC33:BD33"/>
    <mergeCell ref="BA94:BB94"/>
    <mergeCell ref="BA95:BB95"/>
    <mergeCell ref="BA96:BB96"/>
    <mergeCell ref="BA97:BB97"/>
    <mergeCell ref="BA99:BB99"/>
    <mergeCell ref="BA100:BB100"/>
    <mergeCell ref="BA102:BB102"/>
    <mergeCell ref="BA118:BB118"/>
    <mergeCell ref="BA121:BB121"/>
    <mergeCell ref="BA122:BB122"/>
    <mergeCell ref="BA123:BB123"/>
    <mergeCell ref="BA111:BB111"/>
    <mergeCell ref="BA112:BB112"/>
    <mergeCell ref="BA113:BB113"/>
    <mergeCell ref="BA114:BB114"/>
    <mergeCell ref="BA115:BB115"/>
    <mergeCell ref="BA116:BB116"/>
    <mergeCell ref="BA117:BB117"/>
    <mergeCell ref="BA120:BB120"/>
    <mergeCell ref="BA72:BB72"/>
    <mergeCell ref="BA74:BB74"/>
    <mergeCell ref="BA75:BB75"/>
    <mergeCell ref="BA76:BB76"/>
    <mergeCell ref="BA77:BB77"/>
    <mergeCell ref="BA78:BB78"/>
    <mergeCell ref="BA79:BB79"/>
    <mergeCell ref="BA80:BB80"/>
    <mergeCell ref="BA81:BB81"/>
    <mergeCell ref="BA82:BB82"/>
    <mergeCell ref="BA83:BB83"/>
    <mergeCell ref="BA84:BB84"/>
    <mergeCell ref="BA85:BB85"/>
    <mergeCell ref="BA86:BB86"/>
    <mergeCell ref="BA88:BB88"/>
    <mergeCell ref="BA89:BB89"/>
    <mergeCell ref="BA90:BB90"/>
    <mergeCell ref="BA50:BB50"/>
    <mergeCell ref="BA51:BB51"/>
    <mergeCell ref="BA53:BB53"/>
    <mergeCell ref="BA54:BB54"/>
    <mergeCell ref="BA55:BB55"/>
    <mergeCell ref="BA56:BB56"/>
    <mergeCell ref="BA57:BB57"/>
    <mergeCell ref="BA58:BB58"/>
    <mergeCell ref="BA59:BB59"/>
    <mergeCell ref="BA60:BB60"/>
    <mergeCell ref="BA61:BB61"/>
    <mergeCell ref="BA62:BB62"/>
    <mergeCell ref="BA63:BB63"/>
    <mergeCell ref="BA68:BB68"/>
    <mergeCell ref="BA69:BB69"/>
    <mergeCell ref="BA70:BB70"/>
    <mergeCell ref="BA71:BB71"/>
    <mergeCell ref="BA12:BB12"/>
    <mergeCell ref="BA13:BB13"/>
    <mergeCell ref="BA47:BB47"/>
    <mergeCell ref="BA14:BB14"/>
    <mergeCell ref="BA15:BB15"/>
    <mergeCell ref="BA16:BB16"/>
    <mergeCell ref="BA17:BB17"/>
    <mergeCell ref="BA18:BB18"/>
    <mergeCell ref="BA22:BB22"/>
    <mergeCell ref="BA32:BB32"/>
    <mergeCell ref="BA33:BB33"/>
    <mergeCell ref="BA34:BB34"/>
    <mergeCell ref="I12:J12"/>
    <mergeCell ref="I13:J13"/>
    <mergeCell ref="I14:J14"/>
    <mergeCell ref="I15:J15"/>
    <mergeCell ref="I16:J16"/>
    <mergeCell ref="I17:J17"/>
    <mergeCell ref="I18:J18"/>
    <mergeCell ref="I22:J22"/>
    <mergeCell ref="K12:L12"/>
    <mergeCell ref="M12:N12"/>
    <mergeCell ref="O12:P12"/>
    <mergeCell ref="K13:L13"/>
    <mergeCell ref="M13:N13"/>
    <mergeCell ref="O13:P13"/>
    <mergeCell ref="K14:L14"/>
    <mergeCell ref="M14:N14"/>
    <mergeCell ref="O14:P14"/>
    <mergeCell ref="K15:L15"/>
    <mergeCell ref="M15:N15"/>
    <mergeCell ref="O15:P15"/>
    <mergeCell ref="BA3:BB3"/>
    <mergeCell ref="BA6:BB6"/>
    <mergeCell ref="BA7:BB7"/>
    <mergeCell ref="BA8:BB8"/>
    <mergeCell ref="BA9:BB9"/>
    <mergeCell ref="BA10:BB10"/>
    <mergeCell ref="BA11:BB11"/>
    <mergeCell ref="I3:J3"/>
    <mergeCell ref="I6:J6"/>
    <mergeCell ref="I7:J7"/>
    <mergeCell ref="I8:J8"/>
    <mergeCell ref="I9:J9"/>
    <mergeCell ref="I10:J10"/>
    <mergeCell ref="I11:J11"/>
    <mergeCell ref="M11:N11"/>
    <mergeCell ref="O11:P11"/>
    <mergeCell ref="E3:F3"/>
    <mergeCell ref="G3:H3"/>
    <mergeCell ref="E6:F6"/>
    <mergeCell ref="G6:H6"/>
    <mergeCell ref="E7:F7"/>
    <mergeCell ref="G7:H7"/>
    <mergeCell ref="K11:L11"/>
    <mergeCell ref="W3:X3"/>
    <mergeCell ref="Y3:Z3"/>
    <mergeCell ref="AA3:AB3"/>
    <mergeCell ref="W6:X6"/>
    <mergeCell ref="Y6:Z6"/>
    <mergeCell ref="AA6:AB6"/>
    <mergeCell ref="W7:X7"/>
    <mergeCell ref="Y7:Z7"/>
    <mergeCell ref="AA7:AB7"/>
    <mergeCell ref="E8:F8"/>
    <mergeCell ref="G8:H8"/>
    <mergeCell ref="E9:F9"/>
    <mergeCell ref="G9:H9"/>
    <mergeCell ref="E40:F40"/>
    <mergeCell ref="G40:H40"/>
    <mergeCell ref="E11:F11"/>
    <mergeCell ref="G11:H11"/>
    <mergeCell ref="E12:F12"/>
    <mergeCell ref="G12:H12"/>
    <mergeCell ref="E13:F13"/>
    <mergeCell ref="G13:H13"/>
    <mergeCell ref="E14:F14"/>
    <mergeCell ref="G14:H14"/>
    <mergeCell ref="E15:F15"/>
    <mergeCell ref="G15:H15"/>
    <mergeCell ref="E16:F16"/>
    <mergeCell ref="G16:H16"/>
    <mergeCell ref="E17:F17"/>
    <mergeCell ref="G17:H17"/>
    <mergeCell ref="E18:F18"/>
    <mergeCell ref="G18:H18"/>
    <mergeCell ref="E22:F22"/>
    <mergeCell ref="G22:H22"/>
    <mergeCell ref="E10:F10"/>
    <mergeCell ref="G10:H10"/>
    <mergeCell ref="G71:H71"/>
    <mergeCell ref="E32:F32"/>
    <mergeCell ref="G32:H32"/>
    <mergeCell ref="E39:F39"/>
    <mergeCell ref="G39:H39"/>
    <mergeCell ref="E58:F58"/>
    <mergeCell ref="G58:H58"/>
    <mergeCell ref="E41:F41"/>
    <mergeCell ref="G41:H41"/>
    <mergeCell ref="E44:F44"/>
    <mergeCell ref="G44:H44"/>
    <mergeCell ref="E46:F46"/>
    <mergeCell ref="G46:H46"/>
    <mergeCell ref="E47:F47"/>
    <mergeCell ref="G47:H47"/>
    <mergeCell ref="E50:F50"/>
    <mergeCell ref="G50:H50"/>
    <mergeCell ref="E51:F51"/>
    <mergeCell ref="G51:H51"/>
    <mergeCell ref="E53:F53"/>
    <mergeCell ref="G53:H53"/>
    <mergeCell ref="E54:F54"/>
    <mergeCell ref="G54:H54"/>
    <mergeCell ref="E55:F55"/>
    <mergeCell ref="G55:H55"/>
    <mergeCell ref="G80:H80"/>
    <mergeCell ref="E81:F81"/>
    <mergeCell ref="G81:H81"/>
    <mergeCell ref="E82:F82"/>
    <mergeCell ref="G82:H82"/>
    <mergeCell ref="E83:F83"/>
    <mergeCell ref="G83:H83"/>
    <mergeCell ref="E84:F84"/>
    <mergeCell ref="G84:H84"/>
    <mergeCell ref="E56:F56"/>
    <mergeCell ref="G56:H56"/>
    <mergeCell ref="E57:F57"/>
    <mergeCell ref="G57:H57"/>
    <mergeCell ref="E75:F75"/>
    <mergeCell ref="G75:H75"/>
    <mergeCell ref="E59:F59"/>
    <mergeCell ref="G59:H59"/>
    <mergeCell ref="E60:F60"/>
    <mergeCell ref="G60:H60"/>
    <mergeCell ref="E61:F61"/>
    <mergeCell ref="G61:H61"/>
    <mergeCell ref="E62:F62"/>
    <mergeCell ref="G62:H62"/>
    <mergeCell ref="E63:F63"/>
    <mergeCell ref="G63:H63"/>
    <mergeCell ref="E68:F68"/>
    <mergeCell ref="G68:H68"/>
    <mergeCell ref="E69:F69"/>
    <mergeCell ref="G69:H69"/>
    <mergeCell ref="E70:F70"/>
    <mergeCell ref="G70:H70"/>
    <mergeCell ref="E71:F71"/>
    <mergeCell ref="E118:F118"/>
    <mergeCell ref="G118:H118"/>
    <mergeCell ref="E89:F89"/>
    <mergeCell ref="G89:H89"/>
    <mergeCell ref="E90:F90"/>
    <mergeCell ref="G90:H90"/>
    <mergeCell ref="E94:F94"/>
    <mergeCell ref="G94:H94"/>
    <mergeCell ref="E95:F95"/>
    <mergeCell ref="G95:H95"/>
    <mergeCell ref="E96:F96"/>
    <mergeCell ref="G96:H96"/>
    <mergeCell ref="E97:F97"/>
    <mergeCell ref="G97:H97"/>
    <mergeCell ref="E99:F99"/>
    <mergeCell ref="G99:H99"/>
    <mergeCell ref="E100:F100"/>
    <mergeCell ref="G100:H100"/>
    <mergeCell ref="E102:F102"/>
    <mergeCell ref="G102:H102"/>
    <mergeCell ref="Q3:R3"/>
    <mergeCell ref="S3:T3"/>
    <mergeCell ref="U3:V3"/>
    <mergeCell ref="Q6:R6"/>
    <mergeCell ref="S6:T6"/>
    <mergeCell ref="U6:V6"/>
    <mergeCell ref="Q7:R7"/>
    <mergeCell ref="S7:T7"/>
    <mergeCell ref="U7:V7"/>
    <mergeCell ref="E116:F116"/>
    <mergeCell ref="G116:H116"/>
    <mergeCell ref="E117:F117"/>
    <mergeCell ref="G117:H117"/>
    <mergeCell ref="E85:F85"/>
    <mergeCell ref="G85:H85"/>
    <mergeCell ref="E86:F86"/>
    <mergeCell ref="G86:H86"/>
    <mergeCell ref="E72:F72"/>
    <mergeCell ref="G72:H72"/>
    <mergeCell ref="E74:F74"/>
    <mergeCell ref="G74:H74"/>
    <mergeCell ref="E88:F88"/>
    <mergeCell ref="G88:H88"/>
    <mergeCell ref="E76:F76"/>
    <mergeCell ref="G76:H76"/>
    <mergeCell ref="E77:F77"/>
    <mergeCell ref="G77:H77"/>
    <mergeCell ref="E78:F78"/>
    <mergeCell ref="G78:H78"/>
    <mergeCell ref="E79:F79"/>
    <mergeCell ref="G79:H79"/>
    <mergeCell ref="E80:F80"/>
    <mergeCell ref="Q11:R11"/>
    <mergeCell ref="S11:T11"/>
    <mergeCell ref="U11:V11"/>
    <mergeCell ref="Q12:R12"/>
    <mergeCell ref="S12:T12"/>
    <mergeCell ref="U12:V12"/>
    <mergeCell ref="Q13:R13"/>
    <mergeCell ref="S13:T13"/>
    <mergeCell ref="U13:V13"/>
    <mergeCell ref="Q8:R8"/>
    <mergeCell ref="S8:T8"/>
    <mergeCell ref="U8:V8"/>
    <mergeCell ref="Q9:R9"/>
    <mergeCell ref="S9:T9"/>
    <mergeCell ref="U9:V9"/>
    <mergeCell ref="Q10:R10"/>
    <mergeCell ref="S10:T10"/>
    <mergeCell ref="U10:V10"/>
    <mergeCell ref="Q17:R17"/>
    <mergeCell ref="S17:T17"/>
    <mergeCell ref="U17:V17"/>
    <mergeCell ref="Q18:R18"/>
    <mergeCell ref="S18:T18"/>
    <mergeCell ref="U18:V18"/>
    <mergeCell ref="Q22:R22"/>
    <mergeCell ref="S22:T22"/>
    <mergeCell ref="U22:V22"/>
    <mergeCell ref="Q14:R14"/>
    <mergeCell ref="S14:T14"/>
    <mergeCell ref="U14:V14"/>
    <mergeCell ref="Q15:R15"/>
    <mergeCell ref="S15:T15"/>
    <mergeCell ref="U15:V15"/>
    <mergeCell ref="Q16:R16"/>
    <mergeCell ref="S16:T16"/>
    <mergeCell ref="U16:V16"/>
    <mergeCell ref="Q41:R41"/>
    <mergeCell ref="S41:T41"/>
    <mergeCell ref="U41:V41"/>
    <mergeCell ref="Q44:R44"/>
    <mergeCell ref="S44:T44"/>
    <mergeCell ref="U44:V44"/>
    <mergeCell ref="Q46:R46"/>
    <mergeCell ref="S46:T46"/>
    <mergeCell ref="U46:V46"/>
    <mergeCell ref="Q32:R32"/>
    <mergeCell ref="S32:T32"/>
    <mergeCell ref="U32:V32"/>
    <mergeCell ref="Q39:R39"/>
    <mergeCell ref="S39:T39"/>
    <mergeCell ref="U39:V39"/>
    <mergeCell ref="Q40:R40"/>
    <mergeCell ref="S40:T40"/>
    <mergeCell ref="U40:V40"/>
    <mergeCell ref="Q53:R53"/>
    <mergeCell ref="S53:T53"/>
    <mergeCell ref="U53:V53"/>
    <mergeCell ref="Q54:R54"/>
    <mergeCell ref="S54:T54"/>
    <mergeCell ref="U54:V54"/>
    <mergeCell ref="Q55:R55"/>
    <mergeCell ref="S55:T55"/>
    <mergeCell ref="U55:V55"/>
    <mergeCell ref="Q47:R47"/>
    <mergeCell ref="S47:T47"/>
    <mergeCell ref="U47:V47"/>
    <mergeCell ref="Q50:R50"/>
    <mergeCell ref="S50:T50"/>
    <mergeCell ref="U50:V50"/>
    <mergeCell ref="Q51:R51"/>
    <mergeCell ref="S51:T51"/>
    <mergeCell ref="U51:V51"/>
    <mergeCell ref="Q59:R59"/>
    <mergeCell ref="S59:T59"/>
    <mergeCell ref="U59:V59"/>
    <mergeCell ref="Q60:R60"/>
    <mergeCell ref="S60:T60"/>
    <mergeCell ref="U60:V60"/>
    <mergeCell ref="Q61:R61"/>
    <mergeCell ref="S61:T61"/>
    <mergeCell ref="U61:V61"/>
    <mergeCell ref="Q56:R56"/>
    <mergeCell ref="S56:T56"/>
    <mergeCell ref="U56:V56"/>
    <mergeCell ref="Q57:R57"/>
    <mergeCell ref="S57:T57"/>
    <mergeCell ref="U57:V57"/>
    <mergeCell ref="Q58:R58"/>
    <mergeCell ref="S58:T58"/>
    <mergeCell ref="U58:V58"/>
    <mergeCell ref="Q69:R69"/>
    <mergeCell ref="S69:T69"/>
    <mergeCell ref="U69:V69"/>
    <mergeCell ref="Q70:R70"/>
    <mergeCell ref="S70:T70"/>
    <mergeCell ref="U70:V70"/>
    <mergeCell ref="Q71:R71"/>
    <mergeCell ref="S71:T71"/>
    <mergeCell ref="U71:V71"/>
    <mergeCell ref="Q62:R62"/>
    <mergeCell ref="S62:T62"/>
    <mergeCell ref="U62:V62"/>
    <mergeCell ref="Q63:R63"/>
    <mergeCell ref="S63:T63"/>
    <mergeCell ref="U63:V63"/>
    <mergeCell ref="Q68:R68"/>
    <mergeCell ref="S68:T68"/>
    <mergeCell ref="U68:V68"/>
    <mergeCell ref="Q76:R76"/>
    <mergeCell ref="S76:T76"/>
    <mergeCell ref="U76:V76"/>
    <mergeCell ref="Q77:R77"/>
    <mergeCell ref="S77:T77"/>
    <mergeCell ref="U77:V77"/>
    <mergeCell ref="Q78:R78"/>
    <mergeCell ref="S78:T78"/>
    <mergeCell ref="U78:V78"/>
    <mergeCell ref="Q72:R72"/>
    <mergeCell ref="S72:T72"/>
    <mergeCell ref="U72:V72"/>
    <mergeCell ref="Q74:R74"/>
    <mergeCell ref="S74:T74"/>
    <mergeCell ref="U74:V74"/>
    <mergeCell ref="Q75:R75"/>
    <mergeCell ref="S75:T75"/>
    <mergeCell ref="U75:V75"/>
    <mergeCell ref="Q82:R82"/>
    <mergeCell ref="S82:T82"/>
    <mergeCell ref="U82:V82"/>
    <mergeCell ref="Q83:R83"/>
    <mergeCell ref="S83:T83"/>
    <mergeCell ref="U83:V83"/>
    <mergeCell ref="Q84:R84"/>
    <mergeCell ref="S84:T84"/>
    <mergeCell ref="U84:V84"/>
    <mergeCell ref="Q79:R79"/>
    <mergeCell ref="S79:T79"/>
    <mergeCell ref="U79:V79"/>
    <mergeCell ref="Q80:R80"/>
    <mergeCell ref="S80:T80"/>
    <mergeCell ref="U80:V80"/>
    <mergeCell ref="Q81:R81"/>
    <mergeCell ref="S81:T81"/>
    <mergeCell ref="U81:V81"/>
    <mergeCell ref="Q89:R89"/>
    <mergeCell ref="S89:T89"/>
    <mergeCell ref="U89:V89"/>
    <mergeCell ref="Q90:R90"/>
    <mergeCell ref="S90:T90"/>
    <mergeCell ref="U90:V90"/>
    <mergeCell ref="Q94:R94"/>
    <mergeCell ref="S94:T94"/>
    <mergeCell ref="U94:V94"/>
    <mergeCell ref="Q85:R85"/>
    <mergeCell ref="S85:T85"/>
    <mergeCell ref="U85:V85"/>
    <mergeCell ref="Q86:R86"/>
    <mergeCell ref="S86:T86"/>
    <mergeCell ref="U86:V86"/>
    <mergeCell ref="Q88:R88"/>
    <mergeCell ref="S88:T88"/>
    <mergeCell ref="U88:V88"/>
    <mergeCell ref="Q99:R99"/>
    <mergeCell ref="S99:T99"/>
    <mergeCell ref="U99:V99"/>
    <mergeCell ref="Q100:R100"/>
    <mergeCell ref="S100:T100"/>
    <mergeCell ref="U100:V100"/>
    <mergeCell ref="Q102:R102"/>
    <mergeCell ref="S102:T102"/>
    <mergeCell ref="U102:V102"/>
    <mergeCell ref="Q95:R95"/>
    <mergeCell ref="S95:T95"/>
    <mergeCell ref="U95:V95"/>
    <mergeCell ref="Q96:R96"/>
    <mergeCell ref="S96:T96"/>
    <mergeCell ref="U96:V96"/>
    <mergeCell ref="Q97:R97"/>
    <mergeCell ref="S97:T97"/>
    <mergeCell ref="U97:V97"/>
    <mergeCell ref="BA143:BB143"/>
    <mergeCell ref="Q116:R116"/>
    <mergeCell ref="S116:T116"/>
    <mergeCell ref="U116:V116"/>
    <mergeCell ref="Q117:R117"/>
    <mergeCell ref="S117:T117"/>
    <mergeCell ref="U117:V117"/>
    <mergeCell ref="Q118:R118"/>
    <mergeCell ref="S118:T118"/>
    <mergeCell ref="U118:V118"/>
    <mergeCell ref="BA124:BB124"/>
    <mergeCell ref="BA125:BB125"/>
    <mergeCell ref="BA126:BB126"/>
    <mergeCell ref="BA128:BB128"/>
    <mergeCell ref="BA129:BB129"/>
    <mergeCell ref="BA130:BB130"/>
    <mergeCell ref="BA131:BB131"/>
    <mergeCell ref="BA132:BB132"/>
    <mergeCell ref="BA133:BB133"/>
    <mergeCell ref="BA127:BB127"/>
    <mergeCell ref="BA134:BB134"/>
    <mergeCell ref="BA135:BB135"/>
    <mergeCell ref="BA136:BB136"/>
    <mergeCell ref="BA137:BB137"/>
    <mergeCell ref="BA138:BB138"/>
    <mergeCell ref="BA139:BB139"/>
    <mergeCell ref="BA140:BB140"/>
    <mergeCell ref="BA141:BB141"/>
    <mergeCell ref="BA142:BB142"/>
    <mergeCell ref="W116:X116"/>
    <mergeCell ref="Y116:Z116"/>
    <mergeCell ref="AA116:AB116"/>
    <mergeCell ref="AC8:AD8"/>
    <mergeCell ref="AE8:AF8"/>
    <mergeCell ref="AG8:AH8"/>
    <mergeCell ref="AC9:AD9"/>
    <mergeCell ref="AE9:AF9"/>
    <mergeCell ref="AG9:AH9"/>
    <mergeCell ref="AC10:AD10"/>
    <mergeCell ref="AE10:AF10"/>
    <mergeCell ref="AG10:AH10"/>
    <mergeCell ref="AC3:AD3"/>
    <mergeCell ref="AE3:AF3"/>
    <mergeCell ref="AG3:AH3"/>
    <mergeCell ref="AC6:AD6"/>
    <mergeCell ref="AE6:AF6"/>
    <mergeCell ref="AG6:AH6"/>
    <mergeCell ref="AC7:AD7"/>
    <mergeCell ref="AE7:AF7"/>
    <mergeCell ref="AG7:AH7"/>
    <mergeCell ref="AC14:AD14"/>
    <mergeCell ref="AE14:AF14"/>
    <mergeCell ref="AG14:AH14"/>
    <mergeCell ref="AC15:AD15"/>
    <mergeCell ref="AE15:AF15"/>
    <mergeCell ref="AG15:AH15"/>
    <mergeCell ref="AC16:AD16"/>
    <mergeCell ref="AE16:AF16"/>
    <mergeCell ref="AG16:AH16"/>
    <mergeCell ref="AC11:AD11"/>
    <mergeCell ref="AE11:AF11"/>
    <mergeCell ref="AG11:AH11"/>
    <mergeCell ref="AC12:AD12"/>
    <mergeCell ref="AE12:AF12"/>
    <mergeCell ref="AG12:AH12"/>
    <mergeCell ref="AC13:AD13"/>
    <mergeCell ref="AE13:AF13"/>
    <mergeCell ref="AG13:AH13"/>
    <mergeCell ref="AC32:AD32"/>
    <mergeCell ref="AE32:AF32"/>
    <mergeCell ref="AG32:AH32"/>
    <mergeCell ref="AC39:AD39"/>
    <mergeCell ref="AE39:AF39"/>
    <mergeCell ref="AG39:AH39"/>
    <mergeCell ref="AC40:AD40"/>
    <mergeCell ref="AE40:AF40"/>
    <mergeCell ref="AG40:AH40"/>
    <mergeCell ref="AC17:AD17"/>
    <mergeCell ref="AE17:AF17"/>
    <mergeCell ref="AG17:AH17"/>
    <mergeCell ref="AC18:AD18"/>
    <mergeCell ref="AE18:AF18"/>
    <mergeCell ref="AG18:AH18"/>
    <mergeCell ref="AC22:AD22"/>
    <mergeCell ref="AE22:AF22"/>
    <mergeCell ref="AG22:AH22"/>
    <mergeCell ref="AC47:AD47"/>
    <mergeCell ref="AE47:AF47"/>
    <mergeCell ref="AG47:AH47"/>
    <mergeCell ref="AC50:AD50"/>
    <mergeCell ref="AE50:AF50"/>
    <mergeCell ref="AG50:AH50"/>
    <mergeCell ref="AC51:AD51"/>
    <mergeCell ref="AE51:AF51"/>
    <mergeCell ref="AG51:AH51"/>
    <mergeCell ref="AC41:AD41"/>
    <mergeCell ref="AE41:AF41"/>
    <mergeCell ref="AG41:AH41"/>
    <mergeCell ref="AC44:AD44"/>
    <mergeCell ref="AE44:AF44"/>
    <mergeCell ref="AG44:AH44"/>
    <mergeCell ref="AC46:AD46"/>
    <mergeCell ref="AE46:AF46"/>
    <mergeCell ref="AG46:AH46"/>
    <mergeCell ref="AC56:AD56"/>
    <mergeCell ref="AE56:AF56"/>
    <mergeCell ref="AG56:AH56"/>
    <mergeCell ref="AC57:AD57"/>
    <mergeCell ref="AE57:AF57"/>
    <mergeCell ref="AG57:AH57"/>
    <mergeCell ref="AC58:AD58"/>
    <mergeCell ref="AE58:AF58"/>
    <mergeCell ref="AG58:AH58"/>
    <mergeCell ref="AC53:AD53"/>
    <mergeCell ref="AE53:AF53"/>
    <mergeCell ref="AG53:AH53"/>
    <mergeCell ref="AC54:AD54"/>
    <mergeCell ref="AE54:AF54"/>
    <mergeCell ref="AG54:AH54"/>
    <mergeCell ref="AC55:AD55"/>
    <mergeCell ref="AE55:AF55"/>
    <mergeCell ref="AG55:AH55"/>
    <mergeCell ref="AC62:AD62"/>
    <mergeCell ref="AE62:AF62"/>
    <mergeCell ref="AG62:AH62"/>
    <mergeCell ref="AC63:AD63"/>
    <mergeCell ref="AE63:AF63"/>
    <mergeCell ref="AG63:AH63"/>
    <mergeCell ref="AC68:AD68"/>
    <mergeCell ref="AE68:AF68"/>
    <mergeCell ref="AG68:AH68"/>
    <mergeCell ref="AC59:AD59"/>
    <mergeCell ref="AE59:AF59"/>
    <mergeCell ref="AG59:AH59"/>
    <mergeCell ref="AC60:AD60"/>
    <mergeCell ref="AE60:AF60"/>
    <mergeCell ref="AG60:AH60"/>
    <mergeCell ref="AC61:AD61"/>
    <mergeCell ref="AE61:AF61"/>
    <mergeCell ref="AG61:AH61"/>
    <mergeCell ref="AC72:AD72"/>
    <mergeCell ref="AE72:AF72"/>
    <mergeCell ref="AG72:AH72"/>
    <mergeCell ref="AC74:AD74"/>
    <mergeCell ref="AE74:AF74"/>
    <mergeCell ref="AG74:AH74"/>
    <mergeCell ref="AC75:AD75"/>
    <mergeCell ref="AE75:AF75"/>
    <mergeCell ref="AG75:AH75"/>
    <mergeCell ref="AC69:AD69"/>
    <mergeCell ref="AE69:AF69"/>
    <mergeCell ref="AG69:AH69"/>
    <mergeCell ref="AC70:AD70"/>
    <mergeCell ref="AE70:AF70"/>
    <mergeCell ref="AG70:AH70"/>
    <mergeCell ref="AC71:AD71"/>
    <mergeCell ref="AE71:AF71"/>
    <mergeCell ref="AG71:AH71"/>
    <mergeCell ref="AC79:AD79"/>
    <mergeCell ref="AE79:AF79"/>
    <mergeCell ref="AG79:AH79"/>
    <mergeCell ref="AC80:AD80"/>
    <mergeCell ref="AE80:AF80"/>
    <mergeCell ref="AG80:AH80"/>
    <mergeCell ref="AC81:AD81"/>
    <mergeCell ref="AE81:AF81"/>
    <mergeCell ref="AG81:AH81"/>
    <mergeCell ref="AC76:AD76"/>
    <mergeCell ref="AE76:AF76"/>
    <mergeCell ref="AG76:AH76"/>
    <mergeCell ref="AC77:AD77"/>
    <mergeCell ref="AE77:AF77"/>
    <mergeCell ref="AG77:AH77"/>
    <mergeCell ref="AC78:AD78"/>
    <mergeCell ref="AE78:AF78"/>
    <mergeCell ref="AG78:AH78"/>
    <mergeCell ref="AC85:AD85"/>
    <mergeCell ref="AE85:AF85"/>
    <mergeCell ref="AG85:AH85"/>
    <mergeCell ref="AC86:AD86"/>
    <mergeCell ref="AE86:AF86"/>
    <mergeCell ref="AG86:AH86"/>
    <mergeCell ref="AC88:AD88"/>
    <mergeCell ref="AE88:AF88"/>
    <mergeCell ref="AG88:AH88"/>
    <mergeCell ref="AC82:AD82"/>
    <mergeCell ref="AE82:AF82"/>
    <mergeCell ref="AG82:AH82"/>
    <mergeCell ref="AC83:AD83"/>
    <mergeCell ref="AE83:AF83"/>
    <mergeCell ref="AG83:AH83"/>
    <mergeCell ref="AC84:AD84"/>
    <mergeCell ref="AE84:AF84"/>
    <mergeCell ref="AG84:AH84"/>
    <mergeCell ref="AC95:AD95"/>
    <mergeCell ref="AE95:AF95"/>
    <mergeCell ref="AG95:AH95"/>
    <mergeCell ref="AC96:AD96"/>
    <mergeCell ref="AE96:AF96"/>
    <mergeCell ref="AG96:AH96"/>
    <mergeCell ref="AC97:AD97"/>
    <mergeCell ref="AE97:AF97"/>
    <mergeCell ref="AG97:AH97"/>
    <mergeCell ref="AC89:AD89"/>
    <mergeCell ref="AE89:AF89"/>
    <mergeCell ref="AG89:AH89"/>
    <mergeCell ref="AC90:AD90"/>
    <mergeCell ref="AE90:AF90"/>
    <mergeCell ref="AG90:AH90"/>
    <mergeCell ref="AC94:AD94"/>
    <mergeCell ref="AE94:AF94"/>
    <mergeCell ref="AG94:AH94"/>
    <mergeCell ref="AC116:AD116"/>
    <mergeCell ref="AE116:AF116"/>
    <mergeCell ref="AG116:AH116"/>
    <mergeCell ref="AC117:AD117"/>
    <mergeCell ref="AE117:AF117"/>
    <mergeCell ref="AG117:AH117"/>
    <mergeCell ref="AC118:AD118"/>
    <mergeCell ref="AE118:AF118"/>
    <mergeCell ref="AG118:AH118"/>
    <mergeCell ref="AC99:AD99"/>
    <mergeCell ref="AE99:AF99"/>
    <mergeCell ref="AG99:AH99"/>
    <mergeCell ref="AC100:AD100"/>
    <mergeCell ref="AE100:AF100"/>
    <mergeCell ref="AG100:AH100"/>
    <mergeCell ref="AC102:AD102"/>
    <mergeCell ref="AE102:AF102"/>
    <mergeCell ref="AG102:AH102"/>
  </mergeCells>
  <phoneticPr fontId="12" type="noConversion"/>
  <printOptions horizontalCentered="1" verticalCentered="1"/>
  <pageMargins left="0.2" right="0.2" top="0.2" bottom="0.2" header="0.511811023622047" footer="0.511811023622047"/>
  <pageSetup paperSize="10000" scale="37" fitToHeight="3" orientation="landscape" horizontalDpi="4294967292" verticalDpi="4294967292" r:id="rId1"/>
  <rowBreaks count="1" manualBreakCount="1">
    <brk id="86" max="3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60"/>
  <sheetViews>
    <sheetView showGridLines="0" zoomScale="115" zoomScaleNormal="115" zoomScalePageLayoutView="150" workbookViewId="0">
      <pane ySplit="7" topLeftCell="A23" activePane="bottomLeft" state="frozen"/>
      <selection pane="bottomLeft" activeCell="C8" sqref="C8"/>
    </sheetView>
  </sheetViews>
  <sheetFormatPr defaultColWidth="9.125" defaultRowHeight="15" x14ac:dyDescent="0.25"/>
  <cols>
    <col min="1" max="1" width="1.25" style="19" customWidth="1"/>
    <col min="2" max="2" width="43.125" style="19" customWidth="1"/>
    <col min="3" max="3" width="10.5" style="19" customWidth="1"/>
    <col min="4" max="4" width="1.25" style="85" customWidth="1"/>
    <col min="5" max="5" width="54.125" style="19" customWidth="1"/>
    <col min="6" max="16384" width="9.125" style="19"/>
  </cols>
  <sheetData>
    <row r="1" spans="2:6" ht="6.75" customHeight="1" x14ac:dyDescent="0.25"/>
    <row r="2" spans="2:6" ht="15.75" x14ac:dyDescent="0.25">
      <c r="B2" s="86" t="s">
        <v>508</v>
      </c>
      <c r="C2" s="87"/>
      <c r="D2" s="87"/>
      <c r="E2" s="88"/>
    </row>
    <row r="3" spans="2:6" ht="15.75" x14ac:dyDescent="0.25">
      <c r="B3" s="89" t="str">
        <f>+'W.B.Input data main'!B3</f>
        <v>JULY 2020</v>
      </c>
      <c r="C3" s="90"/>
      <c r="D3" s="90"/>
      <c r="E3" s="91"/>
    </row>
    <row r="4" spans="2:6" ht="7.5" customHeight="1" x14ac:dyDescent="0.25">
      <c r="B4" s="92"/>
      <c r="C4" s="90"/>
      <c r="D4" s="90"/>
      <c r="E4" s="91"/>
    </row>
    <row r="5" spans="2:6" ht="15.75" x14ac:dyDescent="0.25">
      <c r="B5" s="92"/>
      <c r="C5" s="93" t="s">
        <v>283</v>
      </c>
      <c r="D5" s="90"/>
      <c r="E5" s="322" t="s">
        <v>284</v>
      </c>
    </row>
    <row r="6" spans="2:6" ht="15.75" x14ac:dyDescent="0.25">
      <c r="B6" s="94"/>
      <c r="C6" s="95" t="s">
        <v>285</v>
      </c>
      <c r="D6" s="96"/>
      <c r="E6" s="323"/>
    </row>
    <row r="7" spans="2:6" ht="6" customHeight="1" x14ac:dyDescent="0.25">
      <c r="B7" s="97"/>
      <c r="C7" s="97"/>
      <c r="D7" s="98"/>
      <c r="E7" s="97"/>
    </row>
    <row r="8" spans="2:6" ht="15.75" x14ac:dyDescent="0.25">
      <c r="B8" s="99" t="s">
        <v>286</v>
      </c>
      <c r="C8" s="100">
        <f>+SUM(C9:C11)</f>
        <v>203340.1928394514</v>
      </c>
      <c r="D8" s="98"/>
      <c r="E8" s="139"/>
    </row>
    <row r="9" spans="2:6" x14ac:dyDescent="0.25">
      <c r="B9" s="101" t="s">
        <v>287</v>
      </c>
      <c r="C9" s="102">
        <f>+'W.B.Input data main'!C9+'W.B.Input data ind.'!C9</f>
        <v>202430</v>
      </c>
      <c r="D9" s="98"/>
      <c r="E9" s="140"/>
    </row>
    <row r="10" spans="2:6" x14ac:dyDescent="0.25">
      <c r="B10" s="101" t="s">
        <v>288</v>
      </c>
      <c r="C10" s="102">
        <f>+'W.B.Input data main'!C10+'W.B.Input data ind.'!C10</f>
        <v>910.19283945138716</v>
      </c>
      <c r="D10" s="98"/>
      <c r="E10" s="103"/>
    </row>
    <row r="11" spans="2:6" x14ac:dyDescent="0.25">
      <c r="B11" s="101" t="s">
        <v>289</v>
      </c>
      <c r="C11" s="102">
        <f>+'W.B.Input data main'!C11+'W.B.Input data ind.'!C11</f>
        <v>0</v>
      </c>
      <c r="D11" s="98"/>
      <c r="E11" s="103"/>
    </row>
    <row r="12" spans="2:6" ht="6" customHeight="1" x14ac:dyDescent="0.25">
      <c r="B12" s="97"/>
      <c r="C12" s="97"/>
      <c r="D12" s="98"/>
      <c r="E12" s="97"/>
    </row>
    <row r="13" spans="2:6" x14ac:dyDescent="0.25">
      <c r="B13" s="324" t="s">
        <v>290</v>
      </c>
      <c r="C13" s="324"/>
      <c r="D13" s="98"/>
      <c r="E13" s="104"/>
    </row>
    <row r="14" spans="2:6" x14ac:dyDescent="0.25">
      <c r="B14" s="319" t="s">
        <v>291</v>
      </c>
      <c r="C14" s="319"/>
      <c r="D14" s="98"/>
      <c r="E14" s="105"/>
    </row>
    <row r="15" spans="2:6" ht="15.75" x14ac:dyDescent="0.25">
      <c r="B15" s="106" t="s">
        <v>292</v>
      </c>
      <c r="C15" s="107">
        <f>+C16-C28</f>
        <v>178468</v>
      </c>
      <c r="D15" s="98"/>
      <c r="E15" s="108"/>
      <c r="F15" s="109"/>
    </row>
    <row r="16" spans="2:6" x14ac:dyDescent="0.25">
      <c r="B16" s="110" t="s">
        <v>293</v>
      </c>
      <c r="C16" s="111">
        <f>+C17+C18+C19</f>
        <v>178620</v>
      </c>
      <c r="D16" s="112"/>
      <c r="E16" s="113"/>
      <c r="F16" s="146"/>
    </row>
    <row r="17" spans="2:5" x14ac:dyDescent="0.25">
      <c r="B17" s="114" t="s">
        <v>294</v>
      </c>
      <c r="C17" s="102">
        <f>+'W.B.Input data main'!C17+'W.B.Input data ind.'!C17</f>
        <v>175698</v>
      </c>
      <c r="D17" s="98"/>
      <c r="E17" s="103"/>
    </row>
    <row r="18" spans="2:5" x14ac:dyDescent="0.25">
      <c r="B18" s="114" t="s">
        <v>295</v>
      </c>
      <c r="C18" s="102">
        <f>+'W.B.Input data main'!C18+'W.B.Input data ind.'!C18</f>
        <v>2922</v>
      </c>
      <c r="D18" s="98"/>
      <c r="E18" s="103"/>
    </row>
    <row r="19" spans="2:5" x14ac:dyDescent="0.25">
      <c r="B19" s="145" t="s">
        <v>555</v>
      </c>
      <c r="C19" s="102">
        <f>+'W.B.Input data main'!C19+'W.B.Input data ind.'!C19</f>
        <v>0</v>
      </c>
      <c r="D19" s="98"/>
      <c r="E19" s="103"/>
    </row>
    <row r="20" spans="2:5" ht="15.75" x14ac:dyDescent="0.25">
      <c r="B20" s="106" t="s">
        <v>296</v>
      </c>
      <c r="C20" s="107">
        <f>+SUM(C21:C23)</f>
        <v>0</v>
      </c>
      <c r="D20" s="98"/>
      <c r="E20" s="108"/>
    </row>
    <row r="21" spans="2:5" x14ac:dyDescent="0.25">
      <c r="B21" s="101" t="s">
        <v>297</v>
      </c>
      <c r="C21" s="102">
        <f>+'W.B.Input data main'!C21+'W.B.Input data ind.'!C21</f>
        <v>0</v>
      </c>
      <c r="D21" s="98"/>
      <c r="E21" s="103"/>
    </row>
    <row r="22" spans="2:5" x14ac:dyDescent="0.25">
      <c r="B22" s="101" t="s">
        <v>298</v>
      </c>
      <c r="C22" s="115"/>
      <c r="D22" s="98"/>
      <c r="E22" s="103"/>
    </row>
    <row r="23" spans="2:5" x14ac:dyDescent="0.25">
      <c r="B23" s="101" t="s">
        <v>299</v>
      </c>
      <c r="C23" s="115"/>
      <c r="D23" s="98"/>
      <c r="E23" s="103"/>
    </row>
    <row r="24" spans="2:5" x14ac:dyDescent="0.25">
      <c r="B24" s="319" t="s">
        <v>300</v>
      </c>
      <c r="C24" s="319"/>
      <c r="D24" s="98"/>
      <c r="E24" s="105"/>
    </row>
    <row r="25" spans="2:5" ht="15.75" x14ac:dyDescent="0.25">
      <c r="B25" s="106" t="s">
        <v>301</v>
      </c>
      <c r="C25" s="107">
        <f>+SUM(C26:C28)</f>
        <v>183</v>
      </c>
      <c r="D25" s="98"/>
      <c r="E25" s="108"/>
    </row>
    <row r="26" spans="2:5" x14ac:dyDescent="0.25">
      <c r="B26" s="101" t="s">
        <v>302</v>
      </c>
      <c r="C26" s="102">
        <f>+'W.B.Input data main'!C26+'W.B.Input data ind.'!C26</f>
        <v>18</v>
      </c>
      <c r="D26" s="98"/>
      <c r="E26" s="103"/>
    </row>
    <row r="27" spans="2:5" x14ac:dyDescent="0.25">
      <c r="B27" s="101" t="s">
        <v>303</v>
      </c>
      <c r="C27" s="102">
        <f>+'W.B.Input data main'!C27+'W.B.Input data ind.'!C27</f>
        <v>13</v>
      </c>
      <c r="D27" s="98"/>
      <c r="E27" s="103"/>
    </row>
    <row r="28" spans="2:5" x14ac:dyDescent="0.25">
      <c r="B28" s="101" t="s">
        <v>304</v>
      </c>
      <c r="C28" s="102">
        <f>+'W.B.Input data main'!C28+'W.B.Input data ind.'!C28</f>
        <v>152</v>
      </c>
      <c r="D28" s="98"/>
      <c r="E28" s="103"/>
    </row>
    <row r="29" spans="2:5" ht="15.75" x14ac:dyDescent="0.25">
      <c r="B29" s="106" t="s">
        <v>305</v>
      </c>
      <c r="C29" s="107">
        <f>+C30+C34+C39</f>
        <v>49.15</v>
      </c>
      <c r="D29" s="98"/>
      <c r="E29" s="108"/>
    </row>
    <row r="30" spans="2:5" x14ac:dyDescent="0.25">
      <c r="B30" s="116" t="s">
        <v>306</v>
      </c>
      <c r="C30" s="117">
        <f>+SUM(C31:C33)</f>
        <v>23.65</v>
      </c>
      <c r="D30" s="98"/>
      <c r="E30" s="118"/>
    </row>
    <row r="31" spans="2:5" x14ac:dyDescent="0.25">
      <c r="B31" s="119" t="s">
        <v>307</v>
      </c>
      <c r="C31" s="102">
        <f>+'W.B.Input data main'!C31+'W.B.Input data ind.'!C31</f>
        <v>0</v>
      </c>
      <c r="D31" s="98"/>
      <c r="E31" s="103"/>
    </row>
    <row r="32" spans="2:5" x14ac:dyDescent="0.25">
      <c r="B32" s="119" t="s">
        <v>308</v>
      </c>
      <c r="C32" s="102">
        <f>+'W.B.Input data main'!C32+'W.B.Input data ind.'!C32</f>
        <v>0</v>
      </c>
      <c r="D32" s="98"/>
      <c r="E32" s="103"/>
    </row>
    <row r="33" spans="2:5" x14ac:dyDescent="0.25">
      <c r="B33" s="119" t="s">
        <v>309</v>
      </c>
      <c r="C33" s="102">
        <f>+'W.B.Input data main'!C33+'W.B.Input data ind.'!C33</f>
        <v>23.65</v>
      </c>
      <c r="D33" s="98"/>
      <c r="E33" s="103"/>
    </row>
    <row r="34" spans="2:5" x14ac:dyDescent="0.25">
      <c r="B34" s="116" t="s">
        <v>310</v>
      </c>
      <c r="C34" s="117">
        <f>+SUM(C35:C38)</f>
        <v>5.5</v>
      </c>
      <c r="D34" s="98"/>
      <c r="E34" s="118"/>
    </row>
    <row r="35" spans="2:5" x14ac:dyDescent="0.25">
      <c r="B35" s="120" t="s">
        <v>311</v>
      </c>
      <c r="C35" s="102">
        <f>+'W.B.Input data main'!C35+'W.B.Input data ind.'!C35</f>
        <v>0</v>
      </c>
      <c r="D35" s="98"/>
      <c r="E35" s="103"/>
    </row>
    <row r="36" spans="2:5" x14ac:dyDescent="0.25">
      <c r="B36" s="120" t="s">
        <v>312</v>
      </c>
      <c r="C36" s="102">
        <f>+'W.B.Input data main'!C36+'W.B.Input data ind.'!C36</f>
        <v>5.5</v>
      </c>
      <c r="D36" s="98"/>
      <c r="E36" s="103"/>
    </row>
    <row r="37" spans="2:5" x14ac:dyDescent="0.25">
      <c r="B37" s="120" t="s">
        <v>313</v>
      </c>
      <c r="C37" s="102">
        <f>+'W.B.Input data main'!C37+'W.B.Input data ind.'!C37</f>
        <v>0</v>
      </c>
      <c r="D37" s="98"/>
      <c r="E37" s="103"/>
    </row>
    <row r="38" spans="2:5" x14ac:dyDescent="0.25">
      <c r="B38" s="120" t="s">
        <v>314</v>
      </c>
      <c r="C38" s="102">
        <f>+'W.B.Input data main'!C38+'W.B.Input data ind.'!C38</f>
        <v>0</v>
      </c>
      <c r="D38" s="98"/>
      <c r="E38" s="103"/>
    </row>
    <row r="39" spans="2:5" x14ac:dyDescent="0.25">
      <c r="B39" s="116" t="s">
        <v>315</v>
      </c>
      <c r="C39" s="102">
        <v>20</v>
      </c>
      <c r="D39" s="98"/>
      <c r="E39" s="103"/>
    </row>
    <row r="40" spans="2:5" ht="6" customHeight="1" x14ac:dyDescent="0.25">
      <c r="B40" s="97"/>
      <c r="C40" s="121"/>
      <c r="D40" s="98"/>
      <c r="E40" s="97"/>
    </row>
    <row r="41" spans="2:5" x14ac:dyDescent="0.25">
      <c r="B41" s="324" t="s">
        <v>316</v>
      </c>
      <c r="C41" s="324"/>
      <c r="D41" s="98"/>
      <c r="E41" s="104"/>
    </row>
    <row r="42" spans="2:5" x14ac:dyDescent="0.25">
      <c r="B42" s="319" t="s">
        <v>317</v>
      </c>
      <c r="C42" s="319"/>
      <c r="D42" s="98"/>
      <c r="E42" s="105"/>
    </row>
    <row r="43" spans="2:5" ht="15.75" x14ac:dyDescent="0.25">
      <c r="B43" s="106" t="s">
        <v>318</v>
      </c>
      <c r="C43" s="107">
        <f>+C44</f>
        <v>0</v>
      </c>
      <c r="D43" s="98"/>
      <c r="E43" s="108"/>
    </row>
    <row r="44" spans="2:5" x14ac:dyDescent="0.25">
      <c r="B44" s="101" t="s">
        <v>319</v>
      </c>
      <c r="C44" s="102">
        <f>+'W.B.Input data main'!C44+'W.B.Input data ind.'!C44</f>
        <v>0</v>
      </c>
      <c r="D44" s="98"/>
      <c r="E44" s="103"/>
    </row>
    <row r="45" spans="2:5" ht="15.75" x14ac:dyDescent="0.25">
      <c r="B45" s="106" t="s">
        <v>320</v>
      </c>
      <c r="C45" s="107">
        <f>+SUM(C46:C46)</f>
        <v>50</v>
      </c>
      <c r="D45" s="98"/>
      <c r="E45" s="108"/>
    </row>
    <row r="46" spans="2:5" x14ac:dyDescent="0.25">
      <c r="B46" s="101" t="s">
        <v>414</v>
      </c>
      <c r="C46" s="102">
        <f>+'W.B.Input data main'!C46+'W.B.Input data ind.'!C46</f>
        <v>50</v>
      </c>
      <c r="D46" s="98"/>
      <c r="E46" s="103"/>
    </row>
    <row r="47" spans="2:5" x14ac:dyDescent="0.25">
      <c r="B47" s="319" t="s">
        <v>321</v>
      </c>
      <c r="C47" s="319"/>
      <c r="D47" s="98"/>
      <c r="E47" s="105"/>
    </row>
    <row r="48" spans="2:5" ht="15.75" x14ac:dyDescent="0.25">
      <c r="B48" s="106" t="s">
        <v>322</v>
      </c>
      <c r="C48" s="107">
        <f>+SUM(C49:C57)</f>
        <v>336.09999999999997</v>
      </c>
      <c r="D48" s="98"/>
      <c r="E48" s="108"/>
    </row>
    <row r="49" spans="2:5" x14ac:dyDescent="0.25">
      <c r="B49" s="101" t="s">
        <v>323</v>
      </c>
      <c r="C49" s="102">
        <f>+'W.B.Input data main'!C49+'W.B.Input data ind.'!C49</f>
        <v>187.59</v>
      </c>
      <c r="D49" s="98"/>
      <c r="E49" s="103"/>
    </row>
    <row r="50" spans="2:5" x14ac:dyDescent="0.25">
      <c r="B50" s="101" t="s">
        <v>324</v>
      </c>
      <c r="C50" s="102">
        <f>+'W.B.Input data main'!C50+'W.B.Input data ind.'!C50</f>
        <v>122.92</v>
      </c>
      <c r="D50" s="98"/>
      <c r="E50" s="103"/>
    </row>
    <row r="51" spans="2:5" x14ac:dyDescent="0.25">
      <c r="B51" s="101" t="s">
        <v>325</v>
      </c>
      <c r="C51" s="102">
        <f>+'W.B.Input data main'!C51+'W.B.Input data ind.'!C51</f>
        <v>9.08</v>
      </c>
      <c r="D51" s="98"/>
      <c r="E51" s="103"/>
    </row>
    <row r="52" spans="2:5" x14ac:dyDescent="0.25">
      <c r="B52" s="101" t="s">
        <v>326</v>
      </c>
      <c r="C52" s="102">
        <f>+'W.B.Input data main'!C52+'W.B.Input data ind.'!C52</f>
        <v>3.58</v>
      </c>
      <c r="D52" s="98"/>
      <c r="E52" s="103"/>
    </row>
    <row r="53" spans="2:5" x14ac:dyDescent="0.25">
      <c r="B53" s="101" t="s">
        <v>327</v>
      </c>
      <c r="C53" s="102">
        <f>+'W.B.Input data main'!C53+'W.B.Input data ind.'!C53</f>
        <v>12.93</v>
      </c>
      <c r="D53" s="98"/>
      <c r="E53" s="103"/>
    </row>
    <row r="54" spans="2:5" x14ac:dyDescent="0.25">
      <c r="B54" s="101" t="s">
        <v>328</v>
      </c>
      <c r="C54" s="102">
        <f>+'W.B.Input data main'!C54+'W.B.Input data ind.'!C54</f>
        <v>0</v>
      </c>
      <c r="D54" s="98"/>
      <c r="E54" s="103"/>
    </row>
    <row r="55" spans="2:5" x14ac:dyDescent="0.25">
      <c r="B55" s="101" t="s">
        <v>329</v>
      </c>
      <c r="C55" s="102">
        <f>+'W.B.Input data main'!C55+'W.B.Input data ind.'!C55</f>
        <v>0</v>
      </c>
      <c r="D55" s="98"/>
      <c r="E55" s="103"/>
    </row>
    <row r="56" spans="2:5" x14ac:dyDescent="0.25">
      <c r="B56" s="101" t="s">
        <v>330</v>
      </c>
      <c r="C56" s="102">
        <f>+'W.B.Input data main'!C56+'W.B.Input data ind.'!C56</f>
        <v>0</v>
      </c>
      <c r="D56" s="98"/>
      <c r="E56" s="103"/>
    </row>
    <row r="57" spans="2:5" x14ac:dyDescent="0.25">
      <c r="B57" s="101" t="s">
        <v>331</v>
      </c>
      <c r="C57" s="102">
        <f>+'W.B.Input data main'!C57+'W.B.Input data ind.'!C57</f>
        <v>0</v>
      </c>
      <c r="D57" s="98"/>
      <c r="E57" s="103"/>
    </row>
    <row r="58" spans="2:5" ht="15.75" x14ac:dyDescent="0.25">
      <c r="B58" s="106" t="s">
        <v>332</v>
      </c>
      <c r="C58" s="107">
        <f>'Water Balance'!E27</f>
        <v>24253.942839451403</v>
      </c>
      <c r="D58" s="98"/>
      <c r="E58" s="108"/>
    </row>
    <row r="59" spans="2:5" ht="6" customHeight="1" x14ac:dyDescent="0.25">
      <c r="B59" s="122"/>
      <c r="C59" s="123"/>
      <c r="D59" s="122"/>
      <c r="E59" s="123"/>
    </row>
    <row r="60" spans="2:5" ht="11.25" customHeight="1" x14ac:dyDescent="0.25">
      <c r="B60" s="320" t="s">
        <v>333</v>
      </c>
      <c r="C60" s="321"/>
      <c r="D60" s="321"/>
      <c r="E60" s="321"/>
    </row>
  </sheetData>
  <mergeCells count="8">
    <mergeCell ref="B47:C47"/>
    <mergeCell ref="B60:E60"/>
    <mergeCell ref="E5:E6"/>
    <mergeCell ref="B13:C13"/>
    <mergeCell ref="B14:C14"/>
    <mergeCell ref="B24:C24"/>
    <mergeCell ref="B41:C41"/>
    <mergeCell ref="B42:C42"/>
  </mergeCells>
  <pageMargins left="0.51181102362204722" right="0.51181102362204722" top="0.70866141732283472" bottom="0.51181102362204722" header="0.31496062992125984" footer="0.31496062992125984"/>
  <pageSetup scale="70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1"/>
  <sheetViews>
    <sheetView zoomScale="115" zoomScaleNormal="115" workbookViewId="0">
      <selection activeCell="C9" sqref="C9"/>
    </sheetView>
  </sheetViews>
  <sheetFormatPr defaultColWidth="9.125" defaultRowHeight="15" x14ac:dyDescent="0.25"/>
  <cols>
    <col min="1" max="1" width="1.25" style="19" customWidth="1"/>
    <col min="2" max="2" width="43.125" style="19" customWidth="1"/>
    <col min="3" max="3" width="10.5" style="19" customWidth="1"/>
    <col min="4" max="4" width="1.25" style="85" customWidth="1"/>
    <col min="5" max="5" width="54.125" style="19" customWidth="1"/>
    <col min="6" max="16384" width="9.125" style="19"/>
  </cols>
  <sheetData>
    <row r="1" spans="1:8" ht="6.75" customHeight="1" x14ac:dyDescent="0.25">
      <c r="A1" s="141" t="s">
        <v>551</v>
      </c>
    </row>
    <row r="2" spans="1:8" ht="15.75" x14ac:dyDescent="0.25">
      <c r="B2" s="86" t="s">
        <v>508</v>
      </c>
      <c r="C2" s="87"/>
      <c r="D2" s="87"/>
      <c r="E2" s="88"/>
    </row>
    <row r="3" spans="1:8" ht="15.75" x14ac:dyDescent="0.25">
      <c r="B3" s="223" t="s">
        <v>614</v>
      </c>
      <c r="C3" s="90"/>
      <c r="D3" s="90"/>
      <c r="E3" s="91"/>
    </row>
    <row r="4" spans="1:8" ht="7.5" customHeight="1" x14ac:dyDescent="0.25">
      <c r="B4" s="92"/>
      <c r="C4" s="90"/>
      <c r="D4" s="90"/>
      <c r="E4" s="91"/>
    </row>
    <row r="5" spans="1:8" ht="15.75" x14ac:dyDescent="0.25">
      <c r="B5" s="92"/>
      <c r="C5" s="93" t="s">
        <v>283</v>
      </c>
      <c r="D5" s="90"/>
      <c r="E5" s="322" t="s">
        <v>284</v>
      </c>
    </row>
    <row r="6" spans="1:8" ht="15.75" x14ac:dyDescent="0.25">
      <c r="B6" s="94"/>
      <c r="C6" s="95" t="s">
        <v>285</v>
      </c>
      <c r="D6" s="96"/>
      <c r="E6" s="323"/>
    </row>
    <row r="7" spans="1:8" ht="6" customHeight="1" x14ac:dyDescent="0.25">
      <c r="B7" s="97"/>
      <c r="C7" s="97"/>
      <c r="D7" s="98"/>
      <c r="E7" s="97"/>
    </row>
    <row r="8" spans="1:8" ht="15.75" x14ac:dyDescent="0.25">
      <c r="B8" s="99" t="s">
        <v>286</v>
      </c>
      <c r="C8" s="100">
        <f>+SUM(C9:C11)</f>
        <v>131849.01028493716</v>
      </c>
      <c r="D8" s="98"/>
      <c r="E8" s="139"/>
    </row>
    <row r="9" spans="1:8" x14ac:dyDescent="0.25">
      <c r="B9" s="101" t="s">
        <v>287</v>
      </c>
      <c r="C9" s="102">
        <v>131206</v>
      </c>
      <c r="D9" s="98"/>
      <c r="E9" s="140"/>
      <c r="G9" s="109"/>
    </row>
    <row r="10" spans="1:8" x14ac:dyDescent="0.25">
      <c r="B10" s="101" t="s">
        <v>288</v>
      </c>
      <c r="C10" s="102">
        <v>643.0102849371533</v>
      </c>
      <c r="D10" s="98"/>
      <c r="E10" s="103"/>
      <c r="G10" s="147"/>
    </row>
    <row r="11" spans="1:8" x14ac:dyDescent="0.25">
      <c r="B11" s="101" t="s">
        <v>289</v>
      </c>
      <c r="C11" s="102"/>
      <c r="D11" s="98"/>
      <c r="E11" s="103"/>
      <c r="G11" s="109"/>
      <c r="H11" s="148"/>
    </row>
    <row r="12" spans="1:8" ht="6" customHeight="1" x14ac:dyDescent="0.25">
      <c r="B12" s="97"/>
      <c r="C12" s="97"/>
      <c r="D12" s="98"/>
      <c r="E12" s="97"/>
      <c r="G12" s="146"/>
    </row>
    <row r="13" spans="1:8" x14ac:dyDescent="0.25">
      <c r="B13" s="324" t="s">
        <v>290</v>
      </c>
      <c r="C13" s="324"/>
      <c r="D13" s="98"/>
      <c r="E13" s="104"/>
      <c r="G13" s="146"/>
    </row>
    <row r="14" spans="1:8" x14ac:dyDescent="0.25">
      <c r="B14" s="319" t="s">
        <v>291</v>
      </c>
      <c r="C14" s="319"/>
      <c r="D14" s="98"/>
      <c r="E14" s="105"/>
    </row>
    <row r="15" spans="1:8" ht="15.75" x14ac:dyDescent="0.25">
      <c r="B15" s="106" t="s">
        <v>292</v>
      </c>
      <c r="C15" s="107">
        <f>+C16-C28</f>
        <v>110090</v>
      </c>
      <c r="D15" s="98"/>
      <c r="E15" s="108"/>
      <c r="F15" s="109"/>
    </row>
    <row r="16" spans="1:8" x14ac:dyDescent="0.25">
      <c r="B16" s="110" t="s">
        <v>293</v>
      </c>
      <c r="C16" s="111">
        <f>+C17+C18+C19</f>
        <v>110220</v>
      </c>
      <c r="D16" s="112"/>
      <c r="E16" s="113"/>
    </row>
    <row r="17" spans="2:5" x14ac:dyDescent="0.25">
      <c r="B17" s="114" t="s">
        <v>294</v>
      </c>
      <c r="C17" s="115">
        <v>107922</v>
      </c>
      <c r="D17" s="98"/>
      <c r="E17" s="103"/>
    </row>
    <row r="18" spans="2:5" x14ac:dyDescent="0.25">
      <c r="B18" s="114" t="s">
        <v>295</v>
      </c>
      <c r="C18" s="115">
        <v>2298</v>
      </c>
      <c r="D18" s="98"/>
      <c r="E18" s="103"/>
    </row>
    <row r="19" spans="2:5" x14ac:dyDescent="0.25">
      <c r="B19" s="145" t="s">
        <v>555</v>
      </c>
      <c r="C19" s="115"/>
      <c r="D19" s="98"/>
      <c r="E19" s="103"/>
    </row>
    <row r="20" spans="2:5" ht="15.75" x14ac:dyDescent="0.25">
      <c r="B20" s="106" t="s">
        <v>296</v>
      </c>
      <c r="C20" s="107">
        <f>+SUM(C21:C23)</f>
        <v>0</v>
      </c>
      <c r="D20" s="98"/>
      <c r="E20" s="108"/>
    </row>
    <row r="21" spans="2:5" x14ac:dyDescent="0.25">
      <c r="B21" s="101" t="s">
        <v>297</v>
      </c>
      <c r="C21" s="115"/>
      <c r="D21" s="98"/>
      <c r="E21" s="103"/>
    </row>
    <row r="22" spans="2:5" x14ac:dyDescent="0.25">
      <c r="B22" s="101" t="s">
        <v>298</v>
      </c>
      <c r="C22" s="115"/>
      <c r="D22" s="98"/>
      <c r="E22" s="103"/>
    </row>
    <row r="23" spans="2:5" x14ac:dyDescent="0.25">
      <c r="B23" s="101" t="s">
        <v>299</v>
      </c>
      <c r="C23" s="115"/>
      <c r="D23" s="98"/>
      <c r="E23" s="103"/>
    </row>
    <row r="24" spans="2:5" x14ac:dyDescent="0.25">
      <c r="B24" s="319" t="s">
        <v>300</v>
      </c>
      <c r="C24" s="319"/>
      <c r="D24" s="98"/>
      <c r="E24" s="105"/>
    </row>
    <row r="25" spans="2:5" ht="15.75" x14ac:dyDescent="0.25">
      <c r="B25" s="106" t="s">
        <v>301</v>
      </c>
      <c r="C25" s="107">
        <f>+SUM(C26:C28)</f>
        <v>155</v>
      </c>
      <c r="D25" s="98"/>
      <c r="E25" s="108"/>
    </row>
    <row r="26" spans="2:5" x14ac:dyDescent="0.25">
      <c r="B26" s="101" t="s">
        <v>302</v>
      </c>
      <c r="C26" s="115">
        <v>18</v>
      </c>
      <c r="D26" s="98"/>
      <c r="E26" s="103"/>
    </row>
    <row r="27" spans="2:5" x14ac:dyDescent="0.25">
      <c r="B27" s="101" t="s">
        <v>303</v>
      </c>
      <c r="C27" s="115">
        <v>7</v>
      </c>
      <c r="D27" s="98"/>
      <c r="E27" s="103"/>
    </row>
    <row r="28" spans="2:5" x14ac:dyDescent="0.25">
      <c r="B28" s="101" t="s">
        <v>304</v>
      </c>
      <c r="C28" s="115">
        <v>130</v>
      </c>
      <c r="D28" s="98"/>
      <c r="E28" s="103"/>
    </row>
    <row r="29" spans="2:5" ht="15.75" x14ac:dyDescent="0.25">
      <c r="B29" s="106" t="s">
        <v>305</v>
      </c>
      <c r="C29" s="107">
        <f>+C30+C34+C39</f>
        <v>72.099999999999994</v>
      </c>
      <c r="D29" s="98"/>
      <c r="E29" s="108"/>
    </row>
    <row r="30" spans="2:5" x14ac:dyDescent="0.25">
      <c r="B30" s="116" t="s">
        <v>306</v>
      </c>
      <c r="C30" s="117">
        <f>+SUM(C31:C33)</f>
        <v>12.1</v>
      </c>
      <c r="D30" s="98"/>
      <c r="E30" s="118"/>
    </row>
    <row r="31" spans="2:5" x14ac:dyDescent="0.25">
      <c r="B31" s="119" t="s">
        <v>307</v>
      </c>
      <c r="C31" s="115"/>
      <c r="D31" s="98"/>
      <c r="E31" s="103"/>
    </row>
    <row r="32" spans="2:5" x14ac:dyDescent="0.25">
      <c r="B32" s="119" t="s">
        <v>308</v>
      </c>
      <c r="C32" s="115"/>
      <c r="D32" s="98"/>
      <c r="E32" s="103"/>
    </row>
    <row r="33" spans="2:5" x14ac:dyDescent="0.25">
      <c r="B33" s="119" t="s">
        <v>309</v>
      </c>
      <c r="C33" s="115">
        <v>12.1</v>
      </c>
      <c r="D33" s="98"/>
      <c r="E33" s="103"/>
    </row>
    <row r="34" spans="2:5" x14ac:dyDescent="0.25">
      <c r="B34" s="116" t="s">
        <v>310</v>
      </c>
      <c r="C34" s="117">
        <f>+SUM(C35:C38)</f>
        <v>0</v>
      </c>
      <c r="D34" s="98"/>
      <c r="E34" s="118"/>
    </row>
    <row r="35" spans="2:5" x14ac:dyDescent="0.25">
      <c r="B35" s="120" t="s">
        <v>311</v>
      </c>
      <c r="C35" s="115"/>
      <c r="D35" s="98"/>
      <c r="E35" s="103"/>
    </row>
    <row r="36" spans="2:5" x14ac:dyDescent="0.25">
      <c r="B36" s="120" t="s">
        <v>312</v>
      </c>
      <c r="C36" s="115"/>
      <c r="D36" s="98"/>
      <c r="E36" s="103"/>
    </row>
    <row r="37" spans="2:5" x14ac:dyDescent="0.25">
      <c r="B37" s="120" t="s">
        <v>313</v>
      </c>
      <c r="C37" s="115"/>
      <c r="D37" s="98"/>
      <c r="E37" s="103"/>
    </row>
    <row r="38" spans="2:5" x14ac:dyDescent="0.25">
      <c r="B38" s="120" t="s">
        <v>314</v>
      </c>
      <c r="C38" s="115"/>
      <c r="D38" s="98"/>
      <c r="E38" s="103"/>
    </row>
    <row r="39" spans="2:5" x14ac:dyDescent="0.25">
      <c r="B39" s="116" t="s">
        <v>315</v>
      </c>
      <c r="C39" s="115">
        <v>60</v>
      </c>
      <c r="D39" s="98"/>
      <c r="E39" s="103"/>
    </row>
    <row r="40" spans="2:5" x14ac:dyDescent="0.25">
      <c r="B40" s="97"/>
      <c r="C40" s="121"/>
      <c r="D40" s="98"/>
      <c r="E40" s="97"/>
    </row>
    <row r="41" spans="2:5" x14ac:dyDescent="0.25">
      <c r="B41" s="324" t="s">
        <v>316</v>
      </c>
      <c r="C41" s="324"/>
      <c r="D41" s="98"/>
      <c r="E41" s="104"/>
    </row>
    <row r="42" spans="2:5" x14ac:dyDescent="0.25">
      <c r="B42" s="319" t="s">
        <v>317</v>
      </c>
      <c r="C42" s="319"/>
      <c r="D42" s="98"/>
      <c r="E42" s="105"/>
    </row>
    <row r="43" spans="2:5" ht="15.75" x14ac:dyDescent="0.25">
      <c r="B43" s="106" t="s">
        <v>318</v>
      </c>
      <c r="C43" s="107">
        <f>+C44</f>
        <v>0</v>
      </c>
      <c r="D43" s="98"/>
      <c r="E43" s="108"/>
    </row>
    <row r="44" spans="2:5" x14ac:dyDescent="0.25">
      <c r="B44" s="101" t="s">
        <v>319</v>
      </c>
      <c r="C44" s="115"/>
      <c r="D44" s="98"/>
      <c r="E44" s="103"/>
    </row>
    <row r="45" spans="2:5" ht="15.75" x14ac:dyDescent="0.25">
      <c r="B45" s="106" t="s">
        <v>320</v>
      </c>
      <c r="C45" s="107">
        <f>C46</f>
        <v>33</v>
      </c>
      <c r="D45" s="98"/>
      <c r="E45" s="108"/>
    </row>
    <row r="46" spans="2:5" x14ac:dyDescent="0.25">
      <c r="B46" s="101" t="s">
        <v>414</v>
      </c>
      <c r="C46" s="115">
        <f>50-17</f>
        <v>33</v>
      </c>
      <c r="D46" s="98"/>
      <c r="E46" s="103"/>
    </row>
    <row r="47" spans="2:5" x14ac:dyDescent="0.25">
      <c r="B47" s="319" t="s">
        <v>321</v>
      </c>
      <c r="C47" s="319"/>
      <c r="D47" s="98"/>
      <c r="E47" s="105"/>
    </row>
    <row r="48" spans="2:5" ht="15.75" x14ac:dyDescent="0.25">
      <c r="B48" s="106" t="s">
        <v>322</v>
      </c>
      <c r="C48" s="107">
        <f>+SUM(C49:C57)</f>
        <v>155.4</v>
      </c>
      <c r="D48" s="98"/>
      <c r="E48" s="108"/>
    </row>
    <row r="49" spans="2:10" x14ac:dyDescent="0.25">
      <c r="B49" s="101" t="s">
        <v>323</v>
      </c>
      <c r="C49" s="235">
        <v>59.41</v>
      </c>
      <c r="D49" s="98"/>
      <c r="E49" s="103"/>
    </row>
    <row r="50" spans="2:10" x14ac:dyDescent="0.25">
      <c r="B50" s="101" t="s">
        <v>324</v>
      </c>
      <c r="C50" s="115">
        <v>83.61</v>
      </c>
      <c r="D50" s="98"/>
      <c r="E50" s="103"/>
    </row>
    <row r="51" spans="2:10" x14ac:dyDescent="0.25">
      <c r="B51" s="101" t="s">
        <v>325</v>
      </c>
      <c r="C51" s="240">
        <v>6.05</v>
      </c>
      <c r="D51" s="98"/>
      <c r="E51" s="103"/>
    </row>
    <row r="52" spans="2:10" x14ac:dyDescent="0.25">
      <c r="B52" s="101" t="s">
        <v>326</v>
      </c>
      <c r="C52" s="115">
        <v>3.58</v>
      </c>
      <c r="D52" s="98"/>
      <c r="E52" s="103"/>
    </row>
    <row r="53" spans="2:10" x14ac:dyDescent="0.25">
      <c r="B53" s="101" t="s">
        <v>327</v>
      </c>
      <c r="C53" s="115">
        <v>2.75</v>
      </c>
      <c r="D53" s="98"/>
      <c r="E53" s="103"/>
    </row>
    <row r="54" spans="2:10" x14ac:dyDescent="0.25">
      <c r="B54" s="101" t="s">
        <v>328</v>
      </c>
      <c r="C54" s="115"/>
      <c r="D54" s="98"/>
      <c r="E54" s="103"/>
    </row>
    <row r="55" spans="2:10" x14ac:dyDescent="0.25">
      <c r="B55" s="101" t="s">
        <v>329</v>
      </c>
      <c r="C55" s="115"/>
      <c r="D55" s="98"/>
      <c r="E55" s="103"/>
    </row>
    <row r="56" spans="2:10" x14ac:dyDescent="0.25">
      <c r="B56" s="101" t="s">
        <v>330</v>
      </c>
      <c r="C56" s="115"/>
      <c r="D56" s="98"/>
      <c r="E56" s="103"/>
      <c r="H56" s="19">
        <v>5</v>
      </c>
      <c r="I56" s="216" t="s">
        <v>552</v>
      </c>
    </row>
    <row r="57" spans="2:10" x14ac:dyDescent="0.25">
      <c r="B57" s="101" t="s">
        <v>331</v>
      </c>
      <c r="C57" s="115"/>
      <c r="D57" s="98"/>
      <c r="E57" s="103"/>
    </row>
    <row r="58" spans="2:10" ht="15.75" x14ac:dyDescent="0.25">
      <c r="B58" s="106" t="s">
        <v>332</v>
      </c>
      <c r="C58" s="107">
        <f>W.B.Main!E27</f>
        <v>21343.510284937154</v>
      </c>
      <c r="D58" s="98"/>
      <c r="E58" s="108"/>
    </row>
    <row r="59" spans="2:10" x14ac:dyDescent="0.25">
      <c r="B59" s="122"/>
      <c r="C59" s="123"/>
      <c r="D59" s="122"/>
      <c r="E59" s="123"/>
    </row>
    <row r="60" spans="2:10" x14ac:dyDescent="0.25">
      <c r="B60" s="320" t="s">
        <v>333</v>
      </c>
      <c r="C60" s="321"/>
      <c r="D60" s="321"/>
      <c r="E60" s="321"/>
    </row>
    <row r="63" spans="2:10" x14ac:dyDescent="0.25">
      <c r="C63" s="109"/>
    </row>
    <row r="64" spans="2:10" x14ac:dyDescent="0.25">
      <c r="C64" s="109"/>
      <c r="I64" s="147"/>
      <c r="J64" s="147"/>
    </row>
    <row r="65" spans="3:3" x14ac:dyDescent="0.25">
      <c r="C65" s="109"/>
    </row>
    <row r="66" spans="3:3" x14ac:dyDescent="0.25">
      <c r="C66" s="147"/>
    </row>
    <row r="68" spans="3:3" x14ac:dyDescent="0.25">
      <c r="C68" s="109"/>
    </row>
    <row r="69" spans="3:3" x14ac:dyDescent="0.25">
      <c r="C69" s="109"/>
    </row>
    <row r="70" spans="3:3" x14ac:dyDescent="0.25">
      <c r="C70" s="109"/>
    </row>
    <row r="71" spans="3:3" x14ac:dyDescent="0.25">
      <c r="C71" s="147"/>
    </row>
  </sheetData>
  <mergeCells count="8">
    <mergeCell ref="B47:C47"/>
    <mergeCell ref="B60:E60"/>
    <mergeCell ref="E5:E6"/>
    <mergeCell ref="B13:C13"/>
    <mergeCell ref="B14:C14"/>
    <mergeCell ref="B24:C24"/>
    <mergeCell ref="B41:C41"/>
    <mergeCell ref="B42:C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67"/>
  <sheetViews>
    <sheetView zoomScale="115" zoomScaleNormal="115" workbookViewId="0">
      <selection activeCell="C9" sqref="C9"/>
    </sheetView>
  </sheetViews>
  <sheetFormatPr defaultColWidth="9.125" defaultRowHeight="15" x14ac:dyDescent="0.25"/>
  <cols>
    <col min="1" max="1" width="1.25" style="19" customWidth="1"/>
    <col min="2" max="2" width="43.125" style="19" customWidth="1"/>
    <col min="3" max="3" width="10.5" style="19" customWidth="1"/>
    <col min="4" max="4" width="1.25" style="85" customWidth="1"/>
    <col min="5" max="5" width="54.125" style="19" customWidth="1"/>
    <col min="6" max="16384" width="9.125" style="19"/>
  </cols>
  <sheetData>
    <row r="1" spans="2:7" ht="6.75" customHeight="1" x14ac:dyDescent="0.25"/>
    <row r="2" spans="2:7" ht="15.75" x14ac:dyDescent="0.25">
      <c r="B2" s="86" t="s">
        <v>508</v>
      </c>
      <c r="C2" s="87"/>
      <c r="D2" s="87"/>
      <c r="E2" s="88"/>
    </row>
    <row r="3" spans="2:7" ht="15.75" x14ac:dyDescent="0.25">
      <c r="B3" s="89" t="str">
        <f>+W.B.Main!B3</f>
        <v>JULY 2020</v>
      </c>
      <c r="C3" s="90"/>
      <c r="D3" s="90"/>
      <c r="E3" s="91"/>
    </row>
    <row r="4" spans="2:7" ht="7.5" customHeight="1" x14ac:dyDescent="0.25">
      <c r="B4" s="92"/>
      <c r="C4" s="90"/>
      <c r="D4" s="90"/>
      <c r="E4" s="91"/>
    </row>
    <row r="5" spans="2:7" ht="15.75" x14ac:dyDescent="0.25">
      <c r="B5" s="92"/>
      <c r="C5" s="93" t="s">
        <v>283</v>
      </c>
      <c r="D5" s="90"/>
      <c r="E5" s="322" t="s">
        <v>284</v>
      </c>
    </row>
    <row r="6" spans="2:7" ht="15.75" x14ac:dyDescent="0.25">
      <c r="B6" s="94"/>
      <c r="C6" s="95" t="s">
        <v>285</v>
      </c>
      <c r="D6" s="96"/>
      <c r="E6" s="323"/>
    </row>
    <row r="7" spans="2:7" ht="6" customHeight="1" x14ac:dyDescent="0.25">
      <c r="B7" s="97"/>
      <c r="C7" s="97"/>
      <c r="D7" s="98"/>
      <c r="E7" s="97"/>
    </row>
    <row r="8" spans="2:7" ht="15.75" x14ac:dyDescent="0.25">
      <c r="B8" s="99" t="s">
        <v>286</v>
      </c>
      <c r="C8" s="100">
        <f>+SUM(C9:C11)</f>
        <v>71491.182554514235</v>
      </c>
      <c r="D8" s="98"/>
      <c r="E8" s="139"/>
    </row>
    <row r="9" spans="2:7" x14ac:dyDescent="0.25">
      <c r="B9" s="101" t="s">
        <v>287</v>
      </c>
      <c r="C9" s="102">
        <v>71224</v>
      </c>
      <c r="D9" s="98"/>
      <c r="E9" s="140"/>
    </row>
    <row r="10" spans="2:7" x14ac:dyDescent="0.25">
      <c r="B10" s="101" t="s">
        <v>288</v>
      </c>
      <c r="C10" s="102">
        <v>267.18255451423386</v>
      </c>
      <c r="D10" s="98"/>
      <c r="E10" s="103"/>
      <c r="G10" s="109"/>
    </row>
    <row r="11" spans="2:7" x14ac:dyDescent="0.25">
      <c r="B11" s="101" t="s">
        <v>289</v>
      </c>
      <c r="C11" s="102">
        <v>0</v>
      </c>
      <c r="D11" s="98"/>
      <c r="E11" s="142"/>
    </row>
    <row r="12" spans="2:7" ht="6" customHeight="1" x14ac:dyDescent="0.25">
      <c r="B12" s="97"/>
      <c r="C12" s="97"/>
      <c r="D12" s="98"/>
      <c r="E12" s="97"/>
    </row>
    <row r="13" spans="2:7" x14ac:dyDescent="0.25">
      <c r="B13" s="324" t="s">
        <v>290</v>
      </c>
      <c r="C13" s="324"/>
      <c r="D13" s="98"/>
      <c r="E13" s="104"/>
    </row>
    <row r="14" spans="2:7" x14ac:dyDescent="0.25">
      <c r="B14" s="319" t="s">
        <v>291</v>
      </c>
      <c r="C14" s="319"/>
      <c r="D14" s="98"/>
      <c r="E14" s="105"/>
    </row>
    <row r="15" spans="2:7" ht="15.75" x14ac:dyDescent="0.25">
      <c r="B15" s="106" t="s">
        <v>292</v>
      </c>
      <c r="C15" s="107">
        <f>+C16-C28</f>
        <v>68378</v>
      </c>
      <c r="D15" s="98"/>
      <c r="E15" s="108"/>
      <c r="F15" s="109"/>
    </row>
    <row r="16" spans="2:7" x14ac:dyDescent="0.25">
      <c r="B16" s="110" t="s">
        <v>293</v>
      </c>
      <c r="C16" s="111">
        <f>+C17+C18+C19</f>
        <v>68400</v>
      </c>
      <c r="D16" s="112"/>
      <c r="E16" s="144"/>
    </row>
    <row r="17" spans="2:7" x14ac:dyDescent="0.25">
      <c r="B17" s="114" t="s">
        <v>294</v>
      </c>
      <c r="C17" s="115">
        <v>67776</v>
      </c>
      <c r="D17" s="98"/>
      <c r="E17" s="142"/>
    </row>
    <row r="18" spans="2:7" x14ac:dyDescent="0.25">
      <c r="B18" s="114" t="s">
        <v>295</v>
      </c>
      <c r="C18" s="115">
        <v>624</v>
      </c>
      <c r="D18" s="98"/>
      <c r="E18" s="103"/>
    </row>
    <row r="19" spans="2:7" x14ac:dyDescent="0.25">
      <c r="B19" s="145" t="s">
        <v>556</v>
      </c>
      <c r="C19" s="115"/>
      <c r="D19" s="98"/>
      <c r="E19" s="103"/>
    </row>
    <row r="20" spans="2:7" ht="15.75" x14ac:dyDescent="0.25">
      <c r="B20" s="106" t="s">
        <v>296</v>
      </c>
      <c r="C20" s="107">
        <f>+SUM(C21:C23)</f>
        <v>0</v>
      </c>
      <c r="D20" s="98"/>
      <c r="E20" s="108"/>
    </row>
    <row r="21" spans="2:7" x14ac:dyDescent="0.25">
      <c r="B21" s="101" t="s">
        <v>297</v>
      </c>
      <c r="C21" s="115"/>
      <c r="D21" s="98"/>
      <c r="E21" s="103"/>
    </row>
    <row r="22" spans="2:7" x14ac:dyDescent="0.25">
      <c r="B22" s="101" t="s">
        <v>298</v>
      </c>
      <c r="C22" s="115"/>
      <c r="D22" s="98"/>
      <c r="E22" s="103"/>
    </row>
    <row r="23" spans="2:7" x14ac:dyDescent="0.25">
      <c r="B23" s="101" t="s">
        <v>299</v>
      </c>
      <c r="C23" s="115"/>
      <c r="D23" s="98"/>
      <c r="E23" s="103"/>
    </row>
    <row r="24" spans="2:7" x14ac:dyDescent="0.25">
      <c r="B24" s="319" t="s">
        <v>300</v>
      </c>
      <c r="C24" s="319"/>
      <c r="D24" s="98"/>
      <c r="E24" s="230" t="s">
        <v>572</v>
      </c>
    </row>
    <row r="25" spans="2:7" ht="15.75" x14ac:dyDescent="0.25">
      <c r="B25" s="106" t="s">
        <v>301</v>
      </c>
      <c r="C25" s="107">
        <f>+SUM(C26:C28)</f>
        <v>28</v>
      </c>
      <c r="D25" s="98"/>
      <c r="E25" s="108"/>
    </row>
    <row r="26" spans="2:7" x14ac:dyDescent="0.25">
      <c r="B26" s="101" t="s">
        <v>302</v>
      </c>
      <c r="C26" s="115">
        <v>0</v>
      </c>
      <c r="D26" s="98"/>
      <c r="E26" s="103"/>
    </row>
    <row r="27" spans="2:7" x14ac:dyDescent="0.25">
      <c r="B27" s="101" t="s">
        <v>303</v>
      </c>
      <c r="C27" s="115">
        <v>6</v>
      </c>
      <c r="D27" s="98"/>
      <c r="E27" s="103"/>
    </row>
    <row r="28" spans="2:7" x14ac:dyDescent="0.25">
      <c r="B28" s="101" t="s">
        <v>304</v>
      </c>
      <c r="C28" s="115">
        <v>22</v>
      </c>
      <c r="D28" s="98"/>
      <c r="E28" s="103"/>
      <c r="G28" s="109"/>
    </row>
    <row r="29" spans="2:7" ht="15.75" x14ac:dyDescent="0.25">
      <c r="B29" s="106" t="s">
        <v>305</v>
      </c>
      <c r="C29" s="107">
        <f>+C30+C34+C39</f>
        <v>17.05</v>
      </c>
      <c r="D29" s="98"/>
      <c r="E29" s="108"/>
    </row>
    <row r="30" spans="2:7" x14ac:dyDescent="0.25">
      <c r="B30" s="116" t="s">
        <v>306</v>
      </c>
      <c r="C30" s="117">
        <f>+SUM(C31:C33)</f>
        <v>11.55</v>
      </c>
      <c r="D30" s="98"/>
      <c r="E30" s="118"/>
    </row>
    <row r="31" spans="2:7" x14ac:dyDescent="0.25">
      <c r="B31" s="119" t="s">
        <v>307</v>
      </c>
      <c r="C31" s="115"/>
      <c r="D31" s="98"/>
      <c r="E31" s="103"/>
    </row>
    <row r="32" spans="2:7" x14ac:dyDescent="0.25">
      <c r="B32" s="119" t="s">
        <v>308</v>
      </c>
      <c r="C32" s="115"/>
      <c r="D32" s="98"/>
      <c r="E32" s="103"/>
    </row>
    <row r="33" spans="2:7" x14ac:dyDescent="0.25">
      <c r="B33" s="119" t="s">
        <v>309</v>
      </c>
      <c r="C33" s="115">
        <v>11.55</v>
      </c>
      <c r="D33" s="98"/>
      <c r="E33" s="103"/>
    </row>
    <row r="34" spans="2:7" x14ac:dyDescent="0.25">
      <c r="B34" s="116" t="s">
        <v>310</v>
      </c>
      <c r="C34" s="117">
        <f>+SUM(C35:C38)</f>
        <v>5.5</v>
      </c>
      <c r="D34" s="98"/>
      <c r="E34" s="118"/>
    </row>
    <row r="35" spans="2:7" x14ac:dyDescent="0.25">
      <c r="B35" s="120" t="s">
        <v>311</v>
      </c>
      <c r="C35" s="115"/>
      <c r="D35" s="98"/>
      <c r="E35" s="103"/>
    </row>
    <row r="36" spans="2:7" x14ac:dyDescent="0.25">
      <c r="B36" s="120" t="s">
        <v>312</v>
      </c>
      <c r="C36" s="115">
        <v>5.5</v>
      </c>
      <c r="D36" s="98"/>
      <c r="E36" s="103"/>
    </row>
    <row r="37" spans="2:7" x14ac:dyDescent="0.25">
      <c r="B37" s="120" t="s">
        <v>313</v>
      </c>
      <c r="C37" s="115"/>
      <c r="D37" s="98"/>
      <c r="E37" s="103"/>
      <c r="G37" s="143" t="s">
        <v>552</v>
      </c>
    </row>
    <row r="38" spans="2:7" x14ac:dyDescent="0.25">
      <c r="B38" s="120" t="s">
        <v>314</v>
      </c>
      <c r="C38" s="115"/>
      <c r="D38" s="98"/>
      <c r="E38" s="103"/>
    </row>
    <row r="39" spans="2:7" x14ac:dyDescent="0.25">
      <c r="B39" s="116" t="s">
        <v>315</v>
      </c>
      <c r="C39" s="115"/>
      <c r="D39" s="98"/>
      <c r="E39" s="103"/>
    </row>
    <row r="40" spans="2:7" x14ac:dyDescent="0.25">
      <c r="B40" s="97"/>
      <c r="C40" s="121"/>
      <c r="D40" s="98"/>
      <c r="E40" s="97"/>
    </row>
    <row r="41" spans="2:7" x14ac:dyDescent="0.25">
      <c r="B41" s="324" t="s">
        <v>316</v>
      </c>
      <c r="C41" s="324"/>
      <c r="D41" s="98"/>
      <c r="E41" s="104"/>
    </row>
    <row r="42" spans="2:7" x14ac:dyDescent="0.25">
      <c r="B42" s="319" t="s">
        <v>317</v>
      </c>
      <c r="C42" s="319"/>
      <c r="D42" s="98"/>
      <c r="E42" s="105"/>
    </row>
    <row r="43" spans="2:7" ht="15.75" x14ac:dyDescent="0.25">
      <c r="B43" s="106" t="s">
        <v>318</v>
      </c>
      <c r="C43" s="107">
        <f>+C44</f>
        <v>0</v>
      </c>
      <c r="D43" s="98"/>
      <c r="E43" s="108"/>
    </row>
    <row r="44" spans="2:7" x14ac:dyDescent="0.25">
      <c r="B44" s="101" t="s">
        <v>319</v>
      </c>
      <c r="C44" s="115"/>
      <c r="D44" s="98"/>
      <c r="E44" s="103"/>
    </row>
    <row r="45" spans="2:7" ht="15.75" x14ac:dyDescent="0.25">
      <c r="B45" s="106" t="s">
        <v>320</v>
      </c>
      <c r="C45" s="107">
        <f>+SUM(C46:C46)</f>
        <v>17</v>
      </c>
      <c r="D45" s="98"/>
      <c r="E45" s="108"/>
    </row>
    <row r="46" spans="2:7" x14ac:dyDescent="0.25">
      <c r="B46" s="101" t="s">
        <v>414</v>
      </c>
      <c r="C46" s="115">
        <v>17</v>
      </c>
      <c r="D46" s="98"/>
      <c r="E46" s="103"/>
    </row>
    <row r="47" spans="2:7" x14ac:dyDescent="0.25">
      <c r="B47" s="319" t="s">
        <v>321</v>
      </c>
      <c r="C47" s="319"/>
      <c r="D47" s="98"/>
      <c r="E47" s="105"/>
    </row>
    <row r="48" spans="2:7" ht="15.75" x14ac:dyDescent="0.25">
      <c r="B48" s="106" t="s">
        <v>322</v>
      </c>
      <c r="C48" s="107">
        <f>+SUM(C49:C57)</f>
        <v>180.70000000000002</v>
      </c>
      <c r="D48" s="98"/>
      <c r="E48" s="108"/>
    </row>
    <row r="49" spans="2:5" x14ac:dyDescent="0.25">
      <c r="B49" s="101" t="s">
        <v>323</v>
      </c>
      <c r="C49" s="115">
        <v>128.18</v>
      </c>
      <c r="D49" s="98"/>
      <c r="E49" s="103"/>
    </row>
    <row r="50" spans="2:5" x14ac:dyDescent="0.25">
      <c r="B50" s="101" t="s">
        <v>324</v>
      </c>
      <c r="C50" s="115">
        <v>39.31</v>
      </c>
      <c r="D50" s="98"/>
      <c r="E50" s="103"/>
    </row>
    <row r="51" spans="2:5" x14ac:dyDescent="0.25">
      <c r="B51" s="101" t="s">
        <v>325</v>
      </c>
      <c r="C51" s="115">
        <v>3.03</v>
      </c>
      <c r="D51" s="98"/>
      <c r="E51" s="103"/>
    </row>
    <row r="52" spans="2:5" x14ac:dyDescent="0.25">
      <c r="B52" s="101" t="s">
        <v>326</v>
      </c>
      <c r="C52" s="115"/>
      <c r="D52" s="98"/>
      <c r="E52" s="103"/>
    </row>
    <row r="53" spans="2:5" x14ac:dyDescent="0.25">
      <c r="B53" s="101" t="s">
        <v>327</v>
      </c>
      <c r="C53" s="115">
        <v>10.18</v>
      </c>
      <c r="D53" s="98"/>
      <c r="E53" s="103"/>
    </row>
    <row r="54" spans="2:5" x14ac:dyDescent="0.25">
      <c r="B54" s="101" t="s">
        <v>328</v>
      </c>
      <c r="C54" s="115"/>
      <c r="D54" s="98"/>
      <c r="E54" s="103"/>
    </row>
    <row r="55" spans="2:5" x14ac:dyDescent="0.25">
      <c r="B55" s="101" t="s">
        <v>329</v>
      </c>
      <c r="C55" s="115"/>
      <c r="D55" s="98"/>
      <c r="E55" s="103"/>
    </row>
    <row r="56" spans="2:5" x14ac:dyDescent="0.25">
      <c r="B56" s="101" t="s">
        <v>330</v>
      </c>
      <c r="C56" s="115"/>
      <c r="D56" s="98"/>
      <c r="E56" s="103"/>
    </row>
    <row r="57" spans="2:5" x14ac:dyDescent="0.25">
      <c r="B57" s="101" t="s">
        <v>331</v>
      </c>
      <c r="C57" s="115"/>
      <c r="D57" s="98"/>
      <c r="E57" s="103"/>
    </row>
    <row r="58" spans="2:5" ht="15.75" x14ac:dyDescent="0.25">
      <c r="B58" s="106" t="s">
        <v>332</v>
      </c>
      <c r="C58" s="107">
        <f>W.B.Ind.!E27</f>
        <v>2870.4325545142319</v>
      </c>
      <c r="D58" s="98"/>
      <c r="E58" s="108"/>
    </row>
    <row r="59" spans="2:5" x14ac:dyDescent="0.25">
      <c r="B59" s="122"/>
      <c r="C59" s="123"/>
      <c r="D59" s="122"/>
      <c r="E59" s="123"/>
    </row>
    <row r="60" spans="2:5" x14ac:dyDescent="0.25">
      <c r="B60" s="320" t="s">
        <v>333</v>
      </c>
      <c r="C60" s="321"/>
      <c r="D60" s="321"/>
      <c r="E60" s="321"/>
    </row>
    <row r="64" spans="2:5" x14ac:dyDescent="0.25">
      <c r="C64" s="109"/>
    </row>
    <row r="65" spans="3:3" x14ac:dyDescent="0.25">
      <c r="C65" s="109"/>
    </row>
    <row r="66" spans="3:3" x14ac:dyDescent="0.25">
      <c r="C66" s="109"/>
    </row>
    <row r="67" spans="3:3" x14ac:dyDescent="0.25">
      <c r="C67" s="147"/>
    </row>
  </sheetData>
  <mergeCells count="8">
    <mergeCell ref="B47:C47"/>
    <mergeCell ref="B60:E60"/>
    <mergeCell ref="E5:E6"/>
    <mergeCell ref="B13:C13"/>
    <mergeCell ref="B14:C14"/>
    <mergeCell ref="B24:C24"/>
    <mergeCell ref="B41:C41"/>
    <mergeCell ref="B42:C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30"/>
  <sheetViews>
    <sheetView workbookViewId="0">
      <selection activeCell="E3" sqref="E3"/>
    </sheetView>
  </sheetViews>
  <sheetFormatPr defaultColWidth="9.125" defaultRowHeight="15" x14ac:dyDescent="0.25"/>
  <cols>
    <col min="1" max="1" width="1.25" style="19" customWidth="1"/>
    <col min="2" max="3" width="17.625" style="19" customWidth="1"/>
    <col min="4" max="4" width="21.625" style="19" customWidth="1"/>
    <col min="5" max="5" width="43.125" style="19" customWidth="1"/>
    <col min="6" max="6" width="17.625" style="19" customWidth="1"/>
    <col min="7" max="7" width="9.5" style="19" customWidth="1"/>
    <col min="8" max="8" width="12.125" style="19" bestFit="1" customWidth="1"/>
    <col min="9" max="16384" width="9.125" style="19"/>
  </cols>
  <sheetData>
    <row r="1" spans="2:8" ht="6.75" customHeight="1" thickBot="1" x14ac:dyDescent="0.3"/>
    <row r="2" spans="2:8" ht="18.75" x14ac:dyDescent="0.3">
      <c r="B2" s="20" t="str">
        <f>'W.B. Input Data'!B2</f>
        <v>BCBI-SAN LUIS</v>
      </c>
      <c r="C2" s="21"/>
      <c r="D2" s="21"/>
      <c r="E2" s="21"/>
      <c r="F2" s="22"/>
    </row>
    <row r="3" spans="2:8" ht="18.75" x14ac:dyDescent="0.3">
      <c r="B3" s="23" t="str">
        <f>+W.B.Ind.!B3</f>
        <v>JULY 2020</v>
      </c>
      <c r="C3" s="24"/>
      <c r="D3" s="25"/>
      <c r="E3" s="24"/>
      <c r="F3" s="26"/>
    </row>
    <row r="4" spans="2:8" ht="15.75" thickBot="1" x14ac:dyDescent="0.3">
      <c r="B4" s="27"/>
      <c r="C4" s="28"/>
      <c r="D4" s="28"/>
      <c r="E4" s="28"/>
      <c r="F4" s="29"/>
    </row>
    <row r="5" spans="2:8" x14ac:dyDescent="0.25">
      <c r="B5" s="30"/>
      <c r="C5" s="31"/>
      <c r="D5" s="32"/>
      <c r="E5" s="32" t="s">
        <v>268</v>
      </c>
      <c r="F5" s="33"/>
    </row>
    <row r="6" spans="2:8" ht="15.75" x14ac:dyDescent="0.25">
      <c r="B6" s="34"/>
      <c r="C6" s="35"/>
      <c r="D6" s="36" t="s">
        <v>269</v>
      </c>
      <c r="E6" s="37">
        <f>'W.B.Input data main'!C15</f>
        <v>110090</v>
      </c>
      <c r="F6" s="38" t="s">
        <v>270</v>
      </c>
    </row>
    <row r="7" spans="2:8" ht="16.5" thickBot="1" x14ac:dyDescent="0.3">
      <c r="B7" s="34"/>
      <c r="C7" s="35"/>
      <c r="D7" s="36" t="s">
        <v>271</v>
      </c>
      <c r="E7" s="39">
        <f>+E6/B17</f>
        <v>0.83497024180982438</v>
      </c>
      <c r="F7" s="38" t="s">
        <v>272</v>
      </c>
    </row>
    <row r="8" spans="2:8" ht="15.75" x14ac:dyDescent="0.25">
      <c r="B8" s="34"/>
      <c r="C8" s="35"/>
      <c r="D8" s="37">
        <f>+E6+E9</f>
        <v>110090</v>
      </c>
      <c r="E8" s="32" t="s">
        <v>273</v>
      </c>
      <c r="F8" s="40">
        <f>+E6+E9</f>
        <v>110090</v>
      </c>
      <c r="G8" s="41"/>
      <c r="H8" s="42"/>
    </row>
    <row r="9" spans="2:8" ht="15.75" x14ac:dyDescent="0.25">
      <c r="B9" s="34"/>
      <c r="C9" s="35" t="s">
        <v>274</v>
      </c>
      <c r="D9" s="43">
        <f>+D8/B17</f>
        <v>0.83497024180982438</v>
      </c>
      <c r="E9" s="37">
        <f>'W.B.Input data main'!C20</f>
        <v>0</v>
      </c>
      <c r="F9" s="44">
        <f>+F8/B17</f>
        <v>0.83497024180982438</v>
      </c>
      <c r="H9" s="41"/>
    </row>
    <row r="10" spans="2:8" ht="16.5" thickBot="1" x14ac:dyDescent="0.3">
      <c r="B10" s="34"/>
      <c r="C10" s="35" t="s">
        <v>271</v>
      </c>
      <c r="D10" s="45"/>
      <c r="E10" s="39">
        <f>+E9/B17</f>
        <v>0</v>
      </c>
      <c r="F10" s="46"/>
      <c r="H10" s="239" t="s">
        <v>595</v>
      </c>
    </row>
    <row r="11" spans="2:8" ht="15.75" x14ac:dyDescent="0.25">
      <c r="B11" s="34"/>
      <c r="C11" s="47">
        <f>+D8+D14</f>
        <v>110317.1</v>
      </c>
      <c r="D11" s="48"/>
      <c r="E11" s="48" t="s">
        <v>95</v>
      </c>
      <c r="F11" s="49"/>
    </row>
    <row r="12" spans="2:8" ht="15.75" x14ac:dyDescent="0.25">
      <c r="B12" s="34"/>
      <c r="C12" s="50">
        <f>+C11/B17</f>
        <v>0.83669266657061114</v>
      </c>
      <c r="D12" s="51" t="s">
        <v>275</v>
      </c>
      <c r="E12" s="52">
        <f>'W.B.Input data main'!C25</f>
        <v>155</v>
      </c>
      <c r="F12" s="53"/>
    </row>
    <row r="13" spans="2:8" ht="16.5" thickBot="1" x14ac:dyDescent="0.3">
      <c r="B13" s="34"/>
      <c r="C13" s="35"/>
      <c r="D13" s="51" t="s">
        <v>271</v>
      </c>
      <c r="E13" s="54">
        <f>+E12/B17</f>
        <v>1.1755871330776889E-3</v>
      </c>
      <c r="F13" s="53"/>
    </row>
    <row r="14" spans="2:8" ht="15.75" x14ac:dyDescent="0.25">
      <c r="B14" s="34"/>
      <c r="C14" s="35"/>
      <c r="D14" s="52">
        <f>+E12+E15</f>
        <v>227.1</v>
      </c>
      <c r="E14" s="48" t="s">
        <v>96</v>
      </c>
      <c r="F14" s="53"/>
    </row>
    <row r="15" spans="2:8" ht="15.75" x14ac:dyDescent="0.25">
      <c r="B15" s="34"/>
      <c r="C15" s="35"/>
      <c r="D15" s="55">
        <f>+D14/B17</f>
        <v>1.72242476078673E-3</v>
      </c>
      <c r="E15" s="52">
        <f>'W.B.Input data main'!C29</f>
        <v>72.099999999999994</v>
      </c>
      <c r="F15" s="53"/>
    </row>
    <row r="16" spans="2:8" ht="16.5" thickBot="1" x14ac:dyDescent="0.3">
      <c r="B16" s="34" t="s">
        <v>276</v>
      </c>
      <c r="C16" s="56"/>
      <c r="D16" s="57"/>
      <c r="E16" s="54">
        <f>+E15/B17</f>
        <v>5.468376277090411E-4</v>
      </c>
      <c r="F16" s="53"/>
    </row>
    <row r="17" spans="2:6" ht="15.75" x14ac:dyDescent="0.25">
      <c r="B17" s="58">
        <f>'W.B.Input data main'!C8</f>
        <v>131849.01028493716</v>
      </c>
      <c r="C17" s="59"/>
      <c r="D17" s="60"/>
      <c r="E17" s="60" t="s">
        <v>97</v>
      </c>
      <c r="F17" s="53"/>
    </row>
    <row r="18" spans="2:6" ht="15.75" x14ac:dyDescent="0.25">
      <c r="B18" s="61"/>
      <c r="C18" s="62"/>
      <c r="D18" s="63" t="s">
        <v>277</v>
      </c>
      <c r="E18" s="64">
        <f>'W.B. Input Data'!C43</f>
        <v>0</v>
      </c>
      <c r="F18" s="53" t="s">
        <v>278</v>
      </c>
    </row>
    <row r="19" spans="2:6" ht="16.5" thickBot="1" x14ac:dyDescent="0.3">
      <c r="B19" s="65"/>
      <c r="C19" s="62"/>
      <c r="D19" s="63" t="s">
        <v>279</v>
      </c>
      <c r="E19" s="66">
        <f>+E18/B17</f>
        <v>0</v>
      </c>
      <c r="F19" s="53" t="s">
        <v>272</v>
      </c>
    </row>
    <row r="20" spans="2:6" ht="15.75" x14ac:dyDescent="0.25">
      <c r="B20" s="34"/>
      <c r="C20" s="62"/>
      <c r="D20" s="64">
        <f>+E18+E21</f>
        <v>33</v>
      </c>
      <c r="E20" s="60" t="s">
        <v>280</v>
      </c>
      <c r="F20" s="67">
        <f>+E12+E15+E18+E21+E24+E27</f>
        <v>21759.010284937154</v>
      </c>
    </row>
    <row r="21" spans="2:6" ht="15.75" x14ac:dyDescent="0.25">
      <c r="B21" s="34"/>
      <c r="C21" s="62" t="s">
        <v>272</v>
      </c>
      <c r="D21" s="68">
        <f>+D20/B17</f>
        <v>2.5028629284879828E-4</v>
      </c>
      <c r="E21" s="64">
        <f>'W.B.Input data main'!C45</f>
        <v>33</v>
      </c>
      <c r="F21" s="69">
        <f>+F20/B17</f>
        <v>0.1650297581901756</v>
      </c>
    </row>
    <row r="22" spans="2:6" ht="16.5" thickBot="1" x14ac:dyDescent="0.3">
      <c r="B22" s="34"/>
      <c r="C22" s="62" t="s">
        <v>281</v>
      </c>
      <c r="D22" s="70"/>
      <c r="E22" s="68">
        <f>+E21/B17</f>
        <v>2.5028629284879828E-4</v>
      </c>
      <c r="F22" s="69"/>
    </row>
    <row r="23" spans="2:6" ht="15.75" x14ac:dyDescent="0.25">
      <c r="B23" s="34"/>
      <c r="C23" s="71">
        <f>+B17-C11</f>
        <v>21531.910284937156</v>
      </c>
      <c r="D23" s="72"/>
      <c r="E23" s="60" t="s">
        <v>99</v>
      </c>
      <c r="F23" s="73"/>
    </row>
    <row r="24" spans="2:6" ht="15.75" x14ac:dyDescent="0.25">
      <c r="B24" s="34"/>
      <c r="C24" s="74">
        <f>+C23/B17</f>
        <v>0.16330733342938888</v>
      </c>
      <c r="D24" s="75" t="s">
        <v>282</v>
      </c>
      <c r="E24" s="64">
        <f>'W.B.Input data main'!C48</f>
        <v>155.4</v>
      </c>
      <c r="F24" s="73"/>
    </row>
    <row r="25" spans="2:6" ht="16.5" thickBot="1" x14ac:dyDescent="0.3">
      <c r="B25" s="34"/>
      <c r="C25" s="62"/>
      <c r="D25" s="75" t="s">
        <v>281</v>
      </c>
      <c r="E25" s="76">
        <f>+E24/B17</f>
        <v>1.1786209063243411E-3</v>
      </c>
      <c r="F25" s="73"/>
    </row>
    <row r="26" spans="2:6" ht="15.75" x14ac:dyDescent="0.25">
      <c r="B26" s="34"/>
      <c r="C26" s="62"/>
      <c r="D26" s="77">
        <f>+C23-D20</f>
        <v>21498.910284937156</v>
      </c>
      <c r="E26" s="78" t="s">
        <v>100</v>
      </c>
      <c r="F26" s="73"/>
    </row>
    <row r="27" spans="2:6" ht="15.75" x14ac:dyDescent="0.25">
      <c r="B27" s="34"/>
      <c r="C27" s="62"/>
      <c r="D27" s="79">
        <f>+D26/B17</f>
        <v>0.16305704713654007</v>
      </c>
      <c r="E27" s="80">
        <f>+D26-E24</f>
        <v>21343.510284937154</v>
      </c>
      <c r="F27" s="73"/>
    </row>
    <row r="28" spans="2:6" ht="16.5" thickBot="1" x14ac:dyDescent="0.3">
      <c r="B28" s="81"/>
      <c r="C28" s="82"/>
      <c r="D28" s="83"/>
      <c r="E28" s="76">
        <f>+E27/B17</f>
        <v>0.16187842623021573</v>
      </c>
      <c r="F28" s="84"/>
    </row>
    <row r="29" spans="2:6" x14ac:dyDescent="0.25">
      <c r="B29" s="41"/>
      <c r="C29" s="41"/>
      <c r="D29" s="41"/>
    </row>
    <row r="30" spans="2:6" x14ac:dyDescent="0.25">
      <c r="C3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Daily Report</vt:lpstr>
      <vt:lpstr>Formulas</vt:lpstr>
      <vt:lpstr>bulk water</vt:lpstr>
      <vt:lpstr>Water Balance</vt:lpstr>
      <vt:lpstr>CMR</vt:lpstr>
      <vt:lpstr>W.B. Input Data</vt:lpstr>
      <vt:lpstr>W.B.Input data main</vt:lpstr>
      <vt:lpstr>W.B.Input data ind.</vt:lpstr>
      <vt:lpstr>W.B.Main</vt:lpstr>
      <vt:lpstr>W.B.Ind.</vt:lpstr>
      <vt:lpstr>CMR!Print_Area</vt:lpstr>
      <vt:lpstr>'W.B. Input Data'!Print_Area</vt:lpstr>
      <vt:lpstr>'Water Balance'!Print_Area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Isabelle Alejandro</dc:creator>
  <cp:lastModifiedBy>Berlin</cp:lastModifiedBy>
  <cp:lastPrinted>2019-05-09T03:47:42Z</cp:lastPrinted>
  <dcterms:created xsi:type="dcterms:W3CDTF">2013-04-24T03:47:31Z</dcterms:created>
  <dcterms:modified xsi:type="dcterms:W3CDTF">2020-09-03T07:40:46Z</dcterms:modified>
</cp:coreProperties>
</file>