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4385" yWindow="-15" windowWidth="14430" windowHeight="12840" tabRatio="933" activeTab="4"/>
  </bookViews>
  <sheets>
    <sheet name="MNF Graph -dma3" sheetId="47" r:id="rId1"/>
    <sheet name="Analysis" sheetId="38" r:id="rId2"/>
    <sheet name="DMA FM" sheetId="54" r:id="rId3"/>
    <sheet name="DMA Con" sheetId="55" r:id="rId4"/>
    <sheet name="NRW Per DMA" sheetId="52" r:id="rId5"/>
    <sheet name="LVC" sheetId="21" r:id="rId6"/>
    <sheet name="COMPUTATION (2)" sheetId="53" r:id="rId7"/>
    <sheet name="MPPR#5" sheetId="51" r:id="rId8"/>
    <sheet name="MPPR#4" sheetId="50" r:id="rId9"/>
    <sheet name="MPPR#3" sheetId="49" r:id="rId10"/>
    <sheet name="MPPR#2" sheetId="48" r:id="rId11"/>
    <sheet name="MPPR#1" sheetId="26" r:id="rId12"/>
    <sheet name="W.B. Input Data" sheetId="8" r:id="rId13"/>
    <sheet name="Water Balance" sheetId="9" r:id="rId14"/>
    <sheet name="Pump Lowest &amp; Highest PSI" sheetId="46" r:id="rId15"/>
  </sheets>
  <definedNames>
    <definedName name="_xlnm._FilterDatabase" localSheetId="6" hidden="1">'COMPUTATION (2)'!$A$1:$E$90</definedName>
    <definedName name="_xlnm.Print_Area" localSheetId="6">'COMPUTATION (2)'!$A$1:$T$90</definedName>
    <definedName name="_xlnm.Print_Area" localSheetId="2">'DMA FM'!$A$1:$X$38</definedName>
    <definedName name="_xlnm.Print_Area" localSheetId="5">LVC!$B$2:$L$21</definedName>
    <definedName name="_xlnm.Print_Area" localSheetId="11">'MPPR#1'!$A$1:$L$48</definedName>
    <definedName name="_xlnm.Print_Area" localSheetId="10">'MPPR#2'!$A$1:$L$48</definedName>
    <definedName name="_xlnm.Print_Area" localSheetId="9">'MPPR#3'!$A$1:$L$48</definedName>
    <definedName name="_xlnm.Print_Area" localSheetId="8">'MPPR#4'!$A$1:$L$48</definedName>
    <definedName name="_xlnm.Print_Area" localSheetId="7">'MPPR#5'!$A$1:$L$48</definedName>
    <definedName name="_xlnm.Print_Area" localSheetId="4">'NRW Per DMA'!$A$2:$R$27</definedName>
    <definedName name="_xlnm.Print_Area" localSheetId="12">'W.B. Input Data'!$B$2:$E$59</definedName>
    <definedName name="_xlnm.Print_Area" localSheetId="13">'Water Balance'!$B$2:$F$28</definedName>
  </definedNames>
  <calcPr calcId="145621"/>
</workbook>
</file>

<file path=xl/calcChain.xml><?xml version="1.0" encoding="utf-8"?>
<calcChain xmlns="http://schemas.openxmlformats.org/spreadsheetml/2006/main">
  <c r="J8" i="52" l="1"/>
  <c r="F7" i="38" l="1"/>
  <c r="C10" i="47"/>
  <c r="C9" i="47"/>
  <c r="C8" i="47"/>
  <c r="C7" i="47"/>
  <c r="V37" i="54" l="1"/>
  <c r="V36" i="54"/>
  <c r="V35" i="54"/>
  <c r="V34" i="54"/>
  <c r="V33" i="54"/>
  <c r="V32" i="54"/>
  <c r="V31" i="54"/>
  <c r="V30" i="54"/>
  <c r="V29" i="54"/>
  <c r="V28" i="54"/>
  <c r="V27" i="54"/>
  <c r="V26" i="54"/>
  <c r="V25" i="54"/>
  <c r="V24" i="54"/>
  <c r="V23" i="54"/>
  <c r="V22" i="54"/>
  <c r="V21" i="54"/>
  <c r="V20" i="54"/>
  <c r="V19" i="54"/>
  <c r="V18" i="54"/>
  <c r="V17" i="54"/>
  <c r="V16" i="54"/>
  <c r="V15" i="54"/>
  <c r="V14" i="54"/>
  <c r="V13" i="54"/>
  <c r="V12" i="54"/>
  <c r="V11" i="54"/>
  <c r="V10" i="54"/>
  <c r="V9" i="54"/>
  <c r="V8" i="54"/>
  <c r="V7" i="54"/>
  <c r="R37" i="54"/>
  <c r="R36" i="54"/>
  <c r="R35" i="54"/>
  <c r="R34" i="54"/>
  <c r="R33" i="54"/>
  <c r="R32" i="54"/>
  <c r="R31" i="54"/>
  <c r="R30" i="54"/>
  <c r="R29" i="54"/>
  <c r="R28" i="54"/>
  <c r="R27" i="54"/>
  <c r="R26" i="54"/>
  <c r="R25" i="54"/>
  <c r="R24" i="54"/>
  <c r="R23" i="54"/>
  <c r="R22" i="54"/>
  <c r="R21" i="54"/>
  <c r="R20" i="54"/>
  <c r="R19" i="54"/>
  <c r="R18" i="54"/>
  <c r="R17" i="54"/>
  <c r="R16" i="54"/>
  <c r="R15" i="54"/>
  <c r="R14" i="54"/>
  <c r="R13" i="54"/>
  <c r="R12" i="54"/>
  <c r="R11" i="54"/>
  <c r="R10" i="54"/>
  <c r="R9" i="54"/>
  <c r="R8" i="54"/>
  <c r="R7" i="54"/>
  <c r="N26" i="54"/>
  <c r="N25" i="54"/>
  <c r="N24" i="54"/>
  <c r="N23" i="54"/>
  <c r="N22" i="54"/>
  <c r="N21" i="54"/>
  <c r="N20" i="54"/>
  <c r="N19" i="54"/>
  <c r="N18" i="54"/>
  <c r="N17" i="54"/>
  <c r="N16" i="54"/>
  <c r="N15" i="54"/>
  <c r="N14" i="54"/>
  <c r="N13" i="54"/>
  <c r="N12" i="54"/>
  <c r="J17" i="54"/>
  <c r="J16" i="54"/>
  <c r="J15" i="54"/>
  <c r="J14" i="54"/>
  <c r="J13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F7" i="54"/>
  <c r="B37" i="54"/>
  <c r="B36" i="54"/>
  <c r="B35" i="54"/>
  <c r="B34" i="54"/>
  <c r="B33" i="54"/>
  <c r="B32" i="54"/>
  <c r="B31" i="54"/>
  <c r="B30" i="54"/>
  <c r="B29" i="54"/>
  <c r="B28" i="54"/>
  <c r="B27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B11" i="54"/>
  <c r="B10" i="54"/>
  <c r="B9" i="54"/>
  <c r="B8" i="54"/>
  <c r="B7" i="54"/>
  <c r="P86" i="53"/>
  <c r="P85" i="53"/>
  <c r="P84" i="53"/>
  <c r="P83" i="53"/>
  <c r="H82" i="53"/>
  <c r="H81" i="53"/>
  <c r="H80" i="53"/>
  <c r="I79" i="53"/>
  <c r="H78" i="53"/>
  <c r="H77" i="53"/>
  <c r="H76" i="53"/>
  <c r="H75" i="53"/>
  <c r="R74" i="53"/>
  <c r="R73" i="53"/>
  <c r="I72" i="53"/>
  <c r="I71" i="53"/>
  <c r="P70" i="53"/>
  <c r="I69" i="53"/>
  <c r="I68" i="53"/>
  <c r="R67" i="53"/>
  <c r="I66" i="53"/>
  <c r="I65" i="53"/>
  <c r="I64" i="53"/>
  <c r="H63" i="53"/>
  <c r="L62" i="53"/>
  <c r="I61" i="53"/>
  <c r="I60" i="53"/>
  <c r="P59" i="53"/>
  <c r="M58" i="53"/>
  <c r="I57" i="53"/>
  <c r="H56" i="53"/>
  <c r="I55" i="53"/>
  <c r="H54" i="53"/>
  <c r="H53" i="53"/>
  <c r="H52" i="53"/>
  <c r="I51" i="53"/>
  <c r="H50" i="53"/>
  <c r="H49" i="53"/>
  <c r="I48" i="53"/>
  <c r="R47" i="53"/>
  <c r="S46" i="53"/>
  <c r="I45" i="53"/>
  <c r="I44" i="53"/>
  <c r="R43" i="53"/>
  <c r="H42" i="53"/>
  <c r="H41" i="53"/>
  <c r="H40" i="53"/>
  <c r="I39" i="53"/>
  <c r="I38" i="53"/>
  <c r="I37" i="53"/>
  <c r="I36" i="53"/>
  <c r="I35" i="53"/>
  <c r="H34" i="53"/>
  <c r="I33" i="53"/>
  <c r="I32" i="53"/>
  <c r="H31" i="53"/>
  <c r="I30" i="53"/>
  <c r="R29" i="53"/>
  <c r="I28" i="53"/>
  <c r="I27" i="53"/>
  <c r="H26" i="53"/>
  <c r="I25" i="53"/>
  <c r="I24" i="53"/>
  <c r="I23" i="53"/>
  <c r="P22" i="53"/>
  <c r="P21" i="53"/>
  <c r="P20" i="53"/>
  <c r="P19" i="53"/>
  <c r="P18" i="53"/>
  <c r="P17" i="53"/>
  <c r="P16" i="53"/>
  <c r="S15" i="53"/>
  <c r="S14" i="53"/>
  <c r="P13" i="53"/>
  <c r="P12" i="53"/>
  <c r="P11" i="53"/>
  <c r="S10" i="53"/>
  <c r="R9" i="53"/>
  <c r="P20" i="50"/>
  <c r="P35" i="48"/>
  <c r="P35" i="26"/>
  <c r="T20" i="50"/>
  <c r="S35" i="49"/>
  <c r="S20" i="49"/>
  <c r="J39" i="48"/>
  <c r="E45" i="51"/>
  <c r="J39" i="26"/>
  <c r="E45" i="26"/>
  <c r="A8" i="54" l="1"/>
  <c r="I8" i="55" l="1"/>
  <c r="K8" i="55" l="1"/>
  <c r="H8" i="55"/>
  <c r="A9" i="54" l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D4" i="55" l="1"/>
  <c r="D3" i="55"/>
  <c r="D5" i="55"/>
  <c r="D6" i="55"/>
  <c r="D7" i="55"/>
  <c r="D8" i="55"/>
  <c r="J3" i="55"/>
  <c r="J4" i="55"/>
  <c r="J5" i="55"/>
  <c r="J6" i="55"/>
  <c r="J7" i="55"/>
  <c r="J8" i="55"/>
  <c r="J9" i="55"/>
  <c r="J10" i="55"/>
  <c r="P3" i="55"/>
  <c r="P4" i="55"/>
  <c r="P5" i="55"/>
  <c r="P6" i="55"/>
  <c r="V3" i="55"/>
  <c r="V4" i="55"/>
  <c r="V5" i="55"/>
  <c r="V6" i="55"/>
  <c r="V7" i="55"/>
  <c r="S20" i="48" l="1"/>
  <c r="S35" i="48"/>
  <c r="S34" i="48"/>
  <c r="C37" i="26"/>
  <c r="E45" i="49"/>
  <c r="E45" i="50"/>
  <c r="E45" i="48"/>
  <c r="C11" i="50"/>
  <c r="E11" i="50" s="1"/>
  <c r="C12" i="50"/>
  <c r="C13" i="50"/>
  <c r="E40" i="51"/>
  <c r="H40" i="51"/>
  <c r="S40" i="51"/>
  <c r="C41" i="51"/>
  <c r="E41" i="51"/>
  <c r="S41" i="51"/>
  <c r="K40" i="51" l="1"/>
  <c r="K41" i="51"/>
  <c r="T39" i="50"/>
  <c r="T38" i="50"/>
  <c r="T37" i="50"/>
  <c r="T36" i="50"/>
  <c r="T35" i="50"/>
  <c r="T34" i="50"/>
  <c r="T33" i="50"/>
  <c r="T32" i="50"/>
  <c r="T31" i="50"/>
  <c r="T30" i="50"/>
  <c r="T29" i="50"/>
  <c r="T28" i="50"/>
  <c r="T27" i="50"/>
  <c r="T26" i="50"/>
  <c r="T25" i="50"/>
  <c r="T24" i="50"/>
  <c r="T23" i="50"/>
  <c r="T22" i="50"/>
  <c r="T21" i="50"/>
  <c r="T19" i="50"/>
  <c r="T17" i="50"/>
  <c r="T16" i="50"/>
  <c r="T15" i="50"/>
  <c r="T14" i="50"/>
  <c r="T13" i="50"/>
  <c r="T12" i="50"/>
  <c r="T11" i="50"/>
  <c r="T10" i="50"/>
  <c r="S27" i="51"/>
  <c r="S39" i="51"/>
  <c r="S38" i="51"/>
  <c r="S37" i="51"/>
  <c r="S36" i="51"/>
  <c r="S35" i="51"/>
  <c r="S34" i="51"/>
  <c r="S33" i="51"/>
  <c r="S32" i="51"/>
  <c r="S31" i="51"/>
  <c r="S30" i="51"/>
  <c r="S29" i="51"/>
  <c r="S28" i="51"/>
  <c r="S26" i="51"/>
  <c r="S25" i="51"/>
  <c r="S24" i="51"/>
  <c r="S23" i="51"/>
  <c r="S22" i="51"/>
  <c r="S21" i="51"/>
  <c r="S20" i="51"/>
  <c r="S19" i="51"/>
  <c r="S18" i="51"/>
  <c r="S17" i="51"/>
  <c r="S16" i="51"/>
  <c r="S14" i="51"/>
  <c r="S13" i="51"/>
  <c r="S12" i="51"/>
  <c r="S11" i="51"/>
  <c r="S10" i="51"/>
  <c r="S15" i="51"/>
  <c r="P42" i="51"/>
  <c r="R42" i="50"/>
  <c r="Q42" i="50"/>
  <c r="P42" i="50"/>
  <c r="S39" i="48"/>
  <c r="S38" i="48"/>
  <c r="S37" i="48"/>
  <c r="S36" i="48"/>
  <c r="S33" i="48"/>
  <c r="S32" i="48"/>
  <c r="S31" i="48"/>
  <c r="S30" i="48"/>
  <c r="S29" i="48"/>
  <c r="S28" i="48"/>
  <c r="S27" i="48"/>
  <c r="S26" i="48"/>
  <c r="S25" i="48"/>
  <c r="S24" i="48"/>
  <c r="S23" i="48"/>
  <c r="S22" i="48"/>
  <c r="S21" i="48"/>
  <c r="S19" i="48"/>
  <c r="S18" i="48"/>
  <c r="S17" i="48"/>
  <c r="S16" i="48"/>
  <c r="S15" i="48"/>
  <c r="S14" i="48"/>
  <c r="S13" i="48"/>
  <c r="S12" i="48"/>
  <c r="S11" i="48"/>
  <c r="S10" i="48"/>
  <c r="S39" i="26"/>
  <c r="S38" i="26"/>
  <c r="S37" i="26"/>
  <c r="S36" i="26"/>
  <c r="S34" i="26"/>
  <c r="S33" i="26"/>
  <c r="S32" i="26"/>
  <c r="S31" i="26"/>
  <c r="S30" i="26"/>
  <c r="S29" i="26"/>
  <c r="S28" i="26"/>
  <c r="S27" i="26"/>
  <c r="S26" i="26"/>
  <c r="S25" i="26"/>
  <c r="S24" i="26"/>
  <c r="S23" i="26"/>
  <c r="S22" i="26"/>
  <c r="S21" i="26"/>
  <c r="S20" i="26"/>
  <c r="S19" i="26"/>
  <c r="S18" i="26"/>
  <c r="S17" i="26"/>
  <c r="S16" i="26"/>
  <c r="S15" i="26"/>
  <c r="S14" i="26"/>
  <c r="S13" i="26"/>
  <c r="S12" i="26"/>
  <c r="S11" i="26"/>
  <c r="S10" i="26"/>
  <c r="R42" i="48"/>
  <c r="Q42" i="48"/>
  <c r="P42" i="48"/>
  <c r="R42" i="26"/>
  <c r="Q42" i="26"/>
  <c r="P42" i="26"/>
  <c r="S35" i="26"/>
  <c r="L40" i="51" l="1"/>
  <c r="F40" i="51"/>
  <c r="G40" i="51" s="1"/>
  <c r="F41" i="51"/>
  <c r="G41" i="51" s="1"/>
  <c r="L41" i="51"/>
  <c r="T42" i="50"/>
  <c r="E9" i="55" l="1"/>
  <c r="C9" i="55"/>
  <c r="B9" i="55"/>
  <c r="D9" i="55" l="1"/>
  <c r="T34" i="54" l="1"/>
  <c r="T30" i="54"/>
  <c r="T26" i="54"/>
  <c r="T22" i="54"/>
  <c r="T21" i="54"/>
  <c r="T18" i="54"/>
  <c r="T14" i="54"/>
  <c r="T10" i="54"/>
  <c r="T9" i="54"/>
  <c r="T7" i="54"/>
  <c r="T8" i="54"/>
  <c r="T11" i="54"/>
  <c r="T12" i="54"/>
  <c r="T13" i="54"/>
  <c r="T15" i="54"/>
  <c r="T16" i="54"/>
  <c r="T17" i="54"/>
  <c r="T19" i="54"/>
  <c r="T20" i="54"/>
  <c r="T23" i="54"/>
  <c r="T24" i="54"/>
  <c r="T25" i="54"/>
  <c r="T27" i="54"/>
  <c r="T28" i="54"/>
  <c r="T29" i="54"/>
  <c r="T31" i="54"/>
  <c r="T32" i="54"/>
  <c r="T33" i="54"/>
  <c r="T35" i="54"/>
  <c r="T36" i="54"/>
  <c r="T37" i="54"/>
  <c r="K37" i="46"/>
  <c r="I37" i="46"/>
  <c r="G37" i="46"/>
  <c r="E37" i="46"/>
  <c r="C37" i="46"/>
  <c r="J37" i="46"/>
  <c r="H37" i="46"/>
  <c r="D37" i="46"/>
  <c r="B37" i="46"/>
  <c r="B3" i="9"/>
  <c r="B42" i="51"/>
  <c r="B43" i="51" s="1"/>
  <c r="J42" i="51"/>
  <c r="B42" i="48"/>
  <c r="J42" i="48"/>
  <c r="H39" i="51"/>
  <c r="H38" i="51"/>
  <c r="H37" i="51"/>
  <c r="H36" i="51"/>
  <c r="H35" i="51"/>
  <c r="H34" i="51"/>
  <c r="H33" i="51"/>
  <c r="H32" i="51"/>
  <c r="H31" i="51"/>
  <c r="H30" i="51"/>
  <c r="H29" i="51"/>
  <c r="H28" i="51"/>
  <c r="H27" i="51"/>
  <c r="H26" i="51"/>
  <c r="H25" i="51"/>
  <c r="H24" i="51"/>
  <c r="H23" i="51"/>
  <c r="H22" i="51"/>
  <c r="H21" i="51"/>
  <c r="H20" i="51"/>
  <c r="H19" i="51"/>
  <c r="H18" i="51"/>
  <c r="H15" i="51"/>
  <c r="H12" i="51"/>
  <c r="H11" i="51"/>
  <c r="M11" i="51"/>
  <c r="M12" i="51" s="1"/>
  <c r="M13" i="51" s="1"/>
  <c r="M14" i="51" s="1"/>
  <c r="M15" i="51" s="1"/>
  <c r="M16" i="51" s="1"/>
  <c r="M17" i="51" s="1"/>
  <c r="M18" i="51" s="1"/>
  <c r="M19" i="51" s="1"/>
  <c r="M20" i="51" s="1"/>
  <c r="M21" i="51" s="1"/>
  <c r="M22" i="51" s="1"/>
  <c r="M23" i="51" s="1"/>
  <c r="M24" i="51" s="1"/>
  <c r="M25" i="51" s="1"/>
  <c r="M26" i="51" s="1"/>
  <c r="M27" i="51" s="1"/>
  <c r="M28" i="51" s="1"/>
  <c r="M29" i="51" s="1"/>
  <c r="M30" i="51" s="1"/>
  <c r="M31" i="51" s="1"/>
  <c r="M32" i="51" s="1"/>
  <c r="M33" i="51" s="1"/>
  <c r="M34" i="51" s="1"/>
  <c r="M35" i="51" s="1"/>
  <c r="M36" i="51" s="1"/>
  <c r="M37" i="51" s="1"/>
  <c r="M38" i="51" s="1"/>
  <c r="M39" i="51" s="1"/>
  <c r="M40" i="51" s="1"/>
  <c r="M41" i="51" s="1"/>
  <c r="K11" i="50"/>
  <c r="F11" i="50" s="1"/>
  <c r="G11" i="50" s="1"/>
  <c r="H39" i="50"/>
  <c r="H38" i="50"/>
  <c r="H37" i="50"/>
  <c r="H36" i="50"/>
  <c r="H35" i="50"/>
  <c r="H34" i="50"/>
  <c r="H33" i="50"/>
  <c r="H32" i="50"/>
  <c r="H31" i="50"/>
  <c r="H30" i="50"/>
  <c r="H29" i="50"/>
  <c r="H28" i="50"/>
  <c r="H27" i="50"/>
  <c r="H26" i="50"/>
  <c r="H25" i="50"/>
  <c r="H24" i="50"/>
  <c r="H23" i="50"/>
  <c r="H22" i="50"/>
  <c r="H21" i="50"/>
  <c r="H20" i="50"/>
  <c r="H19" i="50"/>
  <c r="H18" i="50"/>
  <c r="H17" i="50"/>
  <c r="H16" i="50"/>
  <c r="H15" i="50"/>
  <c r="H14" i="50"/>
  <c r="H13" i="50"/>
  <c r="H12" i="50"/>
  <c r="H11" i="50"/>
  <c r="H10" i="50"/>
  <c r="B42" i="49"/>
  <c r="J42" i="49"/>
  <c r="I42" i="49"/>
  <c r="H39" i="26"/>
  <c r="H42" i="26" s="1"/>
  <c r="H38" i="26"/>
  <c r="H37" i="26"/>
  <c r="H36" i="26"/>
  <c r="H35" i="26"/>
  <c r="H34" i="26"/>
  <c r="H33" i="26"/>
  <c r="H32" i="26"/>
  <c r="H31" i="26"/>
  <c r="H30" i="26"/>
  <c r="H29" i="26"/>
  <c r="H28" i="26"/>
  <c r="H27" i="26"/>
  <c r="H26" i="26"/>
  <c r="H25" i="26"/>
  <c r="H24" i="26"/>
  <c r="H23" i="26"/>
  <c r="H22" i="26"/>
  <c r="H21" i="26"/>
  <c r="H20" i="26"/>
  <c r="H19" i="26"/>
  <c r="H18" i="26"/>
  <c r="H17" i="26"/>
  <c r="H16" i="26"/>
  <c r="H15" i="26"/>
  <c r="H14" i="26"/>
  <c r="H13" i="26"/>
  <c r="H12" i="26"/>
  <c r="H11" i="26"/>
  <c r="H10" i="26"/>
  <c r="H43" i="26" l="1"/>
  <c r="L11" i="50"/>
  <c r="H30" i="48" l="1"/>
  <c r="H27" i="48"/>
  <c r="H23" i="48"/>
  <c r="H20" i="48"/>
  <c r="H11" i="48"/>
  <c r="H39" i="49"/>
  <c r="H38" i="49"/>
  <c r="H37" i="49"/>
  <c r="H36" i="49"/>
  <c r="H35" i="49"/>
  <c r="H34" i="49"/>
  <c r="H33" i="49"/>
  <c r="H32" i="49"/>
  <c r="H31" i="49"/>
  <c r="H30" i="49"/>
  <c r="H29" i="49"/>
  <c r="H28" i="49"/>
  <c r="H27" i="49"/>
  <c r="H26" i="49"/>
  <c r="H25" i="49"/>
  <c r="H24" i="49"/>
  <c r="H23" i="49"/>
  <c r="H22" i="49"/>
  <c r="H21" i="49"/>
  <c r="H20" i="49"/>
  <c r="H19" i="49"/>
  <c r="H18" i="49"/>
  <c r="H17" i="49"/>
  <c r="H16" i="49"/>
  <c r="H15" i="49"/>
  <c r="H14" i="49"/>
  <c r="H13" i="49"/>
  <c r="H12" i="49"/>
  <c r="H11" i="49"/>
  <c r="H10" i="49"/>
  <c r="C39" i="49"/>
  <c r="E39" i="49" s="1"/>
  <c r="C38" i="49"/>
  <c r="E38" i="49" s="1"/>
  <c r="C37" i="49"/>
  <c r="E37" i="49" s="1"/>
  <c r="C36" i="49"/>
  <c r="E36" i="49" s="1"/>
  <c r="C35" i="49"/>
  <c r="E35" i="49" s="1"/>
  <c r="C34" i="49"/>
  <c r="C33" i="49"/>
  <c r="E33" i="49" s="1"/>
  <c r="C32" i="49"/>
  <c r="E32" i="49" s="1"/>
  <c r="C31" i="49"/>
  <c r="E31" i="49" s="1"/>
  <c r="C30" i="49"/>
  <c r="E30" i="49" s="1"/>
  <c r="C29" i="49"/>
  <c r="E29" i="49" s="1"/>
  <c r="C28" i="49"/>
  <c r="E28" i="49" s="1"/>
  <c r="C27" i="49"/>
  <c r="E27" i="49" s="1"/>
  <c r="C26" i="49"/>
  <c r="C25" i="49"/>
  <c r="E25" i="49" s="1"/>
  <c r="C24" i="49"/>
  <c r="E24" i="49" s="1"/>
  <c r="C23" i="49"/>
  <c r="E23" i="49" s="1"/>
  <c r="C22" i="49"/>
  <c r="C21" i="49"/>
  <c r="E21" i="49" s="1"/>
  <c r="C20" i="49"/>
  <c r="E20" i="49" s="1"/>
  <c r="C19" i="49"/>
  <c r="E19" i="49" s="1"/>
  <c r="C18" i="49"/>
  <c r="C17" i="49"/>
  <c r="E17" i="49" s="1"/>
  <c r="C16" i="49"/>
  <c r="E16" i="49" s="1"/>
  <c r="C15" i="49"/>
  <c r="E15" i="49" s="1"/>
  <c r="C14" i="49"/>
  <c r="E14" i="49" s="1"/>
  <c r="C13" i="49"/>
  <c r="E13" i="49" s="1"/>
  <c r="C12" i="49"/>
  <c r="E12" i="49" s="1"/>
  <c r="C11" i="49"/>
  <c r="E11" i="49" s="1"/>
  <c r="E34" i="49"/>
  <c r="E26" i="49"/>
  <c r="E22" i="49"/>
  <c r="E18" i="49"/>
  <c r="B42" i="26"/>
  <c r="B43" i="26" s="1"/>
  <c r="J42" i="26"/>
  <c r="I42" i="26"/>
  <c r="C39" i="26"/>
  <c r="E39" i="26" s="1"/>
  <c r="E42" i="26" s="1"/>
  <c r="C38" i="26"/>
  <c r="E38" i="26" s="1"/>
  <c r="E37" i="26"/>
  <c r="C36" i="26"/>
  <c r="E36" i="26" s="1"/>
  <c r="C35" i="26"/>
  <c r="E35" i="26" s="1"/>
  <c r="C34" i="26"/>
  <c r="E34" i="26" s="1"/>
  <c r="C33" i="26"/>
  <c r="E33" i="26" s="1"/>
  <c r="C32" i="26"/>
  <c r="E32" i="26" s="1"/>
  <c r="C31" i="26"/>
  <c r="E31" i="26" s="1"/>
  <c r="C30" i="26"/>
  <c r="E30" i="26" s="1"/>
  <c r="C29" i="26"/>
  <c r="E29" i="26" s="1"/>
  <c r="C28" i="26"/>
  <c r="E28" i="26" s="1"/>
  <c r="C27" i="26"/>
  <c r="E27" i="26" s="1"/>
  <c r="C26" i="26"/>
  <c r="E26" i="26" s="1"/>
  <c r="C25" i="26"/>
  <c r="E25" i="26" s="1"/>
  <c r="C24" i="26"/>
  <c r="E24" i="26" s="1"/>
  <c r="C23" i="26"/>
  <c r="E23" i="26" s="1"/>
  <c r="C22" i="26"/>
  <c r="E22" i="26" s="1"/>
  <c r="C21" i="26"/>
  <c r="E21" i="26" s="1"/>
  <c r="C20" i="26"/>
  <c r="E20" i="26" s="1"/>
  <c r="C19" i="26"/>
  <c r="E19" i="26" s="1"/>
  <c r="C18" i="26"/>
  <c r="E18" i="26" s="1"/>
  <c r="C17" i="26"/>
  <c r="E17" i="26" s="1"/>
  <c r="C16" i="26"/>
  <c r="E16" i="26" s="1"/>
  <c r="C15" i="26"/>
  <c r="E15" i="26" s="1"/>
  <c r="C14" i="26"/>
  <c r="E14" i="26" s="1"/>
  <c r="C13" i="26"/>
  <c r="E13" i="26" s="1"/>
  <c r="C12" i="26"/>
  <c r="E12" i="26" s="1"/>
  <c r="C11" i="26"/>
  <c r="E11" i="26" s="1"/>
  <c r="M11" i="26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K11" i="26" l="1"/>
  <c r="F11" i="26" s="1"/>
  <c r="G11" i="26" s="1"/>
  <c r="H42" i="49"/>
  <c r="K11" i="49"/>
  <c r="L11" i="26" l="1"/>
  <c r="L11" i="49"/>
  <c r="F11" i="49"/>
  <c r="G11" i="49" s="1"/>
  <c r="K11" i="55" l="1"/>
  <c r="E15" i="55" s="1"/>
  <c r="I11" i="55"/>
  <c r="C15" i="55" s="1"/>
  <c r="H11" i="55"/>
  <c r="B15" i="55" s="1"/>
  <c r="W8" i="55"/>
  <c r="E16" i="55" s="1"/>
  <c r="U8" i="55"/>
  <c r="C16" i="55" s="1"/>
  <c r="T8" i="55"/>
  <c r="B16" i="55" s="1"/>
  <c r="D16" i="55" s="1"/>
  <c r="J11" i="55"/>
  <c r="E14" i="55"/>
  <c r="C14" i="55"/>
  <c r="B14" i="55"/>
  <c r="Q7" i="55"/>
  <c r="E17" i="55" s="1"/>
  <c r="P7" i="55"/>
  <c r="O7" i="55"/>
  <c r="C17" i="55" s="1"/>
  <c r="N7" i="55"/>
  <c r="B17" i="55" s="1"/>
  <c r="D17" i="55" s="1"/>
  <c r="V8" i="55"/>
  <c r="D14" i="55" l="1"/>
  <c r="D15" i="55"/>
  <c r="E18" i="55"/>
  <c r="B18" i="55"/>
  <c r="C18" i="55"/>
  <c r="D18" i="55" l="1"/>
  <c r="X37" i="54" l="1"/>
  <c r="H37" i="54"/>
  <c r="D37" i="54"/>
  <c r="X36" i="54"/>
  <c r="H36" i="54"/>
  <c r="D36" i="54"/>
  <c r="X35" i="54"/>
  <c r="H35" i="54"/>
  <c r="D35" i="54"/>
  <c r="X34" i="54"/>
  <c r="H34" i="54"/>
  <c r="D34" i="54"/>
  <c r="X33" i="54"/>
  <c r="H33" i="54"/>
  <c r="D33" i="54"/>
  <c r="X32" i="54"/>
  <c r="H32" i="54"/>
  <c r="D32" i="54"/>
  <c r="X31" i="54"/>
  <c r="H31" i="54"/>
  <c r="D31" i="54"/>
  <c r="X30" i="54"/>
  <c r="H30" i="54"/>
  <c r="D30" i="54"/>
  <c r="X29" i="54"/>
  <c r="H29" i="54"/>
  <c r="D29" i="54"/>
  <c r="X28" i="54"/>
  <c r="H28" i="54"/>
  <c r="D28" i="54"/>
  <c r="X27" i="54"/>
  <c r="H27" i="54"/>
  <c r="D27" i="54"/>
  <c r="X26" i="54"/>
  <c r="P26" i="54"/>
  <c r="H26" i="54"/>
  <c r="D26" i="54"/>
  <c r="X25" i="54"/>
  <c r="P25" i="54"/>
  <c r="H25" i="54"/>
  <c r="D25" i="54"/>
  <c r="X24" i="54"/>
  <c r="P24" i="54"/>
  <c r="H24" i="54"/>
  <c r="D24" i="54"/>
  <c r="X23" i="54"/>
  <c r="P23" i="54"/>
  <c r="H23" i="54"/>
  <c r="D23" i="54"/>
  <c r="X22" i="54"/>
  <c r="P22" i="54"/>
  <c r="H22" i="54"/>
  <c r="D22" i="54"/>
  <c r="X21" i="54"/>
  <c r="P21" i="54"/>
  <c r="H21" i="54"/>
  <c r="D21" i="54"/>
  <c r="X20" i="54"/>
  <c r="P20" i="54"/>
  <c r="H20" i="54"/>
  <c r="D20" i="54"/>
  <c r="X19" i="54"/>
  <c r="P19" i="54"/>
  <c r="H19" i="54"/>
  <c r="D19" i="54"/>
  <c r="X18" i="54"/>
  <c r="P18" i="54"/>
  <c r="H18" i="54"/>
  <c r="D18" i="54"/>
  <c r="X17" i="54"/>
  <c r="P17" i="54"/>
  <c r="L17" i="54"/>
  <c r="H17" i="54"/>
  <c r="D17" i="54"/>
  <c r="X16" i="54"/>
  <c r="P16" i="54"/>
  <c r="L16" i="54"/>
  <c r="H16" i="54"/>
  <c r="D16" i="54"/>
  <c r="X15" i="54"/>
  <c r="P15" i="54"/>
  <c r="L15" i="54"/>
  <c r="H15" i="54"/>
  <c r="D15" i="54"/>
  <c r="X14" i="54"/>
  <c r="P14" i="54"/>
  <c r="L14" i="54"/>
  <c r="H14" i="54"/>
  <c r="D14" i="54"/>
  <c r="X13" i="54"/>
  <c r="P13" i="54"/>
  <c r="L13" i="54"/>
  <c r="H13" i="54"/>
  <c r="D13" i="54"/>
  <c r="X12" i="54"/>
  <c r="P12" i="54"/>
  <c r="L12" i="54"/>
  <c r="H12" i="54"/>
  <c r="D12" i="54"/>
  <c r="X11" i="54"/>
  <c r="P11" i="54"/>
  <c r="H11" i="54"/>
  <c r="D11" i="54"/>
  <c r="X10" i="54"/>
  <c r="H10" i="54"/>
  <c r="D10" i="54"/>
  <c r="X9" i="54"/>
  <c r="H9" i="54"/>
  <c r="D9" i="54"/>
  <c r="X8" i="54"/>
  <c r="H8" i="54"/>
  <c r="D8" i="54"/>
  <c r="X7" i="54"/>
  <c r="H7" i="54"/>
  <c r="D7" i="54"/>
  <c r="X6" i="54"/>
  <c r="H6" i="54"/>
  <c r="D6" i="54"/>
  <c r="D38" i="54" l="1"/>
  <c r="L9" i="52" s="1"/>
  <c r="N13" i="52" s="1"/>
  <c r="X38" i="54"/>
  <c r="N16" i="52" s="1"/>
  <c r="L14" i="52" s="1"/>
  <c r="H38" i="54"/>
  <c r="N8" i="52" s="1"/>
  <c r="L13" i="52" s="1"/>
  <c r="L38" i="54"/>
  <c r="L20" i="52" s="1"/>
  <c r="T38" i="54"/>
  <c r="L17" i="52" s="1"/>
  <c r="N11" i="52" s="1"/>
  <c r="C11" i="51"/>
  <c r="E11" i="51" s="1"/>
  <c r="K11" i="51" s="1"/>
  <c r="C12" i="51"/>
  <c r="C13" i="51"/>
  <c r="C14" i="51"/>
  <c r="C15" i="51"/>
  <c r="C16" i="51"/>
  <c r="C17" i="51"/>
  <c r="C18" i="51"/>
  <c r="C19" i="51"/>
  <c r="C20" i="51"/>
  <c r="C21" i="51"/>
  <c r="C22" i="51"/>
  <c r="C23" i="51"/>
  <c r="C24" i="51"/>
  <c r="C25" i="51"/>
  <c r="C26" i="51"/>
  <c r="C27" i="51"/>
  <c r="C28" i="51"/>
  <c r="C29" i="51"/>
  <c r="C30" i="51"/>
  <c r="C31" i="51"/>
  <c r="C32" i="51"/>
  <c r="C33" i="51"/>
  <c r="C34" i="51"/>
  <c r="C35" i="51"/>
  <c r="C36" i="51"/>
  <c r="C37" i="51"/>
  <c r="C38" i="51"/>
  <c r="C39" i="51"/>
  <c r="J42" i="50"/>
  <c r="I42" i="50"/>
  <c r="H42" i="50"/>
  <c r="B42" i="50"/>
  <c r="L11" i="51" l="1"/>
  <c r="F11" i="51"/>
  <c r="G11" i="51" s="1"/>
  <c r="N12" i="52"/>
  <c r="C15" i="48"/>
  <c r="E15" i="48" s="1"/>
  <c r="C16" i="48"/>
  <c r="E16" i="48" s="1"/>
  <c r="C17" i="48"/>
  <c r="E17" i="48" s="1"/>
  <c r="C18" i="48"/>
  <c r="E18" i="48" s="1"/>
  <c r="C19" i="48"/>
  <c r="E19" i="48" s="1"/>
  <c r="C20" i="48"/>
  <c r="E20" i="48" s="1"/>
  <c r="C21" i="48"/>
  <c r="E21" i="48" s="1"/>
  <c r="C22" i="48"/>
  <c r="E22" i="48" s="1"/>
  <c r="C23" i="48"/>
  <c r="E23" i="48" s="1"/>
  <c r="C24" i="48"/>
  <c r="E24" i="48" s="1"/>
  <c r="C25" i="48"/>
  <c r="E25" i="48" s="1"/>
  <c r="C26" i="48"/>
  <c r="E26" i="48" s="1"/>
  <c r="C27" i="48"/>
  <c r="E27" i="48" s="1"/>
  <c r="C28" i="48"/>
  <c r="E28" i="48" s="1"/>
  <c r="C29" i="48"/>
  <c r="E29" i="48" s="1"/>
  <c r="C30" i="48"/>
  <c r="E30" i="48" s="1"/>
  <c r="C31" i="48"/>
  <c r="E31" i="48" s="1"/>
  <c r="C32" i="48"/>
  <c r="E32" i="48" s="1"/>
  <c r="C33" i="48"/>
  <c r="E33" i="48" s="1"/>
  <c r="C34" i="48"/>
  <c r="E34" i="48" s="1"/>
  <c r="C35" i="48"/>
  <c r="E35" i="48" s="1"/>
  <c r="C36" i="48"/>
  <c r="E36" i="48" s="1"/>
  <c r="C37" i="48"/>
  <c r="E37" i="48" s="1"/>
  <c r="C38" i="48"/>
  <c r="E38" i="48" s="1"/>
  <c r="C39" i="48"/>
  <c r="E39" i="48" s="1"/>
  <c r="C11" i="48"/>
  <c r="E11" i="48" s="1"/>
  <c r="C12" i="48"/>
  <c r="E12" i="48" s="1"/>
  <c r="C13" i="48"/>
  <c r="E13" i="48" s="1"/>
  <c r="C14" i="48"/>
  <c r="E14" i="48" s="1"/>
  <c r="E10" i="48"/>
  <c r="E10" i="26"/>
  <c r="E43" i="26" l="1"/>
  <c r="K11" i="48"/>
  <c r="E42" i="48"/>
  <c r="K39" i="26"/>
  <c r="F39" i="26" s="1"/>
  <c r="G39" i="26" s="1"/>
  <c r="I39" i="48"/>
  <c r="H39" i="48" s="1"/>
  <c r="E39" i="51"/>
  <c r="S39" i="50"/>
  <c r="E39" i="50"/>
  <c r="K39" i="50" s="1"/>
  <c r="S38" i="50"/>
  <c r="E38" i="50"/>
  <c r="L11" i="48" l="1"/>
  <c r="F11" i="48"/>
  <c r="G11" i="48" s="1"/>
  <c r="K39" i="51"/>
  <c r="L39" i="51" s="1"/>
  <c r="L39" i="50"/>
  <c r="F39" i="50"/>
  <c r="G39" i="50" s="1"/>
  <c r="L39" i="26"/>
  <c r="K39" i="48"/>
  <c r="K39" i="49"/>
  <c r="K38" i="50"/>
  <c r="F39" i="51" l="1"/>
  <c r="G39" i="51" s="1"/>
  <c r="L39" i="49"/>
  <c r="F39" i="49"/>
  <c r="G39" i="49" s="1"/>
  <c r="L39" i="48"/>
  <c r="F39" i="48"/>
  <c r="G39" i="48" s="1"/>
  <c r="L38" i="50"/>
  <c r="F38" i="50"/>
  <c r="G38" i="50" s="1"/>
  <c r="T90" i="53" l="1"/>
  <c r="C54" i="8" s="1"/>
  <c r="O90" i="53"/>
  <c r="N90" i="53"/>
  <c r="K90" i="53"/>
  <c r="J90" i="53"/>
  <c r="M90" i="53"/>
  <c r="C37" i="8" s="1"/>
  <c r="R90" i="53" l="1"/>
  <c r="C52" i="8" s="1"/>
  <c r="Q90" i="53"/>
  <c r="C51" i="8" s="1"/>
  <c r="H90" i="53"/>
  <c r="C31" i="8" s="1"/>
  <c r="P90" i="53"/>
  <c r="C50" i="8" s="1"/>
  <c r="L90" i="53"/>
  <c r="C36" i="8" s="1"/>
  <c r="S90" i="53"/>
  <c r="C53" i="8" s="1"/>
  <c r="I90" i="53"/>
  <c r="C33" i="8" s="1"/>
  <c r="Q42" i="49" l="1"/>
  <c r="P42" i="49"/>
  <c r="B39" i="46" l="1"/>
  <c r="G27" i="52" l="1"/>
  <c r="E27" i="52"/>
  <c r="D27" i="52"/>
  <c r="C27" i="52"/>
  <c r="B27" i="52"/>
  <c r="F19" i="52"/>
  <c r="H19" i="52" s="1"/>
  <c r="O18" i="52"/>
  <c r="O17" i="52"/>
  <c r="F16" i="52"/>
  <c r="H16" i="52" s="1"/>
  <c r="O15" i="52"/>
  <c r="O13" i="52"/>
  <c r="F11" i="52"/>
  <c r="H11" i="52" s="1"/>
  <c r="J11" i="52" s="1"/>
  <c r="O10" i="52"/>
  <c r="O9" i="52"/>
  <c r="F8" i="52"/>
  <c r="J19" i="52" l="1"/>
  <c r="I19" i="52"/>
  <c r="I16" i="52"/>
  <c r="J16" i="52"/>
  <c r="H8" i="52"/>
  <c r="I11" i="52"/>
  <c r="F27" i="52"/>
  <c r="H27" i="52" s="1"/>
  <c r="I8" i="52" l="1"/>
  <c r="J27" i="52"/>
  <c r="I27" i="52"/>
  <c r="S37" i="50" l="1"/>
  <c r="S36" i="50"/>
  <c r="S35" i="50"/>
  <c r="S34" i="50"/>
  <c r="S33" i="50"/>
  <c r="S32" i="50"/>
  <c r="S31" i="50"/>
  <c r="S30" i="50"/>
  <c r="S29" i="50"/>
  <c r="S28" i="50"/>
  <c r="S27" i="50"/>
  <c r="S26" i="50"/>
  <c r="S25" i="50"/>
  <c r="S24" i="50"/>
  <c r="S22" i="50"/>
  <c r="S21" i="50"/>
  <c r="S20" i="50"/>
  <c r="B2" i="9" l="1"/>
  <c r="E10" i="51"/>
  <c r="M11" i="50"/>
  <c r="M12" i="50" s="1"/>
  <c r="M13" i="50" s="1"/>
  <c r="M14" i="50" s="1"/>
  <c r="M15" i="50" s="1"/>
  <c r="M16" i="50" s="1"/>
  <c r="M17" i="50" s="1"/>
  <c r="M18" i="50" s="1"/>
  <c r="M19" i="50" s="1"/>
  <c r="M20" i="50" s="1"/>
  <c r="M21" i="50" s="1"/>
  <c r="M22" i="50" s="1"/>
  <c r="M23" i="50" s="1"/>
  <c r="M24" i="50" s="1"/>
  <c r="M25" i="50" s="1"/>
  <c r="M26" i="50" s="1"/>
  <c r="M27" i="50" s="1"/>
  <c r="M28" i="50" s="1"/>
  <c r="M29" i="50" s="1"/>
  <c r="M30" i="50" s="1"/>
  <c r="M31" i="50" s="1"/>
  <c r="M32" i="50" s="1"/>
  <c r="M33" i="50" s="1"/>
  <c r="M34" i="50" s="1"/>
  <c r="M35" i="50" s="1"/>
  <c r="M36" i="50" s="1"/>
  <c r="M37" i="50" s="1"/>
  <c r="M38" i="50" s="1"/>
  <c r="M39" i="50" s="1"/>
  <c r="E10" i="49"/>
  <c r="E42" i="49" s="1"/>
  <c r="M11" i="49"/>
  <c r="M12" i="49" s="1"/>
  <c r="M13" i="49" s="1"/>
  <c r="M14" i="49" s="1"/>
  <c r="M15" i="49" s="1"/>
  <c r="M16" i="49" s="1"/>
  <c r="M17" i="49" s="1"/>
  <c r="M18" i="49" s="1"/>
  <c r="M19" i="49" s="1"/>
  <c r="M20" i="49" s="1"/>
  <c r="M21" i="49" s="1"/>
  <c r="M22" i="49" s="1"/>
  <c r="M23" i="49" s="1"/>
  <c r="M24" i="49" s="1"/>
  <c r="M25" i="49" s="1"/>
  <c r="M26" i="49" s="1"/>
  <c r="M27" i="49" s="1"/>
  <c r="M28" i="49" s="1"/>
  <c r="M29" i="49" s="1"/>
  <c r="M30" i="49" s="1"/>
  <c r="M31" i="49" s="1"/>
  <c r="M32" i="49" s="1"/>
  <c r="M33" i="49" s="1"/>
  <c r="M34" i="49" s="1"/>
  <c r="M35" i="49" s="1"/>
  <c r="M36" i="49" s="1"/>
  <c r="M37" i="49" s="1"/>
  <c r="M38" i="49" s="1"/>
  <c r="M39" i="49" s="1"/>
  <c r="M11" i="48"/>
  <c r="M12" i="48" s="1"/>
  <c r="M13" i="48" s="1"/>
  <c r="M14" i="48" s="1"/>
  <c r="M15" i="48" s="1"/>
  <c r="M16" i="48" s="1"/>
  <c r="M17" i="48" s="1"/>
  <c r="M18" i="48" s="1"/>
  <c r="M19" i="48" s="1"/>
  <c r="M20" i="48" s="1"/>
  <c r="M21" i="48" s="1"/>
  <c r="M22" i="48" s="1"/>
  <c r="M23" i="48" s="1"/>
  <c r="M24" i="48" s="1"/>
  <c r="M25" i="48" s="1"/>
  <c r="M26" i="48" s="1"/>
  <c r="M27" i="48" s="1"/>
  <c r="M28" i="48" s="1"/>
  <c r="M29" i="48" s="1"/>
  <c r="M30" i="48" s="1"/>
  <c r="M31" i="48" s="1"/>
  <c r="M32" i="48" s="1"/>
  <c r="M33" i="48" s="1"/>
  <c r="M34" i="48" s="1"/>
  <c r="M35" i="48" s="1"/>
  <c r="M36" i="48" s="1"/>
  <c r="M37" i="48" s="1"/>
  <c r="M38" i="48" s="1"/>
  <c r="M39" i="48" s="1"/>
  <c r="I17" i="51" l="1"/>
  <c r="H17" i="51" s="1"/>
  <c r="I16" i="51"/>
  <c r="H16" i="51" s="1"/>
  <c r="I14" i="51"/>
  <c r="H14" i="51" s="1"/>
  <c r="I13" i="51"/>
  <c r="H13" i="51" s="1"/>
  <c r="I10" i="51"/>
  <c r="I38" i="48"/>
  <c r="H38" i="48" s="1"/>
  <c r="I37" i="48"/>
  <c r="H37" i="48" s="1"/>
  <c r="I36" i="48"/>
  <c r="H36" i="48" s="1"/>
  <c r="I35" i="48"/>
  <c r="H35" i="48" s="1"/>
  <c r="I34" i="48"/>
  <c r="H34" i="48" s="1"/>
  <c r="I33" i="48"/>
  <c r="H33" i="48" s="1"/>
  <c r="I32" i="48"/>
  <c r="H32" i="48" s="1"/>
  <c r="I31" i="48"/>
  <c r="H31" i="48" s="1"/>
  <c r="I29" i="48"/>
  <c r="H29" i="48" s="1"/>
  <c r="I28" i="48"/>
  <c r="H28" i="48" s="1"/>
  <c r="I26" i="48"/>
  <c r="H26" i="48" s="1"/>
  <c r="I25" i="48"/>
  <c r="H25" i="48" s="1"/>
  <c r="I24" i="48"/>
  <c r="H24" i="48" s="1"/>
  <c r="I22" i="48"/>
  <c r="H22" i="48" s="1"/>
  <c r="I21" i="48"/>
  <c r="H21" i="48" s="1"/>
  <c r="I19" i="48"/>
  <c r="H19" i="48" s="1"/>
  <c r="I18" i="48"/>
  <c r="H18" i="48" s="1"/>
  <c r="I17" i="48"/>
  <c r="H17" i="48" s="1"/>
  <c r="I16" i="48"/>
  <c r="H16" i="48" s="1"/>
  <c r="I15" i="48"/>
  <c r="H15" i="48" s="1"/>
  <c r="I14" i="48"/>
  <c r="H14" i="48" s="1"/>
  <c r="I13" i="48"/>
  <c r="H13" i="48" s="1"/>
  <c r="I12" i="48"/>
  <c r="H12" i="48" s="1"/>
  <c r="H10" i="51" l="1"/>
  <c r="H42" i="51" s="1"/>
  <c r="I42" i="51"/>
  <c r="S42" i="26"/>
  <c r="A5" i="46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A36" i="46" s="1"/>
  <c r="C43" i="46"/>
  <c r="B43" i="46"/>
  <c r="C42" i="46"/>
  <c r="B42" i="46"/>
  <c r="C41" i="46"/>
  <c r="B41" i="46"/>
  <c r="C40" i="46"/>
  <c r="B40" i="46"/>
  <c r="C39" i="46"/>
  <c r="C44" i="46" l="1"/>
  <c r="C45" i="46"/>
  <c r="B45" i="46"/>
  <c r="B44" i="46"/>
  <c r="E38" i="51" l="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3" i="51"/>
  <c r="E12" i="51"/>
  <c r="R42" i="51"/>
  <c r="Q42" i="51"/>
  <c r="E14" i="51"/>
  <c r="I43" i="51"/>
  <c r="A13" i="5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C29" i="50"/>
  <c r="E29" i="50" s="1"/>
  <c r="C37" i="50"/>
  <c r="E37" i="50" s="1"/>
  <c r="C36" i="50"/>
  <c r="E36" i="50" s="1"/>
  <c r="C35" i="50"/>
  <c r="E35" i="50" s="1"/>
  <c r="C34" i="50"/>
  <c r="E34" i="50" s="1"/>
  <c r="C33" i="50"/>
  <c r="E33" i="50" s="1"/>
  <c r="C32" i="50"/>
  <c r="C31" i="50"/>
  <c r="E31" i="50" s="1"/>
  <c r="C30" i="50"/>
  <c r="E30" i="50" s="1"/>
  <c r="C28" i="50"/>
  <c r="E28" i="50" s="1"/>
  <c r="C27" i="50"/>
  <c r="E27" i="50" s="1"/>
  <c r="C26" i="50"/>
  <c r="E26" i="50" s="1"/>
  <c r="C25" i="50"/>
  <c r="E25" i="50" s="1"/>
  <c r="C24" i="50"/>
  <c r="E24" i="50" s="1"/>
  <c r="C23" i="50"/>
  <c r="E23" i="50" s="1"/>
  <c r="C22" i="50"/>
  <c r="E22" i="50" s="1"/>
  <c r="C21" i="50"/>
  <c r="E21" i="50" s="1"/>
  <c r="C20" i="50"/>
  <c r="E20" i="50" s="1"/>
  <c r="C19" i="50"/>
  <c r="E19" i="50" s="1"/>
  <c r="C18" i="50"/>
  <c r="E18" i="50" s="1"/>
  <c r="C17" i="50"/>
  <c r="E17" i="50" s="1"/>
  <c r="C16" i="50"/>
  <c r="E16" i="50" s="1"/>
  <c r="C15" i="50"/>
  <c r="E15" i="50" s="1"/>
  <c r="C14" i="50"/>
  <c r="E14" i="50" s="1"/>
  <c r="E13" i="50"/>
  <c r="E12" i="50"/>
  <c r="B43" i="50"/>
  <c r="A13" i="50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E10" i="50"/>
  <c r="R42" i="49"/>
  <c r="S42" i="49" s="1"/>
  <c r="B43" i="49"/>
  <c r="A13" i="49"/>
  <c r="A14" i="49" s="1"/>
  <c r="A15" i="49" s="1"/>
  <c r="A16" i="49" s="1"/>
  <c r="A17" i="49" s="1"/>
  <c r="A18" i="49" s="1"/>
  <c r="A19" i="49" s="1"/>
  <c r="A20" i="49" s="1"/>
  <c r="A21" i="49" s="1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S42" i="48"/>
  <c r="B43" i="48"/>
  <c r="A13" i="48"/>
  <c r="A14" i="48" s="1"/>
  <c r="A15" i="48" s="1"/>
  <c r="A16" i="48" s="1"/>
  <c r="A17" i="48" s="1"/>
  <c r="A18" i="48" s="1"/>
  <c r="A19" i="48" s="1"/>
  <c r="A20" i="48" s="1"/>
  <c r="A21" i="48" s="1"/>
  <c r="A22" i="48" s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A37" i="48" s="1"/>
  <c r="A38" i="48" s="1"/>
  <c r="A39" i="48" s="1"/>
  <c r="I10" i="48"/>
  <c r="A13" i="26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I42" i="48" l="1"/>
  <c r="H10" i="48"/>
  <c r="H42" i="48" s="1"/>
  <c r="E42" i="51"/>
  <c r="E43" i="51" s="1"/>
  <c r="K38" i="51"/>
  <c r="F38" i="51" s="1"/>
  <c r="G38" i="51" s="1"/>
  <c r="K27" i="51"/>
  <c r="S42" i="51"/>
  <c r="A33" i="49"/>
  <c r="A34" i="49" s="1"/>
  <c r="A35" i="49" s="1"/>
  <c r="A36" i="49" s="1"/>
  <c r="A37" i="49" s="1"/>
  <c r="A38" i="49" s="1"/>
  <c r="A39" i="49" s="1"/>
  <c r="A35" i="50"/>
  <c r="K24" i="50"/>
  <c r="K16" i="50"/>
  <c r="K26" i="50"/>
  <c r="K20" i="50"/>
  <c r="K34" i="50"/>
  <c r="K14" i="48"/>
  <c r="K34" i="49"/>
  <c r="K30" i="48"/>
  <c r="I43" i="48"/>
  <c r="K22" i="49"/>
  <c r="F22" i="49" s="1"/>
  <c r="G22" i="49" s="1"/>
  <c r="E43" i="48"/>
  <c r="K12" i="50"/>
  <c r="K18" i="50"/>
  <c r="K24" i="49"/>
  <c r="K30" i="50"/>
  <c r="K22" i="48"/>
  <c r="K38" i="48"/>
  <c r="K12" i="49"/>
  <c r="I43" i="50"/>
  <c r="H43" i="50"/>
  <c r="K14" i="50"/>
  <c r="K22" i="50"/>
  <c r="E32" i="50"/>
  <c r="E42" i="50" s="1"/>
  <c r="K20" i="49"/>
  <c r="F20" i="49" s="1"/>
  <c r="G20" i="49" s="1"/>
  <c r="K28" i="49"/>
  <c r="F28" i="49" s="1"/>
  <c r="G28" i="49" s="1"/>
  <c r="K28" i="50"/>
  <c r="K38" i="49"/>
  <c r="F38" i="49" s="1"/>
  <c r="G38" i="49" s="1"/>
  <c r="K26" i="48"/>
  <c r="K34" i="48"/>
  <c r="E43" i="49"/>
  <c r="K30" i="49"/>
  <c r="F30" i="49" s="1"/>
  <c r="G30" i="49" s="1"/>
  <c r="I43" i="49"/>
  <c r="K15" i="51"/>
  <c r="F15" i="51" s="1"/>
  <c r="G15" i="51" s="1"/>
  <c r="K19" i="51"/>
  <c r="F19" i="51" s="1"/>
  <c r="G19" i="51" s="1"/>
  <c r="K23" i="51"/>
  <c r="F23" i="51" s="1"/>
  <c r="G23" i="51" s="1"/>
  <c r="F27" i="51"/>
  <c r="G27" i="51" s="1"/>
  <c r="K31" i="51"/>
  <c r="F31" i="51" s="1"/>
  <c r="G31" i="51" s="1"/>
  <c r="K35" i="51"/>
  <c r="F35" i="51" s="1"/>
  <c r="G35" i="51" s="1"/>
  <c r="K14" i="51"/>
  <c r="K16" i="51"/>
  <c r="F16" i="51" s="1"/>
  <c r="G16" i="51" s="1"/>
  <c r="K20" i="51"/>
  <c r="F20" i="51" s="1"/>
  <c r="G20" i="51" s="1"/>
  <c r="K24" i="51"/>
  <c r="F24" i="51" s="1"/>
  <c r="G24" i="51" s="1"/>
  <c r="K28" i="51"/>
  <c r="F28" i="51" s="1"/>
  <c r="G28" i="51" s="1"/>
  <c r="K32" i="51"/>
  <c r="F32" i="51" s="1"/>
  <c r="G32" i="51" s="1"/>
  <c r="K36" i="51"/>
  <c r="F36" i="51" s="1"/>
  <c r="G36" i="51" s="1"/>
  <c r="K13" i="51"/>
  <c r="K17" i="51"/>
  <c r="K21" i="51"/>
  <c r="K25" i="51"/>
  <c r="K29" i="51"/>
  <c r="K33" i="51"/>
  <c r="K37" i="51"/>
  <c r="K18" i="51"/>
  <c r="K22" i="51"/>
  <c r="K26" i="51"/>
  <c r="K30" i="51"/>
  <c r="K34" i="51"/>
  <c r="K12" i="51"/>
  <c r="F12" i="51" s="1"/>
  <c r="G12" i="51" s="1"/>
  <c r="K10" i="51"/>
  <c r="F10" i="51" s="1"/>
  <c r="G10" i="51" s="1"/>
  <c r="K36" i="50"/>
  <c r="F36" i="50" s="1"/>
  <c r="G36" i="50" s="1"/>
  <c r="K23" i="50"/>
  <c r="K19" i="50"/>
  <c r="F19" i="50" s="1"/>
  <c r="G19" i="50" s="1"/>
  <c r="K17" i="50"/>
  <c r="K15" i="50"/>
  <c r="J43" i="50"/>
  <c r="K35" i="50"/>
  <c r="F35" i="50" s="1"/>
  <c r="G35" i="50" s="1"/>
  <c r="K13" i="50"/>
  <c r="K37" i="50"/>
  <c r="F37" i="50" s="1"/>
  <c r="G37" i="50" s="1"/>
  <c r="K31" i="50"/>
  <c r="F31" i="50" s="1"/>
  <c r="G31" i="50" s="1"/>
  <c r="K33" i="50"/>
  <c r="F33" i="50" s="1"/>
  <c r="G33" i="50" s="1"/>
  <c r="K27" i="50"/>
  <c r="K29" i="50"/>
  <c r="F29" i="50" s="1"/>
  <c r="G29" i="50" s="1"/>
  <c r="K25" i="50"/>
  <c r="K21" i="50"/>
  <c r="K23" i="49"/>
  <c r="K31" i="49"/>
  <c r="K13" i="49"/>
  <c r="K21" i="49"/>
  <c r="K29" i="49"/>
  <c r="K37" i="49"/>
  <c r="K19" i="49"/>
  <c r="K27" i="49"/>
  <c r="K35" i="49"/>
  <c r="K17" i="49"/>
  <c r="K25" i="49"/>
  <c r="K33" i="49"/>
  <c r="K15" i="49"/>
  <c r="K14" i="49"/>
  <c r="F14" i="49" s="1"/>
  <c r="G14" i="49" s="1"/>
  <c r="K18" i="49"/>
  <c r="F18" i="49" s="1"/>
  <c r="G18" i="49" s="1"/>
  <c r="K26" i="49"/>
  <c r="F26" i="49" s="1"/>
  <c r="G26" i="49" s="1"/>
  <c r="K32" i="49"/>
  <c r="F32" i="49" s="1"/>
  <c r="G32" i="49" s="1"/>
  <c r="K36" i="49"/>
  <c r="F36" i="49" s="1"/>
  <c r="G36" i="49" s="1"/>
  <c r="J43" i="49"/>
  <c r="K16" i="49"/>
  <c r="F16" i="49" s="1"/>
  <c r="G16" i="49" s="1"/>
  <c r="K32" i="48"/>
  <c r="F32" i="48" s="1"/>
  <c r="G32" i="48" s="1"/>
  <c r="K36" i="48"/>
  <c r="F36" i="48" s="1"/>
  <c r="G36" i="48" s="1"/>
  <c r="K35" i="48"/>
  <c r="K37" i="48"/>
  <c r="K21" i="48"/>
  <c r="K31" i="48"/>
  <c r="K33" i="48"/>
  <c r="K29" i="48"/>
  <c r="K15" i="48"/>
  <c r="K13" i="48"/>
  <c r="K19" i="48"/>
  <c r="K27" i="48"/>
  <c r="K12" i="48"/>
  <c r="K17" i="48"/>
  <c r="K25" i="48"/>
  <c r="K23" i="48"/>
  <c r="K18" i="48"/>
  <c r="F18" i="48" s="1"/>
  <c r="G18" i="48" s="1"/>
  <c r="K16" i="48"/>
  <c r="F16" i="48" s="1"/>
  <c r="G16" i="48" s="1"/>
  <c r="K28" i="48"/>
  <c r="F28" i="48" s="1"/>
  <c r="G28" i="48" s="1"/>
  <c r="K20" i="48"/>
  <c r="F20" i="48" s="1"/>
  <c r="G20" i="48" s="1"/>
  <c r="K24" i="48"/>
  <c r="F24" i="48" s="1"/>
  <c r="G24" i="48" s="1"/>
  <c r="L15" i="48" l="1"/>
  <c r="F15" i="48"/>
  <c r="G15" i="48" s="1"/>
  <c r="L21" i="48"/>
  <c r="F21" i="48"/>
  <c r="G21" i="48" s="1"/>
  <c r="L12" i="48"/>
  <c r="F12" i="48"/>
  <c r="G12" i="48" s="1"/>
  <c r="L23" i="48"/>
  <c r="F23" i="48"/>
  <c r="G23" i="48" s="1"/>
  <c r="L27" i="48"/>
  <c r="F27" i="48"/>
  <c r="G27" i="48" s="1"/>
  <c r="L29" i="48"/>
  <c r="F29" i="48"/>
  <c r="G29" i="48" s="1"/>
  <c r="L37" i="48"/>
  <c r="F37" i="48"/>
  <c r="G37" i="48" s="1"/>
  <c r="L14" i="48"/>
  <c r="F14" i="48"/>
  <c r="G14" i="48" s="1"/>
  <c r="L25" i="48"/>
  <c r="F25" i="48"/>
  <c r="G25" i="48" s="1"/>
  <c r="L19" i="48"/>
  <c r="F19" i="48"/>
  <c r="G19" i="48" s="1"/>
  <c r="L33" i="48"/>
  <c r="F33" i="48"/>
  <c r="G33" i="48" s="1"/>
  <c r="L35" i="48"/>
  <c r="F35" i="48"/>
  <c r="G35" i="48" s="1"/>
  <c r="L34" i="48"/>
  <c r="F34" i="48"/>
  <c r="G34" i="48" s="1"/>
  <c r="L38" i="48"/>
  <c r="F38" i="48"/>
  <c r="G38" i="48" s="1"/>
  <c r="L17" i="48"/>
  <c r="F17" i="48"/>
  <c r="G17" i="48" s="1"/>
  <c r="L13" i="48"/>
  <c r="F13" i="48"/>
  <c r="G13" i="48" s="1"/>
  <c r="L31" i="48"/>
  <c r="F31" i="48"/>
  <c r="G31" i="48" s="1"/>
  <c r="L26" i="48"/>
  <c r="F26" i="48"/>
  <c r="G26" i="48" s="1"/>
  <c r="L22" i="48"/>
  <c r="F22" i="48"/>
  <c r="G22" i="48" s="1"/>
  <c r="L30" i="48"/>
  <c r="F30" i="48"/>
  <c r="G30" i="48" s="1"/>
  <c r="L37" i="49"/>
  <c r="F37" i="49"/>
  <c r="G37" i="49" s="1"/>
  <c r="L35" i="49"/>
  <c r="F35" i="49"/>
  <c r="G35" i="49" s="1"/>
  <c r="L34" i="49"/>
  <c r="F34" i="49"/>
  <c r="G34" i="49" s="1"/>
  <c r="L33" i="49"/>
  <c r="F33" i="49"/>
  <c r="G33" i="49" s="1"/>
  <c r="L31" i="49"/>
  <c r="F31" i="49"/>
  <c r="G31" i="49" s="1"/>
  <c r="L29" i="49"/>
  <c r="F29" i="49"/>
  <c r="G29" i="49" s="1"/>
  <c r="L27" i="49"/>
  <c r="F27" i="49"/>
  <c r="G27" i="49" s="1"/>
  <c r="L25" i="49"/>
  <c r="F25" i="49"/>
  <c r="G25" i="49" s="1"/>
  <c r="L24" i="49"/>
  <c r="F24" i="49"/>
  <c r="G24" i="49" s="1"/>
  <c r="L23" i="49"/>
  <c r="F23" i="49"/>
  <c r="G23" i="49" s="1"/>
  <c r="L21" i="49"/>
  <c r="F21" i="49"/>
  <c r="G21" i="49" s="1"/>
  <c r="L19" i="49"/>
  <c r="F19" i="49"/>
  <c r="G19" i="49" s="1"/>
  <c r="L17" i="49"/>
  <c r="F17" i="49"/>
  <c r="G17" i="49" s="1"/>
  <c r="L15" i="49"/>
  <c r="F15" i="49"/>
  <c r="G15" i="49" s="1"/>
  <c r="L13" i="49"/>
  <c r="F13" i="49"/>
  <c r="G13" i="49" s="1"/>
  <c r="L12" i="49"/>
  <c r="F12" i="49"/>
  <c r="G12" i="49" s="1"/>
  <c r="C9" i="8"/>
  <c r="L38" i="51"/>
  <c r="L29" i="51"/>
  <c r="F29" i="51"/>
  <c r="G29" i="51" s="1"/>
  <c r="L34" i="51"/>
  <c r="F34" i="51"/>
  <c r="G34" i="51" s="1"/>
  <c r="L25" i="51"/>
  <c r="F25" i="51"/>
  <c r="G25" i="51" s="1"/>
  <c r="L21" i="51"/>
  <c r="F21" i="51"/>
  <c r="G21" i="51" s="1"/>
  <c r="L14" i="51"/>
  <c r="F14" i="51"/>
  <c r="G14" i="51" s="1"/>
  <c r="L33" i="51"/>
  <c r="F33" i="51"/>
  <c r="G33" i="51" s="1"/>
  <c r="L30" i="51"/>
  <c r="F30" i="51"/>
  <c r="G30" i="51" s="1"/>
  <c r="L26" i="51"/>
  <c r="F26" i="51"/>
  <c r="G26" i="51" s="1"/>
  <c r="L17" i="51"/>
  <c r="F17" i="51"/>
  <c r="G17" i="51" s="1"/>
  <c r="L22" i="51"/>
  <c r="F22" i="51"/>
  <c r="G22" i="51" s="1"/>
  <c r="L13" i="51"/>
  <c r="F13" i="51"/>
  <c r="G13" i="51" s="1"/>
  <c r="L18" i="51"/>
  <c r="F18" i="51"/>
  <c r="G18" i="51" s="1"/>
  <c r="L37" i="51"/>
  <c r="F37" i="51"/>
  <c r="G37" i="51" s="1"/>
  <c r="F20" i="50"/>
  <c r="G20" i="50" s="1"/>
  <c r="F16" i="50"/>
  <c r="G16" i="50" s="1"/>
  <c r="L24" i="50"/>
  <c r="F24" i="50"/>
  <c r="G24" i="50" s="1"/>
  <c r="L12" i="50"/>
  <c r="F12" i="50"/>
  <c r="G12" i="50" s="1"/>
  <c r="L21" i="50"/>
  <c r="F21" i="50"/>
  <c r="G21" i="50" s="1"/>
  <c r="L25" i="50"/>
  <c r="F25" i="50"/>
  <c r="G25" i="50" s="1"/>
  <c r="L15" i="50"/>
  <c r="F15" i="50"/>
  <c r="G15" i="50" s="1"/>
  <c r="L13" i="50"/>
  <c r="F13" i="50"/>
  <c r="G13" i="50" s="1"/>
  <c r="L28" i="50"/>
  <c r="F28" i="50"/>
  <c r="G28" i="50" s="1"/>
  <c r="L27" i="50"/>
  <c r="F27" i="50"/>
  <c r="G27" i="50" s="1"/>
  <c r="L30" i="50"/>
  <c r="F30" i="50"/>
  <c r="G30" i="50" s="1"/>
  <c r="L17" i="50"/>
  <c r="F17" i="50"/>
  <c r="G17" i="50" s="1"/>
  <c r="L22" i="50"/>
  <c r="F22" i="50"/>
  <c r="G22" i="50" s="1"/>
  <c r="L26" i="50"/>
  <c r="F26" i="50"/>
  <c r="G26" i="50" s="1"/>
  <c r="L23" i="50"/>
  <c r="F23" i="50"/>
  <c r="G23" i="50" s="1"/>
  <c r="L14" i="50"/>
  <c r="F14" i="50"/>
  <c r="G14" i="50" s="1"/>
  <c r="L18" i="50"/>
  <c r="F18" i="50"/>
  <c r="G18" i="50" s="1"/>
  <c r="L34" i="50"/>
  <c r="F34" i="50"/>
  <c r="G34" i="50" s="1"/>
  <c r="A36" i="50"/>
  <c r="A37" i="50" s="1"/>
  <c r="A38" i="50" s="1"/>
  <c r="L30" i="49"/>
  <c r="E43" i="50"/>
  <c r="L16" i="50"/>
  <c r="L20" i="49"/>
  <c r="H43" i="49"/>
  <c r="L38" i="49"/>
  <c r="L22" i="49"/>
  <c r="K10" i="50"/>
  <c r="F10" i="50" s="1"/>
  <c r="G10" i="50" s="1"/>
  <c r="L20" i="50"/>
  <c r="L28" i="49"/>
  <c r="K10" i="49"/>
  <c r="K32" i="50"/>
  <c r="F32" i="50" s="1"/>
  <c r="G32" i="50" s="1"/>
  <c r="L19" i="50"/>
  <c r="L12" i="51"/>
  <c r="L36" i="51"/>
  <c r="L31" i="51"/>
  <c r="L27" i="51"/>
  <c r="L20" i="51"/>
  <c r="L10" i="51"/>
  <c r="L28" i="51"/>
  <c r="L19" i="51"/>
  <c r="L35" i="51"/>
  <c r="L23" i="51"/>
  <c r="L24" i="51"/>
  <c r="L15" i="51"/>
  <c r="L32" i="51"/>
  <c r="L16" i="51"/>
  <c r="L37" i="50"/>
  <c r="L31" i="50"/>
  <c r="L29" i="50"/>
  <c r="L36" i="50"/>
  <c r="L35" i="50"/>
  <c r="L33" i="50"/>
  <c r="L26" i="49"/>
  <c r="L18" i="49"/>
  <c r="L14" i="49"/>
  <c r="L36" i="49"/>
  <c r="L16" i="49"/>
  <c r="L32" i="49"/>
  <c r="L32" i="48"/>
  <c r="L36" i="48"/>
  <c r="L24" i="48"/>
  <c r="L20" i="48"/>
  <c r="L16" i="48"/>
  <c r="L18" i="48"/>
  <c r="L28" i="48"/>
  <c r="I43" i="26"/>
  <c r="L10" i="49" l="1"/>
  <c r="L42" i="49" s="1"/>
  <c r="L43" i="49" s="1"/>
  <c r="F10" i="49"/>
  <c r="K42" i="49"/>
  <c r="K43" i="49" s="1"/>
  <c r="F42" i="50"/>
  <c r="K42" i="50"/>
  <c r="K43" i="50" s="1"/>
  <c r="A39" i="50"/>
  <c r="L10" i="50"/>
  <c r="L32" i="50"/>
  <c r="G10" i="49" l="1"/>
  <c r="G42" i="49" s="1"/>
  <c r="L19" i="52" s="1"/>
  <c r="F42" i="49"/>
  <c r="F43" i="49" s="1"/>
  <c r="L42" i="50"/>
  <c r="L43" i="50" s="1"/>
  <c r="G42" i="50"/>
  <c r="L16" i="52" s="1"/>
  <c r="F43" i="50"/>
  <c r="G43" i="49" l="1"/>
  <c r="G43" i="50"/>
  <c r="K38" i="26" l="1"/>
  <c r="F38" i="26" l="1"/>
  <c r="G38" i="26" s="1"/>
  <c r="L38" i="26"/>
  <c r="C30" i="8" l="1"/>
  <c r="C16" i="8" l="1"/>
  <c r="C15" i="8" s="1"/>
  <c r="C25" i="8" l="1"/>
  <c r="E12" i="38" l="1"/>
  <c r="F12" i="38" l="1"/>
  <c r="E13" i="38"/>
  <c r="F13" i="38" s="1"/>
  <c r="C49" i="8" l="1"/>
  <c r="K13" i="26" l="1"/>
  <c r="K14" i="26"/>
  <c r="K16" i="26"/>
  <c r="K17" i="26"/>
  <c r="K18" i="26"/>
  <c r="K20" i="26"/>
  <c r="K22" i="26"/>
  <c r="K25" i="26"/>
  <c r="K26" i="26"/>
  <c r="K29" i="26"/>
  <c r="K30" i="26"/>
  <c r="K34" i="26"/>
  <c r="F34" i="26" s="1"/>
  <c r="G34" i="26" s="1"/>
  <c r="K35" i="26"/>
  <c r="F35" i="26" s="1"/>
  <c r="G35" i="26" s="1"/>
  <c r="C46" i="8"/>
  <c r="E21" i="9" s="1"/>
  <c r="C44" i="8"/>
  <c r="E18" i="9" s="1"/>
  <c r="E12" i="9"/>
  <c r="K12" i="26"/>
  <c r="K10" i="26"/>
  <c r="F10" i="26" s="1"/>
  <c r="G10" i="26" l="1"/>
  <c r="G42" i="26" s="1"/>
  <c r="F42" i="26"/>
  <c r="F17" i="26"/>
  <c r="G17" i="26" s="1"/>
  <c r="L25" i="26"/>
  <c r="F25" i="26"/>
  <c r="G25" i="26" s="1"/>
  <c r="F20" i="26"/>
  <c r="G20" i="26" s="1"/>
  <c r="F30" i="26"/>
  <c r="G30" i="26" s="1"/>
  <c r="F16" i="26"/>
  <c r="G16" i="26" s="1"/>
  <c r="L29" i="26"/>
  <c r="F29" i="26"/>
  <c r="G29" i="26" s="1"/>
  <c r="F14" i="26"/>
  <c r="G14" i="26" s="1"/>
  <c r="F22" i="26"/>
  <c r="G22" i="26" s="1"/>
  <c r="F18" i="26"/>
  <c r="G18" i="26" s="1"/>
  <c r="F12" i="26"/>
  <c r="G12" i="26" s="1"/>
  <c r="F26" i="26"/>
  <c r="G26" i="26" s="1"/>
  <c r="F13" i="26"/>
  <c r="G13" i="26" s="1"/>
  <c r="E6" i="9"/>
  <c r="D20" i="9"/>
  <c r="K19" i="26"/>
  <c r="K15" i="26"/>
  <c r="K21" i="26"/>
  <c r="F21" i="26" s="1"/>
  <c r="G21" i="26" s="1"/>
  <c r="L12" i="26"/>
  <c r="L10" i="26"/>
  <c r="E24" i="9"/>
  <c r="L35" i="26"/>
  <c r="L13" i="26"/>
  <c r="L34" i="26"/>
  <c r="L17" i="26"/>
  <c r="L30" i="26"/>
  <c r="L26" i="26"/>
  <c r="L22" i="26"/>
  <c r="L18" i="26"/>
  <c r="L14" i="26"/>
  <c r="K23" i="26"/>
  <c r="F23" i="26" s="1"/>
  <c r="G23" i="26" s="1"/>
  <c r="K27" i="26"/>
  <c r="F27" i="26" s="1"/>
  <c r="G27" i="26" s="1"/>
  <c r="K31" i="26"/>
  <c r="F31" i="26" s="1"/>
  <c r="G31" i="26" s="1"/>
  <c r="K33" i="26"/>
  <c r="F33" i="26" s="1"/>
  <c r="G33" i="26" s="1"/>
  <c r="K36" i="26"/>
  <c r="F36" i="26" s="1"/>
  <c r="G36" i="26" s="1"/>
  <c r="K24" i="26"/>
  <c r="F24" i="26" s="1"/>
  <c r="G24" i="26" s="1"/>
  <c r="K28" i="26"/>
  <c r="F28" i="26" s="1"/>
  <c r="G28" i="26" s="1"/>
  <c r="K32" i="26"/>
  <c r="F32" i="26" s="1"/>
  <c r="G32" i="26" s="1"/>
  <c r="K37" i="26"/>
  <c r="F37" i="26" s="1"/>
  <c r="G37" i="26" s="1"/>
  <c r="F15" i="26" l="1"/>
  <c r="G15" i="26" s="1"/>
  <c r="F19" i="26"/>
  <c r="G19" i="26" s="1"/>
  <c r="C20" i="8"/>
  <c r="E9" i="9" s="1"/>
  <c r="D8" i="9" s="1"/>
  <c r="L19" i="26"/>
  <c r="L21" i="26"/>
  <c r="L15" i="26"/>
  <c r="L32" i="26"/>
  <c r="L31" i="26"/>
  <c r="L16" i="26"/>
  <c r="L37" i="26"/>
  <c r="L33" i="26"/>
  <c r="L20" i="26"/>
  <c r="L24" i="26"/>
  <c r="L36" i="26"/>
  <c r="L23" i="26"/>
  <c r="L28" i="26"/>
  <c r="L27" i="26"/>
  <c r="F8" i="9" l="1"/>
  <c r="H43" i="48" l="1"/>
  <c r="K10" i="48"/>
  <c r="J43" i="48"/>
  <c r="F10" i="48" l="1"/>
  <c r="K42" i="48"/>
  <c r="K43" i="48" s="1"/>
  <c r="L10" i="48"/>
  <c r="L42" i="48" s="1"/>
  <c r="G10" i="48" l="1"/>
  <c r="G42" i="48" s="1"/>
  <c r="L8" i="52" s="1"/>
  <c r="O8" i="52" s="1"/>
  <c r="P8" i="52" s="1"/>
  <c r="Q8" i="52" s="1"/>
  <c r="F42" i="48"/>
  <c r="L43" i="48"/>
  <c r="F43" i="48" l="1"/>
  <c r="G43" i="48"/>
  <c r="J43" i="26"/>
  <c r="K42" i="26"/>
  <c r="K43" i="26" l="1"/>
  <c r="L42" i="26"/>
  <c r="L11" i="52" l="1"/>
  <c r="L43" i="26"/>
  <c r="G43" i="26"/>
  <c r="F43" i="26"/>
  <c r="J43" i="51" l="1"/>
  <c r="F42" i="51" l="1"/>
  <c r="C10" i="8" s="1"/>
  <c r="K42" i="51"/>
  <c r="K43" i="51" s="1"/>
  <c r="H43" i="51"/>
  <c r="L42" i="51" l="1"/>
  <c r="L43" i="51" s="1"/>
  <c r="G42" i="51"/>
  <c r="L12" i="52" s="1"/>
  <c r="O11" i="52" s="1"/>
  <c r="F43" i="51" l="1"/>
  <c r="G43" i="51"/>
  <c r="C8" i="8" l="1"/>
  <c r="B17" i="9" s="1"/>
  <c r="C38" i="8"/>
  <c r="C35" i="8" s="1"/>
  <c r="C29" i="8" s="1"/>
  <c r="E15" i="9" l="1"/>
  <c r="E7" i="9"/>
  <c r="E22" i="9"/>
  <c r="E13" i="9"/>
  <c r="F9" i="9"/>
  <c r="D9" i="9"/>
  <c r="D21" i="9"/>
  <c r="E19" i="9"/>
  <c r="E10" i="9"/>
  <c r="E25" i="9"/>
  <c r="D14" i="9"/>
  <c r="E16" i="9"/>
  <c r="P11" i="52"/>
  <c r="Q11" i="52" l="1"/>
  <c r="D15" i="9"/>
  <c r="C11" i="9"/>
  <c r="C12" i="9" l="1"/>
  <c r="C23" i="9"/>
  <c r="D26" i="9" l="1"/>
  <c r="C24" i="9"/>
  <c r="D27" i="9" l="1"/>
  <c r="E27" i="9"/>
  <c r="C59" i="8" l="1"/>
  <c r="E28" i="9"/>
  <c r="F20" i="9"/>
  <c r="F21" i="9" s="1"/>
  <c r="P38" i="54" l="1"/>
  <c r="N19" i="52" s="1"/>
  <c r="L18" i="52" s="1"/>
  <c r="N27" i="52" l="1"/>
  <c r="O19" i="52"/>
  <c r="P19" i="52" s="1"/>
  <c r="Q19" i="52" s="1"/>
  <c r="O16" i="52"/>
  <c r="L27" i="52"/>
  <c r="P16" i="52" l="1"/>
  <c r="O27" i="52"/>
  <c r="Q16" i="52" l="1"/>
  <c r="P27" i="52"/>
  <c r="Q27" i="52" s="1"/>
</calcChain>
</file>

<file path=xl/comments1.xml><?xml version="1.0" encoding="utf-8"?>
<comments xmlns="http://schemas.openxmlformats.org/spreadsheetml/2006/main">
  <authors>
    <author>Joy Cenizal</author>
  </authors>
  <commentList>
    <comment ref="A6" authorId="0">
      <text>
        <r>
          <rPr>
            <b/>
            <sz val="9"/>
            <color indexed="81"/>
            <rFont val="Tahoma"/>
            <family val="2"/>
          </rPr>
          <t>Joy Cenizal:</t>
        </r>
        <r>
          <rPr>
            <sz val="9"/>
            <color indexed="81"/>
            <rFont val="Tahoma"/>
            <family val="2"/>
          </rPr>
          <t xml:space="preserve">
base on cut-off 5pm onwards</t>
        </r>
      </text>
    </comment>
  </commentList>
</comments>
</file>

<file path=xl/comments2.xml><?xml version="1.0" encoding="utf-8"?>
<comments xmlns="http://schemas.openxmlformats.org/spreadsheetml/2006/main">
  <authors>
    <author>Joy Cenizal</author>
  </authors>
  <commentList>
    <comment ref="H41" authorId="0">
      <text>
        <r>
          <rPr>
            <b/>
            <sz val="9"/>
            <color indexed="81"/>
            <rFont val="Tahoma"/>
            <family val="2"/>
          </rPr>
          <t>Joy Cenizal:</t>
        </r>
        <r>
          <rPr>
            <sz val="9"/>
            <color indexed="81"/>
            <rFont val="Tahoma"/>
            <family val="2"/>
          </rPr>
          <t xml:space="preserve">
5pm cut-off</t>
        </r>
      </text>
    </comment>
  </commentList>
</comments>
</file>

<file path=xl/sharedStrings.xml><?xml version="1.0" encoding="utf-8"?>
<sst xmlns="http://schemas.openxmlformats.org/spreadsheetml/2006/main" count="903" uniqueCount="480">
  <si>
    <t>Unbilled Metered Consumption</t>
  </si>
  <si>
    <t>Unbilled Unmetered Consumption</t>
  </si>
  <si>
    <t>Unauthorized Consumption</t>
  </si>
  <si>
    <t>Accounted Leakage</t>
  </si>
  <si>
    <t>Unaccounted Leakage</t>
  </si>
  <si>
    <t>PSI</t>
  </si>
  <si>
    <t>TOTAL</t>
  </si>
  <si>
    <t>Billed Metered Consumption</t>
  </si>
  <si>
    <t>Billed Authorized</t>
  </si>
  <si>
    <t>Revenue</t>
  </si>
  <si>
    <t>Consumption</t>
  </si>
  <si>
    <t>Water</t>
  </si>
  <si>
    <t>Billed Unmetered Consumption</t>
  </si>
  <si>
    <t>Authorized</t>
  </si>
  <si>
    <t>Unbilled Authorized</t>
  </si>
  <si>
    <t>SUPPLY</t>
  </si>
  <si>
    <t>Commercial /</t>
  </si>
  <si>
    <t>Non-Revenue</t>
  </si>
  <si>
    <t>Apparent Losses</t>
  </si>
  <si>
    <t>Metering Inaccuracies</t>
  </si>
  <si>
    <t>Losses</t>
  </si>
  <si>
    <t>Real /Physical</t>
  </si>
  <si>
    <t>Cubic</t>
  </si>
  <si>
    <t>Remarks</t>
  </si>
  <si>
    <t>Meter</t>
  </si>
  <si>
    <t>I. Supply</t>
  </si>
  <si>
    <t xml:space="preserve">        - Pump Production</t>
  </si>
  <si>
    <t xml:space="preserve">        - Pump Drain (add back)</t>
  </si>
  <si>
    <t xml:space="preserve">        - Purchased Bulk Water</t>
  </si>
  <si>
    <t>II. Authorized Consumption</t>
  </si>
  <si>
    <t>II.A. Billed Authorized Consumption</t>
  </si>
  <si>
    <t>II.A.1. Billed Metered Consumption</t>
  </si>
  <si>
    <t xml:space="preserve">        - Customer's Consumption</t>
  </si>
  <si>
    <t>- Residential</t>
  </si>
  <si>
    <t>- Commercial</t>
  </si>
  <si>
    <t>II.A.2. Billed Unmetered Consumption</t>
  </si>
  <si>
    <t xml:space="preserve">        - Bulk Water</t>
  </si>
  <si>
    <t xml:space="preserve">        - Lorry</t>
  </si>
  <si>
    <t xml:space="preserve">        - Contractor's Usage</t>
  </si>
  <si>
    <t>II.B. Unbilled Authorized Consumption</t>
  </si>
  <si>
    <t>II.B.1. Unbilled Metered Consumption</t>
  </si>
  <si>
    <t xml:space="preserve">        - Office Usage</t>
  </si>
  <si>
    <t xml:space="preserve">        - Pump Houses Usage</t>
  </si>
  <si>
    <t xml:space="preserve">        - Discount to Customers</t>
  </si>
  <si>
    <t>II.B.2. Unbilled Unmetered Consumption</t>
  </si>
  <si>
    <t xml:space="preserve">        - Service Connection Draining</t>
  </si>
  <si>
    <t xml:space="preserve">              - Tapping</t>
  </si>
  <si>
    <t xml:space="preserve">              - Plug Connection</t>
  </si>
  <si>
    <t xml:space="preserve">              - Relocate Meter</t>
  </si>
  <si>
    <t xml:space="preserve">        - Pump/Line Draining</t>
  </si>
  <si>
    <t xml:space="preserve">              - Line Draining - Mainline</t>
  </si>
  <si>
    <t xml:space="preserve">              - Line Draining - Meter Stand</t>
  </si>
  <si>
    <t xml:space="preserve">              - Pump Draining</t>
  </si>
  <si>
    <t xml:space="preserve">              - Backwash</t>
  </si>
  <si>
    <t xml:space="preserve">        - Fire Usage</t>
  </si>
  <si>
    <t>III. Water Losses</t>
  </si>
  <si>
    <t>III.A. Commercial/Apparent Losses</t>
  </si>
  <si>
    <t>III.A.1. Unauthorized Consumption</t>
  </si>
  <si>
    <t xml:space="preserve">        - Illegal Connection</t>
  </si>
  <si>
    <t>III.A.2. Metering Inaccuracies</t>
  </si>
  <si>
    <t>III.B. Real/Physical Losses</t>
  </si>
  <si>
    <t>III.B.1 Accounted Leakage</t>
  </si>
  <si>
    <t xml:space="preserve">        - Busted Service Pipes</t>
  </si>
  <si>
    <t xml:space="preserve">        - Busted Mainlines</t>
  </si>
  <si>
    <t xml:space="preserve">        - Busted Meter Stand</t>
  </si>
  <si>
    <t xml:space="preserve">        - Tail Piece Leak</t>
  </si>
  <si>
    <t xml:space="preserve">        - Gate Valve Leak</t>
  </si>
  <si>
    <t xml:space="preserve">        - Disconnect Mainline</t>
  </si>
  <si>
    <t xml:space="preserve">        - Disconnect Meter Stand</t>
  </si>
  <si>
    <t xml:space="preserve">        - Installation of Appurtenances</t>
  </si>
  <si>
    <t xml:space="preserve">        - Interconnection of Mainline</t>
  </si>
  <si>
    <t xml:space="preserve">III.B.2 Unaccounted Leakage </t>
  </si>
  <si>
    <t>Note: Fill-up the Yellow Cell</t>
  </si>
  <si>
    <t xml:space="preserve">        - Meter Test (Under Registering or Under Read)</t>
  </si>
  <si>
    <t>MONTHLY PUMP PRODUCTION REPORT</t>
  </si>
  <si>
    <t>DATE:</t>
  </si>
  <si>
    <t xml:space="preserve">PUMP STATION NO:   </t>
  </si>
  <si>
    <t>DATE</t>
  </si>
  <si>
    <t>AVE</t>
  </si>
  <si>
    <t>FLOWMETER READING</t>
  </si>
  <si>
    <t>DRAIN</t>
  </si>
  <si>
    <t>GROSPROD</t>
  </si>
  <si>
    <t>GROS TTL</t>
  </si>
  <si>
    <t>NET TTL</t>
  </si>
  <si>
    <t>DISCHARGE/FLOWRATE</t>
  </si>
  <si>
    <t>START</t>
  </si>
  <si>
    <t xml:space="preserve">ENDS </t>
  </si>
  <si>
    <t xml:space="preserve">in cu.m </t>
  </si>
  <si>
    <t>in cu.m</t>
  </si>
  <si>
    <t>in hour</t>
  </si>
  <si>
    <t xml:space="preserve">in hour </t>
  </si>
  <si>
    <t>in cu.m/hr</t>
  </si>
  <si>
    <t>in gal/min</t>
  </si>
  <si>
    <t>PUMP OPERATORS:</t>
  </si>
  <si>
    <t>PREPARED BY:</t>
  </si>
  <si>
    <t>TIME</t>
  </si>
  <si>
    <t>PVC</t>
  </si>
  <si>
    <t>1"</t>
  </si>
  <si>
    <t>2"</t>
  </si>
  <si>
    <t>3"</t>
  </si>
  <si>
    <t>4"</t>
  </si>
  <si>
    <t>G.I</t>
  </si>
  <si>
    <t>P.E</t>
  </si>
  <si>
    <t>AREAS</t>
  </si>
  <si>
    <t>1/2 inch</t>
  </si>
  <si>
    <t>3/4 inch</t>
  </si>
  <si>
    <t>6"</t>
  </si>
  <si>
    <t>G.I Pipe</t>
  </si>
  <si>
    <t>J.O #</t>
  </si>
  <si>
    <t>DURATION</t>
  </si>
  <si>
    <t>CU.M/MIN.</t>
  </si>
  <si>
    <t>SERVICE CONNECTION DRAINING</t>
  </si>
  <si>
    <t>DRAINING</t>
  </si>
  <si>
    <t>ACCOUNTED LEAKAGES</t>
  </si>
  <si>
    <t>TAP/ AS</t>
  </si>
  <si>
    <t>A. PAVEMENT</t>
  </si>
  <si>
    <t>RELOCATION</t>
  </si>
  <si>
    <t>MAINLINE</t>
  </si>
  <si>
    <t>M-STAND</t>
  </si>
  <si>
    <t>SVC PIPE</t>
  </si>
  <si>
    <t>METERSTAND</t>
  </si>
  <si>
    <t>T-PIECE</t>
  </si>
  <si>
    <t>GATEVALVE</t>
  </si>
  <si>
    <t>PARTICULARS</t>
  </si>
  <si>
    <t>W.B. INPUT DATA COMPUTATION</t>
  </si>
  <si>
    <t>IN MINS.</t>
  </si>
  <si>
    <t>ADDRESS</t>
  </si>
  <si>
    <t>Disconnection</t>
  </si>
  <si>
    <t>PLUG/OL/REC</t>
  </si>
  <si>
    <t>M. Stand</t>
  </si>
  <si>
    <t>Mainline</t>
  </si>
  <si>
    <t xml:space="preserve">              - Across Pavement</t>
  </si>
  <si>
    <t>PRODUCTION CAPACITY ANALYSIS</t>
  </si>
  <si>
    <t>DAILY DEMAND</t>
  </si>
  <si>
    <t>REMARKS</t>
  </si>
  <si>
    <t>DMA</t>
  </si>
  <si>
    <t>No. Of Billing Days</t>
  </si>
  <si>
    <t xml:space="preserve">Ave Cons. </t>
  </si>
  <si>
    <t>Inflow</t>
  </si>
  <si>
    <t>Outflow</t>
  </si>
  <si>
    <t>Supply</t>
  </si>
  <si>
    <t>NRW</t>
  </si>
  <si>
    <t>Cons/Day</t>
  </si>
  <si>
    <t>ADD</t>
  </si>
  <si>
    <t>MDD</t>
  </si>
  <si>
    <t>Residential</t>
  </si>
  <si>
    <t>Commercial</t>
  </si>
  <si>
    <t>Bulk</t>
  </si>
  <si>
    <t>Total</t>
  </si>
  <si>
    <t>Per Cust/Mo</t>
  </si>
  <si>
    <t>Per HH/Mo</t>
  </si>
  <si>
    <t xml:space="preserve">Volume </t>
  </si>
  <si>
    <t>Volume</t>
  </si>
  <si>
    <t>%</t>
  </si>
  <si>
    <t>Cu M</t>
  </si>
  <si>
    <t>Liters</t>
  </si>
  <si>
    <t>GPM</t>
  </si>
  <si>
    <t>DMA 4</t>
  </si>
  <si>
    <t>Minimum Night Flow</t>
  </si>
  <si>
    <t>12:00 MN</t>
  </si>
  <si>
    <t>ANALYSIS OF COMPONENTS OF NRW</t>
  </si>
  <si>
    <t>NRW COMPONENTS</t>
  </si>
  <si>
    <t>CUBIC METER</t>
  </si>
  <si>
    <t>% TO TOTAL</t>
  </si>
  <si>
    <t>Total NRW Volume</t>
  </si>
  <si>
    <t>Physical</t>
  </si>
  <si>
    <t>PRODUCTION</t>
  </si>
  <si>
    <t>OFF</t>
  </si>
  <si>
    <t>CU. M.</t>
  </si>
  <si>
    <t>POWER INTERRUPTION</t>
  </si>
  <si>
    <t>DAYS</t>
  </si>
  <si>
    <t>FROM</t>
  </si>
  <si>
    <t>TO</t>
  </si>
  <si>
    <t>NO. OF</t>
  </si>
  <si>
    <t>HOURS</t>
  </si>
  <si>
    <t>AMOUNT OF</t>
  </si>
  <si>
    <t>DIESEL</t>
  </si>
  <si>
    <t>AVE.</t>
  </si>
  <si>
    <t xml:space="preserve">TOTAL </t>
  </si>
  <si>
    <t>BWSI - ZARAGOZA BRANCH</t>
  </si>
  <si>
    <t>SAN ISIDRO, ZARAGOZA, NUEVA ECIJA</t>
  </si>
  <si>
    <t>1 ( SAN ISIDRO )</t>
  </si>
  <si>
    <t>drain before flow meter</t>
  </si>
  <si>
    <t>2 ( STA. CRUZ )</t>
  </si>
  <si>
    <t>3 ( STO. ROSARIO )</t>
  </si>
  <si>
    <t>Pump Lowest &amp; Highest PSI</t>
  </si>
  <si>
    <t>Date</t>
  </si>
  <si>
    <t>Lowest PSI</t>
  </si>
  <si>
    <t>Highest PSI</t>
  </si>
  <si>
    <t>Pump 1 (San Isidro)</t>
  </si>
  <si>
    <t>Pump 2 (Sta. Cruz)</t>
  </si>
  <si>
    <t>Pump 3 (Sto. Rosario)</t>
  </si>
  <si>
    <t>Pump 4 (San Vicente)</t>
  </si>
  <si>
    <t>Pump 5 (Batitang)</t>
  </si>
  <si>
    <t>Ave. L/ Ave. H</t>
  </si>
  <si>
    <t>L/ H</t>
  </si>
  <si>
    <t>Pump 1</t>
  </si>
  <si>
    <t>Pump 2</t>
  </si>
  <si>
    <t>Pump 3</t>
  </si>
  <si>
    <t>Pump 4</t>
  </si>
  <si>
    <t>Pump 5</t>
  </si>
  <si>
    <t>Cost of Diesel</t>
  </si>
  <si>
    <t>Per CU.M.</t>
  </si>
  <si>
    <t>PROD</t>
  </si>
  <si>
    <t>ADD: DRAIN</t>
  </si>
  <si>
    <t>Arman Justo</t>
  </si>
  <si>
    <t>7am-7pm</t>
  </si>
  <si>
    <t>John Michael Duenas</t>
  </si>
  <si>
    <t>7pm-7am</t>
  </si>
  <si>
    <t>Operations Supervisor</t>
  </si>
  <si>
    <t>4 ( SAN VICENTE)</t>
  </si>
  <si>
    <t>5 ( BATITANG)</t>
  </si>
  <si>
    <t>BWSI- ZARAGOZA BRANCH</t>
  </si>
  <si>
    <t>110</t>
  </si>
  <si>
    <t>Sto. Rosario- old</t>
  </si>
  <si>
    <t>120</t>
  </si>
  <si>
    <t>Sto. Rosario- young</t>
  </si>
  <si>
    <t>130</t>
  </si>
  <si>
    <t>Del Pilar- west</t>
  </si>
  <si>
    <t>140</t>
  </si>
  <si>
    <t>Del Pilar- east</t>
  </si>
  <si>
    <t>150</t>
  </si>
  <si>
    <t>San Vicente</t>
  </si>
  <si>
    <t>160</t>
  </si>
  <si>
    <t>Sto. Rosario- Phase 2</t>
  </si>
  <si>
    <t>170</t>
  </si>
  <si>
    <t>San Rafael</t>
  </si>
  <si>
    <t>190</t>
  </si>
  <si>
    <t>Sta.Lucia- young</t>
  </si>
  <si>
    <t>210</t>
  </si>
  <si>
    <t>Concepcion- west</t>
  </si>
  <si>
    <t>220</t>
  </si>
  <si>
    <t>230</t>
  </si>
  <si>
    <t>San Isidro-1</t>
  </si>
  <si>
    <t>240</t>
  </si>
  <si>
    <t>San Isidro-2</t>
  </si>
  <si>
    <t>310</t>
  </si>
  <si>
    <t>Sta. Cruz</t>
  </si>
  <si>
    <t>320</t>
  </si>
  <si>
    <t>Pantoc</t>
  </si>
  <si>
    <t>330</t>
  </si>
  <si>
    <t>Carmen-1</t>
  </si>
  <si>
    <t>340</t>
  </si>
  <si>
    <t>Carmen-2</t>
  </si>
  <si>
    <t>350</t>
  </si>
  <si>
    <t>Manaul</t>
  </si>
  <si>
    <t>360</t>
  </si>
  <si>
    <t>Batitang</t>
  </si>
  <si>
    <t>410</t>
  </si>
  <si>
    <t>Gen. Luna</t>
  </si>
  <si>
    <t>420</t>
  </si>
  <si>
    <t>Macarse</t>
  </si>
  <si>
    <t>430</t>
  </si>
  <si>
    <t>Mayamot</t>
  </si>
  <si>
    <t>440</t>
  </si>
  <si>
    <t>H. Romero</t>
  </si>
  <si>
    <t>BOOK</t>
  </si>
  <si>
    <t xml:space="preserve">NRW PER DMA </t>
  </si>
  <si>
    <t>INSTALLED PRODUCTION CAPACITY</t>
  </si>
  <si>
    <t>No. of Billed Cust.</t>
  </si>
  <si>
    <t>Billed Cons</t>
  </si>
  <si>
    <t>PUMPS</t>
  </si>
  <si>
    <t>BULK PURCHASE</t>
  </si>
  <si>
    <t>% Vs. MDD</t>
  </si>
  <si>
    <t>Per Capita/Day</t>
  </si>
  <si>
    <t>Location / Source</t>
  </si>
  <si>
    <t>concepcion- east</t>
  </si>
  <si>
    <t>SIZE</t>
  </si>
  <si>
    <t>SL AND ML</t>
  </si>
  <si>
    <t>METERING CONCERNS (BUSTED PIPE)</t>
  </si>
  <si>
    <t>METERING CONCERNS (TAIL PIECE LEAKING)</t>
  </si>
  <si>
    <t>METERING CONCERNS (BUSTED METER STAND)</t>
  </si>
  <si>
    <t>CONCEPCION (E), CONCEPCION, ZARAGOZA,...</t>
  </si>
  <si>
    <t>, SAN VICENTE (POBLACION), ZARAGOZA, N...</t>
  </si>
  <si>
    <t>ronald h samson</t>
  </si>
  <si>
    <t xml:space="preserve">ronald h samson </t>
  </si>
  <si>
    <t>ronald samson</t>
  </si>
  <si>
    <t>JO12-0620-0214</t>
  </si>
  <si>
    <t>JO12-0620-0225</t>
  </si>
  <si>
    <t>NEW CONNECTION/ OPEN MAINLINE</t>
  </si>
  <si>
    <t>NEW CONNECTION/ TAPPING</t>
  </si>
  <si>
    <t>REPAIRS AND MAINTENANCE (BUSTED PIPE)</t>
  </si>
  <si>
    <t>REPAIRS AND MAINTENANCE (DRAIN FROM MAINLINE)</t>
  </si>
  <si>
    <t>, STA. LUCIA YOUNG, ZARAGOZA, NUEVA EC...</t>
  </si>
  <si>
    <t>DEL PILAR WEST, DEL PILAR, ZARAGOZA, N...</t>
  </si>
  <si>
    <t>DEL PILAR (E), DEL PILAR, ZARAGOZA, NU...</t>
  </si>
  <si>
    <t>, MACARSE, ZARAGOZA, NUEVA ECIJA</t>
  </si>
  <si>
    <t>DMA FLOW METER READING</t>
  </si>
  <si>
    <t>STA. CRUZ FM #1- Inflow</t>
  </si>
  <si>
    <t>STA. CRUZ FM #2- outflow</t>
  </si>
  <si>
    <t>DEL PILAR  FM #1- inflow</t>
  </si>
  <si>
    <t>DEL PILAR  FM #2- outflow</t>
  </si>
  <si>
    <t>SAN VICENTE FM #1- bypass</t>
  </si>
  <si>
    <t>SAN VICENTE FM #2- outflow</t>
  </si>
  <si>
    <t>TOTAL PROD.</t>
  </si>
  <si>
    <t>DMA 1</t>
  </si>
  <si>
    <t>DMA 2</t>
  </si>
  <si>
    <t>DMA 3</t>
  </si>
  <si>
    <t>Book</t>
  </si>
  <si>
    <t>Res</t>
  </si>
  <si>
    <t>Com</t>
  </si>
  <si>
    <t>Cust Billed</t>
  </si>
  <si>
    <t>Billed Cust.</t>
  </si>
  <si>
    <t>PUMP #2</t>
  </si>
  <si>
    <t>Sta. Cruz FM#1</t>
  </si>
  <si>
    <t>Sta. Cruz FM#2</t>
  </si>
  <si>
    <t>San Vicente FM#2</t>
  </si>
  <si>
    <t>San Vicente FM#1 bypass</t>
  </si>
  <si>
    <t>PUMP #3</t>
  </si>
  <si>
    <t>PUMP #4</t>
  </si>
  <si>
    <t>PUMP #1</t>
  </si>
  <si>
    <t>PUMP #5</t>
  </si>
  <si>
    <t>Del Pilar FM#1</t>
  </si>
  <si>
    <t>Del Pilar FM#2</t>
  </si>
  <si>
    <t>31 days</t>
  </si>
  <si>
    <t>4:20pm</t>
  </si>
  <si>
    <t>5:07pm</t>
  </si>
  <si>
    <t>5:30pm</t>
  </si>
  <si>
    <t>5:20pm</t>
  </si>
  <si>
    <t>6:24pm</t>
  </si>
  <si>
    <t>As of July 2020</t>
  </si>
  <si>
    <t>As of JULY 2020</t>
  </si>
  <si>
    <t>JO12-0620-0205</t>
  </si>
  <si>
    <t>JO12-0720-0002</t>
  </si>
  <si>
    <t>JO12-0720-0006</t>
  </si>
  <si>
    <t>JO12-0620-0220</t>
  </si>
  <si>
    <t>JO12-0620-0221</t>
  </si>
  <si>
    <t>JO12-0620-0227</t>
  </si>
  <si>
    <t>JO12-0620-0228</t>
  </si>
  <si>
    <t>JO12-0620-0229</t>
  </si>
  <si>
    <t>JO12-0720-0069</t>
  </si>
  <si>
    <t>JO12-0720-0078</t>
  </si>
  <si>
    <t>JO12-0720-0079</t>
  </si>
  <si>
    <t>JO12-0720-0081</t>
  </si>
  <si>
    <t>JO12-0620-0182</t>
  </si>
  <si>
    <t>JO12-0620-0196</t>
  </si>
  <si>
    <t>JO12-0720-0083</t>
  </si>
  <si>
    <t>JO12-0720-0077</t>
  </si>
  <si>
    <t>JO12-0620-0177</t>
  </si>
  <si>
    <t>JO12-0620-0195</t>
  </si>
  <si>
    <t>JO12-0720-0101</t>
  </si>
  <si>
    <t>JO12-0620-0137</t>
  </si>
  <si>
    <t>JO12-0720-0059</t>
  </si>
  <si>
    <t>JO12-0720-0090</t>
  </si>
  <si>
    <t>JO12-0720-0100</t>
  </si>
  <si>
    <t>JO12-0720-0096</t>
  </si>
  <si>
    <t>JO12-0720-0097</t>
  </si>
  <si>
    <t>JO12-0720-0098</t>
  </si>
  <si>
    <t>JO12-0720-0099</t>
  </si>
  <si>
    <t>JO12-0720-0107</t>
  </si>
  <si>
    <t>JO12-0720-0108</t>
  </si>
  <si>
    <t>JO12-0720-0114</t>
  </si>
  <si>
    <t>JO12-0720-0056</t>
  </si>
  <si>
    <t>JO12-0720-0119</t>
  </si>
  <si>
    <t>JO12-0720-0168</t>
  </si>
  <si>
    <t>JO12-0720-0102</t>
  </si>
  <si>
    <t>JO12-0720-0106</t>
  </si>
  <si>
    <t>JO12-0720-0136</t>
  </si>
  <si>
    <t>JO12-0720-0142</t>
  </si>
  <si>
    <t>JO12-0720-0159</t>
  </si>
  <si>
    <t>JO12-0620-0191</t>
  </si>
  <si>
    <t>JO12-0720-0071</t>
  </si>
  <si>
    <t>JO12-0720-0113</t>
  </si>
  <si>
    <t>JO12-0720-0127</t>
  </si>
  <si>
    <t>JO12-0620-0219</t>
  </si>
  <si>
    <t>JO12-0720-0125</t>
  </si>
  <si>
    <t>JO12-0720-0126</t>
  </si>
  <si>
    <t>JO12-0720-0080</t>
  </si>
  <si>
    <t>JO12-0720-0133</t>
  </si>
  <si>
    <t>JO12-0520-0167</t>
  </si>
  <si>
    <t>JO12-0720-0158</t>
  </si>
  <si>
    <t>JO12-0720-0172</t>
  </si>
  <si>
    <t>JO12-0720-0175</t>
  </si>
  <si>
    <t>JO12-0720-0191</t>
  </si>
  <si>
    <t>JO12-0720-0160</t>
  </si>
  <si>
    <t>JO12-0720-0166</t>
  </si>
  <si>
    <t>JO12-0720-0174</t>
  </si>
  <si>
    <t>JO12-0720-0176</t>
  </si>
  <si>
    <t>JO12-0720-0195</t>
  </si>
  <si>
    <t>JO12-0720-0173</t>
  </si>
  <si>
    <t>JO12-0720-0198</t>
  </si>
  <si>
    <t>JO12-0720-0212</t>
  </si>
  <si>
    <t>JO12-0720-0202</t>
  </si>
  <si>
    <t>JO12-0720-0215</t>
  </si>
  <si>
    <t>JO12-0720-0217</t>
  </si>
  <si>
    <t>JO12-0720-0223</t>
  </si>
  <si>
    <t>JO12-0720-0211</t>
  </si>
  <si>
    <t>JO12-0720-0227</t>
  </si>
  <si>
    <t>JO12-0720-0203</t>
  </si>
  <si>
    <t>JO12-0720-0197</t>
  </si>
  <si>
    <t>JO12-0720-0226</t>
  </si>
  <si>
    <t>JO12-0720-0177</t>
  </si>
  <si>
    <t>JO12-0720-0200</t>
  </si>
  <si>
    <t>JO12-0720-0219</t>
  </si>
  <si>
    <t>JO12-0720-0241</t>
  </si>
  <si>
    <t>JO12-0720-0242</t>
  </si>
  <si>
    <t>JO12-0720-0243</t>
  </si>
  <si>
    <t>JO12-0820-0047</t>
  </si>
  <si>
    <t>METERING CONCERNS (BROKEN TAIL PIECE)</t>
  </si>
  <si>
    <t>NEW CONNECTION/ PLUG CONNECTION</t>
  </si>
  <si>
    <t>SERVICE LEVEL (QUALITY OF WATER)</t>
  </si>
  <si>
    <t>METERING CONCERNS (LEAK REPAIR)</t>
  </si>
  <si>
    <t>NEW CONNECTION/ TAPPING ACROSS SOIL</t>
  </si>
  <si>
    <t>P</t>
  </si>
  <si>
    <t>O</t>
  </si>
  <si>
    <t>WEST, DEL PILAR, ZARAGOZA, NUEVA ECIJA</t>
  </si>
  <si>
    <t>SITIO PUTOT, BATITANG, ZARAGOZA, NUEVA...</t>
  </si>
  <si>
    <t>, GENERAL LUNA, ZARAGOZA, NUEVA ECIJA</t>
  </si>
  <si>
    <t>STA. CRUZ, STA. CRUZ, ZARAGOZA, NUEVA...</t>
  </si>
  <si>
    <t>, STA. CRUZ, ZARAGOZA, NUEVA ECIJA</t>
  </si>
  <si>
    <t>PUROK LAKATAN, CONCEPCION (W), CONCEPC...</t>
  </si>
  <si>
    <t>PUROK 7,PAHSE 1 SAN ISIDRO, ZARAGOZA, NUEVA E...</t>
  </si>
  <si>
    <t>PHASE 2 PUROK 1, CTM, SAN ISIDRO, ZARAGOZA, NU...</t>
  </si>
  <si>
    <t>PUROK 2, TBA, GENERAL LUNA, ZARAGOZA,...</t>
  </si>
  <si>
    <t>PUROK 1, CDD, STO. ROSARIO OLD, ZARAGO...</t>
  </si>
  <si>
    <t>ROSEMAR VILLAGE, MPD, PHASE 2,CARMEN, ZARAGOZA...</t>
  </si>
  <si>
    <t>PUROK 2, EMG,PHASE 1 STO. ROSARIO YOUNG, ZARA...</t>
  </si>
  <si>
    <t>EAST, VCG, DEL PILAR, ZARAGOZA, NUEVA...</t>
  </si>
  <si>
    <t>, STO. ROSARIO YOUNG, ZARAGOZA, NUEVA...</t>
  </si>
  <si>
    <t>WEST, VDP, CONCEPCION, ZARAGOZA, NUEVA...</t>
  </si>
  <si>
    <t>-(A)/ PUROK 1, STO. ROSARIO OLD, STO....</t>
  </si>
  <si>
    <t>PUROK 2, RSD, PANTOC, ZARAGOZA, NUEVA...</t>
  </si>
  <si>
    <t>PUROK 6, ADC, GENERAL LUNA, ZARAGOZA,...</t>
  </si>
  <si>
    <t>PUROK 5, KSB, SAN RAFAEL, ZARAGOZA, NU...</t>
  </si>
  <si>
    <t>-(B)/ PUROK 5, KSB, SAN RAFAEL, ZARAGO...</t>
  </si>
  <si>
    <t>-(A)/ PUROK 5, KSB, SAN RAFAEL, ZARAGO...</t>
  </si>
  <si>
    <t>-(C)/ PUROK 5, KSB, SAN RAFAEL, ZARAGO...</t>
  </si>
  <si>
    <t>PRK 6, WEST, PFP, DEL PILAR, ZARAGOZA,...</t>
  </si>
  <si>
    <t>WEST, MADRE PALLA, DEL PILAR, ZARAGOZA...</t>
  </si>
  <si>
    <t>PHASE 2, PUROK 2, RLC, CARMEN, ZARAGOZA, NUEVA...</t>
  </si>
  <si>
    <t>PHASE 2, PUROK 1, EAP, CARMEN, ZARAGOZA, NUEVA...</t>
  </si>
  <si>
    <t>PUROK 2, ROT, BATITANG, ZARAGOZA, NUEV...</t>
  </si>
  <si>
    <t>PUROK 1, MPM, STO. ROSARIO OLD, ZARAGO...</t>
  </si>
  <si>
    <t>PUROK 4,MAH, STO. ROSARIO YOUNG, ZARAG...</t>
  </si>
  <si>
    <t>CONCEPCION (W), CONCEPCION, ZARAGOZA,...</t>
  </si>
  <si>
    <t>PUROK 3, JCB, BATITANG, ZARAGOZA, NUEV...</t>
  </si>
  <si>
    <t>PUROK LAKATAN, CONCEPCION WEST, ZARAGOZA, N...</t>
  </si>
  <si>
    <t>PUROK 1, RMS, BATITANG, ZARAGOZA, NUEV...</t>
  </si>
  <si>
    <t>PUROK 2, AFA, MANAUL, ZARAGOZA, NUEVA...</t>
  </si>
  <si>
    <t>PUROK 3, LDJ, MANAUL, ZARAGOZA, NUEVA...</t>
  </si>
  <si>
    <t>PHASE 2, PUROK 5, RTD, SAN ISIDRO, ZARAGOZA, NU...</t>
  </si>
  <si>
    <t>PUROK 6, EAB, SAN RAFAEL, ZARAGOZA, NU...</t>
  </si>
  <si>
    <t>PUROK 5, VQS, STA. LUCIA YOUNG, ZARAGO...</t>
  </si>
  <si>
    <t>PUROK 2, RAR, BATITANG, ZARAGOZA, NUEV...</t>
  </si>
  <si>
    <t>PHASE 2, PUROK 2, JPI, SAN ISIDRO, ZARAGOZA, NU...</t>
  </si>
  <si>
    <t>, PANTOC, ZARAGOZA, NUEVA ECIJA</t>
  </si>
  <si>
    <t>PUROK 3, MACARSE, ZARAGOZA, NUEVA ECIJ...</t>
  </si>
  <si>
    <t>PHASE 2,LOT 13, BLOCK 3, AUC, CARMEN, ZARAGOZA...</t>
  </si>
  <si>
    <t>PUROK 2, MAC, GENERAL LUNA, ZARAGOZA,...</t>
  </si>
  <si>
    <t>ZARAGOZA NATIONAL HIGH SCHOOL, SAN RAF...</t>
  </si>
  <si>
    <t>WEST, PDB, DEL PILAR, ZARAGOZA, NUEVA...</t>
  </si>
  <si>
    <t>PUROK 3, BPA, MAYAMOT, ZARAGOZA, NUEVA...</t>
  </si>
  <si>
    <t>EAST, PUROK BALINTAWAK, DEL PILAR, ZAR...</t>
  </si>
  <si>
    <t>PUROK 2, MDB, STO. ROSARIO OLD, ZARAGO...</t>
  </si>
  <si>
    <t>PUROK 4B, JRL, BATITANG, ZARAGOZA, NUE...</t>
  </si>
  <si>
    <t>PUROK 2, JSR, MANAUL, ZARAGOZA, NUEVA...</t>
  </si>
  <si>
    <t>PHASE 1, PUROK 3, JDA, SAN ISIDRO, ZARAGOZA, NU...</t>
  </si>
  <si>
    <t>PUROK 2, AVM, PANTOC, ZARAGOZA, NUEVA...</t>
  </si>
  <si>
    <t>PHASE 1, CARMEN, ZARAGOZA, NUEVA ECIJA</t>
  </si>
  <si>
    <t>PUROK 3, DAR, BATITANG, ZARAGOZA, NUEV...</t>
  </si>
  <si>
    <t>PUROK 4, MCD, BATITANG, ZARAGOZA, NUEV...</t>
  </si>
  <si>
    <t>PUROK 2, GPC, BATITANG, ZARAGOZA, NUEV...</t>
  </si>
  <si>
    <t>PHASE 2,PUROK 1, MDM, CARMEN, ZARAGOZA, NUEVA...</t>
  </si>
  <si>
    <t>PUROK 2, MTA, GENERAL LUNA, ZARAGOZA,...</t>
  </si>
  <si>
    <t>(A)WEST, BENITEZ SUBD.,MDA, CONCEPCION...</t>
  </si>
  <si>
    <t>SITIO PUTOT, EAST,RID, CONCEPCION, ZAR...</t>
  </si>
  <si>
    <t>PUROK 2, STA. LUCIA YOUNG, ZARAGOZA, N...</t>
  </si>
  <si>
    <t>PHASE 1,PUROK 5, SAN ISIDRO, ZARAGOZA, NUEVA E...</t>
  </si>
  <si>
    <t>PUROK 4, SAN RAFAEL, ZARAGOZA, NUEVA E...</t>
  </si>
  <si>
    <t>SITIO PUTOT,, BATITANG, ZARAGOZA, NUEV...</t>
  </si>
  <si>
    <t>PUROK 2, JTT, STO. ROSARIO YOUNG, ZARAGOZA, NUEVA ECIJA</t>
  </si>
  <si>
    <t xml:space="preserve">June 30 to July 29 </t>
  </si>
  <si>
    <t>June 30 to July29</t>
  </si>
  <si>
    <t>JUNE 30 to JULY 29 2020</t>
  </si>
  <si>
    <t>ave due to stuck-up</t>
  </si>
  <si>
    <t>August 11, 2020</t>
  </si>
  <si>
    <t>DMA4</t>
  </si>
  <si>
    <t>Cu. M.</t>
  </si>
  <si>
    <t>5 CU.M</t>
  </si>
  <si>
    <t>JULY 2020 NRW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</si>
</sst>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000%"/>
    <numFmt numFmtId="166" formatCode="_(* #,##0_);_(* \(#,##0\);_(* &quot;-&quot;??_);_(@_)"/>
    <numFmt numFmtId="167" formatCode="0.000"/>
    <numFmt numFmtId="168" formatCode="[$-409]m/d/yy\ h:mm\ AM/PM;@"/>
    <numFmt numFmtId="169" formatCode="0.00000"/>
  </numFmts>
  <fonts count="5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</font>
    <font>
      <b/>
      <sz val="11"/>
      <color theme="1"/>
      <name val="Calibri Light"/>
      <family val="2"/>
    </font>
    <font>
      <b/>
      <sz val="11"/>
      <color theme="1"/>
      <name val="Calibri Light"/>
      <family val="2"/>
    </font>
    <font>
      <b/>
      <sz val="11"/>
      <name val="Calibri Light"/>
      <family val="2"/>
    </font>
    <font>
      <b/>
      <sz val="10"/>
      <color theme="1"/>
      <name val="Arial"/>
      <family val="2"/>
    </font>
    <font>
      <u/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sz val="8"/>
      <color rgb="FF333333"/>
      <name val="Arial"/>
      <family val="2"/>
    </font>
    <font>
      <sz val="11"/>
      <color theme="9" tint="0.59999389629810485"/>
      <name val="Calibri"/>
      <family val="2"/>
      <scheme val="minor"/>
    </font>
    <font>
      <b/>
      <sz val="8"/>
      <color rgb="FF33333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i/>
      <sz val="12"/>
      <color theme="1"/>
      <name val="Calibri"/>
      <family val="2"/>
      <scheme val="minor"/>
    </font>
    <font>
      <sz val="9"/>
      <color rgb="FF33333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1">
    <xf numFmtId="0" fontId="0" fillId="0" borderId="0"/>
    <xf numFmtId="164" fontId="15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6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6" fillId="0" borderId="0"/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9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" fillId="0" borderId="0"/>
    <xf numFmtId="0" fontId="15" fillId="0" borderId="0"/>
    <xf numFmtId="164" fontId="13" fillId="0" borderId="0" applyFont="0" applyFill="0" applyBorder="0" applyAlignment="0" applyProtection="0"/>
    <xf numFmtId="164" fontId="54" fillId="0" borderId="0" applyFont="0" applyFill="0" applyBorder="0" applyAlignment="0" applyProtection="0"/>
  </cellStyleXfs>
  <cellXfs count="475">
    <xf numFmtId="0" fontId="0" fillId="0" borderId="0" xfId="0"/>
    <xf numFmtId="0" fontId="16" fillId="2" borderId="0" xfId="5" applyFill="1"/>
    <xf numFmtId="0" fontId="22" fillId="2" borderId="0" xfId="5" applyFont="1" applyFill="1"/>
    <xf numFmtId="0" fontId="23" fillId="7" borderId="12" xfId="5" applyFont="1" applyFill="1" applyBorder="1" applyProtection="1">
      <protection locked="0"/>
    </xf>
    <xf numFmtId="0" fontId="24" fillId="8" borderId="13" xfId="5" applyFont="1" applyFill="1" applyBorder="1"/>
    <xf numFmtId="0" fontId="24" fillId="8" borderId="14" xfId="5" applyFont="1" applyFill="1" applyBorder="1"/>
    <xf numFmtId="0" fontId="24" fillId="8" borderId="0" xfId="5" applyFont="1" applyFill="1" applyBorder="1"/>
    <xf numFmtId="0" fontId="24" fillId="8" borderId="15" xfId="5" applyFont="1" applyFill="1" applyBorder="1"/>
    <xf numFmtId="0" fontId="24" fillId="8" borderId="16" xfId="5" applyFont="1" applyFill="1" applyBorder="1"/>
    <xf numFmtId="0" fontId="23" fillId="8" borderId="0" xfId="5" applyFont="1" applyFill="1" applyBorder="1" applyAlignment="1">
      <alignment horizontal="center"/>
    </xf>
    <xf numFmtId="0" fontId="24" fillId="8" borderId="17" xfId="5" applyFont="1" applyFill="1" applyBorder="1"/>
    <xf numFmtId="0" fontId="23" fillId="8" borderId="18" xfId="5" applyFont="1" applyFill="1" applyBorder="1" applyAlignment="1">
      <alignment horizontal="center"/>
    </xf>
    <xf numFmtId="0" fontId="24" fillId="8" borderId="18" xfId="5" applyFont="1" applyFill="1" applyBorder="1"/>
    <xf numFmtId="0" fontId="16" fillId="9" borderId="0" xfId="5" applyFill="1"/>
    <xf numFmtId="0" fontId="22" fillId="9" borderId="0" xfId="5" applyFont="1" applyFill="1"/>
    <xf numFmtId="0" fontId="17" fillId="3" borderId="19" xfId="5" applyFont="1" applyFill="1" applyBorder="1"/>
    <xf numFmtId="166" fontId="25" fillId="3" borderId="19" xfId="3" applyNumberFormat="1" applyFont="1" applyFill="1" applyBorder="1" applyProtection="1">
      <protection hidden="1"/>
    </xf>
    <xf numFmtId="0" fontId="16" fillId="3" borderId="19" xfId="5" applyFill="1" applyBorder="1" applyProtection="1">
      <protection locked="0"/>
    </xf>
    <xf numFmtId="0" fontId="16" fillId="10" borderId="19" xfId="5" applyFill="1" applyBorder="1" applyAlignment="1">
      <alignment horizontal="left" indent="1"/>
    </xf>
    <xf numFmtId="166" fontId="26" fillId="7" borderId="19" xfId="3" applyNumberFormat="1" applyFont="1" applyFill="1" applyBorder="1" applyProtection="1">
      <protection locked="0"/>
    </xf>
    <xf numFmtId="0" fontId="16" fillId="7" borderId="19" xfId="5" applyFill="1" applyBorder="1" applyProtection="1">
      <protection locked="0"/>
    </xf>
    <xf numFmtId="0" fontId="16" fillId="3" borderId="19" xfId="5" applyFill="1" applyBorder="1"/>
    <xf numFmtId="0" fontId="16" fillId="4" borderId="19" xfId="5" applyFill="1" applyBorder="1"/>
    <xf numFmtId="0" fontId="17" fillId="6" borderId="19" xfId="5" applyFont="1" applyFill="1" applyBorder="1" applyAlignment="1">
      <alignment horizontal="left" indent="3"/>
    </xf>
    <xf numFmtId="166" fontId="25" fillId="6" borderId="19" xfId="3" applyNumberFormat="1" applyFont="1" applyFill="1" applyBorder="1" applyProtection="1">
      <protection hidden="1"/>
    </xf>
    <xf numFmtId="0" fontId="16" fillId="6" borderId="19" xfId="5" applyFill="1" applyBorder="1" applyProtection="1">
      <protection locked="0"/>
    </xf>
    <xf numFmtId="166" fontId="16" fillId="2" borderId="0" xfId="5" applyNumberFormat="1" applyFill="1"/>
    <xf numFmtId="0" fontId="26" fillId="5" borderId="19" xfId="5" applyFont="1" applyFill="1" applyBorder="1" applyAlignment="1">
      <alignment horizontal="left" indent="1"/>
    </xf>
    <xf numFmtId="166" fontId="18" fillId="5" borderId="19" xfId="3" applyNumberFormat="1" applyFont="1" applyFill="1" applyBorder="1" applyProtection="1">
      <protection hidden="1"/>
    </xf>
    <xf numFmtId="0" fontId="26" fillId="5" borderId="19" xfId="5" applyFont="1" applyFill="1" applyBorder="1" applyProtection="1">
      <protection locked="0"/>
    </xf>
    <xf numFmtId="0" fontId="16" fillId="10" borderId="19" xfId="5" quotePrefix="1" applyFill="1" applyBorder="1" applyAlignment="1">
      <alignment horizontal="left" indent="5"/>
    </xf>
    <xf numFmtId="166" fontId="16" fillId="7" borderId="19" xfId="3" applyNumberFormat="1" applyFont="1" applyFill="1" applyBorder="1" applyProtection="1">
      <protection locked="0"/>
    </xf>
    <xf numFmtId="0" fontId="16" fillId="5" borderId="19" xfId="5" applyFill="1" applyBorder="1" applyAlignment="1">
      <alignment horizontal="left" indent="1"/>
    </xf>
    <xf numFmtId="166" fontId="28" fillId="5" borderId="19" xfId="3" applyNumberFormat="1" applyFont="1" applyFill="1" applyBorder="1" applyProtection="1">
      <protection hidden="1"/>
    </xf>
    <xf numFmtId="0" fontId="16" fillId="5" borderId="19" xfId="5" applyFill="1" applyBorder="1" applyProtection="1">
      <protection locked="0"/>
    </xf>
    <xf numFmtId="0" fontId="16" fillId="10" borderId="19" xfId="5" applyFill="1" applyBorder="1" applyAlignment="1">
      <alignment horizontal="left"/>
    </xf>
    <xf numFmtId="0" fontId="16" fillId="10" borderId="19" xfId="5" applyFill="1" applyBorder="1"/>
    <xf numFmtId="166" fontId="16" fillId="9" borderId="0" xfId="3" applyNumberFormat="1" applyFont="1" applyFill="1"/>
    <xf numFmtId="0" fontId="27" fillId="0" borderId="0" xfId="5" applyFont="1" applyFill="1"/>
    <xf numFmtId="0" fontId="26" fillId="0" borderId="0" xfId="5" applyFont="1" applyFill="1"/>
    <xf numFmtId="0" fontId="23" fillId="7" borderId="16" xfId="5" applyFont="1" applyFill="1" applyBorder="1" applyProtection="1">
      <protection locked="0"/>
    </xf>
    <xf numFmtId="166" fontId="16" fillId="7" borderId="19" xfId="3" applyNumberFormat="1" applyFont="1" applyFill="1" applyBorder="1" applyProtection="1">
      <protection locked="0"/>
    </xf>
    <xf numFmtId="0" fontId="16" fillId="7" borderId="19" xfId="5" applyFont="1" applyFill="1" applyBorder="1" applyProtection="1">
      <protection locked="0"/>
    </xf>
    <xf numFmtId="166" fontId="16" fillId="7" borderId="19" xfId="5" applyNumberFormat="1" applyFill="1" applyBorder="1" applyProtection="1">
      <protection locked="0"/>
    </xf>
    <xf numFmtId="0" fontId="29" fillId="7" borderId="19" xfId="5" applyFont="1" applyFill="1" applyBorder="1" applyProtection="1">
      <protection locked="0"/>
    </xf>
    <xf numFmtId="0" fontId="30" fillId="0" borderId="0" xfId="0" applyFont="1"/>
    <xf numFmtId="0" fontId="30" fillId="0" borderId="16" xfId="0" applyFont="1" applyBorder="1"/>
    <xf numFmtId="0" fontId="30" fillId="0" borderId="21" xfId="0" applyFont="1" applyBorder="1"/>
    <xf numFmtId="0" fontId="30" fillId="0" borderId="22" xfId="0" applyFont="1" applyBorder="1"/>
    <xf numFmtId="0" fontId="30" fillId="0" borderId="17" xfId="0" applyFont="1" applyBorder="1"/>
    <xf numFmtId="0" fontId="30" fillId="0" borderId="19" xfId="0" applyFont="1" applyBorder="1"/>
    <xf numFmtId="1" fontId="30" fillId="0" borderId="19" xfId="0" applyNumberFormat="1" applyFont="1" applyBorder="1"/>
    <xf numFmtId="2" fontId="30" fillId="0" borderId="19" xfId="0" applyNumberFormat="1" applyFont="1" applyBorder="1"/>
    <xf numFmtId="0" fontId="30" fillId="0" borderId="0" xfId="0" applyFont="1" applyBorder="1"/>
    <xf numFmtId="0" fontId="30" fillId="0" borderId="20" xfId="0" applyFont="1" applyBorder="1" applyAlignment="1">
      <alignment horizontal="center"/>
    </xf>
    <xf numFmtId="0" fontId="0" fillId="0" borderId="19" xfId="0" applyBorder="1"/>
    <xf numFmtId="0" fontId="22" fillId="0" borderId="0" xfId="0" applyFont="1"/>
    <xf numFmtId="0" fontId="22" fillId="0" borderId="19" xfId="0" applyFont="1" applyBorder="1"/>
    <xf numFmtId="0" fontId="22" fillId="11" borderId="19" xfId="0" applyFont="1" applyFill="1" applyBorder="1" applyAlignment="1">
      <alignment horizontal="center"/>
    </xf>
    <xf numFmtId="0" fontId="22" fillId="12" borderId="19" xfId="0" applyFont="1" applyFill="1" applyBorder="1" applyAlignment="1">
      <alignment horizontal="center"/>
    </xf>
    <xf numFmtId="0" fontId="22" fillId="13" borderId="19" xfId="0" applyFont="1" applyFill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0" fillId="0" borderId="0" xfId="0" applyAlignment="1">
      <alignment horizontal="center"/>
    </xf>
    <xf numFmtId="0" fontId="31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0" fillId="0" borderId="0" xfId="0" applyAlignment="1">
      <alignment horizontal="left"/>
    </xf>
    <xf numFmtId="0" fontId="31" fillId="0" borderId="0" xfId="0" applyFont="1" applyAlignment="1">
      <alignment horizontal="left"/>
    </xf>
    <xf numFmtId="0" fontId="0" fillId="0" borderId="0" xfId="0" applyFill="1"/>
    <xf numFmtId="0" fontId="16" fillId="7" borderId="19" xfId="5" applyFont="1" applyFill="1" applyBorder="1" applyProtection="1">
      <protection locked="0"/>
    </xf>
    <xf numFmtId="2" fontId="32" fillId="0" borderId="19" xfId="0" applyNumberFormat="1" applyFont="1" applyBorder="1"/>
    <xf numFmtId="1" fontId="32" fillId="0" borderId="19" xfId="0" applyNumberFormat="1" applyFont="1" applyBorder="1"/>
    <xf numFmtId="0" fontId="33" fillId="0" borderId="0" xfId="0" applyFont="1"/>
    <xf numFmtId="0" fontId="16" fillId="7" borderId="19" xfId="5" applyFont="1" applyFill="1" applyBorder="1" applyProtection="1">
      <protection locked="0"/>
    </xf>
    <xf numFmtId="0" fontId="22" fillId="14" borderId="19" xfId="0" applyFont="1" applyFill="1" applyBorder="1" applyAlignment="1">
      <alignment horizontal="center"/>
    </xf>
    <xf numFmtId="0" fontId="30" fillId="0" borderId="0" xfId="0" applyFont="1" applyFill="1" applyBorder="1"/>
    <xf numFmtId="2" fontId="20" fillId="0" borderId="19" xfId="0" applyNumberFormat="1" applyFont="1" applyBorder="1"/>
    <xf numFmtId="2" fontId="0" fillId="0" borderId="0" xfId="0" applyNumberFormat="1" applyFont="1" applyFill="1"/>
    <xf numFmtId="0" fontId="0" fillId="0" borderId="0" xfId="0" applyFont="1"/>
    <xf numFmtId="0" fontId="22" fillId="0" borderId="19" xfId="0" applyFont="1" applyFill="1" applyBorder="1" applyAlignment="1">
      <alignment horizontal="center"/>
    </xf>
    <xf numFmtId="0" fontId="30" fillId="0" borderId="16" xfId="0" applyFont="1" applyBorder="1" applyAlignment="1">
      <alignment horizontal="center"/>
    </xf>
    <xf numFmtId="0" fontId="21" fillId="0" borderId="0" xfId="5" applyFont="1" applyFill="1"/>
    <xf numFmtId="0" fontId="16" fillId="0" borderId="0" xfId="5" applyFill="1"/>
    <xf numFmtId="0" fontId="19" fillId="0" borderId="1" xfId="5" applyFont="1" applyFill="1" applyBorder="1"/>
    <xf numFmtId="0" fontId="16" fillId="0" borderId="2" xfId="5" applyFill="1" applyBorder="1"/>
    <xf numFmtId="0" fontId="16" fillId="0" borderId="3" xfId="5" applyFill="1" applyBorder="1"/>
    <xf numFmtId="0" fontId="19" fillId="0" borderId="4" xfId="5" applyFont="1" applyFill="1" applyBorder="1"/>
    <xf numFmtId="0" fontId="16" fillId="0" borderId="0" xfId="5" applyFill="1" applyBorder="1"/>
    <xf numFmtId="10" fontId="16" fillId="0" borderId="0" xfId="5" applyNumberFormat="1" applyFill="1" applyBorder="1"/>
    <xf numFmtId="0" fontId="16" fillId="0" borderId="5" xfId="5" applyFill="1" applyBorder="1"/>
    <xf numFmtId="0" fontId="16" fillId="0" borderId="6" xfId="5" applyFill="1" applyBorder="1"/>
    <xf numFmtId="0" fontId="16" fillId="0" borderId="7" xfId="5" applyFill="1" applyBorder="1"/>
    <xf numFmtId="0" fontId="16" fillId="0" borderId="8" xfId="5" applyFill="1" applyBorder="1"/>
    <xf numFmtId="0" fontId="16" fillId="0" borderId="9" xfId="5" applyFill="1" applyBorder="1" applyAlignment="1">
      <alignment horizontal="center"/>
    </xf>
    <xf numFmtId="0" fontId="16" fillId="0" borderId="10" xfId="5" applyFill="1" applyBorder="1" applyAlignment="1">
      <alignment horizontal="center"/>
    </xf>
    <xf numFmtId="3" fontId="20" fillId="0" borderId="10" xfId="5" applyNumberFormat="1" applyFont="1" applyFill="1" applyBorder="1" applyAlignment="1">
      <alignment horizontal="center"/>
    </xf>
    <xf numFmtId="10" fontId="20" fillId="0" borderId="11" xfId="7" applyNumberFormat="1" applyFont="1" applyFill="1" applyBorder="1" applyAlignment="1">
      <alignment horizontal="center"/>
    </xf>
    <xf numFmtId="3" fontId="16" fillId="0" borderId="0" xfId="5" applyNumberFormat="1" applyFill="1"/>
    <xf numFmtId="10" fontId="16" fillId="0" borderId="0" xfId="5" applyNumberFormat="1" applyFill="1"/>
    <xf numFmtId="10" fontId="20" fillId="0" borderId="10" xfId="7" applyNumberFormat="1" applyFont="1" applyFill="1" applyBorder="1" applyAlignment="1">
      <alignment horizontal="center"/>
    </xf>
    <xf numFmtId="0" fontId="16" fillId="0" borderId="11" xfId="5" applyFill="1" applyBorder="1" applyAlignment="1">
      <alignment horizontal="center"/>
    </xf>
    <xf numFmtId="0" fontId="20" fillId="0" borderId="10" xfId="5" applyFont="1" applyFill="1" applyBorder="1" applyAlignment="1">
      <alignment horizontal="center"/>
    </xf>
    <xf numFmtId="165" fontId="20" fillId="0" borderId="11" xfId="7" applyNumberFormat="1" applyFont="1" applyFill="1" applyBorder="1" applyAlignment="1">
      <alignment horizontal="center"/>
    </xf>
    <xf numFmtId="165" fontId="20" fillId="0" borderId="10" xfId="7" applyNumberFormat="1" applyFont="1" applyFill="1" applyBorder="1" applyAlignment="1">
      <alignment horizontal="center"/>
    </xf>
    <xf numFmtId="0" fontId="16" fillId="0" borderId="1" xfId="5" applyFill="1" applyBorder="1" applyAlignment="1">
      <alignment horizontal="center"/>
    </xf>
    <xf numFmtId="0" fontId="16" fillId="0" borderId="5" xfId="5" applyFill="1" applyBorder="1" applyAlignment="1">
      <alignment horizontal="center"/>
    </xf>
    <xf numFmtId="0" fontId="16" fillId="0" borderId="4" xfId="5" applyFill="1" applyBorder="1" applyAlignment="1">
      <alignment horizontal="center"/>
    </xf>
    <xf numFmtId="3" fontId="20" fillId="0" borderId="4" xfId="5" applyNumberFormat="1" applyFont="1" applyFill="1" applyBorder="1" applyAlignment="1">
      <alignment horizontal="center"/>
    </xf>
    <xf numFmtId="3" fontId="16" fillId="0" borderId="10" xfId="5" applyNumberFormat="1" applyFont="1" applyFill="1" applyBorder="1" applyAlignment="1">
      <alignment horizontal="center"/>
    </xf>
    <xf numFmtId="10" fontId="20" fillId="0" borderId="4" xfId="7" applyNumberFormat="1" applyFont="1" applyFill="1" applyBorder="1" applyAlignment="1">
      <alignment horizontal="center"/>
    </xf>
    <xf numFmtId="3" fontId="20" fillId="0" borderId="10" xfId="7" applyNumberFormat="1" applyFont="1" applyFill="1" applyBorder="1" applyAlignment="1">
      <alignment horizontal="center"/>
    </xf>
    <xf numFmtId="0" fontId="16" fillId="0" borderId="6" xfId="5" applyFill="1" applyBorder="1" applyAlignment="1">
      <alignment horizontal="center"/>
    </xf>
    <xf numFmtId="0" fontId="16" fillId="0" borderId="8" xfId="5" applyFill="1" applyBorder="1" applyAlignment="1">
      <alignment horizontal="center"/>
    </xf>
    <xf numFmtId="0" fontId="22" fillId="0" borderId="22" xfId="0" applyFont="1" applyFill="1" applyBorder="1" applyAlignment="1">
      <alignment horizontal="center"/>
    </xf>
    <xf numFmtId="0" fontId="12" fillId="10" borderId="19" xfId="5" applyFont="1" applyFill="1" applyBorder="1" applyAlignment="1">
      <alignment horizontal="left"/>
    </xf>
    <xf numFmtId="0" fontId="20" fillId="0" borderId="0" xfId="17" applyFont="1"/>
    <xf numFmtId="0" fontId="9" fillId="0" borderId="0" xfId="17"/>
    <xf numFmtId="17" fontId="20" fillId="0" borderId="0" xfId="17" quotePrefix="1" applyNumberFormat="1" applyFont="1"/>
    <xf numFmtId="0" fontId="9" fillId="0" borderId="19" xfId="17" applyFill="1" applyBorder="1" applyAlignment="1">
      <alignment horizontal="center"/>
    </xf>
    <xf numFmtId="18" fontId="9" fillId="0" borderId="19" xfId="17" applyNumberFormat="1" applyFill="1" applyBorder="1"/>
    <xf numFmtId="0" fontId="9" fillId="0" borderId="19" xfId="17" applyFill="1" applyBorder="1"/>
    <xf numFmtId="18" fontId="9" fillId="0" borderId="0" xfId="17" applyNumberFormat="1" applyFill="1" applyBorder="1"/>
    <xf numFmtId="0" fontId="9" fillId="0" borderId="0" xfId="17" applyFill="1" applyBorder="1"/>
    <xf numFmtId="0" fontId="36" fillId="0" borderId="4" xfId="17" applyFont="1" applyBorder="1"/>
    <xf numFmtId="0" fontId="36" fillId="0" borderId="0" xfId="17" applyFont="1" applyBorder="1"/>
    <xf numFmtId="0" fontId="36" fillId="0" borderId="5" xfId="17" applyFont="1" applyBorder="1"/>
    <xf numFmtId="0" fontId="37" fillId="0" borderId="4" xfId="17" applyFont="1" applyBorder="1"/>
    <xf numFmtId="0" fontId="37" fillId="0" borderId="0" xfId="17" applyFont="1" applyBorder="1"/>
    <xf numFmtId="0" fontId="37" fillId="0" borderId="5" xfId="17" applyFont="1" applyBorder="1"/>
    <xf numFmtId="3" fontId="37" fillId="0" borderId="0" xfId="17" applyNumberFormat="1" applyFont="1" applyBorder="1"/>
    <xf numFmtId="0" fontId="37" fillId="0" borderId="19" xfId="17" applyFont="1" applyBorder="1" applyAlignment="1">
      <alignment horizontal="center"/>
    </xf>
    <xf numFmtId="9" fontId="37" fillId="0" borderId="19" xfId="17" applyNumberFormat="1" applyFont="1" applyBorder="1" applyAlignment="1">
      <alignment horizontal="center"/>
    </xf>
    <xf numFmtId="0" fontId="38" fillId="0" borderId="25" xfId="17" applyFont="1" applyFill="1" applyBorder="1"/>
    <xf numFmtId="0" fontId="38" fillId="0" borderId="23" xfId="17" applyFont="1" applyFill="1" applyBorder="1"/>
    <xf numFmtId="0" fontId="38" fillId="0" borderId="26" xfId="17" applyFont="1" applyFill="1" applyBorder="1"/>
    <xf numFmtId="0" fontId="38" fillId="0" borderId="19" xfId="17" applyFont="1" applyFill="1" applyBorder="1" applyAlignment="1">
      <alignment horizontal="center"/>
    </xf>
    <xf numFmtId="9" fontId="38" fillId="0" borderId="19" xfId="19" applyFont="1" applyFill="1" applyBorder="1" applyAlignment="1">
      <alignment horizontal="center"/>
    </xf>
    <xf numFmtId="0" fontId="39" fillId="0" borderId="25" xfId="17" applyFont="1" applyBorder="1"/>
    <xf numFmtId="0" fontId="37" fillId="0" borderId="4" xfId="17" applyFont="1" applyBorder="1" applyAlignment="1">
      <alignment horizontal="right"/>
    </xf>
    <xf numFmtId="0" fontId="37" fillId="0" borderId="6" xfId="17" applyFont="1" applyBorder="1"/>
    <xf numFmtId="0" fontId="37" fillId="0" borderId="7" xfId="17" applyFont="1" applyBorder="1"/>
    <xf numFmtId="0" fontId="37" fillId="0" borderId="8" xfId="17" applyFont="1" applyBorder="1"/>
    <xf numFmtId="0" fontId="40" fillId="0" borderId="23" xfId="17" applyFont="1" applyBorder="1"/>
    <xf numFmtId="0" fontId="40" fillId="0" borderId="26" xfId="17" applyFont="1" applyBorder="1"/>
    <xf numFmtId="0" fontId="40" fillId="0" borderId="19" xfId="17" applyFont="1" applyBorder="1" applyAlignment="1">
      <alignment horizontal="center"/>
    </xf>
    <xf numFmtId="9" fontId="41" fillId="0" borderId="19" xfId="19" applyFont="1" applyBorder="1" applyAlignment="1">
      <alignment horizontal="center"/>
    </xf>
    <xf numFmtId="0" fontId="22" fillId="9" borderId="19" xfId="0" applyFont="1" applyFill="1" applyBorder="1" applyAlignment="1">
      <alignment horizont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/>
    </xf>
    <xf numFmtId="14" fontId="30" fillId="0" borderId="22" xfId="0" applyNumberFormat="1" applyFont="1" applyBorder="1" applyAlignment="1">
      <alignment horizontal="center"/>
    </xf>
    <xf numFmtId="0" fontId="6" fillId="0" borderId="0" xfId="17" applyFont="1"/>
    <xf numFmtId="0" fontId="9" fillId="0" borderId="19" xfId="17" applyNumberFormat="1" applyFill="1" applyBorder="1"/>
    <xf numFmtId="0" fontId="30" fillId="0" borderId="12" xfId="0" applyFont="1" applyBorder="1" applyAlignment="1">
      <alignment horizontal="center"/>
    </xf>
    <xf numFmtId="0" fontId="30" fillId="0" borderId="20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42" fillId="0" borderId="0" xfId="0" applyFont="1"/>
    <xf numFmtId="0" fontId="30" fillId="0" borderId="12" xfId="0" applyFont="1" applyBorder="1" applyAlignment="1"/>
    <xf numFmtId="0" fontId="30" fillId="0" borderId="19" xfId="0" applyFont="1" applyBorder="1" applyAlignment="1">
      <alignment horizontal="center"/>
    </xf>
    <xf numFmtId="0" fontId="30" fillId="0" borderId="19" xfId="0" applyFont="1" applyBorder="1" applyAlignment="1">
      <alignment horizontal="center" wrapText="1"/>
    </xf>
    <xf numFmtId="0" fontId="43" fillId="0" borderId="0" xfId="0" applyFont="1"/>
    <xf numFmtId="0" fontId="29" fillId="0" borderId="0" xfId="0" applyFont="1"/>
    <xf numFmtId="0" fontId="29" fillId="16" borderId="19" xfId="0" applyFont="1" applyFill="1" applyBorder="1"/>
    <xf numFmtId="0" fontId="29" fillId="16" borderId="19" xfId="0" applyFont="1" applyFill="1" applyBorder="1" applyAlignment="1">
      <alignment horizontal="center"/>
    </xf>
    <xf numFmtId="15" fontId="22" fillId="0" borderId="19" xfId="0" applyNumberFormat="1" applyFont="1" applyBorder="1"/>
    <xf numFmtId="15" fontId="30" fillId="0" borderId="0" xfId="0" applyNumberFormat="1" applyFont="1" applyBorder="1"/>
    <xf numFmtId="0" fontId="0" fillId="0" borderId="0" xfId="0" applyFill="1" applyBorder="1"/>
    <xf numFmtId="1" fontId="30" fillId="0" borderId="0" xfId="0" applyNumberFormat="1" applyFont="1"/>
    <xf numFmtId="0" fontId="29" fillId="11" borderId="0" xfId="0" applyFont="1" applyFill="1"/>
    <xf numFmtId="0" fontId="30" fillId="0" borderId="0" xfId="0" applyFont="1" applyBorder="1" applyAlignment="1">
      <alignment horizontal="center"/>
    </xf>
    <xf numFmtId="1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1" fontId="29" fillId="11" borderId="0" xfId="0" applyNumberFormat="1" applyFont="1" applyFill="1" applyAlignment="1">
      <alignment horizontal="center"/>
    </xf>
    <xf numFmtId="15" fontId="22" fillId="0" borderId="19" xfId="0" applyNumberFormat="1" applyFont="1" applyBorder="1" applyAlignment="1">
      <alignment horizontal="center"/>
    </xf>
    <xf numFmtId="0" fontId="0" fillId="0" borderId="22" xfId="0" applyBorder="1"/>
    <xf numFmtId="0" fontId="30" fillId="0" borderId="21" xfId="0" applyFont="1" applyBorder="1" applyAlignment="1">
      <alignment horizontal="center" vertical="center"/>
    </xf>
    <xf numFmtId="0" fontId="30" fillId="0" borderId="19" xfId="0" applyFont="1" applyFill="1" applyBorder="1" applyAlignment="1">
      <alignment horizontal="center"/>
    </xf>
    <xf numFmtId="164" fontId="30" fillId="0" borderId="19" xfId="1" applyFont="1" applyFill="1" applyBorder="1"/>
    <xf numFmtId="164" fontId="30" fillId="0" borderId="19" xfId="1" applyFont="1" applyBorder="1"/>
    <xf numFmtId="164" fontId="32" fillId="0" borderId="19" xfId="1" applyFont="1" applyBorder="1"/>
    <xf numFmtId="2" fontId="30" fillId="0" borderId="19" xfId="0" applyNumberFormat="1" applyFont="1" applyBorder="1" applyAlignment="1">
      <alignment horizontal="center"/>
    </xf>
    <xf numFmtId="2" fontId="0" fillId="0" borderId="0" xfId="0" applyNumberFormat="1"/>
    <xf numFmtId="0" fontId="30" fillId="0" borderId="17" xfId="0" applyFont="1" applyBorder="1" applyAlignment="1">
      <alignment horizontal="center"/>
    </xf>
    <xf numFmtId="2" fontId="30" fillId="0" borderId="19" xfId="0" applyNumberFormat="1" applyFont="1" applyBorder="1" applyAlignment="1">
      <alignment horizontal="right"/>
    </xf>
    <xf numFmtId="0" fontId="22" fillId="0" borderId="0" xfId="0" applyFont="1" applyBorder="1" applyAlignment="1">
      <alignment horizontal="left"/>
    </xf>
    <xf numFmtId="0" fontId="22" fillId="0" borderId="18" xfId="0" applyFont="1" applyBorder="1" applyAlignment="1">
      <alignment horizontal="left"/>
    </xf>
    <xf numFmtId="0" fontId="22" fillId="5" borderId="16" xfId="0" applyFont="1" applyFill="1" applyBorder="1" applyAlignment="1">
      <alignment horizontal="left"/>
    </xf>
    <xf numFmtId="0" fontId="22" fillId="5" borderId="17" xfId="0" applyFont="1" applyFill="1" applyBorder="1" applyAlignment="1">
      <alignment horizontal="left"/>
    </xf>
    <xf numFmtId="0" fontId="22" fillId="0" borderId="17" xfId="0" applyFont="1" applyFill="1" applyBorder="1" applyAlignment="1">
      <alignment horizontal="left"/>
    </xf>
    <xf numFmtId="168" fontId="22" fillId="0" borderId="22" xfId="0" applyNumberFormat="1" applyFont="1" applyFill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22" fillId="0" borderId="19" xfId="5" applyNumberFormat="1" applyFont="1" applyBorder="1" applyAlignment="1">
      <alignment horizontal="center"/>
    </xf>
    <xf numFmtId="0" fontId="44" fillId="0" borderId="19" xfId="5" applyNumberFormat="1" applyFont="1" applyBorder="1" applyAlignment="1">
      <alignment horizontal="center"/>
    </xf>
    <xf numFmtId="0" fontId="44" fillId="0" borderId="19" xfId="0" applyFont="1" applyBorder="1"/>
    <xf numFmtId="0" fontId="22" fillId="0" borderId="19" xfId="0" applyFont="1" applyBorder="1" applyAlignment="1">
      <alignment horizontal="center"/>
    </xf>
    <xf numFmtId="0" fontId="46" fillId="0" borderId="0" xfId="24" applyFont="1" applyAlignment="1" applyProtection="1">
      <protection hidden="1"/>
    </xf>
    <xf numFmtId="0" fontId="5" fillId="0" borderId="0" xfId="24" applyProtection="1">
      <protection hidden="1"/>
    </xf>
    <xf numFmtId="0" fontId="46" fillId="0" borderId="0" xfId="24" applyFont="1" applyBorder="1" applyAlignment="1" applyProtection="1">
      <protection hidden="1"/>
    </xf>
    <xf numFmtId="0" fontId="5" fillId="0" borderId="0" xfId="24" applyBorder="1" applyProtection="1">
      <protection hidden="1"/>
    </xf>
    <xf numFmtId="0" fontId="5" fillId="0" borderId="0" xfId="24" applyBorder="1" applyAlignment="1" applyProtection="1">
      <alignment horizontal="center" vertical="center"/>
      <protection hidden="1"/>
    </xf>
    <xf numFmtId="0" fontId="17" fillId="0" borderId="19" xfId="24" applyFont="1" applyBorder="1" applyAlignment="1" applyProtection="1">
      <alignment horizontal="center" vertical="center" wrapText="1"/>
      <protection hidden="1"/>
    </xf>
    <xf numFmtId="0" fontId="17" fillId="0" borderId="19" xfId="24" applyFont="1" applyBorder="1" applyAlignment="1" applyProtection="1">
      <alignment horizontal="center"/>
      <protection hidden="1"/>
    </xf>
    <xf numFmtId="0" fontId="17" fillId="0" borderId="19" xfId="24" applyFont="1" applyBorder="1" applyAlignment="1" applyProtection="1">
      <alignment horizontal="center" vertical="center"/>
      <protection hidden="1"/>
    </xf>
    <xf numFmtId="0" fontId="17" fillId="0" borderId="20" xfId="24" applyFont="1" applyBorder="1" applyAlignment="1" applyProtection="1">
      <alignment horizontal="center" vertical="center" wrapText="1"/>
      <protection hidden="1"/>
    </xf>
    <xf numFmtId="3" fontId="17" fillId="0" borderId="20" xfId="24" applyNumberFormat="1" applyFont="1" applyBorder="1" applyAlignment="1" applyProtection="1">
      <alignment horizontal="center" vertical="center"/>
      <protection hidden="1"/>
    </xf>
    <xf numFmtId="0" fontId="17" fillId="0" borderId="20" xfId="24" applyFont="1" applyBorder="1" applyAlignment="1" applyProtection="1">
      <alignment horizontal="center" vertical="center"/>
      <protection hidden="1"/>
    </xf>
    <xf numFmtId="166" fontId="5" fillId="9" borderId="19" xfId="26" applyNumberFormat="1" applyFont="1" applyFill="1" applyBorder="1" applyAlignment="1" applyProtection="1">
      <alignment horizontal="center"/>
      <protection locked="0" hidden="1"/>
    </xf>
    <xf numFmtId="2" fontId="5" fillId="0" borderId="0" xfId="24" applyNumberFormat="1" applyBorder="1" applyAlignment="1" applyProtection="1">
      <alignment horizontal="center"/>
      <protection hidden="1"/>
    </xf>
    <xf numFmtId="166" fontId="5" fillId="11" borderId="19" xfId="26" applyNumberFormat="1" applyFont="1" applyFill="1" applyBorder="1" applyAlignment="1" applyProtection="1">
      <alignment horizontal="center"/>
      <protection locked="0" hidden="1"/>
    </xf>
    <xf numFmtId="166" fontId="18" fillId="9" borderId="19" xfId="26" applyNumberFormat="1" applyFont="1" applyFill="1" applyBorder="1" applyAlignment="1" applyProtection="1">
      <alignment horizontal="center"/>
      <protection locked="0" hidden="1"/>
    </xf>
    <xf numFmtId="2" fontId="26" fillId="9" borderId="0" xfId="24" applyNumberFormat="1" applyFont="1" applyFill="1" applyBorder="1" applyAlignment="1" applyProtection="1">
      <alignment horizontal="center"/>
      <protection hidden="1"/>
    </xf>
    <xf numFmtId="0" fontId="5" fillId="0" borderId="19" xfId="24" applyBorder="1" applyAlignment="1" applyProtection="1">
      <alignment horizontal="center"/>
      <protection hidden="1"/>
    </xf>
    <xf numFmtId="3" fontId="5" fillId="0" borderId="19" xfId="24" applyNumberFormat="1" applyBorder="1" applyAlignment="1" applyProtection="1">
      <alignment horizontal="center"/>
      <protection hidden="1"/>
    </xf>
    <xf numFmtId="4" fontId="5" fillId="0" borderId="19" xfId="24" applyNumberFormat="1" applyBorder="1" applyAlignment="1" applyProtection="1">
      <alignment horizontal="center"/>
      <protection hidden="1"/>
    </xf>
    <xf numFmtId="4" fontId="47" fillId="0" borderId="19" xfId="24" applyNumberFormat="1" applyFont="1" applyBorder="1" applyAlignment="1" applyProtection="1">
      <alignment horizontal="center"/>
      <protection hidden="1"/>
    </xf>
    <xf numFmtId="10" fontId="47" fillId="0" borderId="19" xfId="25" applyNumberFormat="1" applyFont="1" applyBorder="1" applyAlignment="1" applyProtection="1">
      <alignment horizontal="center"/>
      <protection hidden="1"/>
    </xf>
    <xf numFmtId="2" fontId="5" fillId="0" borderId="19" xfId="24" applyNumberFormat="1" applyBorder="1" applyAlignment="1" applyProtection="1">
      <alignment horizontal="center"/>
      <protection hidden="1"/>
    </xf>
    <xf numFmtId="164" fontId="5" fillId="0" borderId="19" xfId="26" applyFont="1" applyBorder="1" applyAlignment="1" applyProtection="1">
      <alignment horizontal="center"/>
      <protection hidden="1"/>
    </xf>
    <xf numFmtId="164" fontId="5" fillId="0" borderId="19" xfId="24" applyNumberFormat="1" applyBorder="1" applyAlignment="1" applyProtection="1">
      <alignment horizontal="center"/>
      <protection hidden="1"/>
    </xf>
    <xf numFmtId="0" fontId="5" fillId="0" borderId="19" xfId="24" applyBorder="1" applyAlignment="1" applyProtection="1">
      <alignment horizontal="center" vertical="top" wrapText="1"/>
      <protection hidden="1"/>
    </xf>
    <xf numFmtId="4" fontId="5" fillId="0" borderId="0" xfId="24" applyNumberFormat="1" applyBorder="1" applyAlignment="1" applyProtection="1">
      <alignment vertical="center"/>
      <protection hidden="1"/>
    </xf>
    <xf numFmtId="3" fontId="5" fillId="0" borderId="0" xfId="24" applyNumberFormat="1" applyBorder="1" applyAlignment="1" applyProtection="1">
      <alignment horizontal="center" vertical="center"/>
      <protection hidden="1"/>
    </xf>
    <xf numFmtId="0" fontId="48" fillId="0" borderId="0" xfId="24" applyFont="1" applyFill="1" applyAlignment="1" applyProtection="1">
      <protection hidden="1"/>
    </xf>
    <xf numFmtId="0" fontId="18" fillId="0" borderId="0" xfId="24" applyFont="1" applyFill="1" applyAlignment="1" applyProtection="1">
      <protection hidden="1"/>
    </xf>
    <xf numFmtId="166" fontId="18" fillId="0" borderId="0" xfId="24" applyNumberFormat="1" applyFont="1" applyFill="1" applyAlignment="1" applyProtection="1">
      <protection hidden="1"/>
    </xf>
    <xf numFmtId="4" fontId="18" fillId="0" borderId="0" xfId="24" applyNumberFormat="1" applyFont="1" applyFill="1" applyAlignment="1" applyProtection="1">
      <protection hidden="1"/>
    </xf>
    <xf numFmtId="166" fontId="5" fillId="0" borderId="0" xfId="24" applyNumberFormat="1" applyProtection="1">
      <protection hidden="1"/>
    </xf>
    <xf numFmtId="164" fontId="5" fillId="0" borderId="0" xfId="26" applyFont="1" applyProtection="1">
      <protection hidden="1"/>
    </xf>
    <xf numFmtId="164" fontId="5" fillId="0" borderId="0" xfId="24" applyNumberFormat="1" applyProtection="1">
      <protection hidden="1"/>
    </xf>
    <xf numFmtId="10" fontId="0" fillId="0" borderId="0" xfId="25" applyNumberFormat="1" applyFont="1" applyProtection="1">
      <protection hidden="1"/>
    </xf>
    <xf numFmtId="3" fontId="5" fillId="0" borderId="0" xfId="24" applyNumberFormat="1" applyProtection="1">
      <protection hidden="1"/>
    </xf>
    <xf numFmtId="1" fontId="5" fillId="0" borderId="0" xfId="24" applyNumberFormat="1" applyProtection="1">
      <protection hidden="1"/>
    </xf>
    <xf numFmtId="0" fontId="5" fillId="9" borderId="19" xfId="24" applyFont="1" applyFill="1" applyBorder="1" applyAlignment="1" applyProtection="1">
      <alignment horizontal="center"/>
      <protection locked="0" hidden="1"/>
    </xf>
    <xf numFmtId="169" fontId="22" fillId="0" borderId="19" xfId="0" applyNumberFormat="1" applyFont="1" applyBorder="1"/>
    <xf numFmtId="0" fontId="22" fillId="0" borderId="19" xfId="0" applyFont="1" applyFill="1" applyBorder="1"/>
    <xf numFmtId="0" fontId="30" fillId="0" borderId="12" xfId="0" applyFont="1" applyBorder="1" applyAlignment="1">
      <alignment horizontal="center"/>
    </xf>
    <xf numFmtId="0" fontId="30" fillId="0" borderId="14" xfId="0" applyFont="1" applyFill="1" applyBorder="1" applyAlignment="1">
      <alignment horizontal="center" vertical="center"/>
    </xf>
    <xf numFmtId="0" fontId="22" fillId="5" borderId="20" xfId="0" applyFont="1" applyFill="1" applyBorder="1" applyAlignment="1">
      <alignment horizontal="center"/>
    </xf>
    <xf numFmtId="0" fontId="22" fillId="5" borderId="22" xfId="0" applyFont="1" applyFill="1" applyBorder="1" applyAlignment="1">
      <alignment horizontal="center"/>
    </xf>
    <xf numFmtId="0" fontId="0" fillId="0" borderId="21" xfId="0" applyFont="1" applyBorder="1"/>
    <xf numFmtId="0" fontId="0" fillId="0" borderId="22" xfId="0" applyFont="1" applyBorder="1"/>
    <xf numFmtId="0" fontId="0" fillId="0" borderId="19" xfId="0" applyFont="1" applyBorder="1"/>
    <xf numFmtId="1" fontId="30" fillId="0" borderId="19" xfId="0" applyNumberFormat="1" applyFont="1" applyBorder="1" applyAlignment="1">
      <alignment horizontal="right"/>
    </xf>
    <xf numFmtId="0" fontId="22" fillId="0" borderId="0" xfId="0" applyFont="1" applyBorder="1" applyAlignment="1">
      <alignment horizontal="center"/>
    </xf>
    <xf numFmtId="0" fontId="22" fillId="5" borderId="16" xfId="0" applyFont="1" applyFill="1" applyBorder="1" applyAlignment="1">
      <alignment horizontal="center"/>
    </xf>
    <xf numFmtId="0" fontId="22" fillId="5" borderId="17" xfId="0" applyFont="1" applyFill="1" applyBorder="1" applyAlignment="1">
      <alignment horizontal="center"/>
    </xf>
    <xf numFmtId="166" fontId="50" fillId="5" borderId="19" xfId="3" applyNumberFormat="1" applyFont="1" applyFill="1" applyBorder="1" applyProtection="1">
      <protection locked="0"/>
    </xf>
    <xf numFmtId="0" fontId="17" fillId="0" borderId="19" xfId="24" applyFont="1" applyBorder="1" applyAlignment="1" applyProtection="1">
      <alignment horizontal="center"/>
      <protection hidden="1"/>
    </xf>
    <xf numFmtId="3" fontId="5" fillId="0" borderId="22" xfId="24" applyNumberFormat="1" applyBorder="1" applyAlignment="1" applyProtection="1">
      <alignment horizontal="center"/>
      <protection hidden="1"/>
    </xf>
    <xf numFmtId="166" fontId="5" fillId="0" borderId="24" xfId="26" applyNumberFormat="1" applyFont="1" applyBorder="1" applyAlignment="1" applyProtection="1">
      <protection hidden="1"/>
    </xf>
    <xf numFmtId="166" fontId="5" fillId="0" borderId="22" xfId="26" applyNumberFormat="1" applyFont="1" applyBorder="1" applyAlignment="1" applyProtection="1">
      <alignment horizontal="center"/>
      <protection hidden="1"/>
    </xf>
    <xf numFmtId="3" fontId="5" fillId="9" borderId="19" xfId="24" applyNumberFormat="1" applyFont="1" applyFill="1" applyBorder="1" applyAlignment="1" applyProtection="1">
      <alignment horizontal="center"/>
      <protection locked="0" hidden="1"/>
    </xf>
    <xf numFmtId="0" fontId="5" fillId="0" borderId="19" xfId="24" applyFont="1" applyBorder="1" applyProtection="1">
      <protection hidden="1"/>
    </xf>
    <xf numFmtId="2" fontId="5" fillId="0" borderId="22" xfId="24" applyNumberFormat="1" applyBorder="1" applyAlignment="1" applyProtection="1">
      <alignment horizontal="center"/>
      <protection hidden="1"/>
    </xf>
    <xf numFmtId="12" fontId="51" fillId="18" borderId="19" xfId="1" applyNumberFormat="1" applyFont="1" applyFill="1" applyBorder="1" applyAlignment="1">
      <alignment horizontal="center" vertical="top"/>
    </xf>
    <xf numFmtId="1" fontId="49" fillId="18" borderId="19" xfId="0" applyNumberFormat="1" applyFont="1" applyFill="1" applyBorder="1" applyAlignment="1">
      <alignment vertical="top"/>
    </xf>
    <xf numFmtId="0" fontId="3" fillId="0" borderId="0" xfId="27" applyFont="1"/>
    <xf numFmtId="0" fontId="3" fillId="0" borderId="0" xfId="27"/>
    <xf numFmtId="14" fontId="30" fillId="0" borderId="19" xfId="28" applyNumberFormat="1" applyFont="1" applyBorder="1" applyAlignment="1">
      <alignment horizontal="center"/>
    </xf>
    <xf numFmtId="0" fontId="3" fillId="0" borderId="0" xfId="27" applyBorder="1"/>
    <xf numFmtId="1" fontId="3" fillId="0" borderId="0" xfId="27" applyNumberFormat="1" applyBorder="1"/>
    <xf numFmtId="1" fontId="3" fillId="0" borderId="0" xfId="27" applyNumberFormat="1"/>
    <xf numFmtId="0" fontId="0" fillId="11" borderId="0" xfId="0" applyFill="1"/>
    <xf numFmtId="0" fontId="0" fillId="0" borderId="0" xfId="0" applyAlignment="1">
      <alignment horizontal="right"/>
    </xf>
    <xf numFmtId="0" fontId="0" fillId="0" borderId="23" xfId="0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Border="1"/>
    <xf numFmtId="0" fontId="20" fillId="0" borderId="23" xfId="0" applyFont="1" applyBorder="1" applyAlignment="1">
      <alignment horizontal="right"/>
    </xf>
    <xf numFmtId="0" fontId="20" fillId="0" borderId="23" xfId="0" applyFont="1" applyBorder="1"/>
    <xf numFmtId="0" fontId="0" fillId="0" borderId="0" xfId="0" applyFill="1" applyAlignment="1">
      <alignment horizontal="center"/>
    </xf>
    <xf numFmtId="2" fontId="32" fillId="11" borderId="19" xfId="0" applyNumberFormat="1" applyFont="1" applyFill="1" applyBorder="1"/>
    <xf numFmtId="2" fontId="32" fillId="11" borderId="19" xfId="0" applyNumberFormat="1" applyFont="1" applyFill="1" applyBorder="1" applyAlignment="1">
      <alignment horizontal="center"/>
    </xf>
    <xf numFmtId="2" fontId="30" fillId="11" borderId="19" xfId="0" applyNumberFormat="1" applyFont="1" applyFill="1" applyBorder="1" applyAlignment="1">
      <alignment horizontal="center"/>
    </xf>
    <xf numFmtId="0" fontId="30" fillId="11" borderId="19" xfId="0" applyFont="1" applyFill="1" applyBorder="1" applyAlignment="1">
      <alignment horizontal="center"/>
    </xf>
    <xf numFmtId="0" fontId="30" fillId="11" borderId="19" xfId="0" applyFont="1" applyFill="1" applyBorder="1" applyAlignment="1">
      <alignment horizontal="center" wrapText="1"/>
    </xf>
    <xf numFmtId="0" fontId="30" fillId="11" borderId="20" xfId="0" applyFont="1" applyFill="1" applyBorder="1" applyAlignment="1">
      <alignment horizontal="center" vertical="center"/>
    </xf>
    <xf numFmtId="0" fontId="30" fillId="11" borderId="18" xfId="0" applyFont="1" applyFill="1" applyBorder="1" applyAlignment="1">
      <alignment horizontal="center"/>
    </xf>
    <xf numFmtId="167" fontId="32" fillId="11" borderId="19" xfId="0" applyNumberFormat="1" applyFont="1" applyFill="1" applyBorder="1"/>
    <xf numFmtId="2" fontId="30" fillId="11" borderId="19" xfId="0" applyNumberFormat="1" applyFont="1" applyFill="1" applyBorder="1"/>
    <xf numFmtId="2" fontId="30" fillId="11" borderId="21" xfId="0" applyNumberFormat="1" applyFont="1" applyFill="1" applyBorder="1"/>
    <xf numFmtId="2" fontId="33" fillId="11" borderId="19" xfId="0" applyNumberFormat="1" applyFont="1" applyFill="1" applyBorder="1"/>
    <xf numFmtId="0" fontId="30" fillId="11" borderId="0" xfId="0" applyFont="1" applyFill="1"/>
    <xf numFmtId="0" fontId="30" fillId="11" borderId="20" xfId="0" applyFont="1" applyFill="1" applyBorder="1" applyAlignment="1">
      <alignment horizontal="center"/>
    </xf>
    <xf numFmtId="2" fontId="32" fillId="0" borderId="19" xfId="0" applyNumberFormat="1" applyFont="1" applyFill="1" applyBorder="1"/>
    <xf numFmtId="14" fontId="30" fillId="11" borderId="22" xfId="0" applyNumberFormat="1" applyFont="1" applyFill="1" applyBorder="1" applyAlignment="1">
      <alignment horizontal="center"/>
    </xf>
    <xf numFmtId="0" fontId="30" fillId="0" borderId="19" xfId="0" applyFont="1" applyFill="1" applyBorder="1" applyAlignment="1">
      <alignment horizontal="center" wrapText="1"/>
    </xf>
    <xf numFmtId="0" fontId="30" fillId="0" borderId="17" xfId="0" applyFont="1" applyFill="1" applyBorder="1" applyAlignment="1">
      <alignment horizontal="center"/>
    </xf>
    <xf numFmtId="0" fontId="30" fillId="11" borderId="19" xfId="0" quotePrefix="1" applyFont="1" applyFill="1" applyBorder="1" applyAlignment="1">
      <alignment horizontal="center"/>
    </xf>
    <xf numFmtId="0" fontId="30" fillId="0" borderId="0" xfId="0" applyFont="1" applyAlignment="1">
      <alignment horizontal="center" wrapText="1"/>
    </xf>
    <xf numFmtId="166" fontId="0" fillId="0" borderId="0" xfId="1" applyNumberFormat="1" applyFont="1" applyAlignment="1">
      <alignment horizontal="center"/>
    </xf>
    <xf numFmtId="0" fontId="2" fillId="9" borderId="19" xfId="24" applyFont="1" applyFill="1" applyBorder="1" applyAlignment="1" applyProtection="1">
      <alignment horizontal="center"/>
      <protection locked="0" hidden="1"/>
    </xf>
    <xf numFmtId="0" fontId="2" fillId="11" borderId="19" xfId="24" applyFont="1" applyFill="1" applyBorder="1" applyAlignment="1" applyProtection="1">
      <alignment horizontal="center"/>
      <protection locked="0" hidden="1"/>
    </xf>
    <xf numFmtId="0" fontId="2" fillId="0" borderId="19" xfId="24" applyFont="1" applyFill="1" applyBorder="1" applyAlignment="1" applyProtection="1">
      <alignment horizontal="center"/>
      <protection locked="0" hidden="1"/>
    </xf>
    <xf numFmtId="166" fontId="5" fillId="0" borderId="19" xfId="26" applyNumberFormat="1" applyFont="1" applyFill="1" applyBorder="1" applyAlignment="1" applyProtection="1">
      <alignment horizontal="center"/>
      <protection locked="0" hidden="1"/>
    </xf>
    <xf numFmtId="0" fontId="4" fillId="0" borderId="19" xfId="24" applyFont="1" applyFill="1" applyBorder="1" applyAlignment="1" applyProtection="1">
      <alignment horizontal="center"/>
      <protection locked="0" hidden="1"/>
    </xf>
    <xf numFmtId="3" fontId="4" fillId="0" borderId="19" xfId="24" applyNumberFormat="1" applyFont="1" applyFill="1" applyBorder="1" applyAlignment="1" applyProtection="1">
      <alignment horizontal="center"/>
      <protection locked="0" hidden="1"/>
    </xf>
    <xf numFmtId="0" fontId="30" fillId="0" borderId="0" xfId="27" applyFont="1"/>
    <xf numFmtId="0" fontId="29" fillId="0" borderId="0" xfId="27" applyFont="1"/>
    <xf numFmtId="0" fontId="29" fillId="0" borderId="19" xfId="27" applyFont="1" applyBorder="1" applyAlignment="1">
      <alignment horizontal="center"/>
    </xf>
    <xf numFmtId="0" fontId="30" fillId="0" borderId="19" xfId="27" applyFont="1" applyBorder="1"/>
    <xf numFmtId="0" fontId="30" fillId="0" borderId="0" xfId="27" applyFont="1" applyBorder="1"/>
    <xf numFmtId="0" fontId="30" fillId="0" borderId="0" xfId="27" applyFont="1" applyFill="1" applyBorder="1"/>
    <xf numFmtId="0" fontId="29" fillId="19" borderId="19" xfId="27" applyFont="1" applyFill="1" applyBorder="1"/>
    <xf numFmtId="0" fontId="29" fillId="19" borderId="0" xfId="27" applyFont="1" applyFill="1"/>
    <xf numFmtId="0" fontId="55" fillId="0" borderId="0" xfId="0" applyFont="1"/>
    <xf numFmtId="0" fontId="30" fillId="11" borderId="19" xfId="0" applyFont="1" applyFill="1" applyBorder="1"/>
    <xf numFmtId="0" fontId="32" fillId="11" borderId="19" xfId="0" applyFont="1" applyFill="1" applyBorder="1"/>
    <xf numFmtId="18" fontId="30" fillId="11" borderId="19" xfId="0" applyNumberFormat="1" applyFont="1" applyFill="1" applyBorder="1"/>
    <xf numFmtId="0" fontId="32" fillId="11" borderId="19" xfId="0" applyFont="1" applyFill="1" applyBorder="1" applyAlignment="1">
      <alignment horizontal="center"/>
    </xf>
    <xf numFmtId="164" fontId="30" fillId="11" borderId="19" xfId="1" applyFont="1" applyFill="1" applyBorder="1"/>
    <xf numFmtId="164" fontId="32" fillId="11" borderId="19" xfId="1" applyFont="1" applyFill="1" applyBorder="1"/>
    <xf numFmtId="0" fontId="30" fillId="11" borderId="19" xfId="1" applyNumberFormat="1" applyFont="1" applyFill="1" applyBorder="1" applyAlignment="1">
      <alignment horizontal="center"/>
    </xf>
    <xf numFmtId="0" fontId="32" fillId="11" borderId="19" xfId="1" applyNumberFormat="1" applyFont="1" applyFill="1" applyBorder="1" applyAlignment="1">
      <alignment horizontal="center"/>
    </xf>
    <xf numFmtId="20" fontId="30" fillId="11" borderId="19" xfId="0" applyNumberFormat="1" applyFont="1" applyFill="1" applyBorder="1" applyAlignment="1">
      <alignment horizontal="center"/>
    </xf>
    <xf numFmtId="18" fontId="30" fillId="11" borderId="19" xfId="0" applyNumberFormat="1" applyFont="1" applyFill="1" applyBorder="1" applyAlignment="1">
      <alignment horizontal="center"/>
    </xf>
    <xf numFmtId="18" fontId="32" fillId="11" borderId="19" xfId="0" applyNumberFormat="1" applyFont="1" applyFill="1" applyBorder="1" applyAlignment="1">
      <alignment horizontal="center"/>
    </xf>
    <xf numFmtId="164" fontId="30" fillId="0" borderId="19" xfId="1" applyFont="1" applyBorder="1" applyAlignment="1">
      <alignment horizontal="center"/>
    </xf>
    <xf numFmtId="164" fontId="30" fillId="0" borderId="19" xfId="1" applyFont="1" applyFill="1" applyBorder="1" applyAlignment="1">
      <alignment horizontal="center"/>
    </xf>
    <xf numFmtId="18" fontId="32" fillId="11" borderId="19" xfId="0" applyNumberFormat="1" applyFont="1" applyFill="1" applyBorder="1"/>
    <xf numFmtId="0" fontId="32" fillId="0" borderId="19" xfId="0" applyNumberFormat="1" applyFont="1" applyBorder="1"/>
    <xf numFmtId="0" fontId="30" fillId="11" borderId="19" xfId="0" applyNumberFormat="1" applyFont="1" applyFill="1" applyBorder="1" applyAlignment="1">
      <alignment horizontal="center"/>
    </xf>
    <xf numFmtId="0" fontId="32" fillId="11" borderId="19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12" fontId="51" fillId="18" borderId="19" xfId="1" applyNumberFormat="1" applyFont="1" applyFill="1" applyBorder="1" applyAlignment="1">
      <alignment vertical="center"/>
    </xf>
    <xf numFmtId="0" fontId="22" fillId="0" borderId="19" xfId="0" applyFont="1" applyBorder="1" applyAlignment="1">
      <alignment horizontal="left"/>
    </xf>
    <xf numFmtId="0" fontId="22" fillId="0" borderId="19" xfId="0" applyFont="1" applyFill="1" applyBorder="1" applyAlignment="1"/>
    <xf numFmtId="1" fontId="56" fillId="18" borderId="19" xfId="0" applyNumberFormat="1" applyFont="1" applyFill="1" applyBorder="1" applyAlignment="1"/>
    <xf numFmtId="2" fontId="22" fillId="0" borderId="19" xfId="0" applyNumberFormat="1" applyFont="1" applyFill="1" applyBorder="1" applyAlignment="1">
      <alignment horizontal="center"/>
    </xf>
    <xf numFmtId="2" fontId="22" fillId="9" borderId="19" xfId="0" applyNumberFormat="1" applyFont="1" applyFill="1" applyBorder="1" applyAlignment="1">
      <alignment horizontal="center"/>
    </xf>
    <xf numFmtId="0" fontId="1" fillId="0" borderId="0" xfId="17" applyFont="1"/>
    <xf numFmtId="0" fontId="6" fillId="0" borderId="0" xfId="17" applyFont="1" applyBorder="1" applyAlignment="1">
      <alignment horizontal="center"/>
    </xf>
    <xf numFmtId="0" fontId="29" fillId="0" borderId="19" xfId="27" applyFont="1" applyBorder="1" applyAlignment="1">
      <alignment horizontal="center" wrapText="1"/>
    </xf>
    <xf numFmtId="18" fontId="6" fillId="0" borderId="19" xfId="17" applyNumberFormat="1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9" fillId="0" borderId="19" xfId="17" applyNumberFormat="1" applyFill="1" applyBorder="1" applyAlignment="1">
      <alignment horizontal="center"/>
    </xf>
    <xf numFmtId="18" fontId="9" fillId="0" borderId="19" xfId="17" applyNumberFormat="1" applyFill="1" applyBorder="1" applyAlignment="1">
      <alignment horizontal="center"/>
    </xf>
    <xf numFmtId="0" fontId="9" fillId="0" borderId="19" xfId="17" applyBorder="1" applyAlignment="1">
      <alignment horizontal="center"/>
    </xf>
    <xf numFmtId="0" fontId="35" fillId="0" borderId="1" xfId="17" applyFont="1" applyBorder="1" applyAlignment="1">
      <alignment horizontal="center"/>
    </xf>
    <xf numFmtId="0" fontId="35" fillId="0" borderId="2" xfId="17" applyFont="1" applyBorder="1" applyAlignment="1">
      <alignment horizontal="center"/>
    </xf>
    <xf numFmtId="0" fontId="35" fillId="0" borderId="3" xfId="17" applyFont="1" applyBorder="1" applyAlignment="1">
      <alignment horizontal="center"/>
    </xf>
    <xf numFmtId="0" fontId="35" fillId="0" borderId="4" xfId="17" applyFont="1" applyBorder="1" applyAlignment="1">
      <alignment horizontal="center"/>
    </xf>
    <xf numFmtId="0" fontId="35" fillId="0" borderId="0" xfId="17" applyFont="1" applyBorder="1" applyAlignment="1">
      <alignment horizontal="center"/>
    </xf>
    <xf numFmtId="0" fontId="35" fillId="0" borderId="5" xfId="17" applyFont="1" applyBorder="1" applyAlignment="1">
      <alignment horizontal="center"/>
    </xf>
    <xf numFmtId="0" fontId="37" fillId="0" borderId="19" xfId="17" applyFont="1" applyBorder="1" applyAlignment="1">
      <alignment horizontal="center"/>
    </xf>
    <xf numFmtId="0" fontId="37" fillId="0" borderId="19" xfId="17" applyFont="1" applyBorder="1" applyAlignment="1">
      <alignment horizontal="left"/>
    </xf>
    <xf numFmtId="0" fontId="29" fillId="0" borderId="0" xfId="27" applyFont="1" applyAlignment="1">
      <alignment horizontal="center"/>
    </xf>
    <xf numFmtId="0" fontId="5" fillId="0" borderId="19" xfId="24" applyBorder="1" applyAlignment="1" applyProtection="1">
      <alignment horizontal="center" vertical="center"/>
      <protection hidden="1"/>
    </xf>
    <xf numFmtId="3" fontId="5" fillId="13" borderId="19" xfId="24" applyNumberFormat="1" applyFill="1" applyBorder="1" applyAlignment="1" applyProtection="1">
      <alignment horizontal="center" vertical="center"/>
      <protection locked="0" hidden="1"/>
    </xf>
    <xf numFmtId="3" fontId="5" fillId="0" borderId="19" xfId="24" applyNumberFormat="1" applyFill="1" applyBorder="1" applyAlignment="1" applyProtection="1">
      <alignment horizontal="center" vertical="center"/>
      <protection hidden="1"/>
    </xf>
    <xf numFmtId="2" fontId="5" fillId="13" borderId="20" xfId="24" applyNumberFormat="1" applyFill="1" applyBorder="1" applyAlignment="1" applyProtection="1">
      <alignment horizontal="center" vertical="center"/>
      <protection locked="0" hidden="1"/>
    </xf>
    <xf numFmtId="2" fontId="5" fillId="13" borderId="21" xfId="24" applyNumberFormat="1" applyFill="1" applyBorder="1" applyAlignment="1" applyProtection="1">
      <alignment horizontal="center" vertical="center"/>
      <protection locked="0" hidden="1"/>
    </xf>
    <xf numFmtId="2" fontId="5" fillId="13" borderId="22" xfId="24" applyNumberFormat="1" applyFill="1" applyBorder="1" applyAlignment="1" applyProtection="1">
      <alignment horizontal="center" vertical="center"/>
      <protection locked="0" hidden="1"/>
    </xf>
    <xf numFmtId="2" fontId="5" fillId="0" borderId="20" xfId="24" applyNumberFormat="1" applyBorder="1" applyAlignment="1" applyProtection="1">
      <alignment horizontal="center" vertical="center"/>
      <protection hidden="1"/>
    </xf>
    <xf numFmtId="2" fontId="5" fillId="0" borderId="21" xfId="24" applyNumberFormat="1" applyBorder="1" applyAlignment="1" applyProtection="1">
      <alignment horizontal="center" vertical="center"/>
      <protection hidden="1"/>
    </xf>
    <xf numFmtId="2" fontId="5" fillId="0" borderId="22" xfId="24" applyNumberFormat="1" applyBorder="1" applyAlignment="1" applyProtection="1">
      <alignment horizontal="center" vertical="center"/>
      <protection hidden="1"/>
    </xf>
    <xf numFmtId="2" fontId="5" fillId="0" borderId="19" xfId="24" applyNumberFormat="1" applyFont="1" applyBorder="1" applyAlignment="1" applyProtection="1">
      <alignment horizontal="center" vertical="center"/>
      <protection hidden="1"/>
    </xf>
    <xf numFmtId="0" fontId="30" fillId="13" borderId="19" xfId="24" applyFont="1" applyFill="1" applyBorder="1" applyAlignment="1" applyProtection="1">
      <alignment horizontal="center" vertical="center" wrapText="1"/>
      <protection locked="0" hidden="1"/>
    </xf>
    <xf numFmtId="164" fontId="5" fillId="0" borderId="20" xfId="26" applyFont="1" applyBorder="1" applyAlignment="1" applyProtection="1">
      <alignment horizontal="center" vertical="center"/>
      <protection hidden="1"/>
    </xf>
    <xf numFmtId="164" fontId="5" fillId="0" borderId="21" xfId="26" applyFont="1" applyBorder="1" applyAlignment="1" applyProtection="1">
      <alignment horizontal="center" vertical="center"/>
      <protection hidden="1"/>
    </xf>
    <xf numFmtId="164" fontId="5" fillId="0" borderId="22" xfId="26" applyFont="1" applyBorder="1" applyAlignment="1" applyProtection="1">
      <alignment horizontal="center" vertical="center"/>
      <protection hidden="1"/>
    </xf>
    <xf numFmtId="164" fontId="5" fillId="0" borderId="20" xfId="24" applyNumberFormat="1" applyBorder="1" applyAlignment="1" applyProtection="1">
      <alignment horizontal="center" vertical="center"/>
      <protection hidden="1"/>
    </xf>
    <xf numFmtId="0" fontId="5" fillId="13" borderId="20" xfId="24" applyFill="1" applyBorder="1" applyAlignment="1" applyProtection="1">
      <alignment horizontal="center" vertical="top" wrapText="1"/>
      <protection locked="0" hidden="1"/>
    </xf>
    <xf numFmtId="0" fontId="5" fillId="13" borderId="21" xfId="24" applyFill="1" applyBorder="1" applyAlignment="1" applyProtection="1">
      <alignment horizontal="center" vertical="top" wrapText="1"/>
      <protection locked="0" hidden="1"/>
    </xf>
    <xf numFmtId="3" fontId="5" fillId="0" borderId="20" xfId="24" applyNumberFormat="1" applyFont="1" applyBorder="1" applyAlignment="1" applyProtection="1">
      <alignment horizontal="center" vertical="center"/>
      <protection hidden="1"/>
    </xf>
    <xf numFmtId="3" fontId="5" fillId="0" borderId="21" xfId="24" applyNumberFormat="1" applyFont="1" applyBorder="1" applyAlignment="1" applyProtection="1">
      <alignment horizontal="center" vertical="center"/>
      <protection hidden="1"/>
    </xf>
    <xf numFmtId="10" fontId="18" fillId="0" borderId="19" xfId="25" applyNumberFormat="1" applyFont="1" applyBorder="1" applyAlignment="1" applyProtection="1">
      <alignment horizontal="center" vertical="center"/>
      <protection hidden="1"/>
    </xf>
    <xf numFmtId="4" fontId="5" fillId="0" borderId="19" xfId="24" applyNumberFormat="1" applyBorder="1" applyAlignment="1" applyProtection="1">
      <alignment horizontal="center" vertical="center"/>
      <protection hidden="1"/>
    </xf>
    <xf numFmtId="4" fontId="5" fillId="0" borderId="20" xfId="24" applyNumberFormat="1" applyBorder="1" applyAlignment="1" applyProtection="1">
      <alignment horizontal="center" vertical="center"/>
      <protection hidden="1"/>
    </xf>
    <xf numFmtId="4" fontId="5" fillId="0" borderId="21" xfId="24" applyNumberFormat="1" applyBorder="1" applyAlignment="1" applyProtection="1">
      <alignment horizontal="center" vertical="center"/>
      <protection hidden="1"/>
    </xf>
    <xf numFmtId="4" fontId="5" fillId="0" borderId="22" xfId="24" applyNumberFormat="1" applyBorder="1" applyAlignment="1" applyProtection="1">
      <alignment horizontal="center" vertical="center"/>
      <protection hidden="1"/>
    </xf>
    <xf numFmtId="3" fontId="5" fillId="0" borderId="20" xfId="24" applyNumberFormat="1" applyBorder="1" applyAlignment="1" applyProtection="1">
      <alignment horizontal="center" vertical="center"/>
      <protection hidden="1"/>
    </xf>
    <xf numFmtId="3" fontId="5" fillId="0" borderId="21" xfId="24" applyNumberFormat="1" applyBorder="1" applyAlignment="1" applyProtection="1">
      <alignment horizontal="center" vertical="center"/>
      <protection hidden="1"/>
    </xf>
    <xf numFmtId="3" fontId="5" fillId="0" borderId="22" xfId="24" applyNumberFormat="1" applyBorder="1" applyAlignment="1" applyProtection="1">
      <alignment horizontal="center" vertical="center"/>
      <protection hidden="1"/>
    </xf>
    <xf numFmtId="0" fontId="5" fillId="0" borderId="21" xfId="24" applyFont="1" applyBorder="1" applyAlignment="1" applyProtection="1">
      <alignment horizontal="center" vertical="center"/>
      <protection hidden="1"/>
    </xf>
    <xf numFmtId="0" fontId="5" fillId="0" borderId="22" xfId="24" applyFont="1" applyBorder="1" applyAlignment="1" applyProtection="1">
      <alignment horizontal="center" vertical="center"/>
      <protection hidden="1"/>
    </xf>
    <xf numFmtId="3" fontId="5" fillId="0" borderId="22" xfId="24" applyNumberFormat="1" applyFont="1" applyBorder="1" applyAlignment="1" applyProtection="1">
      <alignment horizontal="center" vertical="center"/>
      <protection hidden="1"/>
    </xf>
    <xf numFmtId="0" fontId="5" fillId="13" borderId="22" xfId="24" applyFill="1" applyBorder="1" applyAlignment="1" applyProtection="1">
      <alignment horizontal="center" vertical="top" wrapText="1"/>
      <protection locked="0" hidden="1"/>
    </xf>
    <xf numFmtId="3" fontId="5" fillId="9" borderId="19" xfId="24" applyNumberFormat="1" applyFill="1" applyBorder="1" applyAlignment="1" applyProtection="1">
      <alignment horizontal="center" vertical="center"/>
      <protection hidden="1"/>
    </xf>
    <xf numFmtId="10" fontId="5" fillId="0" borderId="19" xfId="25" applyNumberFormat="1" applyFont="1" applyBorder="1" applyAlignment="1" applyProtection="1">
      <alignment horizontal="center" vertical="center"/>
      <protection hidden="1"/>
    </xf>
    <xf numFmtId="4" fontId="5" fillId="9" borderId="19" xfId="24" applyNumberFormat="1" applyFill="1" applyBorder="1" applyAlignment="1" applyProtection="1">
      <alignment horizontal="center" vertical="center"/>
      <protection hidden="1"/>
    </xf>
    <xf numFmtId="4" fontId="5" fillId="9" borderId="20" xfId="24" applyNumberFormat="1" applyFill="1" applyBorder="1" applyAlignment="1" applyProtection="1">
      <alignment horizontal="center" vertical="center"/>
      <protection hidden="1"/>
    </xf>
    <xf numFmtId="4" fontId="5" fillId="9" borderId="21" xfId="24" applyNumberFormat="1" applyFill="1" applyBorder="1" applyAlignment="1" applyProtection="1">
      <alignment horizontal="center" vertical="center"/>
      <protection hidden="1"/>
    </xf>
    <xf numFmtId="4" fontId="5" fillId="9" borderId="22" xfId="24" applyNumberFormat="1" applyFill="1" applyBorder="1" applyAlignment="1" applyProtection="1">
      <alignment horizontal="center" vertical="center"/>
      <protection hidden="1"/>
    </xf>
    <xf numFmtId="3" fontId="5" fillId="9" borderId="20" xfId="24" applyNumberFormat="1" applyFill="1" applyBorder="1" applyAlignment="1" applyProtection="1">
      <alignment horizontal="center" vertical="center"/>
      <protection hidden="1"/>
    </xf>
    <xf numFmtId="3" fontId="5" fillId="9" borderId="21" xfId="24" applyNumberFormat="1" applyFill="1" applyBorder="1" applyAlignment="1" applyProtection="1">
      <alignment horizontal="center" vertical="center"/>
      <protection hidden="1"/>
    </xf>
    <xf numFmtId="3" fontId="5" fillId="9" borderId="22" xfId="24" applyNumberFormat="1" applyFill="1" applyBorder="1" applyAlignment="1" applyProtection="1">
      <alignment horizontal="center" vertical="center"/>
      <protection hidden="1"/>
    </xf>
    <xf numFmtId="3" fontId="5" fillId="9" borderId="20" xfId="24" applyNumberFormat="1" applyFont="1" applyFill="1" applyBorder="1" applyAlignment="1" applyProtection="1">
      <alignment horizontal="center" vertical="center"/>
      <protection hidden="1"/>
    </xf>
    <xf numFmtId="0" fontId="5" fillId="9" borderId="21" xfId="24" applyFont="1" applyFill="1" applyBorder="1" applyAlignment="1" applyProtection="1">
      <alignment horizontal="center" vertical="center"/>
      <protection hidden="1"/>
    </xf>
    <xf numFmtId="0" fontId="5" fillId="9" borderId="22" xfId="24" applyFont="1" applyFill="1" applyBorder="1" applyAlignment="1" applyProtection="1">
      <alignment horizontal="center" vertical="center"/>
      <protection hidden="1"/>
    </xf>
    <xf numFmtId="3" fontId="5" fillId="9" borderId="21" xfId="24" applyNumberFormat="1" applyFont="1" applyFill="1" applyBorder="1" applyAlignment="1" applyProtection="1">
      <alignment horizontal="center" vertical="center"/>
      <protection hidden="1"/>
    </xf>
    <xf numFmtId="3" fontId="5" fillId="9" borderId="22" xfId="24" applyNumberFormat="1" applyFont="1" applyFill="1" applyBorder="1" applyAlignment="1" applyProtection="1">
      <alignment horizontal="center" vertical="center"/>
      <protection hidden="1"/>
    </xf>
    <xf numFmtId="0" fontId="5" fillId="9" borderId="19" xfId="24" applyFill="1" applyBorder="1" applyAlignment="1" applyProtection="1">
      <alignment horizontal="center" vertical="center"/>
      <protection hidden="1"/>
    </xf>
    <xf numFmtId="164" fontId="5" fillId="0" borderId="21" xfId="24" applyNumberFormat="1" applyBorder="1" applyAlignment="1" applyProtection="1">
      <alignment horizontal="center" vertical="center"/>
      <protection hidden="1"/>
    </xf>
    <xf numFmtId="3" fontId="5" fillId="0" borderId="20" xfId="24" applyNumberFormat="1" applyFont="1" applyFill="1" applyBorder="1" applyAlignment="1" applyProtection="1">
      <alignment horizontal="center" vertical="center"/>
      <protection hidden="1"/>
    </xf>
    <xf numFmtId="3" fontId="5" fillId="0" borderId="21" xfId="24" applyNumberFormat="1" applyFont="1" applyFill="1" applyBorder="1" applyAlignment="1" applyProtection="1">
      <alignment horizontal="center" vertical="center"/>
      <protection hidden="1"/>
    </xf>
    <xf numFmtId="3" fontId="5" fillId="0" borderId="22" xfId="24" applyNumberFormat="1" applyFont="1" applyFill="1" applyBorder="1" applyAlignment="1" applyProtection="1">
      <alignment horizontal="center" vertical="center"/>
      <protection hidden="1"/>
    </xf>
    <xf numFmtId="10" fontId="5" fillId="0" borderId="19" xfId="25" applyNumberFormat="1" applyFont="1" applyFill="1" applyBorder="1" applyAlignment="1" applyProtection="1">
      <alignment horizontal="center" vertical="center"/>
      <protection hidden="1"/>
    </xf>
    <xf numFmtId="3" fontId="5" fillId="0" borderId="19" xfId="24" applyNumberFormat="1" applyFill="1" applyBorder="1" applyAlignment="1" applyProtection="1">
      <alignment horizontal="center" vertical="center"/>
      <protection locked="0" hidden="1"/>
    </xf>
    <xf numFmtId="4" fontId="5" fillId="0" borderId="19" xfId="24" applyNumberFormat="1" applyFill="1" applyBorder="1" applyAlignment="1" applyProtection="1">
      <alignment horizontal="center" vertical="center"/>
      <protection hidden="1"/>
    </xf>
    <xf numFmtId="4" fontId="5" fillId="0" borderId="20" xfId="24" applyNumberFormat="1" applyFill="1" applyBorder="1" applyAlignment="1" applyProtection="1">
      <alignment horizontal="center" vertical="center"/>
      <protection hidden="1"/>
    </xf>
    <xf numFmtId="4" fontId="5" fillId="0" borderId="21" xfId="24" applyNumberFormat="1" applyFill="1" applyBorder="1" applyAlignment="1" applyProtection="1">
      <alignment horizontal="center" vertical="center"/>
      <protection hidden="1"/>
    </xf>
    <xf numFmtId="4" fontId="5" fillId="0" borderId="22" xfId="24" applyNumberFormat="1" applyFill="1" applyBorder="1" applyAlignment="1" applyProtection="1">
      <alignment horizontal="center" vertical="center"/>
      <protection hidden="1"/>
    </xf>
    <xf numFmtId="3" fontId="5" fillId="0" borderId="20" xfId="24" applyNumberFormat="1" applyFill="1" applyBorder="1" applyAlignment="1" applyProtection="1">
      <alignment horizontal="center" vertical="center"/>
      <protection hidden="1"/>
    </xf>
    <xf numFmtId="3" fontId="5" fillId="0" borderId="21" xfId="24" applyNumberFormat="1" applyFill="1" applyBorder="1" applyAlignment="1" applyProtection="1">
      <alignment horizontal="center" vertical="center"/>
      <protection hidden="1"/>
    </xf>
    <xf numFmtId="3" fontId="5" fillId="0" borderId="22" xfId="24" applyNumberFormat="1" applyFill="1" applyBorder="1" applyAlignment="1" applyProtection="1">
      <alignment horizontal="center" vertical="center"/>
      <protection hidden="1"/>
    </xf>
    <xf numFmtId="0" fontId="5" fillId="0" borderId="21" xfId="24" applyFont="1" applyFill="1" applyBorder="1" applyAlignment="1" applyProtection="1">
      <alignment horizontal="center" vertical="center"/>
      <protection hidden="1"/>
    </xf>
    <xf numFmtId="0" fontId="5" fillId="0" borderId="22" xfId="24" applyFont="1" applyFill="1" applyBorder="1" applyAlignment="1" applyProtection="1">
      <alignment horizontal="center" vertical="center"/>
      <protection hidden="1"/>
    </xf>
    <xf numFmtId="9" fontId="17" fillId="0" borderId="19" xfId="25" applyFont="1" applyBorder="1" applyAlignment="1" applyProtection="1">
      <alignment horizontal="center" vertical="center"/>
      <protection hidden="1"/>
    </xf>
    <xf numFmtId="9" fontId="17" fillId="0" borderId="20" xfId="25" applyFont="1" applyBorder="1" applyAlignment="1" applyProtection="1">
      <alignment horizontal="center" vertical="center"/>
      <protection hidden="1"/>
    </xf>
    <xf numFmtId="0" fontId="5" fillId="0" borderId="19" xfId="24" applyFill="1" applyBorder="1" applyAlignment="1" applyProtection="1">
      <alignment horizontal="center" vertical="center"/>
      <protection hidden="1"/>
    </xf>
    <xf numFmtId="0" fontId="45" fillId="17" borderId="12" xfId="24" applyFont="1" applyFill="1" applyBorder="1" applyAlignment="1" applyProtection="1">
      <alignment horizontal="center" vertical="center"/>
      <protection hidden="1"/>
    </xf>
    <xf numFmtId="0" fontId="45" fillId="17" borderId="13" xfId="24" applyFont="1" applyFill="1" applyBorder="1" applyAlignment="1" applyProtection="1">
      <alignment horizontal="center" vertical="center"/>
      <protection hidden="1"/>
    </xf>
    <xf numFmtId="0" fontId="45" fillId="17" borderId="14" xfId="24" applyFont="1" applyFill="1" applyBorder="1" applyAlignment="1" applyProtection="1">
      <alignment horizontal="center" vertical="center"/>
      <protection hidden="1"/>
    </xf>
    <xf numFmtId="0" fontId="45" fillId="17" borderId="16" xfId="24" applyFont="1" applyFill="1" applyBorder="1" applyAlignment="1" applyProtection="1">
      <alignment horizontal="center" vertical="center"/>
      <protection hidden="1"/>
    </xf>
    <xf numFmtId="0" fontId="45" fillId="17" borderId="0" xfId="24" applyFont="1" applyFill="1" applyBorder="1" applyAlignment="1" applyProtection="1">
      <alignment horizontal="center" vertical="center"/>
      <protection hidden="1"/>
    </xf>
    <xf numFmtId="0" fontId="45" fillId="17" borderId="15" xfId="24" applyFont="1" applyFill="1" applyBorder="1" applyAlignment="1" applyProtection="1">
      <alignment horizontal="center" vertical="center"/>
      <protection hidden="1"/>
    </xf>
    <xf numFmtId="0" fontId="45" fillId="17" borderId="17" xfId="24" applyFont="1" applyFill="1" applyBorder="1" applyAlignment="1" applyProtection="1">
      <alignment horizontal="center" vertical="center"/>
      <protection hidden="1"/>
    </xf>
    <xf numFmtId="0" fontId="45" fillId="17" borderId="18" xfId="24" applyFont="1" applyFill="1" applyBorder="1" applyAlignment="1" applyProtection="1">
      <alignment horizontal="center" vertical="center"/>
      <protection hidden="1"/>
    </xf>
    <xf numFmtId="0" fontId="45" fillId="17" borderId="24" xfId="24" applyFont="1" applyFill="1" applyBorder="1" applyAlignment="1" applyProtection="1">
      <alignment horizontal="center" vertical="center"/>
      <protection hidden="1"/>
    </xf>
    <xf numFmtId="0" fontId="45" fillId="17" borderId="19" xfId="24" applyFont="1" applyFill="1" applyBorder="1" applyAlignment="1" applyProtection="1">
      <alignment horizontal="center" vertical="center"/>
      <protection hidden="1"/>
    </xf>
    <xf numFmtId="0" fontId="17" fillId="5" borderId="19" xfId="24" applyFont="1" applyFill="1" applyBorder="1" applyAlignment="1" applyProtection="1">
      <alignment horizontal="center" vertical="center"/>
      <protection hidden="1"/>
    </xf>
    <xf numFmtId="0" fontId="17" fillId="15" borderId="19" xfId="24" applyFont="1" applyFill="1" applyBorder="1" applyAlignment="1" applyProtection="1">
      <alignment horizontal="center" vertical="center" wrapText="1"/>
      <protection hidden="1"/>
    </xf>
    <xf numFmtId="0" fontId="17" fillId="0" borderId="19" xfId="24" applyFont="1" applyBorder="1" applyAlignment="1" applyProtection="1">
      <alignment horizontal="center" vertical="center"/>
      <protection hidden="1"/>
    </xf>
    <xf numFmtId="0" fontId="17" fillId="0" borderId="20" xfId="24" applyFont="1" applyBorder="1" applyAlignment="1" applyProtection="1">
      <alignment horizontal="center" vertical="center"/>
      <protection hidden="1"/>
    </xf>
    <xf numFmtId="0" fontId="17" fillId="0" borderId="21" xfId="24" applyFont="1" applyBorder="1" applyAlignment="1" applyProtection="1">
      <alignment horizontal="center" vertical="center"/>
      <protection hidden="1"/>
    </xf>
    <xf numFmtId="0" fontId="17" fillId="0" borderId="19" xfId="24" applyFont="1" applyBorder="1" applyAlignment="1" applyProtection="1">
      <alignment horizontal="center" vertical="center" wrapText="1"/>
      <protection hidden="1"/>
    </xf>
    <xf numFmtId="0" fontId="17" fillId="0" borderId="20" xfId="24" applyFont="1" applyBorder="1" applyAlignment="1" applyProtection="1">
      <alignment horizontal="center" vertical="center" wrapText="1"/>
      <protection hidden="1"/>
    </xf>
    <xf numFmtId="0" fontId="17" fillId="0" borderId="12" xfId="24" applyFont="1" applyBorder="1" applyAlignment="1" applyProtection="1">
      <alignment horizontal="center" vertical="center" wrapText="1"/>
      <protection hidden="1"/>
    </xf>
    <xf numFmtId="0" fontId="17" fillId="0" borderId="13" xfId="24" applyFont="1" applyBorder="1" applyAlignment="1" applyProtection="1">
      <alignment horizontal="center" vertical="center" wrapText="1"/>
      <protection hidden="1"/>
    </xf>
    <xf numFmtId="0" fontId="17" fillId="0" borderId="14" xfId="24" applyFont="1" applyBorder="1" applyAlignment="1" applyProtection="1">
      <alignment horizontal="center" vertical="center" wrapText="1"/>
      <protection hidden="1"/>
    </xf>
    <xf numFmtId="0" fontId="17" fillId="0" borderId="21" xfId="24" applyFont="1" applyBorder="1" applyAlignment="1" applyProtection="1">
      <alignment horizontal="center" vertical="center" wrapText="1"/>
      <protection hidden="1"/>
    </xf>
    <xf numFmtId="0" fontId="17" fillId="0" borderId="19" xfId="24" applyFont="1" applyBorder="1" applyAlignment="1" applyProtection="1">
      <alignment horizontal="center"/>
      <protection hidden="1"/>
    </xf>
    <xf numFmtId="0" fontId="17" fillId="0" borderId="22" xfId="24" applyFont="1" applyBorder="1" applyAlignment="1" applyProtection="1">
      <alignment horizontal="center" vertical="center"/>
      <protection hidden="1"/>
    </xf>
    <xf numFmtId="0" fontId="17" fillId="0" borderId="12" xfId="24" applyFont="1" applyBorder="1" applyAlignment="1" applyProtection="1">
      <alignment horizontal="center" vertical="center"/>
      <protection hidden="1"/>
    </xf>
    <xf numFmtId="0" fontId="17" fillId="0" borderId="14" xfId="24" applyFont="1" applyBorder="1" applyAlignment="1" applyProtection="1">
      <alignment horizontal="center" vertical="center"/>
      <protection hidden="1"/>
    </xf>
    <xf numFmtId="0" fontId="17" fillId="0" borderId="17" xfId="24" applyFont="1" applyBorder="1" applyAlignment="1" applyProtection="1">
      <alignment horizontal="center" vertical="center"/>
      <protection hidden="1"/>
    </xf>
    <xf numFmtId="0" fontId="17" fillId="0" borderId="24" xfId="24" applyFont="1" applyBorder="1" applyAlignment="1" applyProtection="1">
      <alignment horizontal="center" vertical="center"/>
      <protection hidden="1"/>
    </xf>
    <xf numFmtId="0" fontId="17" fillId="9" borderId="19" xfId="24" applyFont="1" applyFill="1" applyBorder="1" applyAlignment="1" applyProtection="1">
      <alignment horizontal="center" vertical="center" wrapText="1"/>
      <protection hidden="1"/>
    </xf>
    <xf numFmtId="0" fontId="17" fillId="0" borderId="25" xfId="24" applyFont="1" applyBorder="1" applyAlignment="1" applyProtection="1">
      <alignment horizontal="center" vertical="center"/>
      <protection hidden="1"/>
    </xf>
    <xf numFmtId="0" fontId="17" fillId="0" borderId="26" xfId="24" applyFont="1" applyBorder="1" applyAlignment="1" applyProtection="1">
      <alignment horizontal="center" vertical="center"/>
      <protection hidden="1"/>
    </xf>
    <xf numFmtId="0" fontId="31" fillId="0" borderId="20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16" fontId="22" fillId="0" borderId="19" xfId="0" applyNumberFormat="1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0" fontId="31" fillId="12" borderId="19" xfId="0" applyFont="1" applyFill="1" applyBorder="1" applyAlignment="1">
      <alignment horizontal="center"/>
    </xf>
    <xf numFmtId="16" fontId="20" fillId="0" borderId="19" xfId="0" applyNumberFormat="1" applyFont="1" applyBorder="1" applyAlignment="1">
      <alignment horizontal="center"/>
    </xf>
    <xf numFmtId="0" fontId="22" fillId="5" borderId="20" xfId="0" applyFont="1" applyFill="1" applyBorder="1" applyAlignment="1">
      <alignment horizontal="center"/>
    </xf>
    <xf numFmtId="0" fontId="22" fillId="5" borderId="22" xfId="0" applyFont="1" applyFill="1" applyBorder="1" applyAlignment="1">
      <alignment horizontal="center"/>
    </xf>
    <xf numFmtId="0" fontId="22" fillId="5" borderId="14" xfId="0" applyFont="1" applyFill="1" applyBorder="1" applyAlignment="1">
      <alignment horizontal="center"/>
    </xf>
    <xf numFmtId="0" fontId="22" fillId="5" borderId="24" xfId="0" applyFont="1" applyFill="1" applyBorder="1" applyAlignment="1">
      <alignment horizontal="center"/>
    </xf>
    <xf numFmtId="0" fontId="31" fillId="11" borderId="19" xfId="0" applyFont="1" applyFill="1" applyBorder="1" applyAlignment="1">
      <alignment horizontal="center"/>
    </xf>
    <xf numFmtId="0" fontId="31" fillId="13" borderId="19" xfId="0" applyFont="1" applyFill="1" applyBorder="1" applyAlignment="1">
      <alignment horizontal="center"/>
    </xf>
    <xf numFmtId="0" fontId="22" fillId="14" borderId="25" xfId="0" applyFont="1" applyFill="1" applyBorder="1" applyAlignment="1">
      <alignment horizontal="center"/>
    </xf>
    <xf numFmtId="0" fontId="22" fillId="14" borderId="26" xfId="0" applyFont="1" applyFill="1" applyBorder="1" applyAlignment="1">
      <alignment horizontal="center"/>
    </xf>
    <xf numFmtId="0" fontId="30" fillId="0" borderId="12" xfId="0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0" fontId="30" fillId="0" borderId="25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0" borderId="26" xfId="0" applyFont="1" applyFill="1" applyBorder="1" applyAlignment="1">
      <alignment horizontal="center" vertical="center"/>
    </xf>
    <xf numFmtId="0" fontId="30" fillId="0" borderId="19" xfId="0" applyFont="1" applyFill="1" applyBorder="1" applyAlignment="1">
      <alignment horizontal="center" vertical="center"/>
    </xf>
    <xf numFmtId="0" fontId="29" fillId="0" borderId="25" xfId="0" applyFont="1" applyBorder="1" applyAlignment="1">
      <alignment horizontal="right"/>
    </xf>
    <xf numFmtId="0" fontId="29" fillId="0" borderId="26" xfId="0" applyFont="1" applyBorder="1" applyAlignment="1">
      <alignment horizontal="right"/>
    </xf>
    <xf numFmtId="0" fontId="30" fillId="0" borderId="12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0" borderId="14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right"/>
    </xf>
    <xf numFmtId="0" fontId="29" fillId="0" borderId="26" xfId="0" applyFont="1" applyFill="1" applyBorder="1" applyAlignment="1">
      <alignment horizontal="right"/>
    </xf>
    <xf numFmtId="0" fontId="17" fillId="4" borderId="19" xfId="5" applyFont="1" applyFill="1" applyBorder="1" applyAlignment="1">
      <alignment horizontal="left" indent="1"/>
    </xf>
    <xf numFmtId="0" fontId="34" fillId="6" borderId="16" xfId="5" applyFont="1" applyFill="1" applyBorder="1" applyAlignment="1" applyProtection="1">
      <alignment horizontal="left"/>
      <protection hidden="1"/>
    </xf>
    <xf numFmtId="0" fontId="34" fillId="6" borderId="0" xfId="5" applyFont="1" applyFill="1" applyBorder="1" applyAlignment="1" applyProtection="1">
      <alignment horizontal="left"/>
      <protection hidden="1"/>
    </xf>
    <xf numFmtId="0" fontId="23" fillId="8" borderId="15" xfId="5" applyFont="1" applyFill="1" applyBorder="1" applyAlignment="1">
      <alignment horizontal="center"/>
    </xf>
    <xf numFmtId="0" fontId="23" fillId="8" borderId="24" xfId="5" applyFont="1" applyFill="1" applyBorder="1" applyAlignment="1">
      <alignment horizontal="center"/>
    </xf>
    <xf numFmtId="0" fontId="17" fillId="3" borderId="19" xfId="5" applyFont="1" applyFill="1" applyBorder="1" applyAlignment="1">
      <alignment horizontal="left"/>
    </xf>
    <xf numFmtId="0" fontId="29" fillId="16" borderId="19" xfId="0" applyFont="1" applyFill="1" applyBorder="1" applyAlignment="1">
      <alignment horizontal="center"/>
    </xf>
  </cellXfs>
  <cellStyles count="31">
    <cellStyle name="Comma" xfId="1" builtinId="3"/>
    <cellStyle name="Comma 10" xfId="29"/>
    <cellStyle name="Comma 2" xfId="2"/>
    <cellStyle name="Comma 2 2" xfId="26"/>
    <cellStyle name="Comma 3" xfId="3"/>
    <cellStyle name="Comma 4" xfId="10"/>
    <cellStyle name="Comma 4 2" xfId="15"/>
    <cellStyle name="Comma 4 2 2" xfId="22"/>
    <cellStyle name="Comma 5" xfId="13"/>
    <cellStyle name="Comma 6" xfId="30"/>
    <cellStyle name="Hyperlink 2" xfId="4"/>
    <cellStyle name="Normal" xfId="0" builtinId="0"/>
    <cellStyle name="Normal 2" xfId="5"/>
    <cellStyle name="Normal 3" xfId="8"/>
    <cellStyle name="Normal 3 2" xfId="14"/>
    <cellStyle name="Normal 3 2 2" xfId="21"/>
    <cellStyle name="Normal 4" xfId="11"/>
    <cellStyle name="Normal 5" xfId="17"/>
    <cellStyle name="Normal 6" xfId="18"/>
    <cellStyle name="Normal 7" xfId="20"/>
    <cellStyle name="Normal 7 2" xfId="27"/>
    <cellStyle name="Normal 8" xfId="24"/>
    <cellStyle name="Normal 9" xfId="28"/>
    <cellStyle name="Percent 2" xfId="6"/>
    <cellStyle name="Percent 3" xfId="7"/>
    <cellStyle name="Percent 4" xfId="9"/>
    <cellStyle name="Percent 4 2" xfId="16"/>
    <cellStyle name="Percent 4 2 2" xfId="23"/>
    <cellStyle name="Percent 5" xfId="12"/>
    <cellStyle name="Percent 5 2" xfId="19"/>
    <cellStyle name="Percent 6" xf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P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DMA #4</a:t>
            </a:r>
            <a:r>
              <a:rPr lang="en-US" baseline="0"/>
              <a:t> MNF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87729658792652"/>
          <c:y val="0.166845891836336"/>
          <c:w val="0.68940198165210442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'MNF Graph -dma3'!$B$5</c:f>
              <c:strCache>
                <c:ptCount val="1"/>
                <c:pt idx="0">
                  <c:v>DEL PILAR  FM #1- inflow</c:v>
                </c:pt>
              </c:strCache>
            </c:strRef>
          </c:tx>
          <c:cat>
            <c:strRef>
              <c:f>'MNF Graph -dma3'!$A$6:$A$10</c:f>
              <c:strCache>
                <c:ptCount val="5"/>
                <c:pt idx="0">
                  <c:v>12:00 MN</c:v>
                </c:pt>
                <c:pt idx="1">
                  <c:v>1:00 AM</c:v>
                </c:pt>
                <c:pt idx="2">
                  <c:v>2:00 AM</c:v>
                </c:pt>
                <c:pt idx="3">
                  <c:v>3:00 AM</c:v>
                </c:pt>
                <c:pt idx="4">
                  <c:v>4:00 AM</c:v>
                </c:pt>
              </c:strCache>
            </c:strRef>
          </c:cat>
          <c:val>
            <c:numRef>
              <c:f>'MNF Graph -dma3'!$B$6:$B$10</c:f>
            </c:numRef>
          </c:val>
          <c:smooth val="0"/>
        </c:ser>
        <c:ser>
          <c:idx val="1"/>
          <c:order val="1"/>
          <c:tx>
            <c:strRef>
              <c:f>'MNF Graph -dma3'!$C$5</c:f>
              <c:strCache>
                <c:ptCount val="1"/>
                <c:pt idx="0">
                  <c:v>Cu. M.</c:v>
                </c:pt>
              </c:strCache>
            </c:strRef>
          </c:tx>
          <c:cat>
            <c:strRef>
              <c:f>'MNF Graph -dma3'!$A$6:$A$10</c:f>
              <c:strCache>
                <c:ptCount val="5"/>
                <c:pt idx="0">
                  <c:v>12:00 MN</c:v>
                </c:pt>
                <c:pt idx="1">
                  <c:v>1:00 AM</c:v>
                </c:pt>
                <c:pt idx="2">
                  <c:v>2:00 AM</c:v>
                </c:pt>
                <c:pt idx="3">
                  <c:v>3:00 AM</c:v>
                </c:pt>
                <c:pt idx="4">
                  <c:v>4:00 AM</c:v>
                </c:pt>
              </c:strCache>
            </c:strRef>
          </c:cat>
          <c:val>
            <c:numRef>
              <c:f>'MNF Graph -dma3'!$C$6:$C$10</c:f>
              <c:numCache>
                <c:formatCode>General</c:formatCode>
                <c:ptCount val="5"/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306624"/>
        <c:axId val="194930368"/>
      </c:lineChart>
      <c:catAx>
        <c:axId val="169306624"/>
        <c:scaling>
          <c:orientation val="minMax"/>
        </c:scaling>
        <c:delete val="0"/>
        <c:axPos val="b"/>
        <c:majorTickMark val="out"/>
        <c:minorTickMark val="none"/>
        <c:tickLblPos val="nextTo"/>
        <c:crossAx val="194930368"/>
        <c:crosses val="autoZero"/>
        <c:auto val="1"/>
        <c:lblAlgn val="ctr"/>
        <c:lblOffset val="100"/>
        <c:noMultiLvlLbl val="0"/>
      </c:catAx>
      <c:valAx>
        <c:axId val="194930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306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504824</xdr:colOff>
      <xdr:row>8</xdr:row>
      <xdr:rowOff>57150</xdr:rowOff>
    </xdr:from>
    <xdr:to>
      <xdr:col>10</xdr:col>
      <xdr:colOff>276225</xdr:colOff>
      <xdr:row>10</xdr:row>
      <xdr:rowOff>38100</xdr:rowOff>
    </xdr:to>
    <xdr:sp macro="" textlink="">
      <xdr:nvSpPr>
        <xdr:cNvPr id="3" name="Oval 2"/>
        <xdr:cNvSpPr/>
      </xdr:nvSpPr>
      <xdr:spPr>
        <a:xfrm>
          <a:off x="5991224" y="1657350"/>
          <a:ext cx="457201" cy="381000"/>
        </a:xfrm>
        <a:prstGeom prst="ellipse">
          <a:avLst/>
        </a:prstGeom>
        <a:noFill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4</xdr:col>
      <xdr:colOff>152399</xdr:colOff>
      <xdr:row>4</xdr:row>
      <xdr:rowOff>109537</xdr:rowOff>
    </xdr:from>
    <xdr:to>
      <xdr:col>11</xdr:col>
      <xdr:colOff>390524</xdr:colOff>
      <xdr:row>18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8</xdr:row>
      <xdr:rowOff>190501</xdr:rowOff>
    </xdr:from>
    <xdr:to>
      <xdr:col>7</xdr:col>
      <xdr:colOff>0</xdr:colOff>
      <xdr:row>10</xdr:row>
      <xdr:rowOff>142875</xdr:rowOff>
    </xdr:to>
    <xdr:sp macro="" textlink="">
      <xdr:nvSpPr>
        <xdr:cNvPr id="2" name="Oval 1"/>
        <xdr:cNvSpPr/>
      </xdr:nvSpPr>
      <xdr:spPr>
        <a:xfrm>
          <a:off x="3876675" y="1990726"/>
          <a:ext cx="314325" cy="352424"/>
        </a:xfrm>
        <a:prstGeom prst="ellipse">
          <a:avLst/>
        </a:prstGeom>
        <a:noFill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12"/>
  <sheetViews>
    <sheetView workbookViewId="0">
      <selection activeCell="J29" sqref="J29"/>
    </sheetView>
  </sheetViews>
  <sheetFormatPr defaultRowHeight="15.75" x14ac:dyDescent="0.25"/>
  <cols>
    <col min="2" max="2" width="10.125" hidden="1" customWidth="1"/>
    <col min="3" max="3" width="10" customWidth="1"/>
  </cols>
  <sheetData>
    <row r="1" spans="1:3" x14ac:dyDescent="0.25">
      <c r="A1" s="114" t="s">
        <v>158</v>
      </c>
      <c r="B1" s="115"/>
      <c r="C1" s="115"/>
    </row>
    <row r="2" spans="1:3" x14ac:dyDescent="0.25">
      <c r="A2" s="116" t="s">
        <v>475</v>
      </c>
      <c r="B2" s="115"/>
      <c r="C2" s="115"/>
    </row>
    <row r="3" spans="1:3" x14ac:dyDescent="0.25">
      <c r="A3" s="330" t="s">
        <v>476</v>
      </c>
      <c r="B3" s="151"/>
      <c r="C3" s="115"/>
    </row>
    <row r="4" spans="1:3" x14ac:dyDescent="0.25">
      <c r="A4" s="115"/>
      <c r="B4" s="151"/>
      <c r="C4" s="331"/>
    </row>
    <row r="5" spans="1:3" ht="31.5" customHeight="1" x14ac:dyDescent="0.25">
      <c r="A5" s="117" t="s">
        <v>95</v>
      </c>
      <c r="B5" s="332" t="s">
        <v>290</v>
      </c>
      <c r="C5" s="332" t="s">
        <v>477</v>
      </c>
    </row>
    <row r="6" spans="1:3" x14ac:dyDescent="0.25">
      <c r="A6" s="333" t="s">
        <v>159</v>
      </c>
      <c r="B6" s="117">
        <v>6565</v>
      </c>
      <c r="C6" s="334"/>
    </row>
    <row r="7" spans="1:3" x14ac:dyDescent="0.25">
      <c r="A7" s="333">
        <v>4.1666666666666664E-2</v>
      </c>
      <c r="B7" s="335">
        <v>6570</v>
      </c>
      <c r="C7" s="117">
        <f>B7-B6</f>
        <v>5</v>
      </c>
    </row>
    <row r="8" spans="1:3" x14ac:dyDescent="0.25">
      <c r="A8" s="336">
        <v>8.3333333333333329E-2</v>
      </c>
      <c r="B8" s="335">
        <v>6576</v>
      </c>
      <c r="C8" s="337">
        <f>B8-B7</f>
        <v>6</v>
      </c>
    </row>
    <row r="9" spans="1:3" x14ac:dyDescent="0.25">
      <c r="A9" s="336">
        <v>0.125</v>
      </c>
      <c r="B9" s="335">
        <v>6581</v>
      </c>
      <c r="C9" s="117">
        <f>B9-B8</f>
        <v>5</v>
      </c>
    </row>
    <row r="10" spans="1:3" x14ac:dyDescent="0.25">
      <c r="A10" s="336">
        <v>0.16666666666666666</v>
      </c>
      <c r="B10" s="335">
        <v>6588</v>
      </c>
      <c r="C10" s="117">
        <f>B10-B9</f>
        <v>7</v>
      </c>
    </row>
    <row r="11" spans="1:3" x14ac:dyDescent="0.25">
      <c r="A11" s="118"/>
      <c r="B11" s="152"/>
      <c r="C11" s="119"/>
    </row>
    <row r="12" spans="1:3" x14ac:dyDescent="0.25">
      <c r="A12" s="115"/>
      <c r="B12" s="120"/>
      <c r="C12" s="12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workbookViewId="0">
      <selection activeCell="A40" sqref="A40:R41"/>
    </sheetView>
  </sheetViews>
  <sheetFormatPr defaultColWidth="11" defaultRowHeight="15.75" x14ac:dyDescent="0.25"/>
  <cols>
    <col min="1" max="1" width="10.5" customWidth="1"/>
    <col min="2" max="2" width="6.875" customWidth="1"/>
    <col min="3" max="3" width="9.875" customWidth="1"/>
    <col min="4" max="4" width="9.125" customWidth="1"/>
    <col min="5" max="5" width="10.125" customWidth="1"/>
    <col min="6" max="6" width="8.5" customWidth="1"/>
    <col min="7" max="7" width="9.875" customWidth="1"/>
    <col min="8" max="8" width="8.25" customWidth="1"/>
    <col min="9" max="9" width="7.5" customWidth="1"/>
    <col min="10" max="10" width="8.875" customWidth="1"/>
    <col min="11" max="11" width="8.375" customWidth="1"/>
    <col min="12" max="12" width="7.75" customWidth="1"/>
    <col min="13" max="13" width="3.25" customWidth="1"/>
    <col min="20" max="20" width="16.125" customWidth="1"/>
  </cols>
  <sheetData>
    <row r="1" spans="1:20" x14ac:dyDescent="0.25">
      <c r="A1" s="157" t="s">
        <v>179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20" x14ac:dyDescent="0.25">
      <c r="A2" s="45" t="s">
        <v>180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20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20" x14ac:dyDescent="0.25">
      <c r="A4" s="45" t="s">
        <v>74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20" x14ac:dyDescent="0.25">
      <c r="A5" s="45" t="s">
        <v>75</v>
      </c>
      <c r="B5" s="282" t="s">
        <v>472</v>
      </c>
      <c r="C5" s="282"/>
      <c r="D5" s="45"/>
      <c r="E5" s="277">
        <v>29</v>
      </c>
      <c r="F5" s="45" t="s">
        <v>170</v>
      </c>
      <c r="G5" s="45"/>
      <c r="H5" s="45"/>
      <c r="I5" s="45"/>
      <c r="J5" s="45"/>
      <c r="K5" s="45"/>
      <c r="L5" s="45"/>
      <c r="M5" s="45"/>
      <c r="N5" s="45"/>
      <c r="O5" s="45"/>
    </row>
    <row r="6" spans="1:20" x14ac:dyDescent="0.25">
      <c r="A6" s="45" t="s">
        <v>76</v>
      </c>
      <c r="B6" s="45"/>
      <c r="C6" s="45" t="s">
        <v>184</v>
      </c>
      <c r="D6" s="45"/>
      <c r="E6" s="45"/>
      <c r="F6" s="45"/>
      <c r="G6" s="45" t="s">
        <v>182</v>
      </c>
      <c r="H6" s="45"/>
      <c r="I6" s="45"/>
      <c r="J6" s="45"/>
      <c r="K6" s="45"/>
      <c r="L6" s="45"/>
      <c r="M6" s="45"/>
      <c r="N6" s="45"/>
      <c r="O6" s="45"/>
    </row>
    <row r="7" spans="1:20" x14ac:dyDescent="0.25">
      <c r="A7" s="54" t="s">
        <v>77</v>
      </c>
      <c r="B7" s="54" t="s">
        <v>78</v>
      </c>
      <c r="C7" s="455" t="s">
        <v>79</v>
      </c>
      <c r="D7" s="456"/>
      <c r="E7" s="156" t="s">
        <v>203</v>
      </c>
      <c r="F7" s="156" t="s">
        <v>204</v>
      </c>
      <c r="G7" s="156" t="s">
        <v>81</v>
      </c>
      <c r="H7" s="153" t="s">
        <v>82</v>
      </c>
      <c r="I7" s="153" t="s">
        <v>80</v>
      </c>
      <c r="J7" s="153" t="s">
        <v>83</v>
      </c>
      <c r="K7" s="158" t="s">
        <v>84</v>
      </c>
      <c r="L7" s="153"/>
      <c r="M7" s="46"/>
      <c r="N7" s="457" t="s">
        <v>169</v>
      </c>
      <c r="O7" s="458"/>
      <c r="P7" s="458"/>
      <c r="Q7" s="458"/>
      <c r="R7" s="459"/>
    </row>
    <row r="8" spans="1:20" x14ac:dyDescent="0.25">
      <c r="A8" s="47"/>
      <c r="B8" s="149" t="s">
        <v>5</v>
      </c>
      <c r="C8" s="79" t="s">
        <v>85</v>
      </c>
      <c r="D8" s="149" t="s">
        <v>86</v>
      </c>
      <c r="E8" s="149" t="s">
        <v>87</v>
      </c>
      <c r="F8" s="79" t="s">
        <v>88</v>
      </c>
      <c r="G8" s="79" t="s">
        <v>88</v>
      </c>
      <c r="H8" s="79" t="s">
        <v>89</v>
      </c>
      <c r="I8" s="79" t="s">
        <v>89</v>
      </c>
      <c r="J8" s="79" t="s">
        <v>90</v>
      </c>
      <c r="K8" s="79" t="s">
        <v>91</v>
      </c>
      <c r="L8" s="79" t="s">
        <v>92</v>
      </c>
      <c r="M8" s="46"/>
      <c r="N8" s="460" t="s">
        <v>95</v>
      </c>
      <c r="O8" s="460"/>
      <c r="P8" s="147" t="s">
        <v>173</v>
      </c>
      <c r="Q8" s="147" t="s">
        <v>166</v>
      </c>
      <c r="R8" s="154" t="s">
        <v>175</v>
      </c>
      <c r="S8" s="154" t="s">
        <v>201</v>
      </c>
      <c r="T8" s="54" t="s">
        <v>134</v>
      </c>
    </row>
    <row r="9" spans="1:20" x14ac:dyDescent="0.25">
      <c r="A9" s="48"/>
      <c r="B9" s="48"/>
      <c r="C9" s="49"/>
      <c r="D9" s="48"/>
      <c r="E9" s="48"/>
      <c r="F9" s="49"/>
      <c r="G9" s="49"/>
      <c r="H9" s="49"/>
      <c r="I9" s="49"/>
      <c r="J9" s="49"/>
      <c r="K9" s="49"/>
      <c r="L9" s="49"/>
      <c r="M9" s="46"/>
      <c r="N9" s="146" t="s">
        <v>171</v>
      </c>
      <c r="O9" s="146" t="s">
        <v>172</v>
      </c>
      <c r="P9" s="148" t="s">
        <v>174</v>
      </c>
      <c r="Q9" s="148" t="s">
        <v>168</v>
      </c>
      <c r="R9" s="148" t="s">
        <v>176</v>
      </c>
      <c r="S9" s="148" t="s">
        <v>202</v>
      </c>
      <c r="T9" s="175"/>
    </row>
    <row r="10" spans="1:20" x14ac:dyDescent="0.25">
      <c r="A10" s="285">
        <v>44012</v>
      </c>
      <c r="B10" s="272">
        <v>50</v>
      </c>
      <c r="C10" s="159">
        <v>652673</v>
      </c>
      <c r="D10" s="274">
        <v>652912</v>
      </c>
      <c r="E10" s="51">
        <f t="shared" ref="E10:E39" si="0">D10-C10</f>
        <v>239</v>
      </c>
      <c r="F10" s="284">
        <f t="shared" ref="F10:F39" si="1">I10*K10</f>
        <v>5.3407821229050274</v>
      </c>
      <c r="G10" s="70">
        <f t="shared" ref="G10:G39" si="2">E10+F10</f>
        <v>244.34078212290504</v>
      </c>
      <c r="H10" s="69">
        <f>I10+J10</f>
        <v>3.58</v>
      </c>
      <c r="I10" s="271">
        <v>0.08</v>
      </c>
      <c r="J10" s="271">
        <v>3.5</v>
      </c>
      <c r="K10" s="70">
        <f t="shared" ref="K10:K37" si="3">E10/H10</f>
        <v>66.759776536312842</v>
      </c>
      <c r="L10" s="69">
        <f t="shared" ref="L10:L37" si="4">K10*264.17/60</f>
        <v>293.93216945996278</v>
      </c>
      <c r="M10" s="45"/>
      <c r="N10" s="306"/>
      <c r="O10" s="306"/>
      <c r="P10" s="274"/>
      <c r="Q10" s="274"/>
      <c r="R10" s="310"/>
      <c r="S10" s="179"/>
      <c r="T10" s="55"/>
    </row>
    <row r="11" spans="1:20" x14ac:dyDescent="0.25">
      <c r="A11" s="285">
        <v>44013</v>
      </c>
      <c r="B11" s="272">
        <v>56</v>
      </c>
      <c r="C11" s="159">
        <f t="shared" ref="C11:C39" si="5">D10</f>
        <v>652912</v>
      </c>
      <c r="D11" s="274">
        <v>653802</v>
      </c>
      <c r="E11" s="51">
        <f t="shared" si="0"/>
        <v>890</v>
      </c>
      <c r="F11" s="284">
        <f t="shared" si="1"/>
        <v>4.4278606965174134</v>
      </c>
      <c r="G11" s="70">
        <f t="shared" si="2"/>
        <v>894.42786069651743</v>
      </c>
      <c r="H11" s="69">
        <f t="shared" ref="H11:H39" si="6">I11+J11</f>
        <v>16.079999999999998</v>
      </c>
      <c r="I11" s="271">
        <v>0.08</v>
      </c>
      <c r="J11" s="271">
        <v>16</v>
      </c>
      <c r="K11" s="70">
        <f t="shared" ref="K11" si="7">E11/H11</f>
        <v>55.348258706467668</v>
      </c>
      <c r="L11" s="69">
        <f t="shared" ref="L11" si="8">K11*264.17/60</f>
        <v>243.68915837479275</v>
      </c>
      <c r="M11" s="45">
        <f>M10+1</f>
        <v>1</v>
      </c>
      <c r="N11" s="306"/>
      <c r="O11" s="306"/>
      <c r="P11" s="274"/>
      <c r="Q11" s="274"/>
      <c r="R11" s="310"/>
      <c r="S11" s="179"/>
      <c r="T11" s="55"/>
    </row>
    <row r="12" spans="1:20" x14ac:dyDescent="0.25">
      <c r="A12" s="285">
        <v>44014</v>
      </c>
      <c r="B12" s="272">
        <v>55</v>
      </c>
      <c r="C12" s="159">
        <f t="shared" si="5"/>
        <v>653802</v>
      </c>
      <c r="D12" s="275">
        <v>654692</v>
      </c>
      <c r="E12" s="51">
        <f t="shared" si="0"/>
        <v>890</v>
      </c>
      <c r="F12" s="284">
        <f t="shared" si="1"/>
        <v>4.4278606965174134</v>
      </c>
      <c r="G12" s="70">
        <f t="shared" si="2"/>
        <v>894.42786069651743</v>
      </c>
      <c r="H12" s="69">
        <f t="shared" si="6"/>
        <v>16.079999999999998</v>
      </c>
      <c r="I12" s="271">
        <v>0.08</v>
      </c>
      <c r="J12" s="271">
        <v>16</v>
      </c>
      <c r="K12" s="70">
        <f t="shared" si="3"/>
        <v>55.348258706467668</v>
      </c>
      <c r="L12" s="69">
        <f t="shared" si="4"/>
        <v>243.68915837479275</v>
      </c>
      <c r="M12" s="45">
        <f t="shared" ref="M12:M39" si="9">M11+1</f>
        <v>2</v>
      </c>
      <c r="N12" s="306"/>
      <c r="O12" s="306"/>
      <c r="P12" s="274"/>
      <c r="Q12" s="274"/>
      <c r="R12" s="310"/>
      <c r="S12" s="179"/>
      <c r="T12" s="55"/>
    </row>
    <row r="13" spans="1:20" x14ac:dyDescent="0.25">
      <c r="A13" s="285">
        <f t="shared" ref="A13:A37" si="10">A12+1</f>
        <v>44015</v>
      </c>
      <c r="B13" s="273">
        <v>64</v>
      </c>
      <c r="C13" s="159">
        <f t="shared" si="5"/>
        <v>654692</v>
      </c>
      <c r="D13" s="275">
        <v>655625</v>
      </c>
      <c r="E13" s="51">
        <f t="shared" si="0"/>
        <v>933</v>
      </c>
      <c r="F13" s="284">
        <f t="shared" si="1"/>
        <v>4.3700234192037479</v>
      </c>
      <c r="G13" s="70">
        <f t="shared" si="2"/>
        <v>937.37002341920379</v>
      </c>
      <c r="H13" s="69">
        <f t="shared" si="6"/>
        <v>17.079999999999998</v>
      </c>
      <c r="I13" s="271">
        <v>0.08</v>
      </c>
      <c r="J13" s="279">
        <v>17</v>
      </c>
      <c r="K13" s="70">
        <f t="shared" si="3"/>
        <v>54.625292740046845</v>
      </c>
      <c r="L13" s="52">
        <f t="shared" si="4"/>
        <v>240.5060597189696</v>
      </c>
      <c r="M13" s="45">
        <f t="shared" si="9"/>
        <v>3</v>
      </c>
      <c r="N13" s="306"/>
      <c r="O13" s="306"/>
      <c r="P13" s="274"/>
      <c r="Q13" s="274"/>
      <c r="R13" s="310"/>
      <c r="S13" s="179"/>
      <c r="T13" s="55"/>
    </row>
    <row r="14" spans="1:20" x14ac:dyDescent="0.25">
      <c r="A14" s="285">
        <f t="shared" si="10"/>
        <v>44016</v>
      </c>
      <c r="B14" s="273">
        <v>52.5</v>
      </c>
      <c r="C14" s="159">
        <f t="shared" si="5"/>
        <v>655625</v>
      </c>
      <c r="D14" s="275">
        <v>656569</v>
      </c>
      <c r="E14" s="51">
        <f t="shared" si="0"/>
        <v>944</v>
      </c>
      <c r="F14" s="284">
        <f t="shared" si="1"/>
        <v>4.4215456674473073</v>
      </c>
      <c r="G14" s="70">
        <f t="shared" si="2"/>
        <v>948.42154566744728</v>
      </c>
      <c r="H14" s="69">
        <f t="shared" si="6"/>
        <v>17.079999999999998</v>
      </c>
      <c r="I14" s="271">
        <v>0.08</v>
      </c>
      <c r="J14" s="271">
        <v>17</v>
      </c>
      <c r="K14" s="70">
        <f t="shared" si="3"/>
        <v>55.269320843091343</v>
      </c>
      <c r="L14" s="52">
        <f t="shared" si="4"/>
        <v>243.34160811865735</v>
      </c>
      <c r="M14" s="45">
        <f t="shared" si="9"/>
        <v>4</v>
      </c>
      <c r="N14" s="306"/>
      <c r="O14" s="306"/>
      <c r="P14" s="274"/>
      <c r="Q14" s="274"/>
      <c r="R14" s="310"/>
      <c r="S14" s="179"/>
      <c r="T14" s="55"/>
    </row>
    <row r="15" spans="1:20" x14ac:dyDescent="0.25">
      <c r="A15" s="285">
        <f t="shared" si="10"/>
        <v>44017</v>
      </c>
      <c r="B15" s="273">
        <v>56.87</v>
      </c>
      <c r="C15" s="159">
        <f t="shared" si="5"/>
        <v>656569</v>
      </c>
      <c r="D15" s="275">
        <v>657475</v>
      </c>
      <c r="E15" s="51">
        <f t="shared" si="0"/>
        <v>906</v>
      </c>
      <c r="F15" s="284">
        <f t="shared" si="1"/>
        <v>4.5074626865671643</v>
      </c>
      <c r="G15" s="70">
        <f t="shared" si="2"/>
        <v>910.50746268656712</v>
      </c>
      <c r="H15" s="69">
        <f t="shared" si="6"/>
        <v>16.079999999999998</v>
      </c>
      <c r="I15" s="271">
        <v>0.08</v>
      </c>
      <c r="J15" s="279">
        <v>16</v>
      </c>
      <c r="K15" s="70">
        <f t="shared" si="3"/>
        <v>56.343283582089555</v>
      </c>
      <c r="L15" s="52">
        <f t="shared" si="4"/>
        <v>248.07008706467664</v>
      </c>
      <c r="M15" s="45">
        <f t="shared" si="9"/>
        <v>5</v>
      </c>
      <c r="N15" s="306"/>
      <c r="O15" s="306"/>
      <c r="P15" s="274"/>
      <c r="Q15" s="274"/>
      <c r="R15" s="310"/>
      <c r="S15" s="179"/>
      <c r="T15" s="55"/>
    </row>
    <row r="16" spans="1:20" x14ac:dyDescent="0.25">
      <c r="A16" s="285">
        <f t="shared" si="10"/>
        <v>44018</v>
      </c>
      <c r="B16" s="272">
        <v>51.75</v>
      </c>
      <c r="C16" s="159">
        <f t="shared" si="5"/>
        <v>657475</v>
      </c>
      <c r="D16" s="275">
        <v>658354</v>
      </c>
      <c r="E16" s="51">
        <f t="shared" si="0"/>
        <v>879</v>
      </c>
      <c r="F16" s="284">
        <f t="shared" si="1"/>
        <v>4.3731343283582094</v>
      </c>
      <c r="G16" s="70">
        <f t="shared" si="2"/>
        <v>883.37313432835822</v>
      </c>
      <c r="H16" s="69">
        <f t="shared" si="6"/>
        <v>16.079999999999998</v>
      </c>
      <c r="I16" s="271">
        <v>0.08</v>
      </c>
      <c r="J16" s="279">
        <v>16</v>
      </c>
      <c r="K16" s="70">
        <f t="shared" si="3"/>
        <v>54.664179104477618</v>
      </c>
      <c r="L16" s="52">
        <f t="shared" si="4"/>
        <v>240.67726990049758</v>
      </c>
      <c r="M16" s="45">
        <f t="shared" si="9"/>
        <v>6</v>
      </c>
      <c r="N16" s="306"/>
      <c r="O16" s="306"/>
      <c r="P16" s="274"/>
      <c r="Q16" s="274"/>
      <c r="R16" s="310"/>
      <c r="S16" s="179"/>
      <c r="T16" s="55"/>
    </row>
    <row r="17" spans="1:20" x14ac:dyDescent="0.25">
      <c r="A17" s="285">
        <f t="shared" si="10"/>
        <v>44019</v>
      </c>
      <c r="B17" s="272">
        <v>55.42</v>
      </c>
      <c r="C17" s="159">
        <f t="shared" si="5"/>
        <v>658354</v>
      </c>
      <c r="D17" s="275">
        <v>659250</v>
      </c>
      <c r="E17" s="51">
        <f t="shared" si="0"/>
        <v>896</v>
      </c>
      <c r="F17" s="284">
        <f t="shared" si="1"/>
        <v>4.4577114427860707</v>
      </c>
      <c r="G17" s="70">
        <f t="shared" si="2"/>
        <v>900.45771144278604</v>
      </c>
      <c r="H17" s="69">
        <f t="shared" si="6"/>
        <v>16.079999999999998</v>
      </c>
      <c r="I17" s="271">
        <v>0.08</v>
      </c>
      <c r="J17" s="279">
        <v>16</v>
      </c>
      <c r="K17" s="70">
        <f t="shared" si="3"/>
        <v>55.72139303482588</v>
      </c>
      <c r="L17" s="52">
        <f t="shared" si="4"/>
        <v>245.33200663349922</v>
      </c>
      <c r="M17" s="45">
        <f t="shared" si="9"/>
        <v>7</v>
      </c>
      <c r="N17" s="306"/>
      <c r="O17" s="306"/>
      <c r="P17" s="274"/>
      <c r="Q17" s="274"/>
      <c r="R17" s="310"/>
      <c r="S17" s="179"/>
      <c r="T17" s="55"/>
    </row>
    <row r="18" spans="1:20" x14ac:dyDescent="0.25">
      <c r="A18" s="285">
        <f t="shared" si="10"/>
        <v>44020</v>
      </c>
      <c r="B18" s="272">
        <v>51.85</v>
      </c>
      <c r="C18" s="159">
        <f t="shared" si="5"/>
        <v>659250</v>
      </c>
      <c r="D18" s="275">
        <v>660148</v>
      </c>
      <c r="E18" s="51">
        <f t="shared" si="0"/>
        <v>898</v>
      </c>
      <c r="F18" s="284">
        <f t="shared" si="1"/>
        <v>4.4676616915422889</v>
      </c>
      <c r="G18" s="70">
        <f t="shared" si="2"/>
        <v>902.46766169154228</v>
      </c>
      <c r="H18" s="69">
        <f t="shared" si="6"/>
        <v>16.079999999999998</v>
      </c>
      <c r="I18" s="271">
        <v>0.08</v>
      </c>
      <c r="J18" s="279">
        <v>16</v>
      </c>
      <c r="K18" s="70">
        <f t="shared" si="3"/>
        <v>55.845771144278615</v>
      </c>
      <c r="L18" s="52">
        <f t="shared" si="4"/>
        <v>245.87962271973473</v>
      </c>
      <c r="M18" s="45">
        <f t="shared" si="9"/>
        <v>8</v>
      </c>
      <c r="N18" s="306"/>
      <c r="O18" s="306"/>
      <c r="P18" s="274"/>
      <c r="Q18" s="274"/>
      <c r="R18" s="310"/>
      <c r="S18" s="179"/>
      <c r="T18" s="55"/>
    </row>
    <row r="19" spans="1:20" x14ac:dyDescent="0.25">
      <c r="A19" s="285">
        <f t="shared" si="10"/>
        <v>44021</v>
      </c>
      <c r="B19" s="272">
        <v>50.71</v>
      </c>
      <c r="C19" s="159">
        <f t="shared" si="5"/>
        <v>660148</v>
      </c>
      <c r="D19" s="274">
        <v>660999</v>
      </c>
      <c r="E19" s="51">
        <f t="shared" si="0"/>
        <v>851</v>
      </c>
      <c r="F19" s="284">
        <f t="shared" si="1"/>
        <v>4.2338308457711449</v>
      </c>
      <c r="G19" s="70">
        <f t="shared" si="2"/>
        <v>855.23383084577119</v>
      </c>
      <c r="H19" s="69">
        <f t="shared" si="6"/>
        <v>16.079999999999998</v>
      </c>
      <c r="I19" s="271">
        <v>0.08</v>
      </c>
      <c r="J19" s="279">
        <v>16</v>
      </c>
      <c r="K19" s="70">
        <f t="shared" si="3"/>
        <v>52.922885572139307</v>
      </c>
      <c r="L19" s="52">
        <f t="shared" si="4"/>
        <v>233.0106446932007</v>
      </c>
      <c r="M19" s="45">
        <f t="shared" si="9"/>
        <v>9</v>
      </c>
      <c r="N19" s="274"/>
      <c r="O19" s="274"/>
      <c r="P19" s="314"/>
      <c r="Q19" s="274"/>
      <c r="R19" s="310"/>
      <c r="S19" s="179"/>
      <c r="T19" s="55"/>
    </row>
    <row r="20" spans="1:20" x14ac:dyDescent="0.25">
      <c r="A20" s="285">
        <f t="shared" si="10"/>
        <v>44022</v>
      </c>
      <c r="B20" s="272">
        <v>50.71</v>
      </c>
      <c r="C20" s="159">
        <f t="shared" si="5"/>
        <v>660999</v>
      </c>
      <c r="D20" s="274">
        <v>661779</v>
      </c>
      <c r="E20" s="51">
        <f t="shared" si="0"/>
        <v>780</v>
      </c>
      <c r="F20" s="284">
        <f t="shared" si="1"/>
        <v>4.0336134453781511</v>
      </c>
      <c r="G20" s="70">
        <f t="shared" si="2"/>
        <v>784.03361344537814</v>
      </c>
      <c r="H20" s="69">
        <f t="shared" si="6"/>
        <v>15.47</v>
      </c>
      <c r="I20" s="271">
        <v>0.08</v>
      </c>
      <c r="J20" s="279">
        <v>15.39</v>
      </c>
      <c r="K20" s="70">
        <f t="shared" si="3"/>
        <v>50.420168067226889</v>
      </c>
      <c r="L20" s="52">
        <f t="shared" si="4"/>
        <v>221.99159663865549</v>
      </c>
      <c r="M20" s="45">
        <f t="shared" si="9"/>
        <v>10</v>
      </c>
      <c r="N20" s="306" t="s">
        <v>315</v>
      </c>
      <c r="O20" s="306" t="s">
        <v>317</v>
      </c>
      <c r="P20" s="274">
        <v>1.17</v>
      </c>
      <c r="Q20" s="274">
        <v>118</v>
      </c>
      <c r="R20" s="310">
        <v>825</v>
      </c>
      <c r="S20" s="180">
        <f t="shared" ref="S20" si="11">R20/Q20</f>
        <v>6.9915254237288131</v>
      </c>
      <c r="T20" s="55"/>
    </row>
    <row r="21" spans="1:20" x14ac:dyDescent="0.25">
      <c r="A21" s="285">
        <f t="shared" si="10"/>
        <v>44023</v>
      </c>
      <c r="B21" s="272">
        <v>49.71</v>
      </c>
      <c r="C21" s="159">
        <f t="shared" si="5"/>
        <v>661779</v>
      </c>
      <c r="D21" s="274">
        <v>662670</v>
      </c>
      <c r="E21" s="51">
        <f t="shared" si="0"/>
        <v>891</v>
      </c>
      <c r="F21" s="284">
        <f t="shared" si="1"/>
        <v>4.432835820895523</v>
      </c>
      <c r="G21" s="70">
        <f t="shared" si="2"/>
        <v>895.43283582089555</v>
      </c>
      <c r="H21" s="69">
        <f t="shared" si="6"/>
        <v>16.079999999999998</v>
      </c>
      <c r="I21" s="271">
        <v>0.08</v>
      </c>
      <c r="J21" s="279">
        <v>16</v>
      </c>
      <c r="K21" s="70">
        <f t="shared" si="3"/>
        <v>55.410447761194035</v>
      </c>
      <c r="L21" s="52">
        <f t="shared" si="4"/>
        <v>243.96296641791048</v>
      </c>
      <c r="M21" s="45">
        <f t="shared" si="9"/>
        <v>11</v>
      </c>
      <c r="N21" s="306"/>
      <c r="O21" s="306"/>
      <c r="P21" s="274"/>
      <c r="Q21" s="274"/>
      <c r="R21" s="310"/>
      <c r="S21" s="179"/>
      <c r="T21" s="55"/>
    </row>
    <row r="22" spans="1:20" x14ac:dyDescent="0.25">
      <c r="A22" s="285">
        <f t="shared" si="10"/>
        <v>44024</v>
      </c>
      <c r="B22" s="272">
        <v>70.66</v>
      </c>
      <c r="C22" s="159">
        <f t="shared" si="5"/>
        <v>662670</v>
      </c>
      <c r="D22" s="274">
        <v>663581</v>
      </c>
      <c r="E22" s="51">
        <f t="shared" si="0"/>
        <v>911</v>
      </c>
      <c r="F22" s="284">
        <f t="shared" si="1"/>
        <v>4.3956574185765991</v>
      </c>
      <c r="G22" s="70">
        <f t="shared" si="2"/>
        <v>915.39565741857655</v>
      </c>
      <c r="H22" s="69">
        <f t="shared" si="6"/>
        <v>16.579999999999998</v>
      </c>
      <c r="I22" s="271">
        <v>0.08</v>
      </c>
      <c r="J22" s="279">
        <v>16.5</v>
      </c>
      <c r="K22" s="51">
        <f t="shared" si="3"/>
        <v>54.945717732207484</v>
      </c>
      <c r="L22" s="52">
        <f t="shared" si="4"/>
        <v>241.91683755528754</v>
      </c>
      <c r="M22" s="45">
        <f t="shared" si="9"/>
        <v>12</v>
      </c>
      <c r="N22" s="307"/>
      <c r="O22" s="307"/>
      <c r="P22" s="309"/>
      <c r="Q22" s="309"/>
      <c r="R22" s="311"/>
      <c r="S22" s="180"/>
      <c r="T22" s="55"/>
    </row>
    <row r="23" spans="1:20" x14ac:dyDescent="0.25">
      <c r="A23" s="285">
        <f t="shared" si="10"/>
        <v>44025</v>
      </c>
      <c r="B23" s="272">
        <v>64.75</v>
      </c>
      <c r="C23" s="159">
        <f t="shared" si="5"/>
        <v>663581</v>
      </c>
      <c r="D23" s="274">
        <v>664395</v>
      </c>
      <c r="E23" s="51">
        <f t="shared" si="0"/>
        <v>814</v>
      </c>
      <c r="F23" s="284">
        <f t="shared" si="1"/>
        <v>4.0497512437810954</v>
      </c>
      <c r="G23" s="70">
        <f t="shared" si="2"/>
        <v>818.04975124378109</v>
      </c>
      <c r="H23" s="69">
        <f t="shared" si="6"/>
        <v>16.079999999999998</v>
      </c>
      <c r="I23" s="271">
        <v>0.08</v>
      </c>
      <c r="J23" s="279">
        <v>16</v>
      </c>
      <c r="K23" s="51">
        <f t="shared" si="3"/>
        <v>50.621890547263689</v>
      </c>
      <c r="L23" s="52">
        <f t="shared" si="4"/>
        <v>222.87974709784416</v>
      </c>
      <c r="M23" s="45">
        <f t="shared" si="9"/>
        <v>13</v>
      </c>
      <c r="N23" s="306"/>
      <c r="O23" s="306"/>
      <c r="P23" s="274"/>
      <c r="Q23" s="274"/>
      <c r="R23" s="310"/>
      <c r="S23" s="179"/>
      <c r="T23" s="55"/>
    </row>
    <row r="24" spans="1:20" x14ac:dyDescent="0.25">
      <c r="A24" s="285">
        <f t="shared" si="10"/>
        <v>44026</v>
      </c>
      <c r="B24" s="272">
        <v>68.73</v>
      </c>
      <c r="C24" s="159">
        <f t="shared" si="5"/>
        <v>664395</v>
      </c>
      <c r="D24" s="274">
        <v>665275</v>
      </c>
      <c r="E24" s="51">
        <f t="shared" si="0"/>
        <v>880</v>
      </c>
      <c r="F24" s="284">
        <f t="shared" si="1"/>
        <v>4.3781094527363189</v>
      </c>
      <c r="G24" s="70">
        <f t="shared" si="2"/>
        <v>884.37810945273634</v>
      </c>
      <c r="H24" s="69">
        <f t="shared" si="6"/>
        <v>16.079999999999998</v>
      </c>
      <c r="I24" s="271">
        <v>0.08</v>
      </c>
      <c r="J24" s="279">
        <v>16</v>
      </c>
      <c r="K24" s="51">
        <f t="shared" si="3"/>
        <v>54.726368159203986</v>
      </c>
      <c r="L24" s="52">
        <f t="shared" si="4"/>
        <v>240.9510779436153</v>
      </c>
      <c r="M24" s="45">
        <f t="shared" si="9"/>
        <v>14</v>
      </c>
      <c r="N24" s="306"/>
      <c r="O24" s="306"/>
      <c r="P24" s="274"/>
      <c r="Q24" s="274"/>
      <c r="R24" s="310"/>
      <c r="S24" s="179"/>
      <c r="T24" s="55"/>
    </row>
    <row r="25" spans="1:20" x14ac:dyDescent="0.25">
      <c r="A25" s="285">
        <f t="shared" si="10"/>
        <v>44027</v>
      </c>
      <c r="B25" s="272">
        <v>60.42</v>
      </c>
      <c r="C25" s="159">
        <f t="shared" si="5"/>
        <v>665275</v>
      </c>
      <c r="D25" s="274">
        <v>666092</v>
      </c>
      <c r="E25" s="51">
        <f t="shared" si="0"/>
        <v>817</v>
      </c>
      <c r="F25" s="284">
        <f t="shared" si="1"/>
        <v>4.0646766169154231</v>
      </c>
      <c r="G25" s="70">
        <f t="shared" si="2"/>
        <v>821.06467661691545</v>
      </c>
      <c r="H25" s="69">
        <f t="shared" si="6"/>
        <v>16.079999999999998</v>
      </c>
      <c r="I25" s="271">
        <v>0.08</v>
      </c>
      <c r="J25" s="279">
        <v>16</v>
      </c>
      <c r="K25" s="51">
        <f t="shared" si="3"/>
        <v>50.808457711442792</v>
      </c>
      <c r="L25" s="52">
        <f t="shared" si="4"/>
        <v>223.70117122719739</v>
      </c>
      <c r="M25" s="45">
        <f t="shared" si="9"/>
        <v>15</v>
      </c>
      <c r="N25" s="308"/>
      <c r="O25" s="308"/>
      <c r="P25" s="274"/>
      <c r="Q25" s="274"/>
      <c r="R25" s="310"/>
      <c r="S25" s="179"/>
      <c r="T25" s="55"/>
    </row>
    <row r="26" spans="1:20" x14ac:dyDescent="0.25">
      <c r="A26" s="285">
        <f t="shared" si="10"/>
        <v>44028</v>
      </c>
      <c r="B26" s="272">
        <v>56</v>
      </c>
      <c r="C26" s="159">
        <f t="shared" si="5"/>
        <v>666092</v>
      </c>
      <c r="D26" s="274">
        <v>667150</v>
      </c>
      <c r="E26" s="51">
        <f t="shared" si="0"/>
        <v>1058</v>
      </c>
      <c r="F26" s="284">
        <f t="shared" si="1"/>
        <v>5.2636815920398012</v>
      </c>
      <c r="G26" s="70">
        <f t="shared" si="2"/>
        <v>1063.2636815920398</v>
      </c>
      <c r="H26" s="69">
        <f t="shared" si="6"/>
        <v>16.079999999999998</v>
      </c>
      <c r="I26" s="271">
        <v>0.08</v>
      </c>
      <c r="J26" s="279">
        <v>16</v>
      </c>
      <c r="K26" s="51">
        <f t="shared" si="3"/>
        <v>65.796019900497512</v>
      </c>
      <c r="L26" s="52">
        <f t="shared" si="4"/>
        <v>289.68890961857386</v>
      </c>
      <c r="M26" s="45">
        <f t="shared" si="9"/>
        <v>16</v>
      </c>
      <c r="N26" s="306"/>
      <c r="O26" s="306"/>
      <c r="P26" s="274"/>
      <c r="Q26" s="274"/>
      <c r="R26" s="310"/>
      <c r="S26" s="179"/>
      <c r="T26" s="55"/>
    </row>
    <row r="27" spans="1:20" x14ac:dyDescent="0.25">
      <c r="A27" s="285">
        <f t="shared" si="10"/>
        <v>44029</v>
      </c>
      <c r="B27" s="272">
        <v>63.33</v>
      </c>
      <c r="C27" s="159">
        <f t="shared" si="5"/>
        <v>667150</v>
      </c>
      <c r="D27" s="274">
        <v>668047</v>
      </c>
      <c r="E27" s="51">
        <f t="shared" si="0"/>
        <v>897</v>
      </c>
      <c r="F27" s="284">
        <f t="shared" si="1"/>
        <v>4.3281061519903501</v>
      </c>
      <c r="G27" s="70">
        <f t="shared" si="2"/>
        <v>901.32810615199037</v>
      </c>
      <c r="H27" s="69">
        <f t="shared" si="6"/>
        <v>16.579999999999998</v>
      </c>
      <c r="I27" s="271">
        <v>0.08</v>
      </c>
      <c r="J27" s="279">
        <v>16.5</v>
      </c>
      <c r="K27" s="51">
        <f t="shared" si="3"/>
        <v>54.101326899879375</v>
      </c>
      <c r="L27" s="52">
        <f t="shared" si="4"/>
        <v>238.19912545235226</v>
      </c>
      <c r="M27" s="45">
        <f t="shared" si="9"/>
        <v>17</v>
      </c>
      <c r="N27" s="308"/>
      <c r="O27" s="308"/>
      <c r="P27" s="274"/>
      <c r="Q27" s="274"/>
      <c r="R27" s="310"/>
      <c r="S27" s="179"/>
      <c r="T27" s="55"/>
    </row>
    <row r="28" spans="1:20" x14ac:dyDescent="0.25">
      <c r="A28" s="285">
        <f t="shared" si="10"/>
        <v>44030</v>
      </c>
      <c r="B28" s="273">
        <v>55.5</v>
      </c>
      <c r="C28" s="159">
        <f t="shared" si="5"/>
        <v>668047</v>
      </c>
      <c r="D28" s="274">
        <v>668939</v>
      </c>
      <c r="E28" s="51">
        <f t="shared" si="0"/>
        <v>892</v>
      </c>
      <c r="F28" s="284">
        <f t="shared" si="1"/>
        <v>4.4378109452736325</v>
      </c>
      <c r="G28" s="70">
        <f t="shared" si="2"/>
        <v>896.43781094527367</v>
      </c>
      <c r="H28" s="69">
        <f t="shared" si="6"/>
        <v>16.079999999999998</v>
      </c>
      <c r="I28" s="271">
        <v>0.08</v>
      </c>
      <c r="J28" s="280">
        <v>16</v>
      </c>
      <c r="K28" s="51">
        <f t="shared" si="3"/>
        <v>55.472636815920403</v>
      </c>
      <c r="L28" s="52">
        <f t="shared" si="4"/>
        <v>244.23677446102823</v>
      </c>
      <c r="M28" s="45">
        <f t="shared" si="9"/>
        <v>18</v>
      </c>
      <c r="N28" s="306"/>
      <c r="O28" s="306"/>
      <c r="P28" s="274"/>
      <c r="Q28" s="274"/>
      <c r="R28" s="310"/>
      <c r="S28" s="179"/>
      <c r="T28" s="50"/>
    </row>
    <row r="29" spans="1:20" x14ac:dyDescent="0.25">
      <c r="A29" s="285">
        <f t="shared" si="10"/>
        <v>44031</v>
      </c>
      <c r="B29" s="273">
        <v>54.5</v>
      </c>
      <c r="C29" s="159">
        <f t="shared" si="5"/>
        <v>668939</v>
      </c>
      <c r="D29" s="274">
        <v>669804</v>
      </c>
      <c r="E29" s="51">
        <f t="shared" si="0"/>
        <v>865</v>
      </c>
      <c r="F29" s="284">
        <f t="shared" si="1"/>
        <v>4.3034825870646776</v>
      </c>
      <c r="G29" s="70">
        <f t="shared" si="2"/>
        <v>869.30348258706465</v>
      </c>
      <c r="H29" s="69">
        <f t="shared" si="6"/>
        <v>16.079999999999998</v>
      </c>
      <c r="I29" s="271">
        <v>0.08</v>
      </c>
      <c r="J29" s="279">
        <v>16</v>
      </c>
      <c r="K29" s="51">
        <f t="shared" si="3"/>
        <v>53.793532338308466</v>
      </c>
      <c r="L29" s="52">
        <f t="shared" si="4"/>
        <v>236.84395729684914</v>
      </c>
      <c r="M29" s="45">
        <f t="shared" si="9"/>
        <v>19</v>
      </c>
      <c r="N29" s="306"/>
      <c r="O29" s="306"/>
      <c r="P29" s="274"/>
      <c r="Q29" s="274"/>
      <c r="R29" s="310"/>
      <c r="S29" s="179"/>
      <c r="T29" s="55"/>
    </row>
    <row r="30" spans="1:20" x14ac:dyDescent="0.25">
      <c r="A30" s="285">
        <f t="shared" si="10"/>
        <v>44032</v>
      </c>
      <c r="B30" s="272">
        <v>54.4</v>
      </c>
      <c r="C30" s="159">
        <f t="shared" si="5"/>
        <v>669804</v>
      </c>
      <c r="D30" s="274">
        <v>670679</v>
      </c>
      <c r="E30" s="51">
        <f t="shared" si="0"/>
        <v>875</v>
      </c>
      <c r="F30" s="284">
        <f t="shared" si="1"/>
        <v>4.3532338308457721</v>
      </c>
      <c r="G30" s="70">
        <f t="shared" si="2"/>
        <v>879.35323383084574</v>
      </c>
      <c r="H30" s="69">
        <f t="shared" si="6"/>
        <v>16.079999999999998</v>
      </c>
      <c r="I30" s="271">
        <v>0.08</v>
      </c>
      <c r="J30" s="279">
        <v>16</v>
      </c>
      <c r="K30" s="51">
        <f t="shared" si="3"/>
        <v>54.415422885572148</v>
      </c>
      <c r="L30" s="52">
        <f t="shared" si="4"/>
        <v>239.58203772802659</v>
      </c>
      <c r="M30" s="45">
        <f t="shared" si="9"/>
        <v>20</v>
      </c>
      <c r="N30" s="306"/>
      <c r="O30" s="306"/>
      <c r="P30" s="274"/>
      <c r="Q30" s="274"/>
      <c r="R30" s="310"/>
      <c r="S30" s="179"/>
      <c r="T30" s="55"/>
    </row>
    <row r="31" spans="1:20" x14ac:dyDescent="0.25">
      <c r="A31" s="285">
        <f t="shared" si="10"/>
        <v>44033</v>
      </c>
      <c r="B31" s="272">
        <v>54.22</v>
      </c>
      <c r="C31" s="159">
        <f t="shared" si="5"/>
        <v>670679</v>
      </c>
      <c r="D31" s="274">
        <v>671551</v>
      </c>
      <c r="E31" s="51">
        <f t="shared" si="0"/>
        <v>872</v>
      </c>
      <c r="F31" s="284">
        <f t="shared" si="1"/>
        <v>4.6259946949602124</v>
      </c>
      <c r="G31" s="70">
        <f t="shared" si="2"/>
        <v>876.62599469496024</v>
      </c>
      <c r="H31" s="69">
        <f t="shared" si="6"/>
        <v>15.08</v>
      </c>
      <c r="I31" s="271">
        <v>0.08</v>
      </c>
      <c r="J31" s="279">
        <v>15</v>
      </c>
      <c r="K31" s="51">
        <f t="shared" si="3"/>
        <v>57.824933687002655</v>
      </c>
      <c r="L31" s="52">
        <f t="shared" si="4"/>
        <v>254.59354553492489</v>
      </c>
      <c r="M31" s="45">
        <f t="shared" si="9"/>
        <v>21</v>
      </c>
      <c r="N31" s="306"/>
      <c r="O31" s="306"/>
      <c r="P31" s="274"/>
      <c r="Q31" s="274"/>
      <c r="R31" s="310"/>
      <c r="S31" s="179"/>
      <c r="T31" s="55"/>
    </row>
    <row r="32" spans="1:20" x14ac:dyDescent="0.25">
      <c r="A32" s="285">
        <f t="shared" si="10"/>
        <v>44034</v>
      </c>
      <c r="B32" s="272">
        <v>56.87</v>
      </c>
      <c r="C32" s="159">
        <f t="shared" si="5"/>
        <v>671551</v>
      </c>
      <c r="D32" s="274">
        <v>672399</v>
      </c>
      <c r="E32" s="51">
        <f t="shared" si="0"/>
        <v>848</v>
      </c>
      <c r="F32" s="284">
        <f t="shared" si="1"/>
        <v>4.2189054726368163</v>
      </c>
      <c r="G32" s="70">
        <f t="shared" si="2"/>
        <v>852.21890547263683</v>
      </c>
      <c r="H32" s="69">
        <f t="shared" si="6"/>
        <v>16.079999999999998</v>
      </c>
      <c r="I32" s="271">
        <v>0.08</v>
      </c>
      <c r="J32" s="279">
        <v>16</v>
      </c>
      <c r="K32" s="51">
        <f t="shared" si="3"/>
        <v>52.736318407960205</v>
      </c>
      <c r="L32" s="52">
        <f t="shared" si="4"/>
        <v>232.18922056384747</v>
      </c>
      <c r="M32" s="45">
        <f t="shared" si="9"/>
        <v>22</v>
      </c>
      <c r="N32" s="307"/>
      <c r="O32" s="307"/>
      <c r="P32" s="309"/>
      <c r="Q32" s="309"/>
      <c r="R32" s="311"/>
      <c r="S32" s="180"/>
      <c r="T32" s="55"/>
    </row>
    <row r="33" spans="1:20" x14ac:dyDescent="0.25">
      <c r="A33" s="285">
        <f t="shared" si="10"/>
        <v>44035</v>
      </c>
      <c r="B33" s="273">
        <v>56.28</v>
      </c>
      <c r="C33" s="159">
        <f t="shared" si="5"/>
        <v>672399</v>
      </c>
      <c r="D33" s="274">
        <v>673254</v>
      </c>
      <c r="E33" s="51">
        <f t="shared" si="0"/>
        <v>855</v>
      </c>
      <c r="F33" s="284">
        <f t="shared" si="1"/>
        <v>4.253731343283583</v>
      </c>
      <c r="G33" s="70">
        <f t="shared" si="2"/>
        <v>859.25373134328356</v>
      </c>
      <c r="H33" s="69">
        <f t="shared" si="6"/>
        <v>16.079999999999998</v>
      </c>
      <c r="I33" s="271">
        <v>0.08</v>
      </c>
      <c r="J33" s="279">
        <v>16</v>
      </c>
      <c r="K33" s="51">
        <f t="shared" si="3"/>
        <v>53.171641791044784</v>
      </c>
      <c r="L33" s="52">
        <f>K33*264.17/60</f>
        <v>234.10587686567169</v>
      </c>
      <c r="M33" s="45">
        <f t="shared" si="9"/>
        <v>23</v>
      </c>
      <c r="N33" s="307"/>
      <c r="O33" s="307"/>
      <c r="P33" s="309"/>
      <c r="Q33" s="309"/>
      <c r="R33" s="311"/>
      <c r="S33" s="180"/>
      <c r="T33" s="55"/>
    </row>
    <row r="34" spans="1:20" x14ac:dyDescent="0.25">
      <c r="A34" s="285">
        <f t="shared" si="10"/>
        <v>44036</v>
      </c>
      <c r="B34" s="272">
        <v>57.43</v>
      </c>
      <c r="C34" s="159">
        <f t="shared" si="5"/>
        <v>673254</v>
      </c>
      <c r="D34" s="274">
        <v>674118</v>
      </c>
      <c r="E34" s="51">
        <f t="shared" si="0"/>
        <v>864</v>
      </c>
      <c r="F34" s="284">
        <f t="shared" si="1"/>
        <v>4.2985074626865671</v>
      </c>
      <c r="G34" s="70">
        <f t="shared" si="2"/>
        <v>868.29850746268653</v>
      </c>
      <c r="H34" s="69">
        <f t="shared" si="6"/>
        <v>16.079999999999998</v>
      </c>
      <c r="I34" s="271">
        <v>0.08</v>
      </c>
      <c r="J34" s="279">
        <v>16</v>
      </c>
      <c r="K34" s="51">
        <f t="shared" si="3"/>
        <v>53.731343283582092</v>
      </c>
      <c r="L34" s="52">
        <f t="shared" si="4"/>
        <v>236.57014925373136</v>
      </c>
      <c r="M34" s="45">
        <f t="shared" si="9"/>
        <v>24</v>
      </c>
      <c r="N34" s="307"/>
      <c r="O34" s="307"/>
      <c r="P34" s="309"/>
      <c r="Q34" s="309"/>
      <c r="R34" s="311"/>
      <c r="S34" s="180"/>
      <c r="T34" s="55"/>
    </row>
    <row r="35" spans="1:20" x14ac:dyDescent="0.25">
      <c r="A35" s="285">
        <f t="shared" si="10"/>
        <v>44037</v>
      </c>
      <c r="B35" s="272">
        <v>51.63</v>
      </c>
      <c r="C35" s="159">
        <f t="shared" si="5"/>
        <v>674118</v>
      </c>
      <c r="D35" s="274">
        <v>674995</v>
      </c>
      <c r="E35" s="51">
        <f t="shared" si="0"/>
        <v>877</v>
      </c>
      <c r="F35" s="284">
        <f t="shared" si="1"/>
        <v>4.503209242618742</v>
      </c>
      <c r="G35" s="70">
        <f t="shared" si="2"/>
        <v>881.50320924261871</v>
      </c>
      <c r="H35" s="69">
        <f t="shared" si="6"/>
        <v>15.58</v>
      </c>
      <c r="I35" s="271">
        <v>0.08</v>
      </c>
      <c r="J35" s="279">
        <v>15.5</v>
      </c>
      <c r="K35" s="51">
        <f t="shared" si="3"/>
        <v>56.290115532734276</v>
      </c>
      <c r="L35" s="52">
        <f t="shared" si="4"/>
        <v>247.83599700470691</v>
      </c>
      <c r="M35" s="45">
        <f t="shared" si="9"/>
        <v>25</v>
      </c>
      <c r="N35" s="307" t="s">
        <v>318</v>
      </c>
      <c r="O35" s="307" t="s">
        <v>319</v>
      </c>
      <c r="P35" s="309">
        <v>1.07</v>
      </c>
      <c r="Q35" s="309">
        <v>81</v>
      </c>
      <c r="R35" s="311">
        <v>450</v>
      </c>
      <c r="S35" s="180">
        <f t="shared" ref="S35" si="12">R35/Q35</f>
        <v>5.5555555555555554</v>
      </c>
      <c r="T35" s="55"/>
    </row>
    <row r="36" spans="1:20" x14ac:dyDescent="0.25">
      <c r="A36" s="285">
        <f>A35+1</f>
        <v>44038</v>
      </c>
      <c r="B36" s="272">
        <v>56.62</v>
      </c>
      <c r="C36" s="159">
        <f t="shared" si="5"/>
        <v>674995</v>
      </c>
      <c r="D36" s="274">
        <v>675866</v>
      </c>
      <c r="E36" s="51">
        <f t="shared" si="0"/>
        <v>871</v>
      </c>
      <c r="F36" s="284">
        <f t="shared" si="1"/>
        <v>4.3333333333333339</v>
      </c>
      <c r="G36" s="70">
        <f t="shared" si="2"/>
        <v>875.33333333333337</v>
      </c>
      <c r="H36" s="69">
        <f t="shared" si="6"/>
        <v>16.079999999999998</v>
      </c>
      <c r="I36" s="271">
        <v>0.08</v>
      </c>
      <c r="J36" s="279">
        <v>16</v>
      </c>
      <c r="K36" s="51">
        <f t="shared" si="3"/>
        <v>54.166666666666671</v>
      </c>
      <c r="L36" s="52">
        <f t="shared" si="4"/>
        <v>238.48680555555561</v>
      </c>
      <c r="M36" s="45">
        <f t="shared" si="9"/>
        <v>26</v>
      </c>
      <c r="N36" s="307"/>
      <c r="O36" s="307"/>
      <c r="P36" s="309"/>
      <c r="Q36" s="309"/>
      <c r="R36" s="311"/>
      <c r="S36" s="180"/>
      <c r="T36" s="55"/>
    </row>
    <row r="37" spans="1:20" x14ac:dyDescent="0.25">
      <c r="A37" s="285">
        <f t="shared" si="10"/>
        <v>44039</v>
      </c>
      <c r="B37" s="272">
        <v>58</v>
      </c>
      <c r="C37" s="159">
        <f t="shared" si="5"/>
        <v>675866</v>
      </c>
      <c r="D37" s="276">
        <v>676777</v>
      </c>
      <c r="E37" s="51">
        <f t="shared" si="0"/>
        <v>911</v>
      </c>
      <c r="F37" s="284">
        <f t="shared" si="1"/>
        <v>4.2669789227166284</v>
      </c>
      <c r="G37" s="70">
        <f t="shared" si="2"/>
        <v>915.26697892271659</v>
      </c>
      <c r="H37" s="69">
        <f t="shared" si="6"/>
        <v>17.079999999999998</v>
      </c>
      <c r="I37" s="271">
        <v>0.08</v>
      </c>
      <c r="J37" s="279">
        <v>17</v>
      </c>
      <c r="K37" s="51">
        <f t="shared" si="3"/>
        <v>53.337236533957849</v>
      </c>
      <c r="L37" s="52">
        <f t="shared" si="4"/>
        <v>234.83496291959409</v>
      </c>
      <c r="M37" s="45">
        <f t="shared" si="9"/>
        <v>27</v>
      </c>
      <c r="N37" s="307"/>
      <c r="O37" s="307"/>
      <c r="P37" s="309"/>
      <c r="Q37" s="309"/>
      <c r="R37" s="311"/>
      <c r="S37" s="180"/>
      <c r="T37" s="55"/>
    </row>
    <row r="38" spans="1:20" x14ac:dyDescent="0.25">
      <c r="A38" s="285">
        <f>A37+1</f>
        <v>44040</v>
      </c>
      <c r="B38" s="272">
        <v>58.28</v>
      </c>
      <c r="C38" s="159">
        <f t="shared" si="5"/>
        <v>676777</v>
      </c>
      <c r="D38" s="274">
        <v>677596</v>
      </c>
      <c r="E38" s="51">
        <f t="shared" si="0"/>
        <v>819</v>
      </c>
      <c r="F38" s="284">
        <f t="shared" si="1"/>
        <v>4.0746268656716422</v>
      </c>
      <c r="G38" s="70">
        <f t="shared" si="2"/>
        <v>823.07462686567169</v>
      </c>
      <c r="H38" s="69">
        <f t="shared" si="6"/>
        <v>16.079999999999998</v>
      </c>
      <c r="I38" s="271">
        <v>0.08</v>
      </c>
      <c r="J38" s="279">
        <v>16</v>
      </c>
      <c r="K38" s="51">
        <f>E38/H38</f>
        <v>50.932835820895527</v>
      </c>
      <c r="L38" s="52">
        <f>K38*264.17/60</f>
        <v>224.24878731343287</v>
      </c>
      <c r="M38" s="45">
        <f t="shared" si="9"/>
        <v>28</v>
      </c>
      <c r="N38" s="307"/>
      <c r="O38" s="307"/>
      <c r="P38" s="309"/>
      <c r="Q38" s="309"/>
      <c r="R38" s="311"/>
      <c r="S38" s="180"/>
      <c r="T38" s="55"/>
    </row>
    <row r="39" spans="1:20" x14ac:dyDescent="0.25">
      <c r="A39" s="285">
        <f t="shared" ref="A39" si="13">A38+1</f>
        <v>44041</v>
      </c>
      <c r="B39" s="272">
        <v>59.75</v>
      </c>
      <c r="C39" s="159">
        <f t="shared" si="5"/>
        <v>677596</v>
      </c>
      <c r="D39" s="276">
        <v>678318</v>
      </c>
      <c r="E39" s="51">
        <f t="shared" si="0"/>
        <v>722</v>
      </c>
      <c r="F39" s="284">
        <f t="shared" si="1"/>
        <v>4.7814569536423841</v>
      </c>
      <c r="G39" s="70">
        <f t="shared" si="2"/>
        <v>726.78145695364242</v>
      </c>
      <c r="H39" s="69">
        <f t="shared" si="6"/>
        <v>12.08</v>
      </c>
      <c r="I39" s="271">
        <v>0.08</v>
      </c>
      <c r="J39" s="279">
        <v>12</v>
      </c>
      <c r="K39" s="51">
        <f t="shared" ref="K39" si="14">E39/H39</f>
        <v>59.768211920529801</v>
      </c>
      <c r="L39" s="52">
        <f t="shared" ref="L39" si="15">K39*264.17/60</f>
        <v>263.14947571743932</v>
      </c>
      <c r="M39" s="45">
        <f t="shared" si="9"/>
        <v>29</v>
      </c>
      <c r="N39" s="307"/>
      <c r="O39" s="307"/>
      <c r="P39" s="309"/>
      <c r="Q39" s="309"/>
      <c r="R39" s="311"/>
      <c r="S39" s="180"/>
      <c r="T39" s="55"/>
    </row>
    <row r="40" spans="1:20" hidden="1" x14ac:dyDescent="0.25">
      <c r="A40" s="285"/>
      <c r="B40" s="272"/>
      <c r="C40" s="159"/>
      <c r="D40" s="276"/>
      <c r="E40" s="51"/>
      <c r="F40" s="284"/>
      <c r="G40" s="70"/>
      <c r="H40" s="69"/>
      <c r="I40" s="271"/>
      <c r="J40" s="279"/>
      <c r="K40" s="51"/>
      <c r="L40" s="52"/>
      <c r="M40" s="45"/>
      <c r="N40" s="307"/>
      <c r="O40" s="307"/>
      <c r="P40" s="309"/>
      <c r="Q40" s="309"/>
      <c r="R40" s="311"/>
      <c r="S40" s="180"/>
      <c r="T40" s="55"/>
    </row>
    <row r="41" spans="1:20" hidden="1" x14ac:dyDescent="0.25">
      <c r="A41" s="285"/>
      <c r="B41" s="272"/>
      <c r="C41" s="159"/>
      <c r="D41" s="276"/>
      <c r="E41" s="51"/>
      <c r="F41" s="284"/>
      <c r="G41" s="70"/>
      <c r="H41" s="69"/>
      <c r="I41" s="271"/>
      <c r="J41" s="281"/>
      <c r="K41" s="51"/>
      <c r="L41" s="52"/>
      <c r="M41" s="45"/>
      <c r="N41" s="307"/>
      <c r="O41" s="307"/>
      <c r="P41" s="309"/>
      <c r="Q41" s="309"/>
      <c r="R41" s="311"/>
      <c r="S41" s="180"/>
      <c r="T41" s="55"/>
    </row>
    <row r="42" spans="1:20" x14ac:dyDescent="0.25">
      <c r="A42" s="150" t="s">
        <v>178</v>
      </c>
      <c r="B42" s="52">
        <f>SUM(B10:B41)</f>
        <v>1701.89</v>
      </c>
      <c r="C42" s="49"/>
      <c r="D42" s="50"/>
      <c r="E42" s="51">
        <f t="shared" ref="E42:L42" si="16">SUM(E10:E41)</f>
        <v>25645</v>
      </c>
      <c r="F42" s="52">
        <f t="shared" si="16"/>
        <v>132.42557699466306</v>
      </c>
      <c r="G42" s="52">
        <f t="shared" si="16"/>
        <v>25777.425576994661</v>
      </c>
      <c r="H42" s="52">
        <f t="shared" si="16"/>
        <v>467.78999999999968</v>
      </c>
      <c r="I42" s="52">
        <f t="shared" si="16"/>
        <v>2.4000000000000008</v>
      </c>
      <c r="J42" s="52">
        <f t="shared" si="16"/>
        <v>465.39</v>
      </c>
      <c r="K42" s="52">
        <f t="shared" si="16"/>
        <v>1655.319712433288</v>
      </c>
      <c r="L42" s="52">
        <f t="shared" si="16"/>
        <v>7288.0968072250289</v>
      </c>
      <c r="M42" s="45"/>
      <c r="N42" s="461" t="s">
        <v>6</v>
      </c>
      <c r="O42" s="462"/>
      <c r="P42" s="159">
        <f>SUM(P10:P40)</f>
        <v>2.2400000000000002</v>
      </c>
      <c r="Q42" s="159">
        <f>SUM(Q10:Q40)</f>
        <v>199</v>
      </c>
      <c r="R42" s="179">
        <f>SUM(R10:R40)</f>
        <v>1275</v>
      </c>
      <c r="S42" s="178">
        <f>R42/Q42</f>
        <v>6.4070351758793969</v>
      </c>
      <c r="T42" s="55"/>
    </row>
    <row r="43" spans="1:20" x14ac:dyDescent="0.25">
      <c r="A43" s="150" t="s">
        <v>177</v>
      </c>
      <c r="B43" s="52">
        <f>B42/E5</f>
        <v>58.68586206896552</v>
      </c>
      <c r="C43" s="49"/>
      <c r="D43" s="50"/>
      <c r="E43" s="52">
        <f>E42/E5</f>
        <v>884.31034482758616</v>
      </c>
      <c r="F43" s="52">
        <f>F42/E5</f>
        <v>4.5663992067125196</v>
      </c>
      <c r="G43" s="52">
        <f>G42/E5</f>
        <v>888.87674403429867</v>
      </c>
      <c r="H43" s="52">
        <f>H42/E5</f>
        <v>16.130689655172404</v>
      </c>
      <c r="I43" s="52">
        <f>I42/E5</f>
        <v>8.2758620689655199E-2</v>
      </c>
      <c r="J43" s="52">
        <f>J42/E5</f>
        <v>16.047931034482758</v>
      </c>
      <c r="K43" s="52">
        <f>K42/E5</f>
        <v>57.07999008390648</v>
      </c>
      <c r="L43" s="52">
        <f>L42/E5</f>
        <v>251.31368300775961</v>
      </c>
      <c r="M43" s="45"/>
      <c r="N43" s="45"/>
      <c r="O43" s="45"/>
      <c r="P43" s="77"/>
      <c r="Q43" s="77"/>
      <c r="R43" s="77"/>
    </row>
    <row r="44" spans="1:20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</row>
    <row r="45" spans="1:20" x14ac:dyDescent="0.25">
      <c r="A45" s="45" t="s">
        <v>93</v>
      </c>
      <c r="B45" s="45"/>
      <c r="C45" s="45"/>
      <c r="D45" s="45"/>
      <c r="E45" s="161" t="e">
        <f>D39-#REF!</f>
        <v>#REF!</v>
      </c>
      <c r="F45" s="45"/>
      <c r="G45" s="45"/>
      <c r="H45" s="45"/>
      <c r="I45" s="45" t="s">
        <v>94</v>
      </c>
      <c r="J45" s="45"/>
      <c r="K45" s="45"/>
      <c r="L45" s="45"/>
      <c r="M45" s="45"/>
      <c r="N45" s="45"/>
    </row>
    <row r="46" spans="1:20" x14ac:dyDescent="0.25">
      <c r="A46" s="53" t="s">
        <v>205</v>
      </c>
      <c r="B46" s="53" t="s">
        <v>206</v>
      </c>
      <c r="C46" s="53"/>
      <c r="D46" s="45"/>
      <c r="E46" s="71"/>
      <c r="F46" s="45"/>
      <c r="G46" s="45"/>
      <c r="H46" s="45"/>
      <c r="I46" t="s">
        <v>274</v>
      </c>
      <c r="J46" s="45"/>
      <c r="K46" s="45"/>
      <c r="L46" s="45"/>
      <c r="M46" s="45"/>
      <c r="N46" s="45"/>
      <c r="O46" s="45"/>
    </row>
    <row r="47" spans="1:20" x14ac:dyDescent="0.25">
      <c r="A47" s="53" t="s">
        <v>207</v>
      </c>
      <c r="B47" s="53"/>
      <c r="C47" s="53" t="s">
        <v>208</v>
      </c>
      <c r="D47" s="45"/>
      <c r="E47" s="71"/>
      <c r="F47" s="45"/>
      <c r="G47" s="45"/>
      <c r="H47" s="45"/>
      <c r="I47" s="45" t="s">
        <v>209</v>
      </c>
      <c r="J47" s="45"/>
      <c r="K47" s="45"/>
      <c r="L47" s="45"/>
      <c r="M47" s="45"/>
      <c r="N47" s="45"/>
      <c r="O47" s="45"/>
    </row>
    <row r="48" spans="1:20" x14ac:dyDescent="0.25">
      <c r="A48" s="74"/>
      <c r="B48" s="74"/>
      <c r="C48" s="53"/>
      <c r="D48" s="45"/>
      <c r="E48" s="45"/>
      <c r="F48" s="45"/>
      <c r="G48" s="45"/>
      <c r="H48" s="45"/>
      <c r="K48" s="45"/>
      <c r="L48" s="45"/>
      <c r="M48" s="45"/>
      <c r="N48" s="45"/>
      <c r="O48" s="45"/>
    </row>
    <row r="49" spans="1:15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</row>
  </sheetData>
  <mergeCells count="4">
    <mergeCell ref="C7:D7"/>
    <mergeCell ref="N7:R7"/>
    <mergeCell ref="N8:O8"/>
    <mergeCell ref="N42:O42"/>
  </mergeCells>
  <pageMargins left="0.5" right="0.25" top="0.5" bottom="0.5" header="0.5" footer="0.5"/>
  <pageSetup scale="80" orientation="portrait" horizontalDpi="4294967294" verticalDpi="14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workbookViewId="0">
      <selection activeCell="M27" sqref="M27"/>
    </sheetView>
  </sheetViews>
  <sheetFormatPr defaultColWidth="11" defaultRowHeight="15.75" x14ac:dyDescent="0.25"/>
  <cols>
    <col min="1" max="1" width="10.5" customWidth="1"/>
    <col min="2" max="2" width="6.875" customWidth="1"/>
    <col min="3" max="3" width="9.875" customWidth="1"/>
    <col min="4" max="4" width="9.125" customWidth="1"/>
    <col min="5" max="5" width="10.125" customWidth="1"/>
    <col min="6" max="6" width="8.5" customWidth="1"/>
    <col min="7" max="7" width="9.875" customWidth="1"/>
    <col min="8" max="8" width="8.25" customWidth="1"/>
    <col min="9" max="9" width="7.5" customWidth="1"/>
    <col min="10" max="10" width="8.875" customWidth="1"/>
    <col min="11" max="11" width="8.375" customWidth="1"/>
    <col min="12" max="12" width="7.75" customWidth="1"/>
    <col min="13" max="13" width="3.25" customWidth="1"/>
    <col min="20" max="20" width="19.625" customWidth="1"/>
  </cols>
  <sheetData>
    <row r="1" spans="1:20" x14ac:dyDescent="0.25">
      <c r="A1" s="157" t="s">
        <v>179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20" x14ac:dyDescent="0.25">
      <c r="A2" s="45" t="s">
        <v>180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20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20" x14ac:dyDescent="0.25">
      <c r="A4" s="45" t="s">
        <v>74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20" x14ac:dyDescent="0.25">
      <c r="A5" s="45" t="s">
        <v>75</v>
      </c>
      <c r="B5" s="282" t="s">
        <v>472</v>
      </c>
      <c r="C5" s="282"/>
      <c r="D5" s="45"/>
      <c r="E5" s="277">
        <v>29</v>
      </c>
      <c r="F5" s="45" t="s">
        <v>170</v>
      </c>
      <c r="G5" s="45"/>
      <c r="H5" s="45"/>
      <c r="I5" s="45"/>
      <c r="J5" s="45"/>
      <c r="K5" s="45"/>
      <c r="L5" s="45"/>
      <c r="M5" s="45"/>
      <c r="N5" s="45"/>
      <c r="O5" s="45"/>
    </row>
    <row r="6" spans="1:20" x14ac:dyDescent="0.25">
      <c r="A6" s="45" t="s">
        <v>76</v>
      </c>
      <c r="B6" s="45"/>
      <c r="C6" s="45" t="s">
        <v>183</v>
      </c>
      <c r="D6" s="45"/>
      <c r="E6" s="45"/>
      <c r="F6" s="45"/>
      <c r="G6" s="45" t="s">
        <v>182</v>
      </c>
      <c r="H6" s="45"/>
      <c r="I6" s="45"/>
      <c r="J6" s="45"/>
      <c r="K6" s="45"/>
      <c r="L6" s="45"/>
      <c r="M6" s="45"/>
      <c r="N6" s="45"/>
      <c r="O6" s="45"/>
    </row>
    <row r="7" spans="1:20" x14ac:dyDescent="0.25">
      <c r="A7" s="54" t="s">
        <v>77</v>
      </c>
      <c r="B7" s="54" t="s">
        <v>78</v>
      </c>
      <c r="C7" s="455" t="s">
        <v>79</v>
      </c>
      <c r="D7" s="456"/>
      <c r="E7" s="153" t="s">
        <v>203</v>
      </c>
      <c r="F7" s="153" t="s">
        <v>204</v>
      </c>
      <c r="G7" s="153" t="s">
        <v>81</v>
      </c>
      <c r="H7" s="153" t="s">
        <v>82</v>
      </c>
      <c r="I7" s="153" t="s">
        <v>80</v>
      </c>
      <c r="J7" s="153" t="s">
        <v>83</v>
      </c>
      <c r="K7" s="158" t="s">
        <v>84</v>
      </c>
      <c r="L7" s="153"/>
      <c r="M7" s="46"/>
      <c r="N7" s="463" t="s">
        <v>169</v>
      </c>
      <c r="O7" s="464"/>
      <c r="P7" s="464"/>
      <c r="Q7" s="464"/>
      <c r="R7" s="464"/>
      <c r="S7" s="464"/>
      <c r="T7" s="465"/>
    </row>
    <row r="8" spans="1:20" x14ac:dyDescent="0.25">
      <c r="A8" s="47"/>
      <c r="B8" s="149" t="s">
        <v>5</v>
      </c>
      <c r="C8" s="79" t="s">
        <v>85</v>
      </c>
      <c r="D8" s="149" t="s">
        <v>86</v>
      </c>
      <c r="E8" s="149" t="s">
        <v>87</v>
      </c>
      <c r="F8" s="79" t="s">
        <v>88</v>
      </c>
      <c r="G8" s="79" t="s">
        <v>88</v>
      </c>
      <c r="H8" s="79" t="s">
        <v>89</v>
      </c>
      <c r="I8" s="79" t="s">
        <v>89</v>
      </c>
      <c r="J8" s="79" t="s">
        <v>90</v>
      </c>
      <c r="K8" s="79" t="s">
        <v>91</v>
      </c>
      <c r="L8" s="79" t="s">
        <v>92</v>
      </c>
      <c r="M8" s="46"/>
      <c r="N8" s="460" t="s">
        <v>95</v>
      </c>
      <c r="O8" s="460"/>
      <c r="P8" s="147" t="s">
        <v>173</v>
      </c>
      <c r="Q8" s="147" t="s">
        <v>166</v>
      </c>
      <c r="R8" s="154" t="s">
        <v>175</v>
      </c>
      <c r="S8" s="154" t="s">
        <v>201</v>
      </c>
      <c r="T8" s="54" t="s">
        <v>134</v>
      </c>
    </row>
    <row r="9" spans="1:20" x14ac:dyDescent="0.25">
      <c r="A9" s="48"/>
      <c r="B9" s="48"/>
      <c r="C9" s="49"/>
      <c r="D9" s="48"/>
      <c r="E9" s="48"/>
      <c r="F9" s="49"/>
      <c r="G9" s="49"/>
      <c r="H9" s="49"/>
      <c r="I9" s="49"/>
      <c r="J9" s="49"/>
      <c r="K9" s="49"/>
      <c r="L9" s="49"/>
      <c r="M9" s="46"/>
      <c r="N9" s="146" t="s">
        <v>171</v>
      </c>
      <c r="O9" s="146" t="s">
        <v>172</v>
      </c>
      <c r="P9" s="148" t="s">
        <v>174</v>
      </c>
      <c r="Q9" s="148" t="s">
        <v>168</v>
      </c>
      <c r="R9" s="148" t="s">
        <v>176</v>
      </c>
      <c r="S9" s="148" t="s">
        <v>202</v>
      </c>
      <c r="T9" s="175"/>
    </row>
    <row r="10" spans="1:20" x14ac:dyDescent="0.25">
      <c r="A10" s="285">
        <v>44012</v>
      </c>
      <c r="B10" s="272">
        <v>61.6</v>
      </c>
      <c r="C10" s="159">
        <v>158177</v>
      </c>
      <c r="D10" s="274">
        <v>158337</v>
      </c>
      <c r="E10" s="51">
        <f t="shared" ref="E10:E39" si="0">D10-C10</f>
        <v>160</v>
      </c>
      <c r="F10" s="284">
        <f t="shared" ref="F10:F39" si="1">I10*K10</f>
        <v>2.9090909090909092</v>
      </c>
      <c r="G10" s="70">
        <f t="shared" ref="G10:G39" si="2">E10+F10</f>
        <v>162.90909090909091</v>
      </c>
      <c r="H10" s="69">
        <f t="shared" ref="H10:H39" si="3">I10+J10</f>
        <v>4.583333333333333</v>
      </c>
      <c r="I10" s="271">
        <f>5/60</f>
        <v>8.3333333333333329E-2</v>
      </c>
      <c r="J10" s="271">
        <v>4.5</v>
      </c>
      <c r="K10" s="70">
        <f t="shared" ref="K10:K37" si="4">E10/H10</f>
        <v>34.909090909090914</v>
      </c>
      <c r="L10" s="69">
        <f t="shared" ref="L10:L37" si="5">K10*264.17/60</f>
        <v>153.69890909090913</v>
      </c>
      <c r="M10" s="45"/>
      <c r="N10" s="306"/>
      <c r="O10" s="306"/>
      <c r="P10" s="321"/>
      <c r="Q10" s="312"/>
      <c r="R10" s="310">
        <v>0</v>
      </c>
      <c r="S10" s="180" t="e">
        <f t="shared" ref="S10:S39" si="6">R10/Q10</f>
        <v>#DIV/0!</v>
      </c>
      <c r="T10" s="55"/>
    </row>
    <row r="11" spans="1:20" x14ac:dyDescent="0.25">
      <c r="A11" s="285">
        <v>44013</v>
      </c>
      <c r="B11" s="272">
        <v>76.33</v>
      </c>
      <c r="C11" s="159">
        <f t="shared" ref="C11:C39" si="7">D10</f>
        <v>158337</v>
      </c>
      <c r="D11" s="274">
        <v>159048</v>
      </c>
      <c r="E11" s="51">
        <f t="shared" si="0"/>
        <v>711</v>
      </c>
      <c r="F11" s="284">
        <f t="shared" si="1"/>
        <v>3.1460176991150446</v>
      </c>
      <c r="G11" s="70">
        <f t="shared" si="2"/>
        <v>714.14601769911508</v>
      </c>
      <c r="H11" s="69">
        <f t="shared" si="3"/>
        <v>18.079999999999998</v>
      </c>
      <c r="I11" s="271">
        <v>0.08</v>
      </c>
      <c r="J11" s="271">
        <v>18</v>
      </c>
      <c r="K11" s="70">
        <f t="shared" ref="K11" si="8">E11/H11</f>
        <v>39.325221238938056</v>
      </c>
      <c r="L11" s="69">
        <f t="shared" ref="L11" si="9">K11*264.17/60</f>
        <v>173.14239491150445</v>
      </c>
      <c r="M11" s="45">
        <f>M10+1</f>
        <v>1</v>
      </c>
      <c r="N11" s="306"/>
      <c r="O11" s="306"/>
      <c r="P11" s="321"/>
      <c r="Q11" s="312"/>
      <c r="R11" s="310"/>
      <c r="S11" s="180" t="e">
        <f t="shared" si="6"/>
        <v>#DIV/0!</v>
      </c>
      <c r="T11" s="55"/>
    </row>
    <row r="12" spans="1:20" x14ac:dyDescent="0.25">
      <c r="A12" s="285">
        <v>44014</v>
      </c>
      <c r="B12" s="272">
        <v>63.5</v>
      </c>
      <c r="C12" s="159">
        <f t="shared" si="7"/>
        <v>159048</v>
      </c>
      <c r="D12" s="275">
        <v>159791</v>
      </c>
      <c r="E12" s="51">
        <f t="shared" si="0"/>
        <v>743</v>
      </c>
      <c r="F12" s="284">
        <f t="shared" si="1"/>
        <v>3.4239631336405534</v>
      </c>
      <c r="G12" s="70">
        <f t="shared" si="2"/>
        <v>746.42396313364054</v>
      </c>
      <c r="H12" s="69">
        <f t="shared" si="3"/>
        <v>18.083333333333332</v>
      </c>
      <c r="I12" s="271">
        <f t="shared" ref="I12:I39" si="10">5/60</f>
        <v>8.3333333333333329E-2</v>
      </c>
      <c r="J12" s="271">
        <v>18</v>
      </c>
      <c r="K12" s="70">
        <f t="shared" si="4"/>
        <v>41.087557603686641</v>
      </c>
      <c r="L12" s="69">
        <f t="shared" si="5"/>
        <v>180.90166820276499</v>
      </c>
      <c r="M12" s="45">
        <f t="shared" ref="M12:M39" si="11">M11+1</f>
        <v>2</v>
      </c>
      <c r="N12" s="306"/>
      <c r="O12" s="306"/>
      <c r="P12" s="321"/>
      <c r="Q12" s="312"/>
      <c r="R12" s="310"/>
      <c r="S12" s="180" t="e">
        <f t="shared" si="6"/>
        <v>#DIV/0!</v>
      </c>
      <c r="T12" s="55"/>
    </row>
    <row r="13" spans="1:20" x14ac:dyDescent="0.25">
      <c r="A13" s="285">
        <f t="shared" ref="A13:A37" si="12">A12+1</f>
        <v>44015</v>
      </c>
      <c r="B13" s="273">
        <v>63.33</v>
      </c>
      <c r="C13" s="159">
        <f t="shared" si="7"/>
        <v>159791</v>
      </c>
      <c r="D13" s="275">
        <v>160540</v>
      </c>
      <c r="E13" s="51">
        <f t="shared" si="0"/>
        <v>749</v>
      </c>
      <c r="F13" s="284">
        <f t="shared" si="1"/>
        <v>3.4516129032258065</v>
      </c>
      <c r="G13" s="70">
        <f t="shared" si="2"/>
        <v>752.45161290322585</v>
      </c>
      <c r="H13" s="69">
        <f t="shared" si="3"/>
        <v>18.083333333333332</v>
      </c>
      <c r="I13" s="271">
        <f t="shared" si="10"/>
        <v>8.3333333333333329E-2</v>
      </c>
      <c r="J13" s="271">
        <v>18</v>
      </c>
      <c r="K13" s="70">
        <f t="shared" si="4"/>
        <v>41.41935483870968</v>
      </c>
      <c r="L13" s="52">
        <f t="shared" si="5"/>
        <v>182.36251612903229</v>
      </c>
      <c r="M13" s="45">
        <f t="shared" si="11"/>
        <v>3</v>
      </c>
      <c r="N13" s="306"/>
      <c r="O13" s="306"/>
      <c r="P13" s="321"/>
      <c r="Q13" s="312"/>
      <c r="R13" s="310"/>
      <c r="S13" s="180" t="e">
        <f t="shared" si="6"/>
        <v>#DIV/0!</v>
      </c>
      <c r="T13" s="55"/>
    </row>
    <row r="14" spans="1:20" x14ac:dyDescent="0.25">
      <c r="A14" s="285">
        <f t="shared" si="12"/>
        <v>44016</v>
      </c>
      <c r="B14" s="273">
        <v>50</v>
      </c>
      <c r="C14" s="159">
        <f t="shared" si="7"/>
        <v>160540</v>
      </c>
      <c r="D14" s="275">
        <v>161308</v>
      </c>
      <c r="E14" s="51">
        <f t="shared" si="0"/>
        <v>768</v>
      </c>
      <c r="F14" s="284">
        <f t="shared" si="1"/>
        <v>3.5391705069124422</v>
      </c>
      <c r="G14" s="70">
        <f t="shared" si="2"/>
        <v>771.53917050691246</v>
      </c>
      <c r="H14" s="69">
        <f t="shared" si="3"/>
        <v>18.083333333333332</v>
      </c>
      <c r="I14" s="271">
        <f t="shared" si="10"/>
        <v>8.3333333333333329E-2</v>
      </c>
      <c r="J14" s="271">
        <v>18</v>
      </c>
      <c r="K14" s="70">
        <f t="shared" si="4"/>
        <v>42.47004608294931</v>
      </c>
      <c r="L14" s="52">
        <f t="shared" si="5"/>
        <v>186.98853456221198</v>
      </c>
      <c r="M14" s="45">
        <f t="shared" si="11"/>
        <v>4</v>
      </c>
      <c r="N14" s="306"/>
      <c r="O14" s="306"/>
      <c r="P14" s="321"/>
      <c r="Q14" s="312"/>
      <c r="R14" s="310"/>
      <c r="S14" s="180" t="e">
        <f t="shared" si="6"/>
        <v>#DIV/0!</v>
      </c>
      <c r="T14" s="55"/>
    </row>
    <row r="15" spans="1:20" x14ac:dyDescent="0.25">
      <c r="A15" s="285">
        <f t="shared" si="12"/>
        <v>44017</v>
      </c>
      <c r="B15" s="273">
        <v>45.54</v>
      </c>
      <c r="C15" s="159">
        <f t="shared" si="7"/>
        <v>161308</v>
      </c>
      <c r="D15" s="275">
        <v>162054</v>
      </c>
      <c r="E15" s="51">
        <f t="shared" si="0"/>
        <v>746</v>
      </c>
      <c r="F15" s="284">
        <f t="shared" si="1"/>
        <v>3.4226463571297487</v>
      </c>
      <c r="G15" s="70">
        <f t="shared" si="2"/>
        <v>749.42264635712979</v>
      </c>
      <c r="H15" s="69">
        <f t="shared" si="3"/>
        <v>18.16333333333333</v>
      </c>
      <c r="I15" s="271">
        <f t="shared" si="10"/>
        <v>8.3333333333333329E-2</v>
      </c>
      <c r="J15" s="271">
        <v>18.079999999999998</v>
      </c>
      <c r="K15" s="70">
        <f t="shared" si="4"/>
        <v>41.071756285556987</v>
      </c>
      <c r="L15" s="52">
        <f t="shared" si="5"/>
        <v>180.83209763259316</v>
      </c>
      <c r="M15" s="45">
        <f t="shared" si="11"/>
        <v>5</v>
      </c>
      <c r="N15" s="306"/>
      <c r="O15" s="306"/>
      <c r="P15" s="321"/>
      <c r="Q15" s="312"/>
      <c r="R15" s="310"/>
      <c r="S15" s="180" t="e">
        <f t="shared" si="6"/>
        <v>#DIV/0!</v>
      </c>
      <c r="T15" s="55"/>
    </row>
    <row r="16" spans="1:20" x14ac:dyDescent="0.25">
      <c r="A16" s="285">
        <f t="shared" si="12"/>
        <v>44018</v>
      </c>
      <c r="B16" s="272">
        <v>52.28</v>
      </c>
      <c r="C16" s="159">
        <f t="shared" si="7"/>
        <v>162054</v>
      </c>
      <c r="D16" s="275">
        <v>162776</v>
      </c>
      <c r="E16" s="51">
        <f t="shared" si="0"/>
        <v>722</v>
      </c>
      <c r="F16" s="284">
        <f t="shared" si="1"/>
        <v>3.3271889400921659</v>
      </c>
      <c r="G16" s="70">
        <f t="shared" si="2"/>
        <v>725.32718894009213</v>
      </c>
      <c r="H16" s="69">
        <f t="shared" si="3"/>
        <v>18.083333333333332</v>
      </c>
      <c r="I16" s="271">
        <f t="shared" si="10"/>
        <v>8.3333333333333329E-2</v>
      </c>
      <c r="J16" s="271">
        <v>18</v>
      </c>
      <c r="K16" s="70">
        <f t="shared" si="4"/>
        <v>39.926267281105993</v>
      </c>
      <c r="L16" s="52">
        <f t="shared" si="5"/>
        <v>175.78870046082952</v>
      </c>
      <c r="M16" s="45">
        <f t="shared" si="11"/>
        <v>6</v>
      </c>
      <c r="N16" s="306"/>
      <c r="O16" s="306"/>
      <c r="P16" s="321"/>
      <c r="Q16" s="312"/>
      <c r="R16" s="310"/>
      <c r="S16" s="180" t="e">
        <f t="shared" si="6"/>
        <v>#DIV/0!</v>
      </c>
      <c r="T16" s="55"/>
    </row>
    <row r="17" spans="1:20" x14ac:dyDescent="0.25">
      <c r="A17" s="285">
        <f t="shared" si="12"/>
        <v>44019</v>
      </c>
      <c r="B17" s="272">
        <v>56</v>
      </c>
      <c r="C17" s="159">
        <f t="shared" si="7"/>
        <v>162776</v>
      </c>
      <c r="D17" s="275">
        <v>163511</v>
      </c>
      <c r="E17" s="51">
        <f t="shared" si="0"/>
        <v>735</v>
      </c>
      <c r="F17" s="284">
        <f t="shared" si="1"/>
        <v>3.3870967741935485</v>
      </c>
      <c r="G17" s="70">
        <f t="shared" si="2"/>
        <v>738.38709677419354</v>
      </c>
      <c r="H17" s="69">
        <f t="shared" si="3"/>
        <v>18.083333333333332</v>
      </c>
      <c r="I17" s="271">
        <f t="shared" si="10"/>
        <v>8.3333333333333329E-2</v>
      </c>
      <c r="J17" s="271">
        <v>18</v>
      </c>
      <c r="K17" s="70">
        <f t="shared" si="4"/>
        <v>40.645161290322584</v>
      </c>
      <c r="L17" s="52">
        <f t="shared" si="5"/>
        <v>178.95387096774195</v>
      </c>
      <c r="M17" s="45">
        <f t="shared" si="11"/>
        <v>7</v>
      </c>
      <c r="N17" s="306"/>
      <c r="O17" s="306"/>
      <c r="P17" s="321"/>
      <c r="Q17" s="312"/>
      <c r="R17" s="310"/>
      <c r="S17" s="180" t="e">
        <f t="shared" si="6"/>
        <v>#DIV/0!</v>
      </c>
      <c r="T17" s="55"/>
    </row>
    <row r="18" spans="1:20" x14ac:dyDescent="0.25">
      <c r="A18" s="285">
        <f t="shared" si="12"/>
        <v>44020</v>
      </c>
      <c r="B18" s="272">
        <v>51.85</v>
      </c>
      <c r="C18" s="159">
        <f t="shared" si="7"/>
        <v>163511</v>
      </c>
      <c r="D18" s="275">
        <v>164257</v>
      </c>
      <c r="E18" s="51">
        <f t="shared" si="0"/>
        <v>746</v>
      </c>
      <c r="F18" s="284">
        <f t="shared" si="1"/>
        <v>3.4377880184331797</v>
      </c>
      <c r="G18" s="70">
        <f t="shared" si="2"/>
        <v>749.43778801843314</v>
      </c>
      <c r="H18" s="69">
        <f t="shared" si="3"/>
        <v>18.083333333333332</v>
      </c>
      <c r="I18" s="271">
        <f t="shared" si="10"/>
        <v>8.3333333333333329E-2</v>
      </c>
      <c r="J18" s="271">
        <v>18</v>
      </c>
      <c r="K18" s="70">
        <f t="shared" si="4"/>
        <v>41.253456221198157</v>
      </c>
      <c r="L18" s="52">
        <f t="shared" si="5"/>
        <v>181.63209216589863</v>
      </c>
      <c r="M18" s="45">
        <f t="shared" si="11"/>
        <v>8</v>
      </c>
      <c r="N18" s="306"/>
      <c r="O18" s="306"/>
      <c r="P18" s="321"/>
      <c r="Q18" s="312"/>
      <c r="R18" s="310"/>
      <c r="S18" s="180" t="e">
        <f t="shared" si="6"/>
        <v>#DIV/0!</v>
      </c>
      <c r="T18" s="55"/>
    </row>
    <row r="19" spans="1:20" x14ac:dyDescent="0.25">
      <c r="A19" s="285">
        <f t="shared" si="12"/>
        <v>44021</v>
      </c>
      <c r="B19" s="272">
        <v>61.37</v>
      </c>
      <c r="C19" s="159">
        <f t="shared" si="7"/>
        <v>164257</v>
      </c>
      <c r="D19" s="274">
        <v>164965</v>
      </c>
      <c r="E19" s="51">
        <f t="shared" si="0"/>
        <v>708</v>
      </c>
      <c r="F19" s="284">
        <f t="shared" si="1"/>
        <v>3.2626728110599079</v>
      </c>
      <c r="G19" s="70">
        <f t="shared" si="2"/>
        <v>711.26267281105993</v>
      </c>
      <c r="H19" s="69">
        <f t="shared" si="3"/>
        <v>18.083333333333332</v>
      </c>
      <c r="I19" s="271">
        <f t="shared" si="10"/>
        <v>8.3333333333333329E-2</v>
      </c>
      <c r="J19" s="271">
        <v>18</v>
      </c>
      <c r="K19" s="70">
        <f t="shared" si="4"/>
        <v>39.152073732718897</v>
      </c>
      <c r="L19" s="52">
        <f t="shared" si="5"/>
        <v>172.38005529953918</v>
      </c>
      <c r="M19" s="45">
        <f t="shared" si="11"/>
        <v>9</v>
      </c>
      <c r="N19" s="306"/>
      <c r="O19" s="306"/>
      <c r="P19" s="321"/>
      <c r="Q19" s="312"/>
      <c r="R19" s="310"/>
      <c r="S19" s="180" t="e">
        <f t="shared" si="6"/>
        <v>#DIV/0!</v>
      </c>
      <c r="T19" s="55"/>
    </row>
    <row r="20" spans="1:20" x14ac:dyDescent="0.25">
      <c r="A20" s="285">
        <f t="shared" si="12"/>
        <v>44022</v>
      </c>
      <c r="B20" s="272">
        <v>50.1</v>
      </c>
      <c r="C20" s="159">
        <f t="shared" si="7"/>
        <v>164965</v>
      </c>
      <c r="D20" s="274">
        <v>165698</v>
      </c>
      <c r="E20" s="51">
        <f t="shared" si="0"/>
        <v>733</v>
      </c>
      <c r="F20" s="284">
        <f t="shared" si="1"/>
        <v>3.2433628318584073</v>
      </c>
      <c r="G20" s="70">
        <f t="shared" si="2"/>
        <v>736.24336283185846</v>
      </c>
      <c r="H20" s="69">
        <f t="shared" si="3"/>
        <v>18.079999999999998</v>
      </c>
      <c r="I20" s="271">
        <v>0.08</v>
      </c>
      <c r="J20" s="271">
        <v>18</v>
      </c>
      <c r="K20" s="70">
        <f t="shared" si="4"/>
        <v>40.542035398230091</v>
      </c>
      <c r="L20" s="52">
        <f t="shared" si="5"/>
        <v>178.4998248525074</v>
      </c>
      <c r="M20" s="45">
        <f t="shared" si="11"/>
        <v>10</v>
      </c>
      <c r="N20" s="308">
        <v>0.70347222222222217</v>
      </c>
      <c r="O20" s="308">
        <v>0.77638888888888891</v>
      </c>
      <c r="P20" s="321">
        <v>1.75</v>
      </c>
      <c r="Q20" s="312">
        <v>73</v>
      </c>
      <c r="R20" s="310">
        <v>453.13</v>
      </c>
      <c r="S20" s="180">
        <f t="shared" ref="S20" si="13">R20/Q20</f>
        <v>6.2072602739726026</v>
      </c>
      <c r="T20" s="55"/>
    </row>
    <row r="21" spans="1:20" x14ac:dyDescent="0.25">
      <c r="A21" s="285">
        <f t="shared" si="12"/>
        <v>44023</v>
      </c>
      <c r="B21" s="272">
        <v>60.16</v>
      </c>
      <c r="C21" s="159">
        <f t="shared" si="7"/>
        <v>165698</v>
      </c>
      <c r="D21" s="274">
        <v>166432</v>
      </c>
      <c r="E21" s="51">
        <f t="shared" si="0"/>
        <v>734</v>
      </c>
      <c r="F21" s="284">
        <f t="shared" si="1"/>
        <v>3.382488479262673</v>
      </c>
      <c r="G21" s="70">
        <f t="shared" si="2"/>
        <v>737.38248847926263</v>
      </c>
      <c r="H21" s="69">
        <f t="shared" si="3"/>
        <v>18.083333333333332</v>
      </c>
      <c r="I21" s="271">
        <f t="shared" si="10"/>
        <v>8.3333333333333329E-2</v>
      </c>
      <c r="J21" s="271">
        <v>18</v>
      </c>
      <c r="K21" s="70">
        <f t="shared" si="4"/>
        <v>40.589861751152078</v>
      </c>
      <c r="L21" s="52">
        <f t="shared" si="5"/>
        <v>178.71039631336407</v>
      </c>
      <c r="M21" s="45">
        <f t="shared" si="11"/>
        <v>11</v>
      </c>
      <c r="N21" s="308"/>
      <c r="O21" s="308"/>
      <c r="P21" s="321"/>
      <c r="Q21" s="312"/>
      <c r="R21" s="310"/>
      <c r="S21" s="180" t="e">
        <f t="shared" si="6"/>
        <v>#DIV/0!</v>
      </c>
      <c r="T21" s="55"/>
    </row>
    <row r="22" spans="1:20" x14ac:dyDescent="0.25">
      <c r="A22" s="285">
        <f t="shared" si="12"/>
        <v>44024</v>
      </c>
      <c r="B22" s="272">
        <v>58.83</v>
      </c>
      <c r="C22" s="159">
        <f t="shared" si="7"/>
        <v>166432</v>
      </c>
      <c r="D22" s="274">
        <v>167135</v>
      </c>
      <c r="E22" s="51">
        <f t="shared" si="0"/>
        <v>703</v>
      </c>
      <c r="F22" s="284">
        <f t="shared" si="1"/>
        <v>3.2396313364055302</v>
      </c>
      <c r="G22" s="70">
        <f t="shared" si="2"/>
        <v>706.23963133640552</v>
      </c>
      <c r="H22" s="69">
        <f t="shared" si="3"/>
        <v>18.083333333333332</v>
      </c>
      <c r="I22" s="271">
        <f t="shared" si="10"/>
        <v>8.3333333333333329E-2</v>
      </c>
      <c r="J22" s="271">
        <v>18</v>
      </c>
      <c r="K22" s="51">
        <f t="shared" si="4"/>
        <v>38.875576036866363</v>
      </c>
      <c r="L22" s="52">
        <f t="shared" si="5"/>
        <v>171.16268202764979</v>
      </c>
      <c r="M22" s="45">
        <f t="shared" si="11"/>
        <v>12</v>
      </c>
      <c r="N22" s="307"/>
      <c r="O22" s="307"/>
      <c r="P22" s="322"/>
      <c r="Q22" s="313"/>
      <c r="R22" s="311"/>
      <c r="S22" s="180" t="e">
        <f t="shared" si="6"/>
        <v>#DIV/0!</v>
      </c>
      <c r="T22" s="55"/>
    </row>
    <row r="23" spans="1:20" x14ac:dyDescent="0.25">
      <c r="A23" s="285">
        <f t="shared" si="12"/>
        <v>44025</v>
      </c>
      <c r="B23" s="272">
        <v>59.66</v>
      </c>
      <c r="C23" s="159">
        <f t="shared" si="7"/>
        <v>167135</v>
      </c>
      <c r="D23" s="274">
        <v>167816</v>
      </c>
      <c r="E23" s="51">
        <f t="shared" si="0"/>
        <v>681</v>
      </c>
      <c r="F23" s="284">
        <f t="shared" si="1"/>
        <v>3.0132743362831862</v>
      </c>
      <c r="G23" s="70">
        <f t="shared" si="2"/>
        <v>684.01327433628319</v>
      </c>
      <c r="H23" s="69">
        <f t="shared" si="3"/>
        <v>18.079999999999998</v>
      </c>
      <c r="I23" s="271">
        <v>0.08</v>
      </c>
      <c r="J23" s="271">
        <v>18</v>
      </c>
      <c r="K23" s="51">
        <f t="shared" si="4"/>
        <v>37.665929203539825</v>
      </c>
      <c r="L23" s="52">
        <f t="shared" si="5"/>
        <v>165.83680862831861</v>
      </c>
      <c r="M23" s="45">
        <f t="shared" si="11"/>
        <v>13</v>
      </c>
      <c r="N23" s="306"/>
      <c r="O23" s="306"/>
      <c r="P23" s="321"/>
      <c r="Q23" s="312"/>
      <c r="R23" s="310"/>
      <c r="S23" s="180" t="e">
        <f t="shared" si="6"/>
        <v>#DIV/0!</v>
      </c>
      <c r="T23" s="55"/>
    </row>
    <row r="24" spans="1:20" x14ac:dyDescent="0.25">
      <c r="A24" s="285">
        <f t="shared" si="12"/>
        <v>44026</v>
      </c>
      <c r="B24" s="272">
        <v>76</v>
      </c>
      <c r="C24" s="159">
        <f t="shared" si="7"/>
        <v>167816</v>
      </c>
      <c r="D24" s="274">
        <v>168541</v>
      </c>
      <c r="E24" s="51">
        <f t="shared" si="0"/>
        <v>725</v>
      </c>
      <c r="F24" s="284">
        <f t="shared" si="1"/>
        <v>3.3262984033767666</v>
      </c>
      <c r="G24" s="70">
        <f t="shared" si="2"/>
        <v>728.32629840337677</v>
      </c>
      <c r="H24" s="69">
        <f t="shared" si="3"/>
        <v>18.16333333333333</v>
      </c>
      <c r="I24" s="271">
        <f t="shared" si="10"/>
        <v>8.3333333333333329E-2</v>
      </c>
      <c r="J24" s="271">
        <v>18.079999999999998</v>
      </c>
      <c r="K24" s="51">
        <f t="shared" si="4"/>
        <v>39.915580840521201</v>
      </c>
      <c r="L24" s="52">
        <f t="shared" si="5"/>
        <v>175.74164984400809</v>
      </c>
      <c r="M24" s="45">
        <f t="shared" si="11"/>
        <v>14</v>
      </c>
      <c r="N24" s="306"/>
      <c r="O24" s="306"/>
      <c r="P24" s="321"/>
      <c r="Q24" s="312"/>
      <c r="R24" s="310"/>
      <c r="S24" s="180" t="e">
        <f t="shared" si="6"/>
        <v>#DIV/0!</v>
      </c>
      <c r="T24" s="55"/>
    </row>
    <row r="25" spans="1:20" x14ac:dyDescent="0.25">
      <c r="A25" s="285">
        <f t="shared" si="12"/>
        <v>44027</v>
      </c>
      <c r="B25" s="272">
        <v>63.66</v>
      </c>
      <c r="C25" s="159">
        <f t="shared" si="7"/>
        <v>168541</v>
      </c>
      <c r="D25" s="274">
        <v>169259</v>
      </c>
      <c r="E25" s="51">
        <f t="shared" si="0"/>
        <v>718</v>
      </c>
      <c r="F25" s="284">
        <f t="shared" si="1"/>
        <v>3.3087557603686637</v>
      </c>
      <c r="G25" s="70">
        <f t="shared" si="2"/>
        <v>721.30875576036863</v>
      </c>
      <c r="H25" s="69">
        <f t="shared" si="3"/>
        <v>18.083333333333332</v>
      </c>
      <c r="I25" s="271">
        <f t="shared" si="10"/>
        <v>8.3333333333333329E-2</v>
      </c>
      <c r="J25" s="271">
        <v>18</v>
      </c>
      <c r="K25" s="51">
        <f t="shared" si="4"/>
        <v>39.705069124423964</v>
      </c>
      <c r="L25" s="52">
        <f t="shared" si="5"/>
        <v>174.81480184331798</v>
      </c>
      <c r="M25" s="45">
        <f t="shared" si="11"/>
        <v>15</v>
      </c>
      <c r="N25" s="308"/>
      <c r="O25" s="308"/>
      <c r="P25" s="321"/>
      <c r="Q25" s="312"/>
      <c r="R25" s="310"/>
      <c r="S25" s="180" t="e">
        <f t="shared" si="6"/>
        <v>#DIV/0!</v>
      </c>
      <c r="T25" s="55"/>
    </row>
    <row r="26" spans="1:20" x14ac:dyDescent="0.25">
      <c r="A26" s="285">
        <f t="shared" si="12"/>
        <v>44028</v>
      </c>
      <c r="B26" s="272">
        <v>64.8</v>
      </c>
      <c r="C26" s="159">
        <f t="shared" si="7"/>
        <v>169259</v>
      </c>
      <c r="D26" s="274">
        <v>169967</v>
      </c>
      <c r="E26" s="51">
        <f t="shared" si="0"/>
        <v>708</v>
      </c>
      <c r="F26" s="284">
        <f t="shared" si="1"/>
        <v>3.2483024408148289</v>
      </c>
      <c r="G26" s="70">
        <f t="shared" si="2"/>
        <v>711.24830244081488</v>
      </c>
      <c r="H26" s="69">
        <f t="shared" si="3"/>
        <v>18.16333333333333</v>
      </c>
      <c r="I26" s="271">
        <f t="shared" si="10"/>
        <v>8.3333333333333329E-2</v>
      </c>
      <c r="J26" s="271">
        <v>18.079999999999998</v>
      </c>
      <c r="K26" s="51">
        <f t="shared" si="4"/>
        <v>38.979629289777947</v>
      </c>
      <c r="L26" s="52">
        <f t="shared" si="5"/>
        <v>171.6208111580107</v>
      </c>
      <c r="M26" s="45">
        <f t="shared" si="11"/>
        <v>16</v>
      </c>
      <c r="N26" s="306"/>
      <c r="O26" s="306"/>
      <c r="P26" s="321"/>
      <c r="Q26" s="312"/>
      <c r="R26" s="310"/>
      <c r="S26" s="180" t="e">
        <f t="shared" si="6"/>
        <v>#DIV/0!</v>
      </c>
      <c r="T26" s="55"/>
    </row>
    <row r="27" spans="1:20" x14ac:dyDescent="0.25">
      <c r="A27" s="285">
        <f t="shared" si="12"/>
        <v>44029</v>
      </c>
      <c r="B27" s="272">
        <v>59.6</v>
      </c>
      <c r="C27" s="159">
        <f t="shared" si="7"/>
        <v>169967</v>
      </c>
      <c r="D27" s="274">
        <v>170715</v>
      </c>
      <c r="E27" s="51">
        <f t="shared" si="0"/>
        <v>748</v>
      </c>
      <c r="F27" s="284">
        <f t="shared" si="1"/>
        <v>3.2951541850220272</v>
      </c>
      <c r="G27" s="70">
        <f t="shared" si="2"/>
        <v>751.29515418502206</v>
      </c>
      <c r="H27" s="69">
        <f t="shared" si="3"/>
        <v>18.159999999999997</v>
      </c>
      <c r="I27" s="271">
        <v>0.08</v>
      </c>
      <c r="J27" s="271">
        <v>18.079999999999998</v>
      </c>
      <c r="K27" s="51">
        <f t="shared" si="4"/>
        <v>41.189427312775337</v>
      </c>
      <c r="L27" s="52">
        <f t="shared" si="5"/>
        <v>181.35018355359767</v>
      </c>
      <c r="M27" s="45">
        <f t="shared" si="11"/>
        <v>17</v>
      </c>
      <c r="N27" s="308"/>
      <c r="O27" s="308"/>
      <c r="P27" s="321"/>
      <c r="Q27" s="312"/>
      <c r="R27" s="310"/>
      <c r="S27" s="180" t="e">
        <f t="shared" si="6"/>
        <v>#DIV/0!</v>
      </c>
      <c r="T27" s="55"/>
    </row>
    <row r="28" spans="1:20" x14ac:dyDescent="0.25">
      <c r="A28" s="285">
        <f t="shared" si="12"/>
        <v>44030</v>
      </c>
      <c r="B28" s="273">
        <v>56.8</v>
      </c>
      <c r="C28" s="159">
        <f t="shared" si="7"/>
        <v>170715</v>
      </c>
      <c r="D28" s="274">
        <v>171466</v>
      </c>
      <c r="E28" s="51">
        <f t="shared" si="0"/>
        <v>751</v>
      </c>
      <c r="F28" s="284">
        <f t="shared" si="1"/>
        <v>3.4608294930875578</v>
      </c>
      <c r="G28" s="70">
        <f t="shared" si="2"/>
        <v>754.46082949308754</v>
      </c>
      <c r="H28" s="69">
        <f t="shared" si="3"/>
        <v>18.083333333333332</v>
      </c>
      <c r="I28" s="271">
        <f t="shared" si="10"/>
        <v>8.3333333333333329E-2</v>
      </c>
      <c r="J28" s="271">
        <v>18</v>
      </c>
      <c r="K28" s="51">
        <f t="shared" si="4"/>
        <v>41.529953917050697</v>
      </c>
      <c r="L28" s="52">
        <f t="shared" si="5"/>
        <v>182.84946543778807</v>
      </c>
      <c r="M28" s="45">
        <f t="shared" si="11"/>
        <v>18</v>
      </c>
      <c r="N28" s="306"/>
      <c r="O28" s="306"/>
      <c r="P28" s="321"/>
      <c r="Q28" s="312"/>
      <c r="R28" s="310"/>
      <c r="S28" s="180" t="e">
        <f t="shared" si="6"/>
        <v>#DIV/0!</v>
      </c>
      <c r="T28" s="50"/>
    </row>
    <row r="29" spans="1:20" x14ac:dyDescent="0.25">
      <c r="A29" s="285">
        <f t="shared" si="12"/>
        <v>44031</v>
      </c>
      <c r="B29" s="273">
        <v>56.28</v>
      </c>
      <c r="C29" s="159">
        <f t="shared" si="7"/>
        <v>171466</v>
      </c>
      <c r="D29" s="274">
        <v>172207</v>
      </c>
      <c r="E29" s="51">
        <f t="shared" si="0"/>
        <v>741</v>
      </c>
      <c r="F29" s="284">
        <f t="shared" si="1"/>
        <v>3.3997063681409436</v>
      </c>
      <c r="G29" s="70">
        <f t="shared" si="2"/>
        <v>744.39970636814098</v>
      </c>
      <c r="H29" s="69">
        <f t="shared" si="3"/>
        <v>18.16333333333333</v>
      </c>
      <c r="I29" s="271">
        <f t="shared" si="10"/>
        <v>8.3333333333333329E-2</v>
      </c>
      <c r="J29" s="271">
        <v>18.079999999999998</v>
      </c>
      <c r="K29" s="51">
        <f t="shared" si="4"/>
        <v>40.796476417691323</v>
      </c>
      <c r="L29" s="52">
        <f t="shared" si="5"/>
        <v>179.62008625435863</v>
      </c>
      <c r="M29" s="45">
        <f t="shared" si="11"/>
        <v>19</v>
      </c>
      <c r="N29" s="306"/>
      <c r="O29" s="306"/>
      <c r="P29" s="321"/>
      <c r="Q29" s="312"/>
      <c r="R29" s="310"/>
      <c r="S29" s="180" t="e">
        <f t="shared" si="6"/>
        <v>#DIV/0!</v>
      </c>
      <c r="T29" s="55"/>
    </row>
    <row r="30" spans="1:20" x14ac:dyDescent="0.25">
      <c r="A30" s="285">
        <f t="shared" si="12"/>
        <v>44032</v>
      </c>
      <c r="B30" s="272">
        <v>56</v>
      </c>
      <c r="C30" s="159">
        <f t="shared" si="7"/>
        <v>172207</v>
      </c>
      <c r="D30" s="274">
        <v>172936</v>
      </c>
      <c r="E30" s="51">
        <f t="shared" si="0"/>
        <v>729</v>
      </c>
      <c r="F30" s="284">
        <f t="shared" si="1"/>
        <v>3.2114537444933928</v>
      </c>
      <c r="G30" s="70">
        <f t="shared" si="2"/>
        <v>732.21145374449338</v>
      </c>
      <c r="H30" s="69">
        <f t="shared" si="3"/>
        <v>18.159999999999997</v>
      </c>
      <c r="I30" s="271">
        <v>0.08</v>
      </c>
      <c r="J30" s="271">
        <v>18.079999999999998</v>
      </c>
      <c r="K30" s="51">
        <f t="shared" si="4"/>
        <v>40.143171806167409</v>
      </c>
      <c r="L30" s="52">
        <f t="shared" si="5"/>
        <v>176.74369493392075</v>
      </c>
      <c r="M30" s="45">
        <f t="shared" si="11"/>
        <v>20</v>
      </c>
      <c r="N30" s="306"/>
      <c r="O30" s="306"/>
      <c r="P30" s="321"/>
      <c r="Q30" s="312"/>
      <c r="R30" s="310"/>
      <c r="S30" s="180" t="e">
        <f t="shared" si="6"/>
        <v>#DIV/0!</v>
      </c>
      <c r="T30" s="55"/>
    </row>
    <row r="31" spans="1:20" x14ac:dyDescent="0.25">
      <c r="A31" s="285">
        <f t="shared" si="12"/>
        <v>44033</v>
      </c>
      <c r="B31" s="272">
        <v>53.37</v>
      </c>
      <c r="C31" s="159">
        <f t="shared" si="7"/>
        <v>172936</v>
      </c>
      <c r="D31" s="274">
        <v>173673</v>
      </c>
      <c r="E31" s="51">
        <f t="shared" si="0"/>
        <v>737</v>
      </c>
      <c r="F31" s="284">
        <f t="shared" si="1"/>
        <v>3.3963133640552994</v>
      </c>
      <c r="G31" s="70">
        <f t="shared" si="2"/>
        <v>740.39631336405535</v>
      </c>
      <c r="H31" s="69">
        <f t="shared" si="3"/>
        <v>18.083333333333332</v>
      </c>
      <c r="I31" s="271">
        <f t="shared" si="10"/>
        <v>8.3333333333333329E-2</v>
      </c>
      <c r="J31" s="271">
        <v>18</v>
      </c>
      <c r="K31" s="51">
        <f t="shared" si="4"/>
        <v>40.755760368663594</v>
      </c>
      <c r="L31" s="52">
        <f t="shared" si="5"/>
        <v>179.4408202764977</v>
      </c>
      <c r="M31" s="45">
        <f t="shared" si="11"/>
        <v>21</v>
      </c>
      <c r="N31" s="306"/>
      <c r="O31" s="306"/>
      <c r="P31" s="321"/>
      <c r="Q31" s="312"/>
      <c r="R31" s="310"/>
      <c r="S31" s="180" t="e">
        <f t="shared" si="6"/>
        <v>#DIV/0!</v>
      </c>
      <c r="T31" s="55"/>
    </row>
    <row r="32" spans="1:20" x14ac:dyDescent="0.25">
      <c r="A32" s="285">
        <f t="shared" si="12"/>
        <v>44034</v>
      </c>
      <c r="B32" s="272">
        <v>58</v>
      </c>
      <c r="C32" s="159">
        <f t="shared" si="7"/>
        <v>173673</v>
      </c>
      <c r="D32" s="274">
        <v>174382</v>
      </c>
      <c r="E32" s="51">
        <f t="shared" si="0"/>
        <v>709</v>
      </c>
      <c r="F32" s="284">
        <f t="shared" si="1"/>
        <v>3.2672811059907834</v>
      </c>
      <c r="G32" s="70">
        <f t="shared" si="2"/>
        <v>712.26728110599083</v>
      </c>
      <c r="H32" s="69">
        <f t="shared" si="3"/>
        <v>18.083333333333332</v>
      </c>
      <c r="I32" s="271">
        <f t="shared" si="10"/>
        <v>8.3333333333333329E-2</v>
      </c>
      <c r="J32" s="271">
        <v>18</v>
      </c>
      <c r="K32" s="51">
        <f t="shared" si="4"/>
        <v>39.207373271889402</v>
      </c>
      <c r="L32" s="52">
        <f t="shared" si="5"/>
        <v>172.62352995391706</v>
      </c>
      <c r="M32" s="45">
        <f t="shared" si="11"/>
        <v>22</v>
      </c>
      <c r="N32" s="307"/>
      <c r="O32" s="307"/>
      <c r="P32" s="322"/>
      <c r="Q32" s="313"/>
      <c r="R32" s="311"/>
      <c r="S32" s="180" t="e">
        <f t="shared" si="6"/>
        <v>#DIV/0!</v>
      </c>
      <c r="T32" s="55"/>
    </row>
    <row r="33" spans="1:20" x14ac:dyDescent="0.25">
      <c r="A33" s="285">
        <f t="shared" si="12"/>
        <v>44035</v>
      </c>
      <c r="B33" s="273">
        <v>50.85</v>
      </c>
      <c r="C33" s="159">
        <f t="shared" si="7"/>
        <v>174382</v>
      </c>
      <c r="D33" s="274">
        <v>175105</v>
      </c>
      <c r="E33" s="51">
        <f t="shared" si="0"/>
        <v>723</v>
      </c>
      <c r="F33" s="284">
        <f t="shared" si="1"/>
        <v>3.3317972350230414</v>
      </c>
      <c r="G33" s="70">
        <f t="shared" si="2"/>
        <v>726.33179723502303</v>
      </c>
      <c r="H33" s="69">
        <f t="shared" si="3"/>
        <v>18.083333333333332</v>
      </c>
      <c r="I33" s="271">
        <f t="shared" si="10"/>
        <v>8.3333333333333329E-2</v>
      </c>
      <c r="J33" s="271">
        <v>18</v>
      </c>
      <c r="K33" s="51">
        <f t="shared" si="4"/>
        <v>39.981566820276498</v>
      </c>
      <c r="L33" s="52">
        <f>K33*264.17/60</f>
        <v>176.03217511520739</v>
      </c>
      <c r="M33" s="45">
        <f t="shared" si="11"/>
        <v>23</v>
      </c>
      <c r="N33" s="307"/>
      <c r="O33" s="307"/>
      <c r="P33" s="322"/>
      <c r="Q33" s="313"/>
      <c r="R33" s="311"/>
      <c r="S33" s="180" t="e">
        <f t="shared" si="6"/>
        <v>#DIV/0!</v>
      </c>
      <c r="T33" s="55"/>
    </row>
    <row r="34" spans="1:20" x14ac:dyDescent="0.25">
      <c r="A34" s="285">
        <f t="shared" si="12"/>
        <v>44036</v>
      </c>
      <c r="B34" s="272">
        <v>56.25</v>
      </c>
      <c r="C34" s="159">
        <f t="shared" si="7"/>
        <v>175105</v>
      </c>
      <c r="D34" s="274">
        <v>175855</v>
      </c>
      <c r="E34" s="51">
        <f t="shared" si="0"/>
        <v>750</v>
      </c>
      <c r="F34" s="284">
        <f t="shared" si="1"/>
        <v>3.4409983483207931</v>
      </c>
      <c r="G34" s="70">
        <f t="shared" si="2"/>
        <v>753.44099834832082</v>
      </c>
      <c r="H34" s="69">
        <f t="shared" si="3"/>
        <v>18.16333333333333</v>
      </c>
      <c r="I34" s="271">
        <f t="shared" si="10"/>
        <v>8.3333333333333329E-2</v>
      </c>
      <c r="J34" s="271">
        <v>18.079999999999998</v>
      </c>
      <c r="K34" s="51">
        <f t="shared" si="4"/>
        <v>41.291980179849517</v>
      </c>
      <c r="L34" s="52">
        <f t="shared" si="5"/>
        <v>181.8017067351808</v>
      </c>
      <c r="M34" s="45">
        <f t="shared" si="11"/>
        <v>24</v>
      </c>
      <c r="N34" s="319"/>
      <c r="O34" s="319"/>
      <c r="P34" s="322"/>
      <c r="Q34" s="313"/>
      <c r="R34" s="311"/>
      <c r="S34" s="180" t="e">
        <f>R34/Q34</f>
        <v>#DIV/0!</v>
      </c>
      <c r="T34" s="55"/>
    </row>
    <row r="35" spans="1:20" x14ac:dyDescent="0.25">
      <c r="A35" s="285">
        <f t="shared" si="12"/>
        <v>44037</v>
      </c>
      <c r="B35" s="272">
        <v>60.85</v>
      </c>
      <c r="C35" s="159">
        <f t="shared" si="7"/>
        <v>175855</v>
      </c>
      <c r="D35" s="274">
        <v>176590</v>
      </c>
      <c r="E35" s="51">
        <f t="shared" si="0"/>
        <v>735</v>
      </c>
      <c r="F35" s="284">
        <f t="shared" si="1"/>
        <v>7.7597128378378386</v>
      </c>
      <c r="G35" s="70">
        <f t="shared" si="2"/>
        <v>742.75971283783781</v>
      </c>
      <c r="H35" s="69">
        <f t="shared" si="3"/>
        <v>7.8933333333333326</v>
      </c>
      <c r="I35" s="271">
        <f t="shared" si="10"/>
        <v>8.3333333333333329E-2</v>
      </c>
      <c r="J35" s="271">
        <v>7.81</v>
      </c>
      <c r="K35" s="51">
        <f t="shared" si="4"/>
        <v>93.116554054054063</v>
      </c>
      <c r="L35" s="52">
        <f t="shared" si="5"/>
        <v>409.97666807432438</v>
      </c>
      <c r="M35" s="45">
        <f t="shared" si="11"/>
        <v>25</v>
      </c>
      <c r="N35" s="319">
        <v>0.72222222222222221</v>
      </c>
      <c r="O35" s="319">
        <v>0.74305555555555547</v>
      </c>
      <c r="P35" s="272">
        <f>30/60</f>
        <v>0.5</v>
      </c>
      <c r="Q35" s="313">
        <v>24</v>
      </c>
      <c r="R35" s="311">
        <v>93.75</v>
      </c>
      <c r="S35" s="180">
        <f>R35/Q35</f>
        <v>3.90625</v>
      </c>
      <c r="T35" s="55"/>
    </row>
    <row r="36" spans="1:20" x14ac:dyDescent="0.25">
      <c r="A36" s="285">
        <f t="shared" si="12"/>
        <v>44038</v>
      </c>
      <c r="B36" s="272">
        <v>56.42</v>
      </c>
      <c r="C36" s="159">
        <f t="shared" si="7"/>
        <v>176590</v>
      </c>
      <c r="D36" s="274">
        <v>177322</v>
      </c>
      <c r="E36" s="51">
        <f t="shared" si="0"/>
        <v>732</v>
      </c>
      <c r="F36" s="284">
        <f t="shared" si="1"/>
        <v>3.3584143879610941</v>
      </c>
      <c r="G36" s="70">
        <f t="shared" si="2"/>
        <v>735.35841438796115</v>
      </c>
      <c r="H36" s="69">
        <f t="shared" si="3"/>
        <v>18.16333333333333</v>
      </c>
      <c r="I36" s="271">
        <f t="shared" si="10"/>
        <v>8.3333333333333329E-2</v>
      </c>
      <c r="J36" s="271">
        <v>18.079999999999998</v>
      </c>
      <c r="K36" s="51">
        <f t="shared" si="4"/>
        <v>40.30097265553313</v>
      </c>
      <c r="L36" s="52">
        <f t="shared" si="5"/>
        <v>177.43846577353645</v>
      </c>
      <c r="M36" s="45">
        <f t="shared" si="11"/>
        <v>26</v>
      </c>
      <c r="N36" s="307"/>
      <c r="O36" s="307"/>
      <c r="P36" s="322"/>
      <c r="Q36" s="313"/>
      <c r="R36" s="311"/>
      <c r="S36" s="180" t="e">
        <f t="shared" si="6"/>
        <v>#DIV/0!</v>
      </c>
      <c r="T36" s="55"/>
    </row>
    <row r="37" spans="1:20" x14ac:dyDescent="0.25">
      <c r="A37" s="285">
        <f t="shared" si="12"/>
        <v>44039</v>
      </c>
      <c r="B37" s="272">
        <v>57.57</v>
      </c>
      <c r="C37" s="159">
        <f t="shared" si="7"/>
        <v>177322</v>
      </c>
      <c r="D37" s="276">
        <v>178036</v>
      </c>
      <c r="E37" s="51">
        <f t="shared" si="0"/>
        <v>714</v>
      </c>
      <c r="F37" s="284">
        <f t="shared" si="1"/>
        <v>3.2758304276013952</v>
      </c>
      <c r="G37" s="70">
        <f t="shared" si="2"/>
        <v>717.27583042760136</v>
      </c>
      <c r="H37" s="69">
        <f t="shared" si="3"/>
        <v>18.16333333333333</v>
      </c>
      <c r="I37" s="271">
        <f t="shared" si="10"/>
        <v>8.3333333333333329E-2</v>
      </c>
      <c r="J37" s="271">
        <v>18.079999999999998</v>
      </c>
      <c r="K37" s="51">
        <f t="shared" si="4"/>
        <v>39.309965131216742</v>
      </c>
      <c r="L37" s="52">
        <f t="shared" si="5"/>
        <v>173.07522481189213</v>
      </c>
      <c r="M37" s="45">
        <f t="shared" si="11"/>
        <v>27</v>
      </c>
      <c r="N37" s="307"/>
      <c r="O37" s="307"/>
      <c r="P37" s="322"/>
      <c r="Q37" s="313"/>
      <c r="R37" s="311"/>
      <c r="S37" s="180" t="e">
        <f t="shared" si="6"/>
        <v>#DIV/0!</v>
      </c>
      <c r="T37" s="55"/>
    </row>
    <row r="38" spans="1:20" x14ac:dyDescent="0.25">
      <c r="A38" s="285">
        <f>A37+1</f>
        <v>44040</v>
      </c>
      <c r="B38" s="272">
        <v>56.57</v>
      </c>
      <c r="C38" s="159">
        <f t="shared" si="7"/>
        <v>178036</v>
      </c>
      <c r="D38" s="274">
        <v>178755</v>
      </c>
      <c r="E38" s="51">
        <f t="shared" si="0"/>
        <v>719</v>
      </c>
      <c r="F38" s="284">
        <f t="shared" si="1"/>
        <v>3.2987704165902003</v>
      </c>
      <c r="G38" s="70">
        <f t="shared" si="2"/>
        <v>722.29877041659017</v>
      </c>
      <c r="H38" s="69">
        <f t="shared" si="3"/>
        <v>18.16333333333333</v>
      </c>
      <c r="I38" s="271">
        <f t="shared" si="10"/>
        <v>8.3333333333333329E-2</v>
      </c>
      <c r="J38" s="271">
        <v>18.079999999999998</v>
      </c>
      <c r="K38" s="51">
        <f>E38/H38</f>
        <v>39.585244999082406</v>
      </c>
      <c r="L38" s="52">
        <f>K38*264.17/60</f>
        <v>174.28723619012666</v>
      </c>
      <c r="M38" s="45">
        <f t="shared" si="11"/>
        <v>28</v>
      </c>
      <c r="N38" s="307"/>
      <c r="O38" s="307"/>
      <c r="P38" s="322"/>
      <c r="Q38" s="313"/>
      <c r="R38" s="311"/>
      <c r="S38" s="180" t="e">
        <f t="shared" si="6"/>
        <v>#DIV/0!</v>
      </c>
      <c r="T38" s="55"/>
    </row>
    <row r="39" spans="1:20" x14ac:dyDescent="0.25">
      <c r="A39" s="285">
        <f t="shared" ref="A39" si="14">A38+1</f>
        <v>44041</v>
      </c>
      <c r="B39" s="272">
        <v>55.11</v>
      </c>
      <c r="C39" s="159">
        <f t="shared" si="7"/>
        <v>178755</v>
      </c>
      <c r="D39" s="283">
        <v>179287</v>
      </c>
      <c r="E39" s="51">
        <f t="shared" si="0"/>
        <v>532</v>
      </c>
      <c r="F39" s="284">
        <f t="shared" si="1"/>
        <v>3.2638036809815949</v>
      </c>
      <c r="G39" s="70">
        <f t="shared" si="2"/>
        <v>535.2638036809816</v>
      </c>
      <c r="H39" s="69">
        <f t="shared" si="3"/>
        <v>13.583333333333334</v>
      </c>
      <c r="I39" s="271">
        <f t="shared" si="10"/>
        <v>8.3333333333333329E-2</v>
      </c>
      <c r="J39" s="271">
        <f>18-4.5</f>
        <v>13.5</v>
      </c>
      <c r="K39" s="51">
        <f t="shared" ref="K39" si="15">E39/H39</f>
        <v>39.165644171779142</v>
      </c>
      <c r="L39" s="52">
        <f t="shared" ref="L39" si="16">K39*264.17/60</f>
        <v>172.43980368098161</v>
      </c>
      <c r="M39" s="45">
        <f t="shared" si="11"/>
        <v>29</v>
      </c>
      <c r="N39" s="307"/>
      <c r="O39" s="307"/>
      <c r="P39" s="322"/>
      <c r="Q39" s="313"/>
      <c r="R39" s="311"/>
      <c r="S39" s="180" t="e">
        <f t="shared" si="6"/>
        <v>#DIV/0!</v>
      </c>
      <c r="T39" s="55"/>
    </row>
    <row r="40" spans="1:20" hidden="1" x14ac:dyDescent="0.25">
      <c r="A40" s="285"/>
      <c r="B40" s="272"/>
      <c r="C40" s="159"/>
      <c r="D40" s="283"/>
      <c r="E40" s="51"/>
      <c r="F40" s="284"/>
      <c r="G40" s="70"/>
      <c r="H40" s="69"/>
      <c r="I40" s="271"/>
      <c r="J40" s="271"/>
      <c r="K40" s="51"/>
      <c r="L40" s="52"/>
      <c r="M40" s="45"/>
      <c r="N40" s="307"/>
      <c r="O40" s="307"/>
      <c r="P40" s="309"/>
      <c r="Q40" s="313"/>
      <c r="R40" s="311"/>
      <c r="S40" s="180"/>
      <c r="T40" s="55"/>
    </row>
    <row r="41" spans="1:20" hidden="1" x14ac:dyDescent="0.25">
      <c r="A41" s="285"/>
      <c r="B41" s="272"/>
      <c r="C41" s="183"/>
      <c r="D41" s="283"/>
      <c r="E41" s="51"/>
      <c r="F41" s="284"/>
      <c r="G41" s="70"/>
      <c r="H41" s="69"/>
      <c r="I41" s="271"/>
      <c r="J41" s="271"/>
      <c r="K41" s="51"/>
      <c r="L41" s="52"/>
      <c r="M41" s="45"/>
      <c r="N41" s="307"/>
      <c r="O41" s="307"/>
      <c r="P41" s="309"/>
      <c r="Q41" s="313"/>
      <c r="R41" s="311"/>
      <c r="S41" s="180"/>
      <c r="T41" s="55"/>
    </row>
    <row r="42" spans="1:20" x14ac:dyDescent="0.25">
      <c r="A42" s="150" t="s">
        <v>178</v>
      </c>
      <c r="B42" s="184">
        <f>SUM(B10:B41)</f>
        <v>1748.6799999999994</v>
      </c>
      <c r="C42" s="49"/>
      <c r="D42" s="50"/>
      <c r="E42" s="243">
        <f>SUM(E10:E39)</f>
        <v>21110</v>
      </c>
      <c r="F42" s="184">
        <f t="shared" ref="F42:L42" si="17">SUM(F10:F41)</f>
        <v>103.82942723636934</v>
      </c>
      <c r="G42" s="184">
        <f t="shared" si="17"/>
        <v>21213.829427236367</v>
      </c>
      <c r="H42" s="184">
        <f t="shared" si="17"/>
        <v>515.09333333333336</v>
      </c>
      <c r="I42" s="184">
        <f t="shared" si="17"/>
        <v>2.4833333333333338</v>
      </c>
      <c r="J42" s="184">
        <f t="shared" si="17"/>
        <v>512.6099999999999</v>
      </c>
      <c r="K42" s="184">
        <f t="shared" si="17"/>
        <v>1253.9077582348177</v>
      </c>
      <c r="L42" s="184">
        <f t="shared" si="17"/>
        <v>5520.7468748815318</v>
      </c>
      <c r="M42" s="45"/>
      <c r="N42" s="461" t="s">
        <v>6</v>
      </c>
      <c r="O42" s="462"/>
      <c r="P42" s="181">
        <f>SUM(P10:P41)</f>
        <v>2.25</v>
      </c>
      <c r="Q42" s="181">
        <f>SUM(Q10:Q41)</f>
        <v>97</v>
      </c>
      <c r="R42" s="317">
        <f>SUM(R10:R41)</f>
        <v>546.88</v>
      </c>
      <c r="S42" s="178">
        <f>R42/Q42</f>
        <v>5.6379381443298966</v>
      </c>
      <c r="T42" s="55"/>
    </row>
    <row r="43" spans="1:20" x14ac:dyDescent="0.25">
      <c r="A43" s="150" t="s">
        <v>177</v>
      </c>
      <c r="B43" s="52">
        <f>B42/E5</f>
        <v>60.299310344827568</v>
      </c>
      <c r="C43" s="49"/>
      <c r="D43" s="50"/>
      <c r="E43" s="52">
        <f>E42/E5</f>
        <v>727.93103448275861</v>
      </c>
      <c r="F43" s="52">
        <f>F42/E5</f>
        <v>3.5803250771161843</v>
      </c>
      <c r="G43" s="52">
        <f>G42/E5</f>
        <v>731.51135955987479</v>
      </c>
      <c r="H43" s="52">
        <f>H42/E5</f>
        <v>17.761839080459772</v>
      </c>
      <c r="I43" s="52">
        <f>I42/E5</f>
        <v>8.5632183908046E-2</v>
      </c>
      <c r="J43" s="52">
        <f>J42/E5</f>
        <v>17.676206896551722</v>
      </c>
      <c r="K43" s="52">
        <f>K42/E5</f>
        <v>43.238198559821299</v>
      </c>
      <c r="L43" s="52">
        <f>L42/E5</f>
        <v>190.37058189246662</v>
      </c>
      <c r="M43" s="45"/>
      <c r="N43" s="45"/>
      <c r="O43" s="45"/>
      <c r="P43" s="45"/>
      <c r="Q43" s="45"/>
      <c r="R43" s="45"/>
      <c r="S43" s="45"/>
    </row>
    <row r="44" spans="1:20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</row>
    <row r="45" spans="1:20" x14ac:dyDescent="0.25">
      <c r="A45" s="45" t="s">
        <v>93</v>
      </c>
      <c r="B45" s="45"/>
      <c r="C45" s="45"/>
      <c r="D45" s="45"/>
      <c r="E45" s="161" t="e">
        <f>D39-#REF!</f>
        <v>#REF!</v>
      </c>
      <c r="F45" s="45"/>
      <c r="G45" s="45"/>
      <c r="H45" s="45"/>
      <c r="I45" s="45" t="s">
        <v>94</v>
      </c>
      <c r="J45" s="45"/>
      <c r="K45" s="45"/>
      <c r="L45" s="45"/>
      <c r="M45" s="45"/>
      <c r="N45" s="45"/>
      <c r="O45" s="45"/>
      <c r="P45" s="45"/>
      <c r="Q45" s="45"/>
      <c r="R45" s="45"/>
      <c r="S45" s="45"/>
    </row>
    <row r="46" spans="1:20" x14ac:dyDescent="0.25">
      <c r="A46" s="53" t="s">
        <v>205</v>
      </c>
      <c r="B46" s="53" t="s">
        <v>206</v>
      </c>
      <c r="C46" s="53"/>
      <c r="D46" s="45"/>
      <c r="E46" s="71"/>
      <c r="F46" s="45"/>
      <c r="G46" s="45"/>
      <c r="H46" s="45"/>
      <c r="I46" s="45" t="s">
        <v>276</v>
      </c>
      <c r="J46" s="45"/>
      <c r="K46" s="45"/>
      <c r="L46" s="45"/>
      <c r="M46" s="45"/>
      <c r="N46" s="45"/>
      <c r="O46" s="45"/>
      <c r="P46" s="45"/>
      <c r="Q46" s="45"/>
      <c r="R46" s="45"/>
      <c r="S46" s="45"/>
    </row>
    <row r="47" spans="1:20" x14ac:dyDescent="0.25">
      <c r="A47" s="53" t="s">
        <v>207</v>
      </c>
      <c r="B47" s="53"/>
      <c r="C47" s="53" t="s">
        <v>208</v>
      </c>
      <c r="D47" s="45"/>
      <c r="E47" s="71"/>
      <c r="F47" s="45"/>
      <c r="G47" s="45"/>
      <c r="H47" s="45"/>
      <c r="I47" s="45" t="s">
        <v>209</v>
      </c>
      <c r="J47" s="45"/>
      <c r="K47" s="45"/>
      <c r="L47" s="45"/>
      <c r="M47" s="45"/>
      <c r="N47" s="45"/>
      <c r="O47" s="45"/>
      <c r="P47" s="45"/>
      <c r="Q47" s="45"/>
      <c r="R47" s="45"/>
      <c r="S47" s="45"/>
    </row>
    <row r="48" spans="1:20" x14ac:dyDescent="0.25">
      <c r="A48" s="74"/>
      <c r="B48" s="74"/>
      <c r="C48" s="53"/>
      <c r="D48" s="45"/>
      <c r="E48" s="45"/>
      <c r="F48" s="45"/>
      <c r="G48" s="45"/>
      <c r="H48" s="45"/>
      <c r="J48" s="45"/>
      <c r="K48" s="45"/>
      <c r="L48" s="45"/>
      <c r="M48" s="45"/>
      <c r="N48" s="45"/>
      <c r="O48" s="45"/>
      <c r="P48" s="45"/>
      <c r="Q48" s="45"/>
      <c r="R48" s="45"/>
      <c r="S48" s="45"/>
    </row>
    <row r="49" spans="1:15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</row>
  </sheetData>
  <mergeCells count="4">
    <mergeCell ref="C7:D7"/>
    <mergeCell ref="N8:O8"/>
    <mergeCell ref="N42:O42"/>
    <mergeCell ref="N7:T7"/>
  </mergeCells>
  <pageMargins left="0.5" right="0.25" top="0.5" bottom="0.5" header="0.5" footer="0.5"/>
  <pageSetup scale="80" orientation="portrait" horizontalDpi="4294967294" verticalDpi="14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topLeftCell="A5" workbookViewId="0">
      <selection activeCell="I44" sqref="I44"/>
    </sheetView>
  </sheetViews>
  <sheetFormatPr defaultColWidth="11" defaultRowHeight="15.75" x14ac:dyDescent="0.25"/>
  <cols>
    <col min="1" max="1" width="10.5" customWidth="1"/>
    <col min="2" max="2" width="6.875" customWidth="1"/>
    <col min="3" max="3" width="9.875" customWidth="1"/>
    <col min="4" max="4" width="9.125" customWidth="1"/>
    <col min="5" max="5" width="10.125" customWidth="1"/>
    <col min="6" max="6" width="8.5" customWidth="1"/>
    <col min="7" max="7" width="9.875" customWidth="1"/>
    <col min="8" max="8" width="8.25" customWidth="1"/>
    <col min="9" max="9" width="7.5" customWidth="1"/>
    <col min="10" max="10" width="8.875" customWidth="1"/>
    <col min="11" max="11" width="8.375" customWidth="1"/>
    <col min="12" max="12" width="7.75" customWidth="1"/>
    <col min="13" max="13" width="3.25" customWidth="1"/>
    <col min="20" max="20" width="18.25" customWidth="1"/>
  </cols>
  <sheetData>
    <row r="1" spans="1:25" x14ac:dyDescent="0.25">
      <c r="A1" s="157" t="s">
        <v>179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25" x14ac:dyDescent="0.25">
      <c r="A2" s="45" t="s">
        <v>180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25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25" x14ac:dyDescent="0.25">
      <c r="A4" s="45" t="s">
        <v>74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77"/>
      <c r="Q4" s="77"/>
      <c r="R4" s="77"/>
      <c r="S4" s="77"/>
      <c r="T4" s="77"/>
      <c r="U4" s="77"/>
      <c r="V4" s="77"/>
      <c r="W4" s="77"/>
      <c r="X4" s="77"/>
      <c r="Y4" s="77"/>
    </row>
    <row r="5" spans="1:25" x14ac:dyDescent="0.25">
      <c r="A5" s="45" t="s">
        <v>75</v>
      </c>
      <c r="B5" s="282" t="s">
        <v>471</v>
      </c>
      <c r="C5" s="282"/>
      <c r="D5" s="45"/>
      <c r="E5" s="277">
        <v>29</v>
      </c>
      <c r="F5" s="45" t="s">
        <v>170</v>
      </c>
      <c r="G5" s="45"/>
      <c r="H5" s="45"/>
      <c r="I5" s="45"/>
      <c r="J5" s="45"/>
      <c r="K5" s="45"/>
      <c r="L5" s="45"/>
      <c r="M5" s="45"/>
      <c r="N5" s="45"/>
      <c r="O5" s="45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5" x14ac:dyDescent="0.25">
      <c r="A6" s="45" t="s">
        <v>76</v>
      </c>
      <c r="B6" s="45"/>
      <c r="C6" s="45" t="s">
        <v>181</v>
      </c>
      <c r="D6" s="45"/>
      <c r="E6" s="45"/>
      <c r="F6" s="45"/>
      <c r="G6" s="45" t="s">
        <v>182</v>
      </c>
      <c r="H6" s="45"/>
      <c r="I6" s="45"/>
      <c r="J6" s="45"/>
      <c r="K6" s="45"/>
      <c r="L6" s="45"/>
      <c r="M6" s="45"/>
      <c r="N6" s="45"/>
      <c r="O6" s="45"/>
      <c r="P6" s="77"/>
      <c r="Q6" s="77"/>
      <c r="R6" s="77"/>
      <c r="S6" s="77"/>
      <c r="T6" s="77"/>
      <c r="U6" s="77"/>
      <c r="V6" s="77"/>
      <c r="W6" s="77"/>
      <c r="X6" s="77"/>
      <c r="Y6" s="77"/>
    </row>
    <row r="7" spans="1:25" x14ac:dyDescent="0.25">
      <c r="A7" s="54" t="s">
        <v>77</v>
      </c>
      <c r="B7" s="54" t="s">
        <v>78</v>
      </c>
      <c r="C7" s="455" t="s">
        <v>79</v>
      </c>
      <c r="D7" s="456"/>
      <c r="E7" s="236" t="s">
        <v>203</v>
      </c>
      <c r="F7" s="236" t="s">
        <v>204</v>
      </c>
      <c r="G7" s="236" t="s">
        <v>81</v>
      </c>
      <c r="H7" s="236" t="s">
        <v>82</v>
      </c>
      <c r="I7" s="236" t="s">
        <v>80</v>
      </c>
      <c r="J7" s="236" t="s">
        <v>83</v>
      </c>
      <c r="K7" s="158" t="s">
        <v>84</v>
      </c>
      <c r="L7" s="236"/>
      <c r="M7" s="46"/>
      <c r="N7" s="457" t="s">
        <v>169</v>
      </c>
      <c r="O7" s="458"/>
      <c r="P7" s="458"/>
      <c r="Q7" s="458"/>
      <c r="R7" s="459"/>
      <c r="S7" s="237"/>
      <c r="T7" s="54" t="s">
        <v>134</v>
      </c>
      <c r="U7" s="77"/>
      <c r="V7" s="77"/>
      <c r="W7" s="77"/>
      <c r="X7" s="77"/>
      <c r="Y7" s="77"/>
    </row>
    <row r="8" spans="1:25" x14ac:dyDescent="0.25">
      <c r="A8" s="47"/>
      <c r="B8" s="149" t="s">
        <v>5</v>
      </c>
      <c r="C8" s="79" t="s">
        <v>85</v>
      </c>
      <c r="D8" s="149" t="s">
        <v>86</v>
      </c>
      <c r="E8" s="149" t="s">
        <v>87</v>
      </c>
      <c r="F8" s="79" t="s">
        <v>88</v>
      </c>
      <c r="G8" s="79" t="s">
        <v>88</v>
      </c>
      <c r="H8" s="79" t="s">
        <v>89</v>
      </c>
      <c r="I8" s="79" t="s">
        <v>89</v>
      </c>
      <c r="J8" s="79" t="s">
        <v>90</v>
      </c>
      <c r="K8" s="79" t="s">
        <v>91</v>
      </c>
      <c r="L8" s="79" t="s">
        <v>92</v>
      </c>
      <c r="M8" s="46"/>
      <c r="N8" s="460" t="s">
        <v>95</v>
      </c>
      <c r="O8" s="460"/>
      <c r="P8" s="147" t="s">
        <v>173</v>
      </c>
      <c r="Q8" s="147" t="s">
        <v>166</v>
      </c>
      <c r="R8" s="154" t="s">
        <v>175</v>
      </c>
      <c r="S8" s="176" t="s">
        <v>201</v>
      </c>
      <c r="T8" s="240"/>
      <c r="U8" s="77"/>
      <c r="V8" s="77"/>
      <c r="W8" s="77"/>
      <c r="X8" s="77"/>
      <c r="Y8" s="77"/>
    </row>
    <row r="9" spans="1:25" x14ac:dyDescent="0.25">
      <c r="A9" s="48"/>
      <c r="B9" s="48"/>
      <c r="C9" s="49"/>
      <c r="D9" s="48"/>
      <c r="E9" s="48"/>
      <c r="F9" s="49"/>
      <c r="G9" s="49"/>
      <c r="H9" s="49"/>
      <c r="I9" s="49"/>
      <c r="J9" s="49"/>
      <c r="K9" s="49"/>
      <c r="L9" s="49"/>
      <c r="M9" s="46"/>
      <c r="N9" s="146" t="s">
        <v>171</v>
      </c>
      <c r="O9" s="146" t="s">
        <v>172</v>
      </c>
      <c r="P9" s="148" t="s">
        <v>174</v>
      </c>
      <c r="Q9" s="148" t="s">
        <v>168</v>
      </c>
      <c r="R9" s="148" t="s">
        <v>176</v>
      </c>
      <c r="S9" s="148" t="s">
        <v>202</v>
      </c>
      <c r="T9" s="241"/>
      <c r="U9" s="77"/>
      <c r="V9" s="77"/>
      <c r="W9" s="77"/>
      <c r="X9" s="77"/>
      <c r="Y9" s="77"/>
    </row>
    <row r="10" spans="1:25" x14ac:dyDescent="0.25">
      <c r="A10" s="285">
        <v>44012</v>
      </c>
      <c r="B10" s="272">
        <v>59.5</v>
      </c>
      <c r="C10" s="159">
        <v>216924</v>
      </c>
      <c r="D10" s="274">
        <v>217462</v>
      </c>
      <c r="E10" s="51">
        <f t="shared" ref="E10:E39" si="0">D10-C10</f>
        <v>538</v>
      </c>
      <c r="F10" s="69">
        <f t="shared" ref="F10:F39" si="1">I10*K10</f>
        <v>0</v>
      </c>
      <c r="G10" s="70">
        <f t="shared" ref="G10:G39" si="2">E10+F10</f>
        <v>538</v>
      </c>
      <c r="H10" s="69">
        <f t="shared" ref="H10:H39" si="3">I10+J10</f>
        <v>7</v>
      </c>
      <c r="I10" s="271">
        <v>0</v>
      </c>
      <c r="J10" s="279">
        <v>7</v>
      </c>
      <c r="K10" s="70">
        <f t="shared" ref="K10:K37" si="4">E10/H10</f>
        <v>76.857142857142861</v>
      </c>
      <c r="L10" s="69">
        <f t="shared" ref="L10:L37" si="5">K10*264.17/60</f>
        <v>338.38919047619049</v>
      </c>
      <c r="M10" s="45"/>
      <c r="N10" s="306"/>
      <c r="O10" s="306"/>
      <c r="P10" s="321"/>
      <c r="Q10" s="274"/>
      <c r="R10" s="310"/>
      <c r="S10" s="180" t="e">
        <f t="shared" ref="S10:S39" si="6">R10/Q10</f>
        <v>#DIV/0!</v>
      </c>
      <c r="T10" s="242"/>
      <c r="U10" s="77"/>
      <c r="V10" s="77"/>
      <c r="W10" s="77"/>
      <c r="X10" s="77"/>
      <c r="Y10" s="77"/>
    </row>
    <row r="11" spans="1:25" x14ac:dyDescent="0.25">
      <c r="A11" s="285">
        <v>44013</v>
      </c>
      <c r="B11" s="272">
        <v>50.76</v>
      </c>
      <c r="C11" s="159">
        <f t="shared" ref="C11:C39" si="7">D10</f>
        <v>217462</v>
      </c>
      <c r="D11" s="274">
        <v>219270</v>
      </c>
      <c r="E11" s="51">
        <f t="shared" si="0"/>
        <v>1808</v>
      </c>
      <c r="F11" s="69">
        <f t="shared" si="1"/>
        <v>0</v>
      </c>
      <c r="G11" s="70">
        <f t="shared" si="2"/>
        <v>1808</v>
      </c>
      <c r="H11" s="69">
        <f t="shared" si="3"/>
        <v>24</v>
      </c>
      <c r="I11" s="271">
        <v>0</v>
      </c>
      <c r="J11" s="279">
        <v>24</v>
      </c>
      <c r="K11" s="70">
        <f t="shared" ref="K11" si="8">E11/H11</f>
        <v>75.333333333333329</v>
      </c>
      <c r="L11" s="69">
        <f t="shared" ref="L11" si="9">K11*264.17/60</f>
        <v>331.6801111111111</v>
      </c>
      <c r="M11" s="45">
        <f>M10+1</f>
        <v>1</v>
      </c>
      <c r="N11" s="306"/>
      <c r="O11" s="306"/>
      <c r="P11" s="321"/>
      <c r="Q11" s="274"/>
      <c r="R11" s="310"/>
      <c r="S11" s="180" t="e">
        <f t="shared" si="6"/>
        <v>#DIV/0!</v>
      </c>
      <c r="T11" s="242"/>
      <c r="U11" s="77"/>
      <c r="V11" s="77"/>
      <c r="W11" s="77"/>
      <c r="X11" s="77"/>
      <c r="Y11" s="77"/>
    </row>
    <row r="12" spans="1:25" x14ac:dyDescent="0.25">
      <c r="A12" s="285">
        <v>44014</v>
      </c>
      <c r="B12" s="272">
        <v>54.37</v>
      </c>
      <c r="C12" s="159">
        <f t="shared" si="7"/>
        <v>219270</v>
      </c>
      <c r="D12" s="275">
        <v>221102</v>
      </c>
      <c r="E12" s="51">
        <f t="shared" si="0"/>
        <v>1832</v>
      </c>
      <c r="F12" s="69">
        <f t="shared" si="1"/>
        <v>0</v>
      </c>
      <c r="G12" s="70">
        <f t="shared" si="2"/>
        <v>1832</v>
      </c>
      <c r="H12" s="69">
        <f t="shared" si="3"/>
        <v>24</v>
      </c>
      <c r="I12" s="271">
        <v>0</v>
      </c>
      <c r="J12" s="279">
        <v>24</v>
      </c>
      <c r="K12" s="70">
        <f t="shared" si="4"/>
        <v>76.333333333333329</v>
      </c>
      <c r="L12" s="69">
        <f t="shared" si="5"/>
        <v>336.08294444444442</v>
      </c>
      <c r="M12" s="45">
        <f t="shared" ref="M12:M39" si="10">M11+1</f>
        <v>2</v>
      </c>
      <c r="N12" s="306"/>
      <c r="O12" s="306"/>
      <c r="P12" s="321"/>
      <c r="Q12" s="274"/>
      <c r="R12" s="310"/>
      <c r="S12" s="180" t="e">
        <f t="shared" si="6"/>
        <v>#DIV/0!</v>
      </c>
      <c r="T12" s="242"/>
      <c r="U12" s="77"/>
      <c r="V12" s="77"/>
      <c r="W12" s="77"/>
      <c r="X12" s="77"/>
      <c r="Y12" s="77"/>
    </row>
    <row r="13" spans="1:25" x14ac:dyDescent="0.25">
      <c r="A13" s="285">
        <f t="shared" ref="A13:A37" si="11">A12+1</f>
        <v>44015</v>
      </c>
      <c r="B13" s="273">
        <v>57.17</v>
      </c>
      <c r="C13" s="159">
        <f t="shared" si="7"/>
        <v>221102</v>
      </c>
      <c r="D13" s="275">
        <v>222813</v>
      </c>
      <c r="E13" s="51">
        <f t="shared" si="0"/>
        <v>1711</v>
      </c>
      <c r="F13" s="69">
        <f t="shared" si="1"/>
        <v>0</v>
      </c>
      <c r="G13" s="70">
        <f t="shared" si="2"/>
        <v>1711</v>
      </c>
      <c r="H13" s="69">
        <f t="shared" si="3"/>
        <v>24</v>
      </c>
      <c r="I13" s="271">
        <v>0</v>
      </c>
      <c r="J13" s="279">
        <v>24</v>
      </c>
      <c r="K13" s="70">
        <f t="shared" si="4"/>
        <v>71.291666666666671</v>
      </c>
      <c r="L13" s="52">
        <f t="shared" si="5"/>
        <v>313.88532638888893</v>
      </c>
      <c r="M13" s="45">
        <f t="shared" si="10"/>
        <v>3</v>
      </c>
      <c r="N13" s="306"/>
      <c r="O13" s="306"/>
      <c r="P13" s="321"/>
      <c r="Q13" s="274"/>
      <c r="R13" s="310"/>
      <c r="S13" s="180" t="e">
        <f t="shared" si="6"/>
        <v>#DIV/0!</v>
      </c>
      <c r="T13" s="242"/>
      <c r="U13" s="77"/>
      <c r="V13" s="77"/>
      <c r="W13" s="77"/>
      <c r="X13" s="77"/>
      <c r="Y13" s="77"/>
    </row>
    <row r="14" spans="1:25" x14ac:dyDescent="0.25">
      <c r="A14" s="285">
        <f t="shared" si="11"/>
        <v>44016</v>
      </c>
      <c r="B14" s="273">
        <v>52.82</v>
      </c>
      <c r="C14" s="159">
        <f t="shared" si="7"/>
        <v>222813</v>
      </c>
      <c r="D14" s="275">
        <v>224416</v>
      </c>
      <c r="E14" s="51">
        <f t="shared" si="0"/>
        <v>1603</v>
      </c>
      <c r="F14" s="69">
        <f t="shared" si="1"/>
        <v>0</v>
      </c>
      <c r="G14" s="70">
        <f t="shared" si="2"/>
        <v>1603</v>
      </c>
      <c r="H14" s="69">
        <f t="shared" si="3"/>
        <v>24</v>
      </c>
      <c r="I14" s="271">
        <v>0</v>
      </c>
      <c r="J14" s="279">
        <v>24</v>
      </c>
      <c r="K14" s="70">
        <f t="shared" si="4"/>
        <v>66.791666666666671</v>
      </c>
      <c r="L14" s="52">
        <f t="shared" si="5"/>
        <v>294.07257638888893</v>
      </c>
      <c r="M14" s="45">
        <f t="shared" si="10"/>
        <v>4</v>
      </c>
      <c r="N14" s="306"/>
      <c r="O14" s="306"/>
      <c r="P14" s="321"/>
      <c r="Q14" s="274"/>
      <c r="R14" s="310"/>
      <c r="S14" s="180" t="e">
        <f t="shared" si="6"/>
        <v>#DIV/0!</v>
      </c>
      <c r="T14" s="242"/>
      <c r="U14" s="77"/>
      <c r="V14" s="77"/>
      <c r="W14" s="77"/>
      <c r="X14" s="77"/>
      <c r="Y14" s="77"/>
    </row>
    <row r="15" spans="1:25" x14ac:dyDescent="0.25">
      <c r="A15" s="285">
        <f t="shared" si="11"/>
        <v>44017</v>
      </c>
      <c r="B15" s="273">
        <v>54.94</v>
      </c>
      <c r="C15" s="159">
        <f t="shared" si="7"/>
        <v>224416</v>
      </c>
      <c r="D15" s="275">
        <v>226269</v>
      </c>
      <c r="E15" s="51">
        <f t="shared" si="0"/>
        <v>1853</v>
      </c>
      <c r="F15" s="69">
        <f t="shared" si="1"/>
        <v>0</v>
      </c>
      <c r="G15" s="70">
        <f t="shared" si="2"/>
        <v>1853</v>
      </c>
      <c r="H15" s="69">
        <f t="shared" si="3"/>
        <v>24</v>
      </c>
      <c r="I15" s="271">
        <v>0</v>
      </c>
      <c r="J15" s="279">
        <v>24</v>
      </c>
      <c r="K15" s="70">
        <f t="shared" si="4"/>
        <v>77.208333333333329</v>
      </c>
      <c r="L15" s="52">
        <f t="shared" si="5"/>
        <v>339.9354236111111</v>
      </c>
      <c r="M15" s="45">
        <f t="shared" si="10"/>
        <v>5</v>
      </c>
      <c r="N15" s="306"/>
      <c r="O15" s="306"/>
      <c r="P15" s="321"/>
      <c r="Q15" s="274"/>
      <c r="R15" s="310"/>
      <c r="S15" s="180" t="e">
        <f t="shared" si="6"/>
        <v>#DIV/0!</v>
      </c>
      <c r="T15" s="242"/>
      <c r="U15" s="77"/>
      <c r="V15" s="77"/>
      <c r="W15" s="77"/>
      <c r="X15" s="77"/>
      <c r="Y15" s="77"/>
    </row>
    <row r="16" spans="1:25" x14ac:dyDescent="0.25">
      <c r="A16" s="285">
        <f t="shared" si="11"/>
        <v>44018</v>
      </c>
      <c r="B16" s="272">
        <v>54.1</v>
      </c>
      <c r="C16" s="159">
        <f t="shared" si="7"/>
        <v>226269</v>
      </c>
      <c r="D16" s="275">
        <v>227990</v>
      </c>
      <c r="E16" s="51">
        <f t="shared" si="0"/>
        <v>1721</v>
      </c>
      <c r="F16" s="69">
        <f t="shared" si="1"/>
        <v>0</v>
      </c>
      <c r="G16" s="70">
        <f t="shared" si="2"/>
        <v>1721</v>
      </c>
      <c r="H16" s="69">
        <f t="shared" si="3"/>
        <v>24</v>
      </c>
      <c r="I16" s="271">
        <v>0</v>
      </c>
      <c r="J16" s="279">
        <v>24</v>
      </c>
      <c r="K16" s="70">
        <f t="shared" si="4"/>
        <v>71.708333333333329</v>
      </c>
      <c r="L16" s="52">
        <f t="shared" si="5"/>
        <v>315.71984027777779</v>
      </c>
      <c r="M16" s="45">
        <f t="shared" si="10"/>
        <v>6</v>
      </c>
      <c r="N16" s="306"/>
      <c r="O16" s="306"/>
      <c r="P16" s="321"/>
      <c r="Q16" s="274"/>
      <c r="R16" s="310"/>
      <c r="S16" s="180" t="e">
        <f t="shared" si="6"/>
        <v>#DIV/0!</v>
      </c>
      <c r="T16" s="242"/>
      <c r="U16" s="77"/>
      <c r="V16" s="77"/>
      <c r="W16" s="77"/>
      <c r="X16" s="77"/>
      <c r="Y16" s="77"/>
    </row>
    <row r="17" spans="1:25" x14ac:dyDescent="0.25">
      <c r="A17" s="285">
        <f t="shared" si="11"/>
        <v>44019</v>
      </c>
      <c r="B17" s="272">
        <v>55.38</v>
      </c>
      <c r="C17" s="159">
        <f t="shared" si="7"/>
        <v>227990</v>
      </c>
      <c r="D17" s="275">
        <v>229763</v>
      </c>
      <c r="E17" s="51">
        <f t="shared" si="0"/>
        <v>1773</v>
      </c>
      <c r="F17" s="69">
        <f t="shared" si="1"/>
        <v>0</v>
      </c>
      <c r="G17" s="70">
        <f t="shared" si="2"/>
        <v>1773</v>
      </c>
      <c r="H17" s="69">
        <f t="shared" si="3"/>
        <v>24</v>
      </c>
      <c r="I17" s="271">
        <v>0</v>
      </c>
      <c r="J17" s="279">
        <v>24</v>
      </c>
      <c r="K17" s="70">
        <f t="shared" si="4"/>
        <v>73.875</v>
      </c>
      <c r="L17" s="52">
        <f t="shared" si="5"/>
        <v>325.25931250000002</v>
      </c>
      <c r="M17" s="45">
        <f t="shared" si="10"/>
        <v>7</v>
      </c>
      <c r="N17" s="306"/>
      <c r="O17" s="306"/>
      <c r="P17" s="321"/>
      <c r="Q17" s="274"/>
      <c r="R17" s="310"/>
      <c r="S17" s="180" t="e">
        <f t="shared" si="6"/>
        <v>#DIV/0!</v>
      </c>
      <c r="T17" s="242"/>
      <c r="U17" s="77"/>
      <c r="V17" s="77"/>
      <c r="W17" s="77"/>
      <c r="X17" s="77"/>
      <c r="Y17" s="77"/>
    </row>
    <row r="18" spans="1:25" x14ac:dyDescent="0.25">
      <c r="A18" s="285">
        <f t="shared" si="11"/>
        <v>44020</v>
      </c>
      <c r="B18" s="272">
        <v>52.23</v>
      </c>
      <c r="C18" s="159">
        <f t="shared" si="7"/>
        <v>229763</v>
      </c>
      <c r="D18" s="275">
        <v>231523</v>
      </c>
      <c r="E18" s="51">
        <f t="shared" si="0"/>
        <v>1760</v>
      </c>
      <c r="F18" s="69">
        <f t="shared" si="1"/>
        <v>0</v>
      </c>
      <c r="G18" s="70">
        <f t="shared" si="2"/>
        <v>1760</v>
      </c>
      <c r="H18" s="69">
        <f t="shared" si="3"/>
        <v>24</v>
      </c>
      <c r="I18" s="271">
        <v>0</v>
      </c>
      <c r="J18" s="279">
        <v>24</v>
      </c>
      <c r="K18" s="70">
        <f t="shared" si="4"/>
        <v>73.333333333333329</v>
      </c>
      <c r="L18" s="52">
        <f t="shared" si="5"/>
        <v>322.87444444444446</v>
      </c>
      <c r="M18" s="45">
        <f t="shared" si="10"/>
        <v>8</v>
      </c>
      <c r="N18" s="306"/>
      <c r="O18" s="306"/>
      <c r="P18" s="321"/>
      <c r="Q18" s="274"/>
      <c r="R18" s="310"/>
      <c r="S18" s="180" t="e">
        <f t="shared" si="6"/>
        <v>#DIV/0!</v>
      </c>
      <c r="T18" s="242"/>
      <c r="U18" s="77"/>
      <c r="V18" s="77"/>
      <c r="W18" s="77"/>
      <c r="X18" s="77"/>
      <c r="Y18" s="77"/>
    </row>
    <row r="19" spans="1:25" x14ac:dyDescent="0.25">
      <c r="A19" s="285">
        <f t="shared" si="11"/>
        <v>44021</v>
      </c>
      <c r="B19" s="272">
        <v>55.17</v>
      </c>
      <c r="C19" s="159">
        <f t="shared" si="7"/>
        <v>231523</v>
      </c>
      <c r="D19" s="274">
        <v>233373</v>
      </c>
      <c r="E19" s="51">
        <f t="shared" si="0"/>
        <v>1850</v>
      </c>
      <c r="F19" s="69">
        <f t="shared" si="1"/>
        <v>0</v>
      </c>
      <c r="G19" s="70">
        <f t="shared" si="2"/>
        <v>1850</v>
      </c>
      <c r="H19" s="69">
        <f t="shared" si="3"/>
        <v>24</v>
      </c>
      <c r="I19" s="271">
        <v>0</v>
      </c>
      <c r="J19" s="279">
        <v>24</v>
      </c>
      <c r="K19" s="70">
        <f t="shared" si="4"/>
        <v>77.083333333333329</v>
      </c>
      <c r="L19" s="52">
        <f t="shared" si="5"/>
        <v>339.38506944444447</v>
      </c>
      <c r="M19" s="45">
        <f t="shared" si="10"/>
        <v>9</v>
      </c>
      <c r="N19" s="306"/>
      <c r="O19" s="306"/>
      <c r="P19" s="321"/>
      <c r="Q19" s="274"/>
      <c r="R19" s="310"/>
      <c r="S19" s="180" t="e">
        <f t="shared" si="6"/>
        <v>#DIV/0!</v>
      </c>
      <c r="T19" s="242"/>
      <c r="U19" s="77"/>
      <c r="V19" s="77"/>
      <c r="W19" s="77"/>
      <c r="X19" s="77"/>
      <c r="Y19" s="77"/>
    </row>
    <row r="20" spans="1:25" x14ac:dyDescent="0.25">
      <c r="A20" s="285">
        <f t="shared" si="11"/>
        <v>44022</v>
      </c>
      <c r="B20" s="272">
        <v>53.72</v>
      </c>
      <c r="C20" s="159">
        <f t="shared" si="7"/>
        <v>233373</v>
      </c>
      <c r="D20" s="274">
        <v>235238</v>
      </c>
      <c r="E20" s="51">
        <f t="shared" si="0"/>
        <v>1865</v>
      </c>
      <c r="F20" s="69">
        <f t="shared" si="1"/>
        <v>6.4282636794485146</v>
      </c>
      <c r="G20" s="70">
        <f t="shared" si="2"/>
        <v>1871.4282636794485</v>
      </c>
      <c r="H20" s="69">
        <f t="shared" si="3"/>
        <v>23.209999999999997</v>
      </c>
      <c r="I20" s="271">
        <v>0.08</v>
      </c>
      <c r="J20" s="279">
        <v>23.13</v>
      </c>
      <c r="K20" s="70">
        <f t="shared" si="4"/>
        <v>80.353295993106428</v>
      </c>
      <c r="L20" s="52">
        <f t="shared" si="5"/>
        <v>353.78217004164878</v>
      </c>
      <c r="M20" s="45">
        <f t="shared" si="10"/>
        <v>10</v>
      </c>
      <c r="N20" s="308">
        <v>0.69791666666666663</v>
      </c>
      <c r="O20" s="308">
        <v>0.7715277777777777</v>
      </c>
      <c r="P20" s="321">
        <v>1.77</v>
      </c>
      <c r="Q20" s="274">
        <v>149</v>
      </c>
      <c r="R20" s="310">
        <v>456.25</v>
      </c>
      <c r="S20" s="180">
        <f t="shared" si="6"/>
        <v>3.0620805369127515</v>
      </c>
      <c r="T20" s="242"/>
      <c r="U20" s="77"/>
      <c r="V20" s="77"/>
      <c r="W20" s="77"/>
      <c r="X20" s="77"/>
      <c r="Y20" s="77"/>
    </row>
    <row r="21" spans="1:25" x14ac:dyDescent="0.25">
      <c r="A21" s="285">
        <f t="shared" si="11"/>
        <v>44023</v>
      </c>
      <c r="B21" s="272">
        <v>53.72</v>
      </c>
      <c r="C21" s="159">
        <f t="shared" si="7"/>
        <v>235238</v>
      </c>
      <c r="D21" s="274">
        <v>237090</v>
      </c>
      <c r="E21" s="51">
        <f t="shared" si="0"/>
        <v>1852</v>
      </c>
      <c r="F21" s="69">
        <f t="shared" si="1"/>
        <v>0</v>
      </c>
      <c r="G21" s="70">
        <f t="shared" si="2"/>
        <v>1852</v>
      </c>
      <c r="H21" s="69">
        <f t="shared" si="3"/>
        <v>24</v>
      </c>
      <c r="I21" s="271">
        <v>0</v>
      </c>
      <c r="J21" s="279">
        <v>24</v>
      </c>
      <c r="K21" s="70">
        <f t="shared" si="4"/>
        <v>77.166666666666671</v>
      </c>
      <c r="L21" s="52">
        <f t="shared" si="5"/>
        <v>339.75197222222226</v>
      </c>
      <c r="M21" s="45">
        <f t="shared" si="10"/>
        <v>11</v>
      </c>
      <c r="N21" s="306"/>
      <c r="O21" s="306"/>
      <c r="P21" s="321"/>
      <c r="Q21" s="274"/>
      <c r="R21" s="310"/>
      <c r="S21" s="180" t="e">
        <f t="shared" si="6"/>
        <v>#DIV/0!</v>
      </c>
      <c r="T21" s="242"/>
      <c r="U21" s="77"/>
      <c r="V21" s="77"/>
      <c r="W21" s="77"/>
      <c r="X21" s="77"/>
      <c r="Y21" s="77"/>
    </row>
    <row r="22" spans="1:25" x14ac:dyDescent="0.25">
      <c r="A22" s="285">
        <f t="shared" si="11"/>
        <v>44024</v>
      </c>
      <c r="B22" s="272">
        <v>52.95</v>
      </c>
      <c r="C22" s="159">
        <f t="shared" si="7"/>
        <v>237090</v>
      </c>
      <c r="D22" s="274">
        <v>238873</v>
      </c>
      <c r="E22" s="51">
        <f t="shared" si="0"/>
        <v>1783</v>
      </c>
      <c r="F22" s="69">
        <f t="shared" si="1"/>
        <v>0</v>
      </c>
      <c r="G22" s="70">
        <f t="shared" si="2"/>
        <v>1783</v>
      </c>
      <c r="H22" s="69">
        <f t="shared" si="3"/>
        <v>24</v>
      </c>
      <c r="I22" s="271">
        <v>0</v>
      </c>
      <c r="J22" s="279">
        <v>24</v>
      </c>
      <c r="K22" s="51">
        <f t="shared" si="4"/>
        <v>74.291666666666671</v>
      </c>
      <c r="L22" s="52">
        <f t="shared" si="5"/>
        <v>327.09382638888894</v>
      </c>
      <c r="M22" s="45">
        <f t="shared" si="10"/>
        <v>12</v>
      </c>
      <c r="N22" s="307"/>
      <c r="O22" s="307"/>
      <c r="P22" s="322"/>
      <c r="Q22" s="309"/>
      <c r="R22" s="311"/>
      <c r="S22" s="180" t="e">
        <f t="shared" si="6"/>
        <v>#DIV/0!</v>
      </c>
      <c r="T22" s="242"/>
      <c r="U22" s="77"/>
      <c r="V22" s="77"/>
      <c r="W22" s="77"/>
      <c r="X22" s="77"/>
      <c r="Y22" s="77"/>
    </row>
    <row r="23" spans="1:25" x14ac:dyDescent="0.25">
      <c r="A23" s="285">
        <f t="shared" si="11"/>
        <v>44025</v>
      </c>
      <c r="B23" s="272">
        <v>56.68</v>
      </c>
      <c r="C23" s="159">
        <f t="shared" si="7"/>
        <v>238873</v>
      </c>
      <c r="D23" s="274">
        <v>240545</v>
      </c>
      <c r="E23" s="51">
        <f t="shared" si="0"/>
        <v>1672</v>
      </c>
      <c r="F23" s="69">
        <f t="shared" si="1"/>
        <v>0</v>
      </c>
      <c r="G23" s="70">
        <f t="shared" si="2"/>
        <v>1672</v>
      </c>
      <c r="H23" s="69">
        <f t="shared" si="3"/>
        <v>24</v>
      </c>
      <c r="I23" s="271">
        <v>0</v>
      </c>
      <c r="J23" s="279">
        <v>24</v>
      </c>
      <c r="K23" s="51">
        <f t="shared" si="4"/>
        <v>69.666666666666671</v>
      </c>
      <c r="L23" s="52">
        <f t="shared" si="5"/>
        <v>306.73072222222225</v>
      </c>
      <c r="M23" s="45">
        <f t="shared" si="10"/>
        <v>13</v>
      </c>
      <c r="N23" s="306"/>
      <c r="O23" s="306"/>
      <c r="P23" s="321"/>
      <c r="Q23" s="274"/>
      <c r="R23" s="310"/>
      <c r="S23" s="180" t="e">
        <f t="shared" si="6"/>
        <v>#DIV/0!</v>
      </c>
      <c r="T23" s="242"/>
      <c r="U23" s="77"/>
      <c r="V23" s="77"/>
      <c r="W23" s="77"/>
      <c r="X23" s="77"/>
      <c r="Y23" s="77"/>
    </row>
    <row r="24" spans="1:25" x14ac:dyDescent="0.25">
      <c r="A24" s="285">
        <f t="shared" si="11"/>
        <v>44026</v>
      </c>
      <c r="B24" s="272">
        <v>62.36</v>
      </c>
      <c r="C24" s="159">
        <f t="shared" si="7"/>
        <v>240545</v>
      </c>
      <c r="D24" s="274">
        <v>242367</v>
      </c>
      <c r="E24" s="51">
        <f t="shared" si="0"/>
        <v>1822</v>
      </c>
      <c r="F24" s="69">
        <f t="shared" si="1"/>
        <v>0</v>
      </c>
      <c r="G24" s="70">
        <f t="shared" si="2"/>
        <v>1822</v>
      </c>
      <c r="H24" s="69">
        <f t="shared" si="3"/>
        <v>24</v>
      </c>
      <c r="I24" s="271">
        <v>0</v>
      </c>
      <c r="J24" s="279">
        <v>24</v>
      </c>
      <c r="K24" s="51">
        <f t="shared" si="4"/>
        <v>75.916666666666671</v>
      </c>
      <c r="L24" s="52">
        <f t="shared" si="5"/>
        <v>334.24843055555556</v>
      </c>
      <c r="M24" s="45">
        <f t="shared" si="10"/>
        <v>14</v>
      </c>
      <c r="N24" s="306"/>
      <c r="O24" s="306"/>
      <c r="P24" s="321"/>
      <c r="Q24" s="274"/>
      <c r="R24" s="310"/>
      <c r="S24" s="180" t="e">
        <f t="shared" si="6"/>
        <v>#DIV/0!</v>
      </c>
      <c r="T24" s="242"/>
      <c r="U24" s="77"/>
      <c r="V24" s="77"/>
      <c r="W24" s="77"/>
      <c r="X24" s="77"/>
      <c r="Y24" s="77"/>
    </row>
    <row r="25" spans="1:25" x14ac:dyDescent="0.25">
      <c r="A25" s="285">
        <f t="shared" si="11"/>
        <v>44027</v>
      </c>
      <c r="B25" s="272">
        <v>57.35</v>
      </c>
      <c r="C25" s="159">
        <f t="shared" si="7"/>
        <v>242367</v>
      </c>
      <c r="D25" s="274">
        <v>244216</v>
      </c>
      <c r="E25" s="51">
        <f t="shared" si="0"/>
        <v>1849</v>
      </c>
      <c r="F25" s="69">
        <f t="shared" si="1"/>
        <v>0</v>
      </c>
      <c r="G25" s="70">
        <f t="shared" si="2"/>
        <v>1849</v>
      </c>
      <c r="H25" s="69">
        <f t="shared" si="3"/>
        <v>24</v>
      </c>
      <c r="I25" s="271">
        <v>0</v>
      </c>
      <c r="J25" s="279">
        <v>24</v>
      </c>
      <c r="K25" s="51">
        <f t="shared" si="4"/>
        <v>77.041666666666671</v>
      </c>
      <c r="L25" s="52">
        <f t="shared" si="5"/>
        <v>339.20161805555557</v>
      </c>
      <c r="M25" s="45">
        <f t="shared" si="10"/>
        <v>15</v>
      </c>
      <c r="N25" s="308"/>
      <c r="O25" s="308"/>
      <c r="P25" s="321"/>
      <c r="Q25" s="274"/>
      <c r="R25" s="310"/>
      <c r="S25" s="180" t="e">
        <f t="shared" si="6"/>
        <v>#DIV/0!</v>
      </c>
      <c r="T25" s="242"/>
      <c r="U25" s="77"/>
      <c r="V25" s="77"/>
      <c r="W25" s="77"/>
      <c r="X25" s="77"/>
      <c r="Y25" s="77"/>
    </row>
    <row r="26" spans="1:25" x14ac:dyDescent="0.25">
      <c r="A26" s="285">
        <f t="shared" si="11"/>
        <v>44028</v>
      </c>
      <c r="B26" s="272">
        <v>58.42</v>
      </c>
      <c r="C26" s="159">
        <f t="shared" si="7"/>
        <v>244216</v>
      </c>
      <c r="D26" s="274">
        <v>245969</v>
      </c>
      <c r="E26" s="51">
        <f t="shared" si="0"/>
        <v>1753</v>
      </c>
      <c r="F26" s="69">
        <f t="shared" si="1"/>
        <v>0</v>
      </c>
      <c r="G26" s="70">
        <f t="shared" si="2"/>
        <v>1753</v>
      </c>
      <c r="H26" s="69">
        <f t="shared" si="3"/>
        <v>24</v>
      </c>
      <c r="I26" s="271">
        <v>0</v>
      </c>
      <c r="J26" s="279">
        <v>24</v>
      </c>
      <c r="K26" s="51">
        <f t="shared" si="4"/>
        <v>73.041666666666671</v>
      </c>
      <c r="L26" s="52">
        <f t="shared" si="5"/>
        <v>321.59028472222229</v>
      </c>
      <c r="M26" s="45">
        <f t="shared" si="10"/>
        <v>16</v>
      </c>
      <c r="N26" s="306"/>
      <c r="O26" s="306"/>
      <c r="P26" s="321"/>
      <c r="Q26" s="274"/>
      <c r="R26" s="310"/>
      <c r="S26" s="180" t="e">
        <f t="shared" si="6"/>
        <v>#DIV/0!</v>
      </c>
      <c r="T26" s="242"/>
      <c r="U26" s="77"/>
      <c r="V26" s="77"/>
      <c r="W26" s="77"/>
      <c r="X26" s="77"/>
      <c r="Y26" s="77"/>
    </row>
    <row r="27" spans="1:25" x14ac:dyDescent="0.25">
      <c r="A27" s="285">
        <f t="shared" si="11"/>
        <v>44029</v>
      </c>
      <c r="B27" s="272">
        <v>57</v>
      </c>
      <c r="C27" s="159">
        <f t="shared" si="7"/>
        <v>245969</v>
      </c>
      <c r="D27" s="274">
        <v>247713</v>
      </c>
      <c r="E27" s="51">
        <f t="shared" si="0"/>
        <v>1744</v>
      </c>
      <c r="F27" s="69">
        <f t="shared" si="1"/>
        <v>0</v>
      </c>
      <c r="G27" s="70">
        <f t="shared" si="2"/>
        <v>1744</v>
      </c>
      <c r="H27" s="69">
        <f t="shared" si="3"/>
        <v>24</v>
      </c>
      <c r="I27" s="271">
        <v>0</v>
      </c>
      <c r="J27" s="279">
        <v>24</v>
      </c>
      <c r="K27" s="51">
        <f t="shared" si="4"/>
        <v>72.666666666666671</v>
      </c>
      <c r="L27" s="52">
        <f t="shared" si="5"/>
        <v>319.93922222222227</v>
      </c>
      <c r="M27" s="45">
        <f t="shared" si="10"/>
        <v>17</v>
      </c>
      <c r="N27" s="308"/>
      <c r="O27" s="308"/>
      <c r="P27" s="321"/>
      <c r="Q27" s="274"/>
      <c r="R27" s="310"/>
      <c r="S27" s="180" t="e">
        <f t="shared" si="6"/>
        <v>#DIV/0!</v>
      </c>
      <c r="T27" s="242"/>
      <c r="U27" s="77"/>
      <c r="V27" s="77"/>
      <c r="W27" s="77"/>
      <c r="X27" s="77"/>
      <c r="Y27" s="77"/>
    </row>
    <row r="28" spans="1:25" x14ac:dyDescent="0.25">
      <c r="A28" s="285">
        <f t="shared" si="11"/>
        <v>44030</v>
      </c>
      <c r="B28" s="273">
        <v>54.05</v>
      </c>
      <c r="C28" s="159">
        <f t="shared" si="7"/>
        <v>247713</v>
      </c>
      <c r="D28" s="274">
        <v>249538</v>
      </c>
      <c r="E28" s="51">
        <f t="shared" si="0"/>
        <v>1825</v>
      </c>
      <c r="F28" s="69">
        <f t="shared" si="1"/>
        <v>0</v>
      </c>
      <c r="G28" s="70">
        <f t="shared" si="2"/>
        <v>1825</v>
      </c>
      <c r="H28" s="69">
        <f t="shared" si="3"/>
        <v>24</v>
      </c>
      <c r="I28" s="271">
        <v>0</v>
      </c>
      <c r="J28" s="279">
        <v>24</v>
      </c>
      <c r="K28" s="51">
        <f t="shared" si="4"/>
        <v>76.041666666666671</v>
      </c>
      <c r="L28" s="52">
        <f t="shared" si="5"/>
        <v>334.79878472222225</v>
      </c>
      <c r="M28" s="45">
        <f t="shared" si="10"/>
        <v>18</v>
      </c>
      <c r="N28" s="306"/>
      <c r="O28" s="306"/>
      <c r="P28" s="321"/>
      <c r="Q28" s="274"/>
      <c r="R28" s="310"/>
      <c r="S28" s="180" t="e">
        <f t="shared" si="6"/>
        <v>#DIV/0!</v>
      </c>
      <c r="T28" s="50"/>
      <c r="U28" s="77"/>
      <c r="V28" s="77"/>
      <c r="W28" s="77"/>
      <c r="X28" s="77"/>
      <c r="Y28" s="77"/>
    </row>
    <row r="29" spans="1:25" x14ac:dyDescent="0.25">
      <c r="A29" s="285">
        <f t="shared" si="11"/>
        <v>44031</v>
      </c>
      <c r="B29" s="273">
        <v>50.89</v>
      </c>
      <c r="C29" s="159">
        <f t="shared" si="7"/>
        <v>249538</v>
      </c>
      <c r="D29" s="274">
        <v>251352</v>
      </c>
      <c r="E29" s="51">
        <f t="shared" si="0"/>
        <v>1814</v>
      </c>
      <c r="F29" s="69">
        <f t="shared" si="1"/>
        <v>0</v>
      </c>
      <c r="G29" s="70">
        <f t="shared" si="2"/>
        <v>1814</v>
      </c>
      <c r="H29" s="69">
        <f t="shared" si="3"/>
        <v>24</v>
      </c>
      <c r="I29" s="271">
        <v>0</v>
      </c>
      <c r="J29" s="279">
        <v>24</v>
      </c>
      <c r="K29" s="51">
        <f t="shared" si="4"/>
        <v>75.583333333333329</v>
      </c>
      <c r="L29" s="52">
        <f t="shared" si="5"/>
        <v>332.78081944444443</v>
      </c>
      <c r="M29" s="45">
        <f t="shared" si="10"/>
        <v>19</v>
      </c>
      <c r="N29" s="306"/>
      <c r="O29" s="306"/>
      <c r="P29" s="321"/>
      <c r="Q29" s="274"/>
      <c r="R29" s="310"/>
      <c r="S29" s="180" t="e">
        <f t="shared" si="6"/>
        <v>#DIV/0!</v>
      </c>
      <c r="T29" s="242"/>
      <c r="U29" s="77"/>
      <c r="V29" s="77"/>
      <c r="W29" s="77"/>
      <c r="X29" s="77"/>
      <c r="Y29" s="77"/>
    </row>
    <row r="30" spans="1:25" x14ac:dyDescent="0.25">
      <c r="A30" s="285">
        <f t="shared" si="11"/>
        <v>44032</v>
      </c>
      <c r="B30" s="272">
        <v>53.31</v>
      </c>
      <c r="C30" s="159">
        <f t="shared" si="7"/>
        <v>251352</v>
      </c>
      <c r="D30" s="274">
        <v>253116</v>
      </c>
      <c r="E30" s="51">
        <f t="shared" si="0"/>
        <v>1764</v>
      </c>
      <c r="F30" s="69">
        <f t="shared" si="1"/>
        <v>0</v>
      </c>
      <c r="G30" s="70">
        <f t="shared" si="2"/>
        <v>1764</v>
      </c>
      <c r="H30" s="69">
        <f t="shared" si="3"/>
        <v>24</v>
      </c>
      <c r="I30" s="271">
        <v>0</v>
      </c>
      <c r="J30" s="279">
        <v>24</v>
      </c>
      <c r="K30" s="51">
        <f t="shared" si="4"/>
        <v>73.5</v>
      </c>
      <c r="L30" s="52">
        <f t="shared" si="5"/>
        <v>323.60825000000006</v>
      </c>
      <c r="M30" s="45">
        <f t="shared" si="10"/>
        <v>20</v>
      </c>
      <c r="N30" s="306"/>
      <c r="O30" s="306"/>
      <c r="P30" s="321"/>
      <c r="Q30" s="274"/>
      <c r="R30" s="310"/>
      <c r="S30" s="180" t="e">
        <f t="shared" si="6"/>
        <v>#DIV/0!</v>
      </c>
      <c r="T30" s="242"/>
      <c r="U30" s="77"/>
      <c r="V30" s="77"/>
      <c r="W30" s="77"/>
      <c r="X30" s="77"/>
      <c r="Y30" s="77"/>
    </row>
    <row r="31" spans="1:25" x14ac:dyDescent="0.25">
      <c r="A31" s="285">
        <f t="shared" si="11"/>
        <v>44033</v>
      </c>
      <c r="B31" s="272">
        <v>52</v>
      </c>
      <c r="C31" s="159">
        <f t="shared" si="7"/>
        <v>253116</v>
      </c>
      <c r="D31" s="274">
        <v>254868</v>
      </c>
      <c r="E31" s="51">
        <f t="shared" si="0"/>
        <v>1752</v>
      </c>
      <c r="F31" s="69">
        <f t="shared" si="1"/>
        <v>0</v>
      </c>
      <c r="G31" s="70">
        <f t="shared" si="2"/>
        <v>1752</v>
      </c>
      <c r="H31" s="69">
        <f t="shared" si="3"/>
        <v>24</v>
      </c>
      <c r="I31" s="271">
        <v>0</v>
      </c>
      <c r="J31" s="279">
        <v>24</v>
      </c>
      <c r="K31" s="51">
        <f t="shared" si="4"/>
        <v>73</v>
      </c>
      <c r="L31" s="52">
        <f t="shared" si="5"/>
        <v>321.40683333333334</v>
      </c>
      <c r="M31" s="45">
        <f t="shared" si="10"/>
        <v>21</v>
      </c>
      <c r="N31" s="306"/>
      <c r="O31" s="306"/>
      <c r="P31" s="321"/>
      <c r="Q31" s="274"/>
      <c r="R31" s="310"/>
      <c r="S31" s="180" t="e">
        <f t="shared" si="6"/>
        <v>#DIV/0!</v>
      </c>
      <c r="T31" s="242"/>
      <c r="U31" s="77"/>
      <c r="V31" s="77"/>
      <c r="W31" s="77"/>
      <c r="X31" s="77"/>
      <c r="Y31" s="77"/>
    </row>
    <row r="32" spans="1:25" x14ac:dyDescent="0.25">
      <c r="A32" s="285">
        <f t="shared" si="11"/>
        <v>44034</v>
      </c>
      <c r="B32" s="272">
        <v>55.76</v>
      </c>
      <c r="C32" s="159">
        <f t="shared" si="7"/>
        <v>254868</v>
      </c>
      <c r="D32" s="274">
        <v>256713</v>
      </c>
      <c r="E32" s="51">
        <f t="shared" si="0"/>
        <v>1845</v>
      </c>
      <c r="F32" s="69">
        <f t="shared" si="1"/>
        <v>0</v>
      </c>
      <c r="G32" s="70">
        <f t="shared" si="2"/>
        <v>1845</v>
      </c>
      <c r="H32" s="69">
        <f t="shared" si="3"/>
        <v>24</v>
      </c>
      <c r="I32" s="271">
        <v>0</v>
      </c>
      <c r="J32" s="279">
        <v>24</v>
      </c>
      <c r="K32" s="51">
        <f t="shared" si="4"/>
        <v>76.875</v>
      </c>
      <c r="L32" s="52">
        <f t="shared" si="5"/>
        <v>338.46781250000004</v>
      </c>
      <c r="M32" s="45">
        <f t="shared" si="10"/>
        <v>22</v>
      </c>
      <c r="N32" s="307"/>
      <c r="O32" s="307"/>
      <c r="P32" s="322"/>
      <c r="Q32" s="309"/>
      <c r="R32" s="311"/>
      <c r="S32" s="180" t="e">
        <f t="shared" si="6"/>
        <v>#DIV/0!</v>
      </c>
      <c r="T32" s="242"/>
      <c r="U32" s="77"/>
      <c r="V32" s="77"/>
      <c r="W32" s="77"/>
      <c r="X32" s="77"/>
      <c r="Y32" s="77"/>
    </row>
    <row r="33" spans="1:25" x14ac:dyDescent="0.25">
      <c r="A33" s="285">
        <f t="shared" si="11"/>
        <v>44035</v>
      </c>
      <c r="B33" s="273">
        <v>53.37</v>
      </c>
      <c r="C33" s="159">
        <f t="shared" si="7"/>
        <v>256713</v>
      </c>
      <c r="D33" s="274">
        <v>258606</v>
      </c>
      <c r="E33" s="51">
        <f t="shared" si="0"/>
        <v>1893</v>
      </c>
      <c r="F33" s="69">
        <f t="shared" si="1"/>
        <v>0</v>
      </c>
      <c r="G33" s="70">
        <f t="shared" si="2"/>
        <v>1893</v>
      </c>
      <c r="H33" s="69">
        <f t="shared" si="3"/>
        <v>24</v>
      </c>
      <c r="I33" s="271">
        <v>0</v>
      </c>
      <c r="J33" s="279">
        <v>24</v>
      </c>
      <c r="K33" s="51">
        <f t="shared" si="4"/>
        <v>78.875</v>
      </c>
      <c r="L33" s="52">
        <f>K33*264.17/60</f>
        <v>347.27347916666673</v>
      </c>
      <c r="M33" s="45">
        <f t="shared" si="10"/>
        <v>23</v>
      </c>
      <c r="N33" s="307"/>
      <c r="O33" s="307"/>
      <c r="P33" s="322"/>
      <c r="Q33" s="309"/>
      <c r="R33" s="311"/>
      <c r="S33" s="180" t="e">
        <f t="shared" si="6"/>
        <v>#DIV/0!</v>
      </c>
      <c r="T33" s="242"/>
      <c r="U33" s="77"/>
      <c r="V33" s="77"/>
      <c r="W33" s="77"/>
      <c r="X33" s="77"/>
      <c r="Y33" s="77"/>
    </row>
    <row r="34" spans="1:25" x14ac:dyDescent="0.25">
      <c r="A34" s="285">
        <f t="shared" si="11"/>
        <v>44036</v>
      </c>
      <c r="B34" s="272">
        <v>55</v>
      </c>
      <c r="C34" s="159">
        <f t="shared" si="7"/>
        <v>258606</v>
      </c>
      <c r="D34" s="274">
        <v>260498</v>
      </c>
      <c r="E34" s="51">
        <f t="shared" si="0"/>
        <v>1892</v>
      </c>
      <c r="F34" s="69">
        <f t="shared" si="1"/>
        <v>0</v>
      </c>
      <c r="G34" s="70">
        <f t="shared" si="2"/>
        <v>1892</v>
      </c>
      <c r="H34" s="69">
        <f t="shared" si="3"/>
        <v>24</v>
      </c>
      <c r="I34" s="271">
        <v>0</v>
      </c>
      <c r="J34" s="279">
        <v>24</v>
      </c>
      <c r="K34" s="51">
        <f t="shared" si="4"/>
        <v>78.833333333333329</v>
      </c>
      <c r="L34" s="52">
        <f t="shared" si="5"/>
        <v>347.09002777777783</v>
      </c>
      <c r="M34" s="45">
        <f t="shared" si="10"/>
        <v>24</v>
      </c>
      <c r="N34" s="307"/>
      <c r="O34" s="307"/>
      <c r="P34" s="322"/>
      <c r="Q34" s="309"/>
      <c r="R34" s="311"/>
      <c r="S34" s="180" t="e">
        <f t="shared" si="6"/>
        <v>#DIV/0!</v>
      </c>
      <c r="T34" s="242"/>
      <c r="U34" s="77"/>
      <c r="V34" s="77"/>
      <c r="W34" s="77"/>
      <c r="X34" s="77"/>
      <c r="Y34" s="77"/>
    </row>
    <row r="35" spans="1:25" x14ac:dyDescent="0.25">
      <c r="A35" s="285">
        <f t="shared" si="11"/>
        <v>44037</v>
      </c>
      <c r="B35" s="272">
        <v>53.68</v>
      </c>
      <c r="C35" s="159">
        <f t="shared" si="7"/>
        <v>260498</v>
      </c>
      <c r="D35" s="288">
        <v>262358</v>
      </c>
      <c r="E35" s="51">
        <f t="shared" si="0"/>
        <v>1860</v>
      </c>
      <c r="F35" s="69">
        <f t="shared" si="1"/>
        <v>0</v>
      </c>
      <c r="G35" s="70">
        <f t="shared" si="2"/>
        <v>1860</v>
      </c>
      <c r="H35" s="69">
        <f t="shared" si="3"/>
        <v>24</v>
      </c>
      <c r="I35" s="271">
        <v>0</v>
      </c>
      <c r="J35" s="279">
        <v>24</v>
      </c>
      <c r="K35" s="51">
        <f t="shared" si="4"/>
        <v>77.5</v>
      </c>
      <c r="L35" s="52">
        <f t="shared" si="5"/>
        <v>341.21958333333339</v>
      </c>
      <c r="M35" s="45">
        <f t="shared" si="10"/>
        <v>25</v>
      </c>
      <c r="N35" s="319">
        <v>0.70833333333333337</v>
      </c>
      <c r="O35" s="319">
        <v>0.73263888888888884</v>
      </c>
      <c r="P35" s="272">
        <f>35/6</f>
        <v>5.833333333333333</v>
      </c>
      <c r="Q35" s="309">
        <v>47</v>
      </c>
      <c r="R35" s="311">
        <v>109.38</v>
      </c>
      <c r="S35" s="180">
        <f>R35/Q35</f>
        <v>2.3272340425531914</v>
      </c>
      <c r="T35" s="242"/>
      <c r="U35" s="77"/>
      <c r="V35" s="77"/>
      <c r="W35" s="77"/>
      <c r="X35" s="77"/>
      <c r="Y35" s="77"/>
    </row>
    <row r="36" spans="1:25" x14ac:dyDescent="0.25">
      <c r="A36" s="285">
        <f t="shared" si="11"/>
        <v>44038</v>
      </c>
      <c r="B36" s="272">
        <v>51.84</v>
      </c>
      <c r="C36" s="159">
        <f t="shared" si="7"/>
        <v>262358</v>
      </c>
      <c r="D36" s="274">
        <v>264252</v>
      </c>
      <c r="E36" s="51">
        <f t="shared" si="0"/>
        <v>1894</v>
      </c>
      <c r="F36" s="69">
        <f t="shared" si="1"/>
        <v>0</v>
      </c>
      <c r="G36" s="70">
        <f t="shared" si="2"/>
        <v>1894</v>
      </c>
      <c r="H36" s="69">
        <f t="shared" si="3"/>
        <v>24</v>
      </c>
      <c r="I36" s="271">
        <v>0</v>
      </c>
      <c r="J36" s="279">
        <v>24</v>
      </c>
      <c r="K36" s="51">
        <f t="shared" si="4"/>
        <v>78.916666666666671</v>
      </c>
      <c r="L36" s="52">
        <f t="shared" si="5"/>
        <v>347.45693055555563</v>
      </c>
      <c r="M36" s="45">
        <f t="shared" si="10"/>
        <v>26</v>
      </c>
      <c r="N36" s="307"/>
      <c r="O36" s="307"/>
      <c r="P36" s="272"/>
      <c r="Q36" s="309"/>
      <c r="R36" s="311"/>
      <c r="S36" s="180" t="e">
        <f t="shared" si="6"/>
        <v>#DIV/0!</v>
      </c>
      <c r="T36" s="242"/>
      <c r="U36" s="77"/>
      <c r="V36" s="77"/>
      <c r="W36" s="77"/>
      <c r="X36" s="77"/>
      <c r="Y36" s="77"/>
    </row>
    <row r="37" spans="1:25" x14ac:dyDescent="0.25">
      <c r="A37" s="285">
        <f t="shared" si="11"/>
        <v>44039</v>
      </c>
      <c r="B37" s="272">
        <v>50.9</v>
      </c>
      <c r="C37" s="159">
        <f t="shared" si="7"/>
        <v>264252</v>
      </c>
      <c r="D37" s="276">
        <v>266061</v>
      </c>
      <c r="E37" s="51">
        <f t="shared" si="0"/>
        <v>1809</v>
      </c>
      <c r="F37" s="69">
        <f t="shared" si="1"/>
        <v>0</v>
      </c>
      <c r="G37" s="70">
        <f t="shared" si="2"/>
        <v>1809</v>
      </c>
      <c r="H37" s="69">
        <f t="shared" si="3"/>
        <v>24</v>
      </c>
      <c r="I37" s="271">
        <v>0</v>
      </c>
      <c r="J37" s="279">
        <v>24</v>
      </c>
      <c r="K37" s="51">
        <f t="shared" si="4"/>
        <v>75.375</v>
      </c>
      <c r="L37" s="52">
        <f t="shared" si="5"/>
        <v>331.8635625</v>
      </c>
      <c r="M37" s="45">
        <f t="shared" si="10"/>
        <v>27</v>
      </c>
      <c r="N37" s="307"/>
      <c r="O37" s="307"/>
      <c r="P37" s="272"/>
      <c r="Q37" s="309"/>
      <c r="R37" s="311"/>
      <c r="S37" s="180" t="e">
        <f t="shared" si="6"/>
        <v>#DIV/0!</v>
      </c>
      <c r="T37" s="242"/>
      <c r="U37" s="77"/>
      <c r="V37" s="77"/>
      <c r="W37" s="77"/>
      <c r="X37" s="77"/>
      <c r="Y37" s="77"/>
    </row>
    <row r="38" spans="1:25" x14ac:dyDescent="0.25">
      <c r="A38" s="285">
        <f>A37+1</f>
        <v>44040</v>
      </c>
      <c r="B38" s="272">
        <v>59.1</v>
      </c>
      <c r="C38" s="159">
        <f t="shared" si="7"/>
        <v>266061</v>
      </c>
      <c r="D38" s="274">
        <v>267895</v>
      </c>
      <c r="E38" s="51">
        <f t="shared" si="0"/>
        <v>1834</v>
      </c>
      <c r="F38" s="69">
        <f t="shared" si="1"/>
        <v>0</v>
      </c>
      <c r="G38" s="70">
        <f t="shared" si="2"/>
        <v>1834</v>
      </c>
      <c r="H38" s="69">
        <f t="shared" si="3"/>
        <v>24</v>
      </c>
      <c r="I38" s="271">
        <v>0</v>
      </c>
      <c r="J38" s="279">
        <v>24</v>
      </c>
      <c r="K38" s="51">
        <f>E38/H38</f>
        <v>76.416666666666671</v>
      </c>
      <c r="L38" s="52">
        <f>K38*264.17/60</f>
        <v>336.44984722222227</v>
      </c>
      <c r="M38" s="45">
        <f t="shared" si="10"/>
        <v>28</v>
      </c>
      <c r="N38" s="307"/>
      <c r="O38" s="307"/>
      <c r="P38" s="272"/>
      <c r="Q38" s="309"/>
      <c r="R38" s="311"/>
      <c r="S38" s="180" t="e">
        <f t="shared" si="6"/>
        <v>#DIV/0!</v>
      </c>
      <c r="T38" s="242"/>
      <c r="U38" s="77"/>
      <c r="V38" s="77"/>
      <c r="W38" s="77"/>
      <c r="X38" s="77"/>
      <c r="Y38" s="77"/>
    </row>
    <row r="39" spans="1:25" x14ac:dyDescent="0.25">
      <c r="A39" s="285">
        <f t="shared" ref="A39" si="12">A38+1</f>
        <v>44041</v>
      </c>
      <c r="B39" s="272">
        <v>54.47</v>
      </c>
      <c r="C39" s="159">
        <f t="shared" si="7"/>
        <v>267895</v>
      </c>
      <c r="D39" s="283">
        <v>269230</v>
      </c>
      <c r="E39" s="51">
        <f t="shared" si="0"/>
        <v>1335</v>
      </c>
      <c r="F39" s="69">
        <f t="shared" si="1"/>
        <v>0</v>
      </c>
      <c r="G39" s="70">
        <f t="shared" si="2"/>
        <v>1335</v>
      </c>
      <c r="H39" s="69">
        <f t="shared" si="3"/>
        <v>17</v>
      </c>
      <c r="I39" s="271">
        <v>0</v>
      </c>
      <c r="J39" s="279">
        <f>24-7</f>
        <v>17</v>
      </c>
      <c r="K39" s="51">
        <f t="shared" ref="K39" si="13">E39/H39</f>
        <v>78.529411764705884</v>
      </c>
      <c r="L39" s="52">
        <f t="shared" ref="L39" si="14">K39*264.17/60</f>
        <v>345.75191176470594</v>
      </c>
      <c r="M39" s="45">
        <f t="shared" si="10"/>
        <v>29</v>
      </c>
      <c r="N39" s="307"/>
      <c r="O39" s="307"/>
      <c r="P39" s="272"/>
      <c r="Q39" s="309"/>
      <c r="R39" s="311"/>
      <c r="S39" s="180" t="e">
        <f t="shared" si="6"/>
        <v>#DIV/0!</v>
      </c>
      <c r="T39" s="242"/>
      <c r="U39" s="77"/>
      <c r="V39" s="77"/>
      <c r="W39" s="77"/>
      <c r="X39" s="77"/>
      <c r="Y39" s="77"/>
    </row>
    <row r="40" spans="1:25" hidden="1" x14ac:dyDescent="0.25">
      <c r="A40" s="285"/>
      <c r="B40" s="272"/>
      <c r="C40" s="159"/>
      <c r="D40" s="283"/>
      <c r="E40" s="51"/>
      <c r="F40" s="69"/>
      <c r="G40" s="320"/>
      <c r="H40" s="69"/>
      <c r="I40" s="271"/>
      <c r="J40" s="279"/>
      <c r="K40" s="51"/>
      <c r="L40" s="52"/>
      <c r="M40" s="45"/>
      <c r="N40" s="307"/>
      <c r="O40" s="307"/>
      <c r="P40" s="272"/>
      <c r="Q40" s="309"/>
      <c r="R40" s="311"/>
      <c r="S40" s="180"/>
      <c r="T40" s="242"/>
      <c r="U40" s="77"/>
      <c r="V40" s="77"/>
      <c r="W40" s="77"/>
      <c r="X40" s="77"/>
      <c r="Y40" s="77"/>
    </row>
    <row r="41" spans="1:25" hidden="1" x14ac:dyDescent="0.25">
      <c r="A41" s="285"/>
      <c r="B41" s="272"/>
      <c r="C41" s="159"/>
      <c r="D41" s="283"/>
      <c r="E41" s="51"/>
      <c r="F41" s="69"/>
      <c r="G41" s="70"/>
      <c r="H41" s="69"/>
      <c r="I41" s="271"/>
      <c r="J41" s="279"/>
      <c r="K41" s="51"/>
      <c r="L41" s="52"/>
      <c r="M41" s="45"/>
      <c r="N41" s="307"/>
      <c r="O41" s="307"/>
      <c r="P41" s="272"/>
      <c r="Q41" s="309"/>
      <c r="R41" s="311"/>
      <c r="S41" s="180"/>
      <c r="T41" s="242"/>
      <c r="U41" s="77"/>
      <c r="V41" s="77"/>
      <c r="W41" s="77"/>
      <c r="X41" s="77"/>
      <c r="Y41" s="77"/>
    </row>
    <row r="42" spans="1:25" x14ac:dyDescent="0.25">
      <c r="A42" s="150" t="s">
        <v>178</v>
      </c>
      <c r="B42" s="52">
        <f>SUM(B10:B41)</f>
        <v>1643.01</v>
      </c>
      <c r="C42" s="49"/>
      <c r="D42" s="50"/>
      <c r="E42" s="51">
        <f>SUM(E10:E39)</f>
        <v>52306</v>
      </c>
      <c r="F42" s="52">
        <f>SUM(F10:F39)</f>
        <v>6.4282636794485146</v>
      </c>
      <c r="G42" s="52">
        <f>SUM(G10:G39)</f>
        <v>52312.428263679452</v>
      </c>
      <c r="H42" s="52">
        <f>SUM(H10:H41)</f>
        <v>695.21</v>
      </c>
      <c r="I42" s="52">
        <f>SUM(I10:I41)</f>
        <v>0.08</v>
      </c>
      <c r="J42" s="52">
        <f>SUM(J10:J41)</f>
        <v>695.13</v>
      </c>
      <c r="K42" s="52">
        <f>SUM(K10:K39)</f>
        <v>2259.4065172816217</v>
      </c>
      <c r="L42" s="52">
        <f>SUM(L10:L39)</f>
        <v>9947.7903278381036</v>
      </c>
      <c r="M42" s="45"/>
      <c r="N42" s="466" t="s">
        <v>6</v>
      </c>
      <c r="O42" s="467"/>
      <c r="P42" s="323">
        <f>SUM(P10:P41)</f>
        <v>7.6033333333333335</v>
      </c>
      <c r="Q42" s="177">
        <f>SUM(Q10:Q41)</f>
        <v>196</v>
      </c>
      <c r="R42" s="318">
        <f>SUM(R10:R41)</f>
        <v>565.63</v>
      </c>
      <c r="S42" s="178">
        <f>R42/Q42</f>
        <v>2.8858673469387757</v>
      </c>
      <c r="T42" s="242"/>
      <c r="U42" s="77"/>
      <c r="V42" s="77"/>
      <c r="W42" s="77"/>
      <c r="X42" s="77"/>
      <c r="Y42" s="77"/>
    </row>
    <row r="43" spans="1:25" x14ac:dyDescent="0.25">
      <c r="A43" s="150" t="s">
        <v>177</v>
      </c>
      <c r="B43" s="52">
        <f>B42/E5</f>
        <v>56.655517241379307</v>
      </c>
      <c r="C43" s="49"/>
      <c r="D43" s="50"/>
      <c r="E43" s="52">
        <f>E42/E5</f>
        <v>1803.655172413793</v>
      </c>
      <c r="F43" s="52">
        <f>F42/E5</f>
        <v>0.22166426480856946</v>
      </c>
      <c r="G43" s="52">
        <f>G42/E5</f>
        <v>1803.8768366786019</v>
      </c>
      <c r="H43" s="52">
        <f>H42/E5</f>
        <v>23.972758620689657</v>
      </c>
      <c r="I43" s="52">
        <f>I42/E5</f>
        <v>2.7586206896551726E-3</v>
      </c>
      <c r="J43" s="52">
        <f>J42/E5</f>
        <v>23.97</v>
      </c>
      <c r="K43" s="52">
        <f>K42/E5</f>
        <v>77.910569561435238</v>
      </c>
      <c r="L43" s="52">
        <f>L42/E5</f>
        <v>343.02725268407255</v>
      </c>
      <c r="M43" s="45"/>
      <c r="N43" s="45"/>
      <c r="O43" s="45"/>
      <c r="P43" s="77"/>
      <c r="Q43" s="77"/>
      <c r="R43" s="77"/>
      <c r="S43" s="77"/>
      <c r="T43" s="77"/>
      <c r="U43" s="77"/>
      <c r="V43" s="77"/>
      <c r="W43" s="77"/>
      <c r="X43" s="77"/>
      <c r="Y43" s="77"/>
    </row>
    <row r="44" spans="1:25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77"/>
      <c r="Q44" s="77"/>
      <c r="R44" s="77"/>
      <c r="S44" s="77"/>
      <c r="T44" s="77"/>
      <c r="U44" s="77"/>
      <c r="V44" s="77"/>
      <c r="W44" s="77"/>
      <c r="X44" s="77"/>
      <c r="Y44" s="77"/>
    </row>
    <row r="45" spans="1:25" x14ac:dyDescent="0.25">
      <c r="A45" s="45" t="s">
        <v>93</v>
      </c>
      <c r="B45" s="45"/>
      <c r="C45" s="45"/>
      <c r="D45" s="45"/>
      <c r="E45" s="161">
        <f>D39-C10</f>
        <v>52306</v>
      </c>
      <c r="F45" s="45"/>
      <c r="G45" s="45"/>
      <c r="H45" s="45"/>
      <c r="I45" s="45" t="s">
        <v>94</v>
      </c>
      <c r="J45" s="45"/>
      <c r="K45" s="45"/>
      <c r="L45" s="45"/>
      <c r="M45" s="45"/>
      <c r="N45" s="45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</row>
    <row r="46" spans="1:25" x14ac:dyDescent="0.25">
      <c r="A46" s="53" t="s">
        <v>205</v>
      </c>
      <c r="B46" s="53" t="s">
        <v>206</v>
      </c>
      <c r="C46" s="53"/>
      <c r="D46" s="45"/>
      <c r="E46" s="71"/>
      <c r="F46" s="45"/>
      <c r="G46" s="45"/>
      <c r="H46" s="45"/>
      <c r="I46" s="77" t="s">
        <v>275</v>
      </c>
      <c r="J46" s="45"/>
      <c r="K46" s="45"/>
      <c r="L46" s="45"/>
      <c r="M46" s="45"/>
      <c r="N46" s="45"/>
      <c r="O46" s="45"/>
      <c r="P46" s="77"/>
      <c r="Q46" s="77"/>
      <c r="R46" s="77"/>
      <c r="S46" s="77"/>
      <c r="T46" s="77"/>
      <c r="U46" s="77"/>
      <c r="V46" s="77"/>
      <c r="W46" s="77"/>
      <c r="X46" s="77"/>
      <c r="Y46" s="77"/>
    </row>
    <row r="47" spans="1:25" x14ac:dyDescent="0.25">
      <c r="A47" s="53" t="s">
        <v>207</v>
      </c>
      <c r="B47" s="53"/>
      <c r="C47" s="53" t="s">
        <v>208</v>
      </c>
      <c r="D47" s="45"/>
      <c r="E47" s="71"/>
      <c r="F47" s="45"/>
      <c r="G47" s="45"/>
      <c r="H47" s="45"/>
      <c r="I47" s="45" t="s">
        <v>209</v>
      </c>
      <c r="J47" s="45"/>
      <c r="K47" s="45"/>
      <c r="L47" s="45"/>
      <c r="M47" s="45"/>
      <c r="N47" s="45"/>
      <c r="O47" s="45"/>
      <c r="P47" s="77"/>
      <c r="Q47" s="77"/>
      <c r="R47" s="77"/>
      <c r="S47" s="77"/>
      <c r="T47" s="77"/>
      <c r="U47" s="77"/>
      <c r="V47" s="77"/>
      <c r="W47" s="77"/>
      <c r="X47" s="77"/>
      <c r="Y47" s="77"/>
    </row>
    <row r="48" spans="1:25" ht="14.25" customHeight="1" x14ac:dyDescent="0.25">
      <c r="A48" s="74"/>
      <c r="B48" s="74"/>
      <c r="C48" s="53"/>
      <c r="D48" s="45"/>
      <c r="E48" s="45"/>
      <c r="F48" s="45"/>
      <c r="G48" s="45"/>
      <c r="H48" s="45"/>
      <c r="J48" s="77"/>
      <c r="K48" s="45"/>
      <c r="L48" s="45"/>
      <c r="M48" s="45"/>
      <c r="N48" s="45"/>
      <c r="O48" s="45"/>
      <c r="P48" s="77"/>
      <c r="Q48" s="77"/>
      <c r="R48" s="77"/>
      <c r="S48" s="77"/>
      <c r="T48" s="77"/>
      <c r="U48" s="77"/>
      <c r="V48" s="77"/>
      <c r="W48" s="77"/>
      <c r="X48" s="77"/>
      <c r="Y48" s="77"/>
    </row>
    <row r="49" spans="1:25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77"/>
      <c r="Q49" s="77"/>
      <c r="R49" s="77"/>
      <c r="S49" s="77"/>
      <c r="T49" s="77"/>
      <c r="U49" s="77"/>
      <c r="V49" s="77"/>
      <c r="W49" s="77"/>
      <c r="X49" s="77"/>
      <c r="Y49" s="77"/>
    </row>
    <row r="50" spans="1:25" x14ac:dyDescent="0.25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</row>
    <row r="51" spans="1:25" x14ac:dyDescent="0.25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</row>
    <row r="52" spans="1:25" x14ac:dyDescent="0.25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</row>
    <row r="53" spans="1:25" x14ac:dyDescent="0.2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</row>
    <row r="54" spans="1:25" x14ac:dyDescent="0.2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</row>
    <row r="55" spans="1:25" x14ac:dyDescent="0.25">
      <c r="A55" s="77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</row>
    <row r="56" spans="1:25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</row>
  </sheetData>
  <mergeCells count="4">
    <mergeCell ref="N7:R7"/>
    <mergeCell ref="N8:O8"/>
    <mergeCell ref="N42:O42"/>
    <mergeCell ref="C7:D7"/>
  </mergeCells>
  <pageMargins left="0.5" right="0.25" top="0.5" bottom="0.5" header="0.5" footer="0.5"/>
  <pageSetup scale="80" orientation="portrait" horizontalDpi="4294967294" verticalDpi="144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F61"/>
  <sheetViews>
    <sheetView showGridLines="0" topLeftCell="B1" zoomScaleSheetLayoutView="90" workbookViewId="0">
      <pane ySplit="7" topLeftCell="A25" activePane="bottomLeft" state="frozen"/>
      <selection pane="bottomLeft" activeCell="C63" sqref="C63"/>
    </sheetView>
  </sheetViews>
  <sheetFormatPr defaultColWidth="9.125" defaultRowHeight="15" x14ac:dyDescent="0.25"/>
  <cols>
    <col min="1" max="1" width="1.375" style="1" customWidth="1"/>
    <col min="2" max="2" width="43.125" style="1" customWidth="1"/>
    <col min="3" max="3" width="10.5" style="1" customWidth="1"/>
    <col min="4" max="4" width="1.375" style="2" customWidth="1"/>
    <col min="5" max="5" width="54.125" style="1" customWidth="1"/>
    <col min="6" max="16384" width="9.125" style="1"/>
  </cols>
  <sheetData>
    <row r="1" spans="2:6" ht="6.75" customHeight="1" x14ac:dyDescent="0.25"/>
    <row r="2" spans="2:6" ht="15.75" x14ac:dyDescent="0.25">
      <c r="B2" s="3" t="s">
        <v>212</v>
      </c>
      <c r="C2" s="4"/>
      <c r="D2" s="4"/>
      <c r="E2" s="5"/>
    </row>
    <row r="3" spans="2:6" ht="15.75" x14ac:dyDescent="0.25">
      <c r="B3" s="40" t="s">
        <v>320</v>
      </c>
      <c r="C3" s="6"/>
      <c r="D3" s="6"/>
      <c r="E3" s="7"/>
    </row>
    <row r="4" spans="2:6" ht="7.5" customHeight="1" x14ac:dyDescent="0.25">
      <c r="B4" s="8">
        <v>0</v>
      </c>
      <c r="C4" s="6"/>
      <c r="D4" s="6"/>
      <c r="E4" s="7"/>
    </row>
    <row r="5" spans="2:6" ht="15.75" x14ac:dyDescent="0.25">
      <c r="B5" s="8"/>
      <c r="C5" s="9" t="s">
        <v>22</v>
      </c>
      <c r="D5" s="6"/>
      <c r="E5" s="471" t="s">
        <v>23</v>
      </c>
    </row>
    <row r="6" spans="2:6" ht="15.75" x14ac:dyDescent="0.25">
      <c r="B6" s="10"/>
      <c r="C6" s="11" t="s">
        <v>24</v>
      </c>
      <c r="D6" s="12"/>
      <c r="E6" s="472"/>
    </row>
    <row r="7" spans="2:6" ht="6" customHeight="1" x14ac:dyDescent="0.25">
      <c r="B7" s="13"/>
      <c r="C7" s="13"/>
      <c r="D7" s="14"/>
      <c r="E7" s="13"/>
    </row>
    <row r="8" spans="2:6" ht="15.75" x14ac:dyDescent="0.25">
      <c r="B8" s="15" t="s">
        <v>25</v>
      </c>
      <c r="C8" s="16">
        <f>+SUM(C9:C11)</f>
        <v>140404.16854371101</v>
      </c>
      <c r="D8" s="14"/>
      <c r="E8" s="17"/>
    </row>
    <row r="9" spans="2:6" x14ac:dyDescent="0.25">
      <c r="B9" s="18" t="s">
        <v>26</v>
      </c>
      <c r="C9" s="19">
        <f>'MPPR#1'!E42+'MPPR#2'!E42+'MPPR#3'!E42+'MPPR#4'!E42+'MPPR#5'!E42</f>
        <v>139963</v>
      </c>
      <c r="D9" s="14"/>
      <c r="E9" s="44"/>
    </row>
    <row r="10" spans="2:6" x14ac:dyDescent="0.25">
      <c r="B10" s="18" t="s">
        <v>27</v>
      </c>
      <c r="C10" s="19">
        <f>'MPPR#1'!F42+'MPPR#2'!F42+'MPPR#3'!F42+'MPPR#4'!F42+'MPPR#5'!F42</f>
        <v>441.16854371101766</v>
      </c>
      <c r="D10" s="14"/>
      <c r="E10" s="20"/>
    </row>
    <row r="11" spans="2:6" x14ac:dyDescent="0.25">
      <c r="B11" s="18" t="s">
        <v>28</v>
      </c>
      <c r="C11" s="19"/>
      <c r="D11" s="14"/>
      <c r="E11" s="72"/>
    </row>
    <row r="12" spans="2:6" ht="6" customHeight="1" x14ac:dyDescent="0.25">
      <c r="B12" s="13"/>
      <c r="C12" s="13"/>
      <c r="D12" s="14"/>
      <c r="E12" s="13"/>
    </row>
    <row r="13" spans="2:6" x14ac:dyDescent="0.25">
      <c r="B13" s="473" t="s">
        <v>29</v>
      </c>
      <c r="C13" s="473"/>
      <c r="D13" s="14"/>
      <c r="E13" s="21"/>
    </row>
    <row r="14" spans="2:6" x14ac:dyDescent="0.25">
      <c r="B14" s="468" t="s">
        <v>30</v>
      </c>
      <c r="C14" s="468"/>
      <c r="D14" s="14"/>
      <c r="E14" s="22"/>
    </row>
    <row r="15" spans="2:6" ht="15.75" x14ac:dyDescent="0.25">
      <c r="B15" s="23" t="s">
        <v>31</v>
      </c>
      <c r="C15" s="24">
        <f>+C16+C19</f>
        <v>124005</v>
      </c>
      <c r="D15" s="14"/>
      <c r="E15" s="25"/>
      <c r="F15" s="26"/>
    </row>
    <row r="16" spans="2:6" x14ac:dyDescent="0.25">
      <c r="B16" s="27" t="s">
        <v>32</v>
      </c>
      <c r="C16" s="28">
        <f>C17+C18</f>
        <v>124005</v>
      </c>
      <c r="D16" s="14"/>
      <c r="E16" s="29"/>
    </row>
    <row r="17" spans="2:5" x14ac:dyDescent="0.25">
      <c r="B17" s="30" t="s">
        <v>33</v>
      </c>
      <c r="C17" s="31">
        <v>119963</v>
      </c>
      <c r="D17" s="14"/>
      <c r="E17" s="20"/>
    </row>
    <row r="18" spans="2:5" x14ac:dyDescent="0.25">
      <c r="B18" s="30" t="s">
        <v>34</v>
      </c>
      <c r="C18" s="31">
        <v>4042</v>
      </c>
      <c r="D18" s="14"/>
      <c r="E18" s="20"/>
    </row>
    <row r="19" spans="2:5" x14ac:dyDescent="0.25">
      <c r="B19" s="18" t="s">
        <v>36</v>
      </c>
      <c r="C19" s="41">
        <v>0</v>
      </c>
      <c r="D19" s="14"/>
      <c r="E19" s="72"/>
    </row>
    <row r="20" spans="2:5" ht="15.75" x14ac:dyDescent="0.25">
      <c r="B20" s="23" t="s">
        <v>35</v>
      </c>
      <c r="C20" s="24">
        <f>+SUM(C21:C23)</f>
        <v>0</v>
      </c>
      <c r="D20" s="14"/>
      <c r="E20" s="25"/>
    </row>
    <row r="21" spans="2:5" x14ac:dyDescent="0.25">
      <c r="B21" s="18" t="s">
        <v>36</v>
      </c>
      <c r="C21" s="31"/>
      <c r="D21" s="14"/>
      <c r="E21" s="68"/>
    </row>
    <row r="22" spans="2:5" x14ac:dyDescent="0.25">
      <c r="B22" s="18" t="s">
        <v>37</v>
      </c>
      <c r="C22" s="31">
        <v>0</v>
      </c>
      <c r="D22" s="14"/>
      <c r="E22" s="20"/>
    </row>
    <row r="23" spans="2:5" x14ac:dyDescent="0.25">
      <c r="B23" s="18" t="s">
        <v>38</v>
      </c>
      <c r="C23" s="31"/>
      <c r="D23" s="14"/>
      <c r="E23" s="20"/>
    </row>
    <row r="24" spans="2:5" x14ac:dyDescent="0.25">
      <c r="B24" s="468" t="s">
        <v>39</v>
      </c>
      <c r="C24" s="468"/>
      <c r="D24" s="14"/>
      <c r="E24" s="22"/>
    </row>
    <row r="25" spans="2:5" ht="15.75" x14ac:dyDescent="0.25">
      <c r="B25" s="23" t="s">
        <v>40</v>
      </c>
      <c r="C25" s="24">
        <f>+SUM(C26:C28)</f>
        <v>80</v>
      </c>
      <c r="D25" s="14"/>
      <c r="E25" s="25"/>
    </row>
    <row r="26" spans="2:5" x14ac:dyDescent="0.25">
      <c r="B26" s="18" t="s">
        <v>41</v>
      </c>
      <c r="C26" s="31"/>
      <c r="D26" s="14"/>
      <c r="E26" s="20"/>
    </row>
    <row r="27" spans="2:5" x14ac:dyDescent="0.25">
      <c r="B27" s="18" t="s">
        <v>42</v>
      </c>
      <c r="C27" s="19">
        <v>80</v>
      </c>
      <c r="D27" s="14"/>
      <c r="E27" s="42"/>
    </row>
    <row r="28" spans="2:5" x14ac:dyDescent="0.25">
      <c r="B28" s="18" t="s">
        <v>43</v>
      </c>
      <c r="C28" s="31"/>
      <c r="D28" s="14"/>
      <c r="E28" s="42"/>
    </row>
    <row r="29" spans="2:5" ht="15.75" x14ac:dyDescent="0.25">
      <c r="B29" s="23" t="s">
        <v>44</v>
      </c>
      <c r="C29" s="24">
        <f>C30+C35+C40</f>
        <v>476.37892371101771</v>
      </c>
      <c r="D29" s="14"/>
      <c r="E29" s="25"/>
    </row>
    <row r="30" spans="2:5" x14ac:dyDescent="0.25">
      <c r="B30" s="32" t="s">
        <v>45</v>
      </c>
      <c r="C30" s="33">
        <f>SUM(C31:C34)</f>
        <v>21.613079999999997</v>
      </c>
      <c r="D30" s="14"/>
      <c r="E30" s="34"/>
    </row>
    <row r="31" spans="2:5" x14ac:dyDescent="0.25">
      <c r="B31" s="35" t="s">
        <v>46</v>
      </c>
      <c r="C31" s="41">
        <f>'COMPUTATION (2)'!H90</f>
        <v>9.2283599999999968</v>
      </c>
      <c r="D31" s="14"/>
      <c r="E31" s="20"/>
    </row>
    <row r="32" spans="2:5" x14ac:dyDescent="0.25">
      <c r="B32" s="113" t="s">
        <v>131</v>
      </c>
      <c r="C32" s="41"/>
      <c r="D32" s="14"/>
      <c r="E32" s="20"/>
    </row>
    <row r="33" spans="2:5" x14ac:dyDescent="0.25">
      <c r="B33" s="35" t="s">
        <v>47</v>
      </c>
      <c r="C33" s="41">
        <f>'COMPUTATION (2)'!I90</f>
        <v>12.38472</v>
      </c>
      <c r="D33" s="14"/>
      <c r="E33" s="20"/>
    </row>
    <row r="34" spans="2:5" x14ac:dyDescent="0.25">
      <c r="B34" s="35" t="s">
        <v>48</v>
      </c>
      <c r="C34" s="41"/>
      <c r="D34" s="14"/>
      <c r="E34" s="20"/>
    </row>
    <row r="35" spans="2:5" x14ac:dyDescent="0.25">
      <c r="B35" s="32" t="s">
        <v>49</v>
      </c>
      <c r="C35" s="33">
        <f>+SUM(C36:C39)</f>
        <v>454.76584371101768</v>
      </c>
      <c r="D35" s="14"/>
      <c r="E35" s="34"/>
    </row>
    <row r="36" spans="2:5" x14ac:dyDescent="0.25">
      <c r="B36" s="36" t="s">
        <v>50</v>
      </c>
      <c r="C36" s="41">
        <f>'COMPUTATION (2)'!L90</f>
        <v>9.1965000000000003</v>
      </c>
      <c r="D36" s="14"/>
      <c r="E36" s="20"/>
    </row>
    <row r="37" spans="2:5" x14ac:dyDescent="0.25">
      <c r="B37" s="36" t="s">
        <v>51</v>
      </c>
      <c r="C37" s="41">
        <f>'COMPUTATION (2)'!M90</f>
        <v>4.4008000000000003</v>
      </c>
      <c r="D37" s="14"/>
      <c r="E37" s="20"/>
    </row>
    <row r="38" spans="2:5" x14ac:dyDescent="0.25">
      <c r="B38" s="36" t="s">
        <v>52</v>
      </c>
      <c r="C38" s="41">
        <f>C10</f>
        <v>441.16854371101766</v>
      </c>
      <c r="D38" s="14"/>
      <c r="E38" s="20"/>
    </row>
    <row r="39" spans="2:5" x14ac:dyDescent="0.25">
      <c r="B39" s="36" t="s">
        <v>53</v>
      </c>
      <c r="C39" s="41"/>
      <c r="D39" s="14"/>
      <c r="E39" s="20"/>
    </row>
    <row r="40" spans="2:5" x14ac:dyDescent="0.25">
      <c r="B40" s="32" t="s">
        <v>54</v>
      </c>
      <c r="C40" s="247"/>
      <c r="D40" s="14"/>
      <c r="E40" s="34"/>
    </row>
    <row r="41" spans="2:5" ht="6" customHeight="1" x14ac:dyDescent="0.25">
      <c r="B41" s="13"/>
      <c r="C41" s="37"/>
      <c r="D41" s="14"/>
      <c r="E41" s="13"/>
    </row>
    <row r="42" spans="2:5" x14ac:dyDescent="0.25">
      <c r="B42" s="473" t="s">
        <v>55</v>
      </c>
      <c r="C42" s="473"/>
      <c r="D42" s="14"/>
      <c r="E42" s="21"/>
    </row>
    <row r="43" spans="2:5" x14ac:dyDescent="0.25">
      <c r="B43" s="468" t="s">
        <v>56</v>
      </c>
      <c r="C43" s="468"/>
      <c r="D43" s="14"/>
      <c r="E43" s="22"/>
    </row>
    <row r="44" spans="2:5" ht="15.75" x14ac:dyDescent="0.25">
      <c r="B44" s="23" t="s">
        <v>57</v>
      </c>
      <c r="C44" s="24">
        <f>+C45</f>
        <v>0</v>
      </c>
      <c r="D44" s="14"/>
      <c r="E44" s="25"/>
    </row>
    <row r="45" spans="2:5" x14ac:dyDescent="0.25">
      <c r="B45" s="18" t="s">
        <v>58</v>
      </c>
      <c r="C45" s="31"/>
      <c r="D45" s="14"/>
      <c r="E45" s="20"/>
    </row>
    <row r="46" spans="2:5" ht="15.75" x14ac:dyDescent="0.25">
      <c r="B46" s="23" t="s">
        <v>59</v>
      </c>
      <c r="C46" s="24">
        <f>+SUM(C47:C47)</f>
        <v>0</v>
      </c>
      <c r="D46" s="14"/>
      <c r="E46" s="25"/>
    </row>
    <row r="47" spans="2:5" x14ac:dyDescent="0.25">
      <c r="B47" s="18" t="s">
        <v>73</v>
      </c>
      <c r="C47" s="31"/>
      <c r="D47" s="14"/>
      <c r="E47" s="20"/>
    </row>
    <row r="48" spans="2:5" x14ac:dyDescent="0.25">
      <c r="B48" s="468" t="s">
        <v>60</v>
      </c>
      <c r="C48" s="468"/>
      <c r="D48" s="14"/>
      <c r="E48" s="22"/>
    </row>
    <row r="49" spans="2:5" ht="15.75" x14ac:dyDescent="0.25">
      <c r="B49" s="23" t="s">
        <v>61</v>
      </c>
      <c r="C49" s="24">
        <f>+SUM(C50:C58)</f>
        <v>302.74577999999997</v>
      </c>
      <c r="D49" s="14"/>
      <c r="E49" s="25"/>
    </row>
    <row r="50" spans="2:5" x14ac:dyDescent="0.25">
      <c r="B50" s="18" t="s">
        <v>62</v>
      </c>
      <c r="C50" s="41">
        <f>'COMPUTATION (2)'!P90</f>
        <v>256.47068000000002</v>
      </c>
      <c r="D50" s="14"/>
      <c r="E50" s="20"/>
    </row>
    <row r="51" spans="2:5" x14ac:dyDescent="0.25">
      <c r="B51" s="18" t="s">
        <v>63</v>
      </c>
      <c r="C51" s="41">
        <f>'COMPUTATION (2)'!Q90</f>
        <v>0</v>
      </c>
      <c r="D51" s="14"/>
      <c r="E51" s="20"/>
    </row>
    <row r="52" spans="2:5" x14ac:dyDescent="0.25">
      <c r="B52" s="18" t="s">
        <v>64</v>
      </c>
      <c r="C52" s="41">
        <f>'COMPUTATION (2)'!R90</f>
        <v>41.423979999999993</v>
      </c>
      <c r="D52" s="14"/>
      <c r="E52" s="20"/>
    </row>
    <row r="53" spans="2:5" x14ac:dyDescent="0.25">
      <c r="B53" s="18" t="s">
        <v>65</v>
      </c>
      <c r="C53" s="41">
        <f>'COMPUTATION (2)'!S90</f>
        <v>4.8511199999999999</v>
      </c>
      <c r="D53" s="14"/>
      <c r="E53" s="20"/>
    </row>
    <row r="54" spans="2:5" x14ac:dyDescent="0.25">
      <c r="B54" s="18" t="s">
        <v>66</v>
      </c>
      <c r="C54" s="41">
        <f>'COMPUTATION (2)'!T90</f>
        <v>0</v>
      </c>
      <c r="D54" s="14"/>
      <c r="E54" s="20"/>
    </row>
    <row r="55" spans="2:5" x14ac:dyDescent="0.25">
      <c r="B55" s="18" t="s">
        <v>67</v>
      </c>
      <c r="C55" s="41"/>
      <c r="D55" s="14"/>
      <c r="E55" s="20"/>
    </row>
    <row r="56" spans="2:5" x14ac:dyDescent="0.25">
      <c r="B56" s="18" t="s">
        <v>68</v>
      </c>
      <c r="C56" s="41"/>
      <c r="D56" s="14"/>
      <c r="E56" s="20"/>
    </row>
    <row r="57" spans="2:5" x14ac:dyDescent="0.25">
      <c r="B57" s="18" t="s">
        <v>69</v>
      </c>
      <c r="C57" s="41">
        <v>0</v>
      </c>
      <c r="D57" s="14"/>
      <c r="E57" s="20"/>
    </row>
    <row r="58" spans="2:5" x14ac:dyDescent="0.25">
      <c r="B58" s="18" t="s">
        <v>70</v>
      </c>
      <c r="C58" s="41">
        <v>0</v>
      </c>
      <c r="D58" s="14"/>
      <c r="E58" s="43"/>
    </row>
    <row r="59" spans="2:5" ht="15.75" x14ac:dyDescent="0.25">
      <c r="B59" s="23" t="s">
        <v>71</v>
      </c>
      <c r="C59" s="24">
        <f>'Water Balance'!E27</f>
        <v>15540.043839999997</v>
      </c>
      <c r="D59" s="14"/>
      <c r="E59" s="25"/>
    </row>
    <row r="60" spans="2:5" ht="6" customHeight="1" x14ac:dyDescent="0.25">
      <c r="B60" s="38"/>
      <c r="C60" s="39"/>
      <c r="D60" s="38"/>
      <c r="E60" s="39"/>
    </row>
    <row r="61" spans="2:5" ht="11.25" customHeight="1" x14ac:dyDescent="0.25">
      <c r="B61" s="469" t="s">
        <v>72</v>
      </c>
      <c r="C61" s="470"/>
      <c r="D61" s="470"/>
      <c r="E61" s="470"/>
    </row>
  </sheetData>
  <mergeCells count="8">
    <mergeCell ref="B48:C48"/>
    <mergeCell ref="B61:E61"/>
    <mergeCell ref="E5:E6"/>
    <mergeCell ref="B13:C13"/>
    <mergeCell ref="B14:C14"/>
    <mergeCell ref="B24:C24"/>
    <mergeCell ref="B42:C42"/>
    <mergeCell ref="B43:C43"/>
  </mergeCells>
  <pageMargins left="0.5" right="0.5" top="0.7" bottom="0.5" header="0.3" footer="0.3"/>
  <pageSetup scale="75" orientation="portrait" horizontalDpi="4294967294" verticalDpi="144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0"/>
  <sheetViews>
    <sheetView showGridLines="0" zoomScale="130" zoomScaleNormal="130" workbookViewId="0">
      <selection activeCell="H23" sqref="H23"/>
    </sheetView>
  </sheetViews>
  <sheetFormatPr defaultColWidth="9.125" defaultRowHeight="15" x14ac:dyDescent="0.25"/>
  <cols>
    <col min="1" max="1" width="1.375" style="80" customWidth="1"/>
    <col min="2" max="3" width="17.625" style="81" customWidth="1"/>
    <col min="4" max="4" width="21.625" style="81" customWidth="1"/>
    <col min="5" max="5" width="43.125" style="81" customWidth="1"/>
    <col min="6" max="6" width="17.625" style="81" customWidth="1"/>
    <col min="7" max="7" width="9.5" style="81" customWidth="1"/>
    <col min="8" max="8" width="12.125" style="81" bestFit="1" customWidth="1"/>
    <col min="9" max="16384" width="9.125" style="81"/>
  </cols>
  <sheetData>
    <row r="1" spans="2:8" ht="6.75" customHeight="1" thickBot="1" x14ac:dyDescent="0.3"/>
    <row r="2" spans="2:8" ht="18.75" x14ac:dyDescent="0.3">
      <c r="B2" s="82" t="str">
        <f>'W.B. Input Data'!B2</f>
        <v>BWSI- ZARAGOZA BRANCH</v>
      </c>
      <c r="C2" s="83"/>
      <c r="D2" s="83"/>
      <c r="E2" s="83"/>
      <c r="F2" s="84"/>
    </row>
    <row r="3" spans="2:8" ht="18.75" x14ac:dyDescent="0.3">
      <c r="B3" s="85" t="str">
        <f>'W.B. Input Data'!B3</f>
        <v>As of July 2020</v>
      </c>
      <c r="C3" s="86"/>
      <c r="D3" s="87"/>
      <c r="E3" s="86"/>
      <c r="F3" s="88"/>
    </row>
    <row r="4" spans="2:8" ht="15.75" thickBot="1" x14ac:dyDescent="0.3">
      <c r="B4" s="89"/>
      <c r="C4" s="90"/>
      <c r="D4" s="90"/>
      <c r="E4" s="90"/>
      <c r="F4" s="91"/>
    </row>
    <row r="5" spans="2:8" x14ac:dyDescent="0.25">
      <c r="B5" s="92"/>
      <c r="C5" s="92"/>
      <c r="D5" s="92"/>
      <c r="E5" s="92" t="s">
        <v>7</v>
      </c>
      <c r="F5" s="92"/>
    </row>
    <row r="6" spans="2:8" ht="15.75" x14ac:dyDescent="0.25">
      <c r="B6" s="93"/>
      <c r="C6" s="93"/>
      <c r="D6" s="93" t="s">
        <v>8</v>
      </c>
      <c r="E6" s="94">
        <f>'W.B. Input Data'!C15</f>
        <v>124005</v>
      </c>
      <c r="F6" s="93" t="s">
        <v>9</v>
      </c>
    </row>
    <row r="7" spans="2:8" ht="16.5" thickBot="1" x14ac:dyDescent="0.3">
      <c r="B7" s="93"/>
      <c r="C7" s="93"/>
      <c r="D7" s="93" t="s">
        <v>10</v>
      </c>
      <c r="E7" s="95">
        <f>+E6/B17</f>
        <v>0.88320027308444493</v>
      </c>
      <c r="F7" s="93" t="s">
        <v>11</v>
      </c>
    </row>
    <row r="8" spans="2:8" ht="15.75" x14ac:dyDescent="0.25">
      <c r="B8" s="93"/>
      <c r="C8" s="93"/>
      <c r="D8" s="94">
        <f>+E6+E9</f>
        <v>124005</v>
      </c>
      <c r="E8" s="92" t="s">
        <v>12</v>
      </c>
      <c r="F8" s="94">
        <f>+E6+E9</f>
        <v>124005</v>
      </c>
      <c r="G8" s="96"/>
      <c r="H8" s="97"/>
    </row>
    <row r="9" spans="2:8" ht="15.75" x14ac:dyDescent="0.25">
      <c r="B9" s="93"/>
      <c r="C9" s="93" t="s">
        <v>13</v>
      </c>
      <c r="D9" s="98">
        <f>+D8/B17</f>
        <v>0.88320027308444493</v>
      </c>
      <c r="E9" s="94">
        <f>'W.B. Input Data'!C20</f>
        <v>0</v>
      </c>
      <c r="F9" s="98">
        <f>+F8/B17</f>
        <v>0.88320027308444493</v>
      </c>
    </row>
    <row r="10" spans="2:8" ht="16.5" thickBot="1" x14ac:dyDescent="0.3">
      <c r="B10" s="93"/>
      <c r="C10" s="93" t="s">
        <v>10</v>
      </c>
      <c r="D10" s="99"/>
      <c r="E10" s="95">
        <f>+E9/B17</f>
        <v>0</v>
      </c>
      <c r="F10" s="99"/>
    </row>
    <row r="11" spans="2:8" ht="15.75" x14ac:dyDescent="0.25">
      <c r="B11" s="93"/>
      <c r="C11" s="94">
        <f>+D8+D14</f>
        <v>124561.37892371102</v>
      </c>
      <c r="D11" s="92"/>
      <c r="E11" s="92" t="s">
        <v>0</v>
      </c>
      <c r="F11" s="92"/>
    </row>
    <row r="12" spans="2:8" ht="15.75" x14ac:dyDescent="0.25">
      <c r="B12" s="93"/>
      <c r="C12" s="98">
        <f>+C11/B17</f>
        <v>0.88716296827705809</v>
      </c>
      <c r="D12" s="93" t="s">
        <v>14</v>
      </c>
      <c r="E12" s="94">
        <f>'W.B. Input Data'!C25</f>
        <v>80</v>
      </c>
      <c r="F12" s="93"/>
    </row>
    <row r="13" spans="2:8" ht="16.5" thickBot="1" x14ac:dyDescent="0.3">
      <c r="B13" s="93"/>
      <c r="C13" s="93"/>
      <c r="D13" s="93" t="s">
        <v>10</v>
      </c>
      <c r="E13" s="95">
        <f>+E12/B17</f>
        <v>5.6978365264913182E-4</v>
      </c>
      <c r="F13" s="93"/>
    </row>
    <row r="14" spans="2:8" ht="15.75" x14ac:dyDescent="0.25">
      <c r="B14" s="93"/>
      <c r="C14" s="93"/>
      <c r="D14" s="94">
        <f>+E12+E15</f>
        <v>556.37892371101771</v>
      </c>
      <c r="E14" s="92" t="s">
        <v>1</v>
      </c>
      <c r="F14" s="93"/>
    </row>
    <row r="15" spans="2:8" ht="15.75" x14ac:dyDescent="0.25">
      <c r="B15" s="93"/>
      <c r="C15" s="93"/>
      <c r="D15" s="98">
        <f>+D14/B17</f>
        <v>3.9626951926132045E-3</v>
      </c>
      <c r="E15" s="94">
        <f>'W.B. Input Data'!C29</f>
        <v>476.37892371101771</v>
      </c>
      <c r="F15" s="93"/>
    </row>
    <row r="16" spans="2:8" ht="16.5" thickBot="1" x14ac:dyDescent="0.3">
      <c r="B16" s="93" t="s">
        <v>15</v>
      </c>
      <c r="C16" s="99"/>
      <c r="D16" s="99"/>
      <c r="E16" s="95">
        <f>+E15/B17</f>
        <v>3.3929115399640723E-3</v>
      </c>
      <c r="F16" s="93"/>
    </row>
    <row r="17" spans="2:6" ht="15.75" x14ac:dyDescent="0.25">
      <c r="B17" s="94">
        <f>'W.B. Input Data'!C8</f>
        <v>140404.16854371101</v>
      </c>
      <c r="C17" s="92"/>
      <c r="D17" s="92"/>
      <c r="E17" s="92" t="s">
        <v>2</v>
      </c>
      <c r="F17" s="93"/>
    </row>
    <row r="18" spans="2:6" ht="15.75" x14ac:dyDescent="0.25">
      <c r="B18" s="98"/>
      <c r="C18" s="93"/>
      <c r="D18" s="93" t="s">
        <v>16</v>
      </c>
      <c r="E18" s="94">
        <f>'W.B. Input Data'!C44</f>
        <v>0</v>
      </c>
      <c r="F18" s="93" t="s">
        <v>17</v>
      </c>
    </row>
    <row r="19" spans="2:6" ht="16.5" thickBot="1" x14ac:dyDescent="0.3">
      <c r="B19" s="100"/>
      <c r="C19" s="93"/>
      <c r="D19" s="93" t="s">
        <v>18</v>
      </c>
      <c r="E19" s="101">
        <f>+E18/B17</f>
        <v>0</v>
      </c>
      <c r="F19" s="93" t="s">
        <v>11</v>
      </c>
    </row>
    <row r="20" spans="2:6" ht="15.75" x14ac:dyDescent="0.25">
      <c r="B20" s="93"/>
      <c r="C20" s="93"/>
      <c r="D20" s="94">
        <f>+E18+E21</f>
        <v>0</v>
      </c>
      <c r="E20" s="92" t="s">
        <v>19</v>
      </c>
      <c r="F20" s="94">
        <f>+E12+E15+E18+E21+E24+E27</f>
        <v>16399.168543711014</v>
      </c>
    </row>
    <row r="21" spans="2:6" ht="15.75" x14ac:dyDescent="0.25">
      <c r="B21" s="93"/>
      <c r="C21" s="93" t="s">
        <v>11</v>
      </c>
      <c r="D21" s="102">
        <f>+D20/B17</f>
        <v>0</v>
      </c>
      <c r="E21" s="94">
        <f>'W.B. Input Data'!C46</f>
        <v>0</v>
      </c>
      <c r="F21" s="98">
        <f>+F20/B17</f>
        <v>0.11679972691555507</v>
      </c>
    </row>
    <row r="22" spans="2:6" ht="16.5" thickBot="1" x14ac:dyDescent="0.3">
      <c r="B22" s="93"/>
      <c r="C22" s="93" t="s">
        <v>20</v>
      </c>
      <c r="D22" s="99"/>
      <c r="E22" s="102">
        <f>+E21/B17</f>
        <v>0</v>
      </c>
      <c r="F22" s="98"/>
    </row>
    <row r="23" spans="2:6" ht="15.75" x14ac:dyDescent="0.25">
      <c r="B23" s="93"/>
      <c r="C23" s="94">
        <f>+B17-C11</f>
        <v>15842.789619999996</v>
      </c>
      <c r="D23" s="103"/>
      <c r="E23" s="92" t="s">
        <v>3</v>
      </c>
      <c r="F23" s="104"/>
    </row>
    <row r="24" spans="2:6" ht="15.75" x14ac:dyDescent="0.25">
      <c r="B24" s="93"/>
      <c r="C24" s="98">
        <f>+C23/B17</f>
        <v>0.11283703172294186</v>
      </c>
      <c r="D24" s="105" t="s">
        <v>21</v>
      </c>
      <c r="E24" s="94">
        <f>'W.B. Input Data'!C49</f>
        <v>302.74577999999997</v>
      </c>
      <c r="F24" s="104"/>
    </row>
    <row r="25" spans="2:6" ht="16.5" thickBot="1" x14ac:dyDescent="0.3">
      <c r="B25" s="93"/>
      <c r="C25" s="93"/>
      <c r="D25" s="105" t="s">
        <v>20</v>
      </c>
      <c r="E25" s="95">
        <f>+E24/B17</f>
        <v>2.1562449544063811E-3</v>
      </c>
      <c r="F25" s="104"/>
    </row>
    <row r="26" spans="2:6" ht="15.75" x14ac:dyDescent="0.25">
      <c r="B26" s="93"/>
      <c r="C26" s="93"/>
      <c r="D26" s="106">
        <f>+C23-D20</f>
        <v>15842.789619999996</v>
      </c>
      <c r="E26" s="107" t="s">
        <v>4</v>
      </c>
      <c r="F26" s="104"/>
    </row>
    <row r="27" spans="2:6" ht="15.75" x14ac:dyDescent="0.25">
      <c r="B27" s="93"/>
      <c r="C27" s="93"/>
      <c r="D27" s="108">
        <f>+D26/B17</f>
        <v>0.11283703172294186</v>
      </c>
      <c r="E27" s="109">
        <f>+D26-E24</f>
        <v>15540.043839999997</v>
      </c>
      <c r="F27" s="104"/>
    </row>
    <row r="28" spans="2:6" ht="16.5" thickBot="1" x14ac:dyDescent="0.3">
      <c r="B28" s="99"/>
      <c r="C28" s="99"/>
      <c r="D28" s="110"/>
      <c r="E28" s="95">
        <f>+E27/B17</f>
        <v>0.11068078676853549</v>
      </c>
      <c r="F28" s="111"/>
    </row>
    <row r="29" spans="2:6" x14ac:dyDescent="0.25">
      <c r="B29" s="96"/>
      <c r="C29" s="96"/>
      <c r="D29" s="96"/>
    </row>
    <row r="30" spans="2:6" x14ac:dyDescent="0.25">
      <c r="C30" s="96"/>
    </row>
  </sheetData>
  <sheetProtection selectLockedCells="1" selectUnlockedCells="1"/>
  <pageMargins left="0.5" right="0.5" top="1.05" bottom="0.25" header="0.05" footer="0.05"/>
  <pageSetup scale="95" orientation="landscape" horizontalDpi="4294967294" verticalDpi="144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8"/>
  <sheetViews>
    <sheetView topLeftCell="A9" workbookViewId="0">
      <selection activeCell="N45" sqref="N45"/>
    </sheetView>
  </sheetViews>
  <sheetFormatPr defaultRowHeight="15.75" x14ac:dyDescent="0.25"/>
  <cols>
    <col min="1" max="1" width="10.875" customWidth="1"/>
  </cols>
  <sheetData>
    <row r="1" spans="1:11" x14ac:dyDescent="0.25">
      <c r="A1" s="162" t="s">
        <v>185</v>
      </c>
      <c r="B1" s="45"/>
      <c r="C1" s="45"/>
      <c r="D1" s="45"/>
      <c r="E1" s="45"/>
      <c r="F1" s="45"/>
      <c r="G1" s="45"/>
      <c r="H1" s="45"/>
      <c r="I1" s="45"/>
      <c r="J1" s="45"/>
    </row>
    <row r="2" spans="1:11" x14ac:dyDescent="0.25">
      <c r="A2" s="163"/>
      <c r="B2" s="474" t="s">
        <v>189</v>
      </c>
      <c r="C2" s="474"/>
      <c r="D2" s="474" t="s">
        <v>190</v>
      </c>
      <c r="E2" s="474"/>
      <c r="F2" s="474" t="s">
        <v>191</v>
      </c>
      <c r="G2" s="474"/>
      <c r="H2" s="474" t="s">
        <v>192</v>
      </c>
      <c r="I2" s="474"/>
      <c r="J2" s="474" t="s">
        <v>193</v>
      </c>
      <c r="K2" s="474"/>
    </row>
    <row r="3" spans="1:11" x14ac:dyDescent="0.25">
      <c r="A3" s="164" t="s">
        <v>186</v>
      </c>
      <c r="B3" s="164" t="s">
        <v>187</v>
      </c>
      <c r="C3" s="164" t="s">
        <v>188</v>
      </c>
      <c r="D3" s="164" t="s">
        <v>187</v>
      </c>
      <c r="E3" s="164" t="s">
        <v>188</v>
      </c>
      <c r="F3" s="164" t="s">
        <v>187</v>
      </c>
      <c r="G3" s="164" t="s">
        <v>188</v>
      </c>
      <c r="H3" s="164" t="s">
        <v>187</v>
      </c>
      <c r="I3" s="164" t="s">
        <v>188</v>
      </c>
      <c r="J3" s="164" t="s">
        <v>187</v>
      </c>
      <c r="K3" s="164" t="s">
        <v>188</v>
      </c>
    </row>
    <row r="4" spans="1:11" x14ac:dyDescent="0.25">
      <c r="A4" s="174">
        <v>44011</v>
      </c>
      <c r="B4" s="159">
        <v>30</v>
      </c>
      <c r="C4" s="159">
        <v>70</v>
      </c>
      <c r="D4" s="159">
        <v>30</v>
      </c>
      <c r="E4" s="159">
        <v>77</v>
      </c>
      <c r="F4" s="159">
        <v>48</v>
      </c>
      <c r="G4" s="159">
        <v>85</v>
      </c>
      <c r="H4" s="159">
        <v>45</v>
      </c>
      <c r="I4" s="159">
        <v>88</v>
      </c>
      <c r="J4" s="159">
        <v>40</v>
      </c>
      <c r="K4" s="159">
        <v>70</v>
      </c>
    </row>
    <row r="5" spans="1:11" x14ac:dyDescent="0.25">
      <c r="A5" s="174">
        <f>A4+1</f>
        <v>44012</v>
      </c>
      <c r="B5" s="159">
        <v>35</v>
      </c>
      <c r="C5" s="159">
        <v>70</v>
      </c>
      <c r="D5" s="159">
        <v>30</v>
      </c>
      <c r="E5" s="159">
        <v>78</v>
      </c>
      <c r="F5" s="159">
        <v>40</v>
      </c>
      <c r="G5" s="159">
        <v>80</v>
      </c>
      <c r="H5" s="159">
        <v>45</v>
      </c>
      <c r="I5" s="159">
        <v>82</v>
      </c>
      <c r="J5" s="159">
        <v>45</v>
      </c>
      <c r="K5" s="159">
        <v>70</v>
      </c>
    </row>
    <row r="6" spans="1:11" x14ac:dyDescent="0.25">
      <c r="A6" s="174">
        <v>44013</v>
      </c>
      <c r="B6" s="159">
        <v>32</v>
      </c>
      <c r="C6" s="159">
        <v>70</v>
      </c>
      <c r="D6" s="159">
        <v>45</v>
      </c>
      <c r="E6" s="159">
        <v>78</v>
      </c>
      <c r="F6" s="159">
        <v>35</v>
      </c>
      <c r="G6" s="159">
        <v>80</v>
      </c>
      <c r="H6" s="159">
        <v>63</v>
      </c>
      <c r="I6" s="159">
        <v>88</v>
      </c>
      <c r="J6" s="159">
        <v>40</v>
      </c>
      <c r="K6" s="159">
        <v>72</v>
      </c>
    </row>
    <row r="7" spans="1:11" x14ac:dyDescent="0.25">
      <c r="A7" s="174">
        <v>44014</v>
      </c>
      <c r="B7" s="159">
        <v>60</v>
      </c>
      <c r="C7" s="159">
        <v>70</v>
      </c>
      <c r="D7" s="159">
        <v>25</v>
      </c>
      <c r="E7" s="159">
        <v>73</v>
      </c>
      <c r="F7" s="159">
        <v>35</v>
      </c>
      <c r="G7" s="159">
        <v>80</v>
      </c>
      <c r="H7" s="159">
        <v>35</v>
      </c>
      <c r="I7" s="159">
        <v>86</v>
      </c>
      <c r="J7" s="159">
        <v>32</v>
      </c>
      <c r="K7" s="159">
        <v>70</v>
      </c>
    </row>
    <row r="8" spans="1:11" x14ac:dyDescent="0.25">
      <c r="A8" s="174">
        <v>44015</v>
      </c>
      <c r="B8" s="160">
        <v>50</v>
      </c>
      <c r="C8" s="160">
        <v>70</v>
      </c>
      <c r="D8" s="160">
        <v>26</v>
      </c>
      <c r="E8" s="160">
        <v>75</v>
      </c>
      <c r="F8" s="160">
        <v>45</v>
      </c>
      <c r="G8" s="160">
        <v>95</v>
      </c>
      <c r="H8" s="160">
        <v>48</v>
      </c>
      <c r="I8" s="160">
        <v>85</v>
      </c>
      <c r="J8" s="160">
        <v>35</v>
      </c>
      <c r="K8" s="160">
        <v>70</v>
      </c>
    </row>
    <row r="9" spans="1:11" x14ac:dyDescent="0.25">
      <c r="A9" s="174">
        <v>44016</v>
      </c>
      <c r="B9" s="160">
        <v>30</v>
      </c>
      <c r="C9" s="160">
        <v>70</v>
      </c>
      <c r="D9" s="160">
        <v>20</v>
      </c>
      <c r="E9" s="160">
        <v>80</v>
      </c>
      <c r="F9" s="160">
        <v>30</v>
      </c>
      <c r="G9" s="160">
        <v>100</v>
      </c>
      <c r="H9" s="160">
        <v>32</v>
      </c>
      <c r="I9" s="160">
        <v>85</v>
      </c>
      <c r="J9" s="160">
        <v>28</v>
      </c>
      <c r="K9" s="160">
        <v>72</v>
      </c>
    </row>
    <row r="10" spans="1:11" x14ac:dyDescent="0.25">
      <c r="A10" s="174">
        <f t="shared" ref="A10:A36" si="0">A9+1</f>
        <v>44017</v>
      </c>
      <c r="B10" s="160">
        <v>35</v>
      </c>
      <c r="C10" s="160">
        <v>70</v>
      </c>
      <c r="D10" s="160">
        <v>24</v>
      </c>
      <c r="E10" s="160">
        <v>77</v>
      </c>
      <c r="F10" s="160">
        <v>37</v>
      </c>
      <c r="G10" s="160">
        <v>85</v>
      </c>
      <c r="H10" s="160">
        <v>30</v>
      </c>
      <c r="I10" s="160">
        <v>80</v>
      </c>
      <c r="J10" s="160">
        <v>35</v>
      </c>
      <c r="K10" s="160">
        <v>70</v>
      </c>
    </row>
    <row r="11" spans="1:11" x14ac:dyDescent="0.25">
      <c r="A11" s="174">
        <f t="shared" si="0"/>
        <v>44018</v>
      </c>
      <c r="B11" s="160">
        <v>32</v>
      </c>
      <c r="C11" s="160">
        <v>70</v>
      </c>
      <c r="D11" s="160">
        <v>18</v>
      </c>
      <c r="E11" s="160">
        <v>80</v>
      </c>
      <c r="F11" s="160">
        <v>30</v>
      </c>
      <c r="G11" s="160">
        <v>85</v>
      </c>
      <c r="H11" s="160">
        <v>35</v>
      </c>
      <c r="I11" s="160">
        <v>85</v>
      </c>
      <c r="J11" s="160">
        <v>30</v>
      </c>
      <c r="K11" s="160">
        <v>72</v>
      </c>
    </row>
    <row r="12" spans="1:11" x14ac:dyDescent="0.25">
      <c r="A12" s="174">
        <f t="shared" si="0"/>
        <v>44019</v>
      </c>
      <c r="B12" s="160">
        <v>32</v>
      </c>
      <c r="C12" s="289">
        <v>70</v>
      </c>
      <c r="D12" s="160">
        <v>35</v>
      </c>
      <c r="E12" s="160">
        <v>78</v>
      </c>
      <c r="F12" s="160">
        <v>33</v>
      </c>
      <c r="G12" s="160">
        <v>80</v>
      </c>
      <c r="H12" s="160">
        <v>38</v>
      </c>
      <c r="I12" s="160">
        <v>83</v>
      </c>
      <c r="J12" s="160">
        <v>30</v>
      </c>
      <c r="K12" s="160">
        <v>70</v>
      </c>
    </row>
    <row r="13" spans="1:11" x14ac:dyDescent="0.25">
      <c r="A13" s="174">
        <f t="shared" si="0"/>
        <v>44020</v>
      </c>
      <c r="B13" s="160">
        <v>33</v>
      </c>
      <c r="C13" s="160">
        <v>70</v>
      </c>
      <c r="D13" s="160">
        <v>18</v>
      </c>
      <c r="E13" s="160">
        <v>75</v>
      </c>
      <c r="F13" s="160">
        <v>33</v>
      </c>
      <c r="G13" s="160">
        <v>90</v>
      </c>
      <c r="H13" s="160">
        <v>35</v>
      </c>
      <c r="I13" s="160">
        <v>80</v>
      </c>
      <c r="J13" s="159">
        <v>30</v>
      </c>
      <c r="K13" s="159">
        <v>72</v>
      </c>
    </row>
    <row r="14" spans="1:11" x14ac:dyDescent="0.25">
      <c r="A14" s="174">
        <f t="shared" si="0"/>
        <v>44021</v>
      </c>
      <c r="B14" s="159">
        <v>45</v>
      </c>
      <c r="C14" s="159">
        <v>70</v>
      </c>
      <c r="D14" s="159">
        <v>20</v>
      </c>
      <c r="E14" s="159">
        <v>78</v>
      </c>
      <c r="F14" s="159">
        <v>28</v>
      </c>
      <c r="G14" s="159">
        <v>85</v>
      </c>
      <c r="H14" s="159">
        <v>40</v>
      </c>
      <c r="I14" s="159">
        <v>80</v>
      </c>
      <c r="J14" s="159">
        <v>30</v>
      </c>
      <c r="K14" s="159">
        <v>70</v>
      </c>
    </row>
    <row r="15" spans="1:11" x14ac:dyDescent="0.25">
      <c r="A15" s="174">
        <f t="shared" si="0"/>
        <v>44022</v>
      </c>
      <c r="B15" s="159">
        <v>36</v>
      </c>
      <c r="C15" s="159">
        <v>70</v>
      </c>
      <c r="D15" s="159">
        <v>20</v>
      </c>
      <c r="E15" s="159">
        <v>78</v>
      </c>
      <c r="F15" s="159">
        <v>28</v>
      </c>
      <c r="G15" s="159">
        <v>85</v>
      </c>
      <c r="H15" s="159">
        <v>50</v>
      </c>
      <c r="I15" s="159">
        <v>80</v>
      </c>
      <c r="J15" s="159">
        <v>30</v>
      </c>
      <c r="K15" s="159">
        <v>70</v>
      </c>
    </row>
    <row r="16" spans="1:11" x14ac:dyDescent="0.25">
      <c r="A16" s="174">
        <f t="shared" si="0"/>
        <v>44023</v>
      </c>
      <c r="B16" s="159">
        <v>35</v>
      </c>
      <c r="C16" s="159">
        <v>70</v>
      </c>
      <c r="D16" s="159">
        <v>20</v>
      </c>
      <c r="E16" s="159">
        <v>75</v>
      </c>
      <c r="F16" s="159">
        <v>40</v>
      </c>
      <c r="G16" s="159">
        <v>85</v>
      </c>
      <c r="H16" s="159">
        <v>30</v>
      </c>
      <c r="I16" s="159">
        <v>85</v>
      </c>
      <c r="J16" s="159">
        <v>28</v>
      </c>
      <c r="K16" s="159">
        <v>70</v>
      </c>
    </row>
    <row r="17" spans="1:11" x14ac:dyDescent="0.25">
      <c r="A17" s="174">
        <f t="shared" si="0"/>
        <v>44024</v>
      </c>
      <c r="B17" s="159">
        <v>30</v>
      </c>
      <c r="C17" s="159">
        <v>70</v>
      </c>
      <c r="D17" s="159">
        <v>18</v>
      </c>
      <c r="E17" s="159">
        <v>75</v>
      </c>
      <c r="F17" s="159">
        <v>38</v>
      </c>
      <c r="G17" s="159">
        <v>95</v>
      </c>
      <c r="H17" s="159">
        <v>30</v>
      </c>
      <c r="I17" s="159">
        <v>85</v>
      </c>
      <c r="J17" s="159">
        <v>30</v>
      </c>
      <c r="K17" s="159">
        <v>72</v>
      </c>
    </row>
    <row r="18" spans="1:11" x14ac:dyDescent="0.25">
      <c r="A18" s="174">
        <f t="shared" si="0"/>
        <v>44025</v>
      </c>
      <c r="B18" s="159">
        <v>60</v>
      </c>
      <c r="C18" s="159">
        <v>70</v>
      </c>
      <c r="D18" s="159">
        <v>20</v>
      </c>
      <c r="E18" s="159">
        <v>77</v>
      </c>
      <c r="F18" s="159">
        <v>35</v>
      </c>
      <c r="G18" s="159">
        <v>95</v>
      </c>
      <c r="H18" s="159">
        <v>35</v>
      </c>
      <c r="I18" s="159">
        <v>60</v>
      </c>
      <c r="J18" s="159">
        <v>40</v>
      </c>
      <c r="K18" s="159">
        <v>72</v>
      </c>
    </row>
    <row r="19" spans="1:11" x14ac:dyDescent="0.25">
      <c r="A19" s="174">
        <f t="shared" si="0"/>
        <v>44026</v>
      </c>
      <c r="B19" s="159">
        <v>30</v>
      </c>
      <c r="C19" s="159">
        <v>70</v>
      </c>
      <c r="D19" s="159">
        <v>50</v>
      </c>
      <c r="E19" s="159">
        <v>80</v>
      </c>
      <c r="F19" s="159">
        <v>45</v>
      </c>
      <c r="G19" s="159">
        <v>90</v>
      </c>
      <c r="H19" s="159">
        <v>65</v>
      </c>
      <c r="I19" s="159">
        <v>85</v>
      </c>
      <c r="J19" s="159">
        <v>40</v>
      </c>
      <c r="K19" s="159">
        <v>72</v>
      </c>
    </row>
    <row r="20" spans="1:11" x14ac:dyDescent="0.25">
      <c r="A20" s="174">
        <f t="shared" si="0"/>
        <v>44027</v>
      </c>
      <c r="B20" s="159">
        <v>42</v>
      </c>
      <c r="C20" s="159">
        <v>70</v>
      </c>
      <c r="D20" s="159">
        <v>18</v>
      </c>
      <c r="E20" s="159">
        <v>77</v>
      </c>
      <c r="F20" s="159">
        <v>30</v>
      </c>
      <c r="G20" s="159">
        <v>85</v>
      </c>
      <c r="H20" s="159">
        <v>35</v>
      </c>
      <c r="I20" s="159">
        <v>86</v>
      </c>
      <c r="J20" s="159">
        <v>35</v>
      </c>
      <c r="K20" s="159">
        <v>72</v>
      </c>
    </row>
    <row r="21" spans="1:11" x14ac:dyDescent="0.25">
      <c r="A21" s="174">
        <f t="shared" si="0"/>
        <v>44028</v>
      </c>
      <c r="B21" s="159">
        <v>40</v>
      </c>
      <c r="C21" s="159">
        <v>70</v>
      </c>
      <c r="D21" s="159">
        <v>20</v>
      </c>
      <c r="E21" s="159">
        <v>82</v>
      </c>
      <c r="F21" s="159">
        <v>36</v>
      </c>
      <c r="G21" s="159">
        <v>85</v>
      </c>
      <c r="H21" s="159">
        <v>42</v>
      </c>
      <c r="I21" s="159">
        <v>90</v>
      </c>
      <c r="J21" s="159">
        <v>35</v>
      </c>
      <c r="K21" s="159">
        <v>72</v>
      </c>
    </row>
    <row r="22" spans="1:11" x14ac:dyDescent="0.25">
      <c r="A22" s="174">
        <f t="shared" si="0"/>
        <v>44029</v>
      </c>
      <c r="B22" s="159">
        <v>30</v>
      </c>
      <c r="C22" s="159">
        <v>70</v>
      </c>
      <c r="D22" s="159">
        <v>35</v>
      </c>
      <c r="E22" s="159">
        <v>80</v>
      </c>
      <c r="F22" s="159">
        <v>45</v>
      </c>
      <c r="G22" s="159">
        <v>90</v>
      </c>
      <c r="H22" s="159">
        <v>40</v>
      </c>
      <c r="I22" s="159">
        <v>90</v>
      </c>
      <c r="J22" s="159">
        <v>30</v>
      </c>
      <c r="K22" s="159">
        <v>72</v>
      </c>
    </row>
    <row r="23" spans="1:11" x14ac:dyDescent="0.25">
      <c r="A23" s="174">
        <f t="shared" si="0"/>
        <v>44030</v>
      </c>
      <c r="B23" s="159">
        <v>35</v>
      </c>
      <c r="C23" s="159">
        <v>70</v>
      </c>
      <c r="D23" s="159">
        <v>17</v>
      </c>
      <c r="E23" s="159">
        <v>78</v>
      </c>
      <c r="F23" s="159">
        <v>33</v>
      </c>
      <c r="G23" s="159">
        <v>85</v>
      </c>
      <c r="H23" s="159">
        <v>32</v>
      </c>
      <c r="I23" s="159">
        <v>90</v>
      </c>
      <c r="J23" s="159">
        <v>29</v>
      </c>
      <c r="K23" s="159">
        <v>72</v>
      </c>
    </row>
    <row r="24" spans="1:11" x14ac:dyDescent="0.25">
      <c r="A24" s="174">
        <f t="shared" si="0"/>
        <v>44031</v>
      </c>
      <c r="B24" s="159">
        <v>35</v>
      </c>
      <c r="C24" s="159">
        <v>70</v>
      </c>
      <c r="D24" s="159">
        <v>20</v>
      </c>
      <c r="E24" s="159">
        <v>80</v>
      </c>
      <c r="F24" s="159">
        <v>32</v>
      </c>
      <c r="G24" s="159">
        <v>85</v>
      </c>
      <c r="H24" s="159">
        <v>35</v>
      </c>
      <c r="I24" s="159">
        <v>90</v>
      </c>
      <c r="J24" s="159">
        <v>28</v>
      </c>
      <c r="K24" s="159">
        <v>72</v>
      </c>
    </row>
    <row r="25" spans="1:11" x14ac:dyDescent="0.25">
      <c r="A25" s="174">
        <f t="shared" si="0"/>
        <v>44032</v>
      </c>
      <c r="B25" s="159">
        <v>35</v>
      </c>
      <c r="C25" s="159">
        <v>70</v>
      </c>
      <c r="D25" s="159">
        <v>18</v>
      </c>
      <c r="E25" s="159">
        <v>75</v>
      </c>
      <c r="F25" s="159">
        <v>30</v>
      </c>
      <c r="G25" s="159">
        <v>95</v>
      </c>
      <c r="H25" s="159">
        <v>35</v>
      </c>
      <c r="I25" s="159">
        <v>88</v>
      </c>
      <c r="J25" s="159">
        <v>30</v>
      </c>
      <c r="K25" s="159">
        <v>72</v>
      </c>
    </row>
    <row r="26" spans="1:11" x14ac:dyDescent="0.25">
      <c r="A26" s="174">
        <f t="shared" si="0"/>
        <v>44033</v>
      </c>
      <c r="B26" s="159">
        <v>42</v>
      </c>
      <c r="C26" s="159">
        <v>70</v>
      </c>
      <c r="D26" s="159">
        <v>19</v>
      </c>
      <c r="E26" s="159">
        <v>78</v>
      </c>
      <c r="F26" s="159">
        <v>32</v>
      </c>
      <c r="G26" s="159">
        <v>92</v>
      </c>
      <c r="H26" s="159">
        <v>34</v>
      </c>
      <c r="I26" s="159">
        <v>90</v>
      </c>
      <c r="J26" s="159">
        <v>30</v>
      </c>
      <c r="K26" s="159">
        <v>72</v>
      </c>
    </row>
    <row r="27" spans="1:11" x14ac:dyDescent="0.25">
      <c r="A27" s="174">
        <f t="shared" si="0"/>
        <v>44034</v>
      </c>
      <c r="B27" s="159">
        <v>24</v>
      </c>
      <c r="C27" s="159">
        <v>70</v>
      </c>
      <c r="D27" s="159">
        <v>25</v>
      </c>
      <c r="E27" s="159">
        <v>80</v>
      </c>
      <c r="F27" s="159">
        <v>40</v>
      </c>
      <c r="G27" s="159">
        <v>85</v>
      </c>
      <c r="H27" s="159">
        <v>40</v>
      </c>
      <c r="I27" s="159">
        <v>85</v>
      </c>
      <c r="J27" s="159">
        <v>40</v>
      </c>
      <c r="K27" s="159">
        <v>70</v>
      </c>
    </row>
    <row r="28" spans="1:11" x14ac:dyDescent="0.25">
      <c r="A28" s="174">
        <f t="shared" si="0"/>
        <v>44035</v>
      </c>
      <c r="B28" s="159">
        <v>33</v>
      </c>
      <c r="C28" s="159">
        <v>70</v>
      </c>
      <c r="D28" s="159">
        <v>16</v>
      </c>
      <c r="E28" s="159">
        <v>80</v>
      </c>
      <c r="F28" s="159">
        <v>35</v>
      </c>
      <c r="G28" s="159">
        <v>95</v>
      </c>
      <c r="H28" s="159">
        <v>28</v>
      </c>
      <c r="I28" s="159">
        <v>85</v>
      </c>
      <c r="J28" s="159">
        <v>28</v>
      </c>
      <c r="K28" s="159">
        <v>72</v>
      </c>
    </row>
    <row r="29" spans="1:11" x14ac:dyDescent="0.25">
      <c r="A29" s="174">
        <f t="shared" si="0"/>
        <v>44036</v>
      </c>
      <c r="B29" s="159">
        <v>30</v>
      </c>
      <c r="C29" s="159">
        <v>70</v>
      </c>
      <c r="D29" s="159">
        <v>22</v>
      </c>
      <c r="E29" s="159">
        <v>78</v>
      </c>
      <c r="F29" s="159">
        <v>37</v>
      </c>
      <c r="G29" s="159">
        <v>100</v>
      </c>
      <c r="H29" s="159">
        <v>37</v>
      </c>
      <c r="I29" s="159">
        <v>88</v>
      </c>
      <c r="J29" s="159">
        <v>32</v>
      </c>
      <c r="K29" s="159">
        <v>70</v>
      </c>
    </row>
    <row r="30" spans="1:11" x14ac:dyDescent="0.25">
      <c r="A30" s="174">
        <f t="shared" si="0"/>
        <v>44037</v>
      </c>
      <c r="B30" s="159">
        <v>30</v>
      </c>
      <c r="C30" s="159">
        <v>70</v>
      </c>
      <c r="D30" s="159">
        <v>25</v>
      </c>
      <c r="E30" s="159">
        <v>75</v>
      </c>
      <c r="F30" s="159">
        <v>35</v>
      </c>
      <c r="G30" s="159">
        <v>90</v>
      </c>
      <c r="H30" s="159">
        <v>40</v>
      </c>
      <c r="I30" s="159">
        <v>85</v>
      </c>
      <c r="J30" s="159">
        <v>30</v>
      </c>
      <c r="K30" s="159">
        <v>70</v>
      </c>
    </row>
    <row r="31" spans="1:11" x14ac:dyDescent="0.25">
      <c r="A31" s="174">
        <f t="shared" si="0"/>
        <v>44038</v>
      </c>
      <c r="B31" s="159">
        <v>33</v>
      </c>
      <c r="C31" s="159">
        <v>70</v>
      </c>
      <c r="D31" s="159">
        <v>15</v>
      </c>
      <c r="E31" s="159">
        <v>78</v>
      </c>
      <c r="F31" s="159">
        <v>35</v>
      </c>
      <c r="G31" s="159">
        <v>85</v>
      </c>
      <c r="H31" s="159">
        <v>30</v>
      </c>
      <c r="I31" s="159">
        <v>85</v>
      </c>
      <c r="J31" s="159">
        <v>28</v>
      </c>
      <c r="K31" s="159">
        <v>70</v>
      </c>
    </row>
    <row r="32" spans="1:11" x14ac:dyDescent="0.25">
      <c r="A32" s="174">
        <f t="shared" si="0"/>
        <v>44039</v>
      </c>
      <c r="B32" s="154">
        <v>38</v>
      </c>
      <c r="C32" s="154">
        <v>70</v>
      </c>
      <c r="D32" s="154">
        <v>15</v>
      </c>
      <c r="E32" s="154">
        <v>79</v>
      </c>
      <c r="F32" s="154">
        <v>35</v>
      </c>
      <c r="G32" s="154">
        <v>95</v>
      </c>
      <c r="H32" s="159">
        <v>35</v>
      </c>
      <c r="I32" s="159">
        <v>90</v>
      </c>
      <c r="J32" s="159">
        <v>25</v>
      </c>
      <c r="K32" s="159">
        <v>70</v>
      </c>
    </row>
    <row r="33" spans="1:11" x14ac:dyDescent="0.25">
      <c r="A33" s="174">
        <f t="shared" si="0"/>
        <v>44040</v>
      </c>
      <c r="B33" s="159">
        <v>35</v>
      </c>
      <c r="C33" s="159">
        <v>70</v>
      </c>
      <c r="D33" s="159">
        <v>20</v>
      </c>
      <c r="E33" s="159">
        <v>77</v>
      </c>
      <c r="F33" s="159">
        <v>33</v>
      </c>
      <c r="G33" s="159">
        <v>90</v>
      </c>
      <c r="H33" s="154">
        <v>30</v>
      </c>
      <c r="I33" s="154">
        <v>90</v>
      </c>
      <c r="J33" s="159">
        <v>40</v>
      </c>
      <c r="K33" s="159">
        <v>70</v>
      </c>
    </row>
    <row r="34" spans="1:11" x14ac:dyDescent="0.25">
      <c r="A34" s="174">
        <f t="shared" si="0"/>
        <v>44041</v>
      </c>
      <c r="B34" s="159">
        <v>40</v>
      </c>
      <c r="C34" s="159">
        <v>70</v>
      </c>
      <c r="D34" s="159">
        <v>20</v>
      </c>
      <c r="E34" s="159">
        <v>75</v>
      </c>
      <c r="F34" s="159">
        <v>30</v>
      </c>
      <c r="G34" s="159">
        <v>95</v>
      </c>
      <c r="H34" s="159">
        <v>35</v>
      </c>
      <c r="I34" s="159">
        <v>88</v>
      </c>
      <c r="J34" s="159"/>
      <c r="K34" s="159"/>
    </row>
    <row r="35" spans="1:11" x14ac:dyDescent="0.25">
      <c r="A35" s="174">
        <f t="shared" si="0"/>
        <v>44042</v>
      </c>
      <c r="B35" s="159">
        <v>40</v>
      </c>
      <c r="C35" s="159">
        <v>70</v>
      </c>
      <c r="D35" s="159">
        <v>30</v>
      </c>
      <c r="E35" s="159">
        <v>80</v>
      </c>
      <c r="F35" s="159">
        <v>48</v>
      </c>
      <c r="G35" s="159">
        <v>95</v>
      </c>
      <c r="H35" s="159">
        <v>42</v>
      </c>
      <c r="I35" s="159">
        <v>88</v>
      </c>
      <c r="J35" s="159"/>
      <c r="K35" s="159"/>
    </row>
    <row r="36" spans="1:11" x14ac:dyDescent="0.25">
      <c r="A36" s="174">
        <f t="shared" si="0"/>
        <v>44043</v>
      </c>
      <c r="B36" s="159">
        <v>36</v>
      </c>
      <c r="C36" s="159">
        <v>70</v>
      </c>
      <c r="D36" s="159">
        <v>17</v>
      </c>
      <c r="E36" s="159">
        <v>78</v>
      </c>
      <c r="F36" s="54">
        <v>38</v>
      </c>
      <c r="G36" s="54">
        <v>90</v>
      </c>
      <c r="H36" s="54">
        <v>32</v>
      </c>
      <c r="I36" s="54">
        <v>90</v>
      </c>
      <c r="J36" s="54"/>
      <c r="K36" s="54"/>
    </row>
    <row r="37" spans="1:11" x14ac:dyDescent="0.25">
      <c r="A37" s="165"/>
      <c r="B37" s="155">
        <f>MIN(B4:B36)</f>
        <v>24</v>
      </c>
      <c r="C37" s="155">
        <f>MAX(C4:C36)</f>
        <v>70</v>
      </c>
      <c r="D37" s="155">
        <f>MIN(D4:D36)</f>
        <v>15</v>
      </c>
      <c r="E37" s="155">
        <f>MAX(E4:E36)</f>
        <v>82</v>
      </c>
      <c r="F37" s="155">
        <v>90</v>
      </c>
      <c r="G37" s="155">
        <f>MAX(G4:G36)</f>
        <v>100</v>
      </c>
      <c r="H37" s="155">
        <f>MIN(H4:H36)</f>
        <v>28</v>
      </c>
      <c r="I37" s="155">
        <f>MAX(I4:I36)</f>
        <v>90</v>
      </c>
      <c r="J37" s="155">
        <f>MIN(J4:J36)</f>
        <v>25</v>
      </c>
      <c r="K37" s="155">
        <f>MAX(K4:K36)</f>
        <v>72</v>
      </c>
    </row>
    <row r="38" spans="1:11" x14ac:dyDescent="0.25">
      <c r="A38" s="166"/>
      <c r="B38" s="53"/>
      <c r="C38" s="53"/>
      <c r="D38" s="53"/>
      <c r="E38" s="53"/>
      <c r="F38" s="53"/>
      <c r="G38" s="53"/>
      <c r="H38" s="53"/>
      <c r="I38" s="53"/>
      <c r="J38" s="53"/>
      <c r="K38" s="167"/>
    </row>
    <row r="39" spans="1:11" x14ac:dyDescent="0.25">
      <c r="A39" s="166" t="s">
        <v>196</v>
      </c>
      <c r="B39" s="170">
        <f>B37</f>
        <v>24</v>
      </c>
      <c r="C39" s="170">
        <f>C37</f>
        <v>70</v>
      </c>
      <c r="D39" s="53"/>
      <c r="E39" s="53"/>
      <c r="F39" s="53"/>
      <c r="G39" s="53"/>
      <c r="H39" s="53"/>
      <c r="I39" s="53"/>
      <c r="J39" s="53"/>
      <c r="K39" s="167"/>
    </row>
    <row r="40" spans="1:11" x14ac:dyDescent="0.25">
      <c r="A40" s="166" t="s">
        <v>197</v>
      </c>
      <c r="B40" s="171">
        <f>D37</f>
        <v>15</v>
      </c>
      <c r="C40" s="171">
        <f>E37</f>
        <v>82</v>
      </c>
      <c r="D40" s="168"/>
      <c r="E40" s="168"/>
      <c r="F40" s="168"/>
      <c r="G40" s="168"/>
      <c r="H40" s="168"/>
      <c r="I40" s="168"/>
      <c r="J40" s="168"/>
      <c r="K40" s="168"/>
    </row>
    <row r="41" spans="1:11" x14ac:dyDescent="0.25">
      <c r="A41" s="166" t="s">
        <v>198</v>
      </c>
      <c r="B41" s="172">
        <f>F37</f>
        <v>90</v>
      </c>
      <c r="C41" s="172">
        <f>G37</f>
        <v>100</v>
      </c>
      <c r="D41" s="45"/>
      <c r="E41" s="45"/>
      <c r="F41" s="45"/>
      <c r="G41" s="45"/>
      <c r="H41" s="45"/>
      <c r="I41" s="45"/>
      <c r="J41" s="45"/>
      <c r="K41" s="45"/>
    </row>
    <row r="42" spans="1:11" x14ac:dyDescent="0.25">
      <c r="A42" s="166" t="s">
        <v>199</v>
      </c>
      <c r="B42" s="172">
        <f>H37</f>
        <v>28</v>
      </c>
      <c r="C42" s="172">
        <f>I37</f>
        <v>90</v>
      </c>
      <c r="D42" s="45"/>
    </row>
    <row r="43" spans="1:11" x14ac:dyDescent="0.25">
      <c r="A43" s="166" t="s">
        <v>200</v>
      </c>
      <c r="B43" s="172">
        <f>J37</f>
        <v>25</v>
      </c>
      <c r="C43" s="172">
        <f>K37</f>
        <v>72</v>
      </c>
      <c r="D43" s="45"/>
    </row>
    <row r="44" spans="1:11" x14ac:dyDescent="0.25">
      <c r="A44" s="169" t="s">
        <v>195</v>
      </c>
      <c r="B44" s="173">
        <f>MIN(B39:B43)</f>
        <v>15</v>
      </c>
      <c r="C44" s="173">
        <f>MAX(C39:C43)</f>
        <v>100</v>
      </c>
      <c r="D44" s="45"/>
    </row>
    <row r="45" spans="1:11" x14ac:dyDescent="0.25">
      <c r="A45" s="169" t="s">
        <v>194</v>
      </c>
      <c r="B45" s="173">
        <f>SUM(B39:B43)/5</f>
        <v>36.4</v>
      </c>
      <c r="C45" s="173">
        <f>SUM(C39:C43)/5</f>
        <v>82.8</v>
      </c>
      <c r="D45" s="45"/>
    </row>
    <row r="46" spans="1:11" x14ac:dyDescent="0.25">
      <c r="A46" s="45"/>
      <c r="B46" s="45"/>
      <c r="C46" s="45"/>
      <c r="D46" s="45"/>
    </row>
    <row r="47" spans="1:11" x14ac:dyDescent="0.25">
      <c r="A47" s="45"/>
      <c r="B47" s="45"/>
      <c r="C47" s="45"/>
      <c r="D47" s="45"/>
    </row>
    <row r="48" spans="1:11" x14ac:dyDescent="0.25">
      <c r="A48" s="45"/>
      <c r="B48" s="45"/>
      <c r="C48" s="45"/>
      <c r="D48" s="45"/>
    </row>
  </sheetData>
  <mergeCells count="5">
    <mergeCell ref="B2:C2"/>
    <mergeCell ref="D2:E2"/>
    <mergeCell ref="F2:G2"/>
    <mergeCell ref="H2:I2"/>
    <mergeCell ref="J2:K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8"/>
  <sheetViews>
    <sheetView workbookViewId="0">
      <selection activeCell="C22" sqref="C22"/>
    </sheetView>
  </sheetViews>
  <sheetFormatPr defaultRowHeight="15" x14ac:dyDescent="0.25"/>
  <cols>
    <col min="1" max="4" width="9" style="115"/>
    <col min="5" max="5" width="12.125" style="115" customWidth="1"/>
    <col min="6" max="6" width="12.625" style="115" customWidth="1"/>
    <col min="7" max="16384" width="9" style="115"/>
  </cols>
  <sheetData>
    <row r="1" spans="1:8" ht="15.75" x14ac:dyDescent="0.25">
      <c r="A1" s="338" t="s">
        <v>160</v>
      </c>
      <c r="B1" s="339"/>
      <c r="C1" s="339"/>
      <c r="D1" s="339"/>
      <c r="E1" s="339"/>
      <c r="F1" s="339"/>
      <c r="G1" s="339"/>
      <c r="H1" s="340"/>
    </row>
    <row r="2" spans="1:8" ht="15.75" x14ac:dyDescent="0.25">
      <c r="A2" s="122"/>
      <c r="B2" s="123"/>
      <c r="C2" s="123"/>
      <c r="D2" s="123"/>
      <c r="E2" s="123"/>
      <c r="F2" s="123"/>
      <c r="G2" s="123"/>
      <c r="H2" s="124"/>
    </row>
    <row r="3" spans="1:8" ht="15.75" x14ac:dyDescent="0.25">
      <c r="A3" s="341" t="s">
        <v>157</v>
      </c>
      <c r="B3" s="342"/>
      <c r="C3" s="342"/>
      <c r="D3" s="342"/>
      <c r="E3" s="342"/>
      <c r="F3" s="342"/>
      <c r="G3" s="342"/>
      <c r="H3" s="343"/>
    </row>
    <row r="4" spans="1:8" x14ac:dyDescent="0.25">
      <c r="A4" s="125"/>
      <c r="B4" s="126"/>
      <c r="C4" s="126"/>
      <c r="D4" s="126"/>
      <c r="E4" s="126"/>
      <c r="F4" s="126"/>
      <c r="G4" s="126"/>
      <c r="H4" s="127"/>
    </row>
    <row r="5" spans="1:8" x14ac:dyDescent="0.25">
      <c r="A5" s="125"/>
      <c r="B5" s="126" t="s">
        <v>479</v>
      </c>
      <c r="C5" s="126"/>
      <c r="D5" s="126"/>
      <c r="E5" s="126"/>
      <c r="F5" s="128">
        <v>12112</v>
      </c>
      <c r="G5" s="126"/>
      <c r="H5" s="127"/>
    </row>
    <row r="6" spans="1:8" x14ac:dyDescent="0.25">
      <c r="A6" s="125"/>
      <c r="B6" s="126"/>
      <c r="C6" s="126"/>
      <c r="D6" s="126"/>
      <c r="E6" s="126"/>
      <c r="F6" s="126"/>
      <c r="G6" s="126"/>
      <c r="H6" s="127"/>
    </row>
    <row r="7" spans="1:8" x14ac:dyDescent="0.25">
      <c r="A7" s="125"/>
      <c r="B7" s="126" t="s">
        <v>158</v>
      </c>
      <c r="C7" s="126"/>
      <c r="D7" s="126"/>
      <c r="E7" s="126" t="s">
        <v>478</v>
      </c>
      <c r="F7" s="128">
        <f>5*24*31</f>
        <v>3720</v>
      </c>
      <c r="G7" s="126"/>
      <c r="H7" s="127"/>
    </row>
    <row r="8" spans="1:8" x14ac:dyDescent="0.25">
      <c r="A8" s="125"/>
      <c r="B8" s="126"/>
      <c r="C8" s="126"/>
      <c r="D8" s="126"/>
      <c r="E8" s="126"/>
      <c r="F8" s="126"/>
      <c r="G8" s="126"/>
      <c r="H8" s="127"/>
    </row>
    <row r="9" spans="1:8" x14ac:dyDescent="0.25">
      <c r="A9" s="125"/>
      <c r="B9" s="126"/>
      <c r="C9" s="126"/>
      <c r="D9" s="126"/>
      <c r="E9" s="126"/>
      <c r="F9" s="126"/>
      <c r="G9" s="126"/>
      <c r="H9" s="127"/>
    </row>
    <row r="10" spans="1:8" x14ac:dyDescent="0.25">
      <c r="A10" s="125"/>
      <c r="B10" s="344" t="s">
        <v>161</v>
      </c>
      <c r="C10" s="344"/>
      <c r="D10" s="344"/>
      <c r="E10" s="129" t="s">
        <v>162</v>
      </c>
      <c r="F10" s="129" t="s">
        <v>163</v>
      </c>
      <c r="G10" s="126"/>
      <c r="H10" s="127"/>
    </row>
    <row r="11" spans="1:8" x14ac:dyDescent="0.25">
      <c r="A11" s="125"/>
      <c r="B11" s="345" t="s">
        <v>164</v>
      </c>
      <c r="C11" s="345"/>
      <c r="D11" s="345"/>
      <c r="E11" s="129">
        <v>12112</v>
      </c>
      <c r="F11" s="130">
        <v>1</v>
      </c>
      <c r="G11" s="126"/>
      <c r="H11" s="127"/>
    </row>
    <row r="12" spans="1:8" x14ac:dyDescent="0.25">
      <c r="A12" s="125"/>
      <c r="B12" s="131"/>
      <c r="C12" s="132" t="s">
        <v>165</v>
      </c>
      <c r="D12" s="133"/>
      <c r="E12" s="134">
        <f>F7</f>
        <v>3720</v>
      </c>
      <c r="F12" s="135">
        <f>E12/E11</f>
        <v>0.30713342140026423</v>
      </c>
      <c r="G12" s="126"/>
      <c r="H12" s="127"/>
    </row>
    <row r="13" spans="1:8" x14ac:dyDescent="0.25">
      <c r="A13" s="125"/>
      <c r="B13" s="136"/>
      <c r="C13" s="141" t="s">
        <v>146</v>
      </c>
      <c r="D13" s="142"/>
      <c r="E13" s="143">
        <f>E11-E12</f>
        <v>8392</v>
      </c>
      <c r="F13" s="144">
        <f>E13/E11</f>
        <v>0.69286657859973577</v>
      </c>
      <c r="G13" s="126"/>
      <c r="H13" s="127"/>
    </row>
    <row r="14" spans="1:8" x14ac:dyDescent="0.25">
      <c r="A14" s="125"/>
      <c r="B14" s="126"/>
      <c r="C14" s="126"/>
      <c r="D14" s="126"/>
      <c r="E14" s="126"/>
      <c r="F14" s="126"/>
      <c r="G14" s="126"/>
      <c r="H14" s="127"/>
    </row>
    <row r="15" spans="1:8" x14ac:dyDescent="0.25">
      <c r="A15" s="137"/>
      <c r="B15" s="126"/>
      <c r="C15" s="126"/>
      <c r="D15" s="126"/>
      <c r="E15" s="126"/>
      <c r="F15" s="126"/>
      <c r="G15" s="126"/>
      <c r="H15" s="127"/>
    </row>
    <row r="16" spans="1:8" x14ac:dyDescent="0.25">
      <c r="A16" s="125"/>
      <c r="B16" s="126"/>
      <c r="C16" s="126"/>
      <c r="D16" s="126"/>
      <c r="E16" s="126"/>
      <c r="F16" s="126"/>
      <c r="G16" s="126"/>
      <c r="H16" s="127"/>
    </row>
    <row r="17" spans="1:8" x14ac:dyDescent="0.25">
      <c r="A17" s="125"/>
      <c r="B17" s="126"/>
      <c r="C17" s="126"/>
      <c r="D17" s="126"/>
      <c r="E17" s="126"/>
      <c r="F17" s="126"/>
      <c r="G17" s="126"/>
      <c r="H17" s="127"/>
    </row>
    <row r="18" spans="1:8" ht="15.75" thickBot="1" x14ac:dyDescent="0.3">
      <c r="A18" s="138"/>
      <c r="B18" s="139"/>
      <c r="C18" s="139"/>
      <c r="D18" s="139"/>
      <c r="E18" s="139"/>
      <c r="F18" s="139"/>
      <c r="G18" s="139"/>
      <c r="H18" s="140"/>
    </row>
  </sheetData>
  <mergeCells count="4">
    <mergeCell ref="A1:H1"/>
    <mergeCell ref="A3:H3"/>
    <mergeCell ref="B10:D10"/>
    <mergeCell ref="B11:D1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45"/>
  <sheetViews>
    <sheetView zoomScaleNormal="100" workbookViewId="0">
      <selection activeCell="J4" sqref="J4:L4"/>
    </sheetView>
  </sheetViews>
  <sheetFormatPr defaultRowHeight="15" x14ac:dyDescent="0.25"/>
  <cols>
    <col min="1" max="1" width="11.125" style="258" customWidth="1"/>
    <col min="2" max="3" width="8" style="258" customWidth="1"/>
    <col min="4" max="4" width="7" style="258" customWidth="1"/>
    <col min="5" max="5" width="0.875" style="258" customWidth="1"/>
    <col min="6" max="7" width="8" style="258" customWidth="1"/>
    <col min="8" max="8" width="7.75" style="258" customWidth="1"/>
    <col min="9" max="9" width="1.25" style="258" customWidth="1"/>
    <col min="10" max="11" width="8" style="258" customWidth="1"/>
    <col min="12" max="12" width="7.125" style="258" customWidth="1"/>
    <col min="13" max="13" width="1" style="258" customWidth="1"/>
    <col min="14" max="15" width="9" style="258"/>
    <col min="16" max="16" width="7.375" style="258" customWidth="1"/>
    <col min="17" max="17" width="1" style="258" customWidth="1"/>
    <col min="18" max="19" width="9" style="258"/>
    <col min="20" max="20" width="7.625" style="258" customWidth="1"/>
    <col min="21" max="21" width="1.125" style="258" customWidth="1"/>
    <col min="22" max="23" width="9" style="258"/>
    <col min="24" max="24" width="7.5" style="258" customWidth="1"/>
    <col min="25" max="16384" width="9" style="258"/>
  </cols>
  <sheetData>
    <row r="1" spans="1:24" x14ac:dyDescent="0.25">
      <c r="A1" s="297" t="s">
        <v>287</v>
      </c>
      <c r="B1" s="297"/>
      <c r="C1" s="297"/>
      <c r="D1" s="297"/>
      <c r="E1" s="297"/>
      <c r="F1" s="297"/>
      <c r="G1" s="297"/>
      <c r="H1" s="297"/>
      <c r="I1" s="297"/>
      <c r="J1" s="297"/>
      <c r="K1" s="297"/>
      <c r="L1" s="297"/>
      <c r="M1" s="297"/>
      <c r="N1" s="297"/>
      <c r="O1" s="297"/>
      <c r="P1" s="297"/>
      <c r="Q1" s="297"/>
      <c r="R1" s="297"/>
      <c r="S1" s="297"/>
      <c r="T1" s="297"/>
      <c r="U1" s="297"/>
      <c r="V1" s="297"/>
      <c r="W1" s="297"/>
      <c r="X1" s="297"/>
    </row>
    <row r="2" spans="1:24" x14ac:dyDescent="0.25">
      <c r="A2" s="297" t="s">
        <v>321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  <c r="S2" s="297"/>
      <c r="T2" s="297"/>
      <c r="U2" s="297"/>
      <c r="V2" s="297"/>
      <c r="W2" s="297"/>
      <c r="X2" s="297"/>
    </row>
    <row r="3" spans="1:24" x14ac:dyDescent="0.25">
      <c r="A3" s="297"/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  <c r="R3" s="297"/>
      <c r="S3" s="297"/>
      <c r="T3" s="297"/>
      <c r="U3" s="297"/>
      <c r="V3" s="297"/>
      <c r="W3" s="297"/>
      <c r="X3" s="297"/>
    </row>
    <row r="4" spans="1:24" x14ac:dyDescent="0.25">
      <c r="A4" s="298"/>
      <c r="B4" s="346" t="s">
        <v>288</v>
      </c>
      <c r="C4" s="346"/>
      <c r="D4" s="346"/>
      <c r="E4" s="298"/>
      <c r="F4" s="346" t="s">
        <v>289</v>
      </c>
      <c r="G4" s="346"/>
      <c r="H4" s="346"/>
      <c r="I4" s="298"/>
      <c r="J4" s="346" t="s">
        <v>290</v>
      </c>
      <c r="K4" s="346"/>
      <c r="L4" s="346"/>
      <c r="M4" s="298"/>
      <c r="N4" s="346" t="s">
        <v>291</v>
      </c>
      <c r="O4" s="346"/>
      <c r="P4" s="346"/>
      <c r="Q4" s="298"/>
      <c r="R4" s="346" t="s">
        <v>292</v>
      </c>
      <c r="S4" s="346"/>
      <c r="T4" s="346"/>
      <c r="U4" s="298"/>
      <c r="V4" s="346" t="s">
        <v>293</v>
      </c>
      <c r="W4" s="346"/>
      <c r="X4" s="346"/>
    </row>
    <row r="5" spans="1:24" x14ac:dyDescent="0.25">
      <c r="A5" s="299" t="s">
        <v>77</v>
      </c>
      <c r="B5" s="299" t="s">
        <v>85</v>
      </c>
      <c r="C5" s="299" t="s">
        <v>167</v>
      </c>
      <c r="D5" s="299" t="s">
        <v>168</v>
      </c>
      <c r="E5" s="298"/>
      <c r="F5" s="299" t="s">
        <v>85</v>
      </c>
      <c r="G5" s="299" t="s">
        <v>167</v>
      </c>
      <c r="H5" s="299" t="s">
        <v>168</v>
      </c>
      <c r="I5" s="298"/>
      <c r="J5" s="299" t="s">
        <v>85</v>
      </c>
      <c r="K5" s="299" t="s">
        <v>167</v>
      </c>
      <c r="L5" s="299" t="s">
        <v>168</v>
      </c>
      <c r="M5" s="298"/>
      <c r="N5" s="299" t="s">
        <v>85</v>
      </c>
      <c r="O5" s="299" t="s">
        <v>167</v>
      </c>
      <c r="P5" s="299" t="s">
        <v>168</v>
      </c>
      <c r="Q5" s="298"/>
      <c r="R5" s="299" t="s">
        <v>85</v>
      </c>
      <c r="S5" s="299" t="s">
        <v>167</v>
      </c>
      <c r="T5" s="299" t="s">
        <v>168</v>
      </c>
      <c r="U5" s="298"/>
      <c r="V5" s="299" t="s">
        <v>85</v>
      </c>
      <c r="W5" s="299" t="s">
        <v>167</v>
      </c>
      <c r="X5" s="299" t="s">
        <v>168</v>
      </c>
    </row>
    <row r="6" spans="1:24" x14ac:dyDescent="0.25">
      <c r="A6" s="259">
        <v>44012</v>
      </c>
      <c r="B6" s="300">
        <v>128390</v>
      </c>
      <c r="C6" s="300">
        <v>128424</v>
      </c>
      <c r="D6" s="300">
        <f>C6-B6</f>
        <v>34</v>
      </c>
      <c r="E6" s="297"/>
      <c r="F6" s="300">
        <v>342113</v>
      </c>
      <c r="G6" s="300">
        <v>342270</v>
      </c>
      <c r="H6" s="300">
        <f>G6-F6</f>
        <v>157</v>
      </c>
      <c r="I6" s="297"/>
      <c r="J6" s="300" t="s">
        <v>474</v>
      </c>
      <c r="K6" s="300"/>
      <c r="L6" s="300">
        <v>79</v>
      </c>
      <c r="M6" s="297"/>
      <c r="N6" s="300" t="s">
        <v>474</v>
      </c>
      <c r="O6" s="300"/>
      <c r="P6" s="300">
        <v>16</v>
      </c>
      <c r="Q6" s="297"/>
      <c r="R6" s="300">
        <v>103414</v>
      </c>
      <c r="S6" s="300">
        <v>103414</v>
      </c>
      <c r="T6" s="300">
        <v>80</v>
      </c>
      <c r="U6" s="297"/>
      <c r="V6" s="300">
        <v>259782</v>
      </c>
      <c r="W6" s="300">
        <v>260004</v>
      </c>
      <c r="X6" s="300">
        <f>W6-V6</f>
        <v>222</v>
      </c>
    </row>
    <row r="7" spans="1:24" x14ac:dyDescent="0.25">
      <c r="A7" s="259">
        <v>44013</v>
      </c>
      <c r="B7" s="300">
        <f>C6</f>
        <v>128424</v>
      </c>
      <c r="C7" s="300">
        <v>128488</v>
      </c>
      <c r="D7" s="300">
        <f t="shared" ref="D7:D37" si="0">C7-B7</f>
        <v>64</v>
      </c>
      <c r="E7" s="297"/>
      <c r="F7" s="300">
        <f>G6</f>
        <v>342270</v>
      </c>
      <c r="G7" s="300">
        <v>342406</v>
      </c>
      <c r="H7" s="300">
        <f t="shared" ref="H7:H37" si="1">G7-F7</f>
        <v>136</v>
      </c>
      <c r="I7" s="297"/>
      <c r="J7" s="300" t="s">
        <v>474</v>
      </c>
      <c r="K7" s="300"/>
      <c r="L7" s="300">
        <v>79</v>
      </c>
      <c r="M7" s="297"/>
      <c r="N7" s="300" t="s">
        <v>474</v>
      </c>
      <c r="O7" s="300"/>
      <c r="P7" s="300">
        <v>16</v>
      </c>
      <c r="Q7" s="297"/>
      <c r="R7" s="300">
        <f>S6</f>
        <v>103414</v>
      </c>
      <c r="S7" s="300">
        <v>103505</v>
      </c>
      <c r="T7" s="300">
        <f t="shared" ref="T7:T37" si="2">S7-R7</f>
        <v>91</v>
      </c>
      <c r="U7" s="297"/>
      <c r="V7" s="300">
        <f>W6</f>
        <v>260004</v>
      </c>
      <c r="W7" s="300">
        <v>260205</v>
      </c>
      <c r="X7" s="300">
        <f t="shared" ref="X7:X37" si="3">W7-V7</f>
        <v>201</v>
      </c>
    </row>
    <row r="8" spans="1:24" x14ac:dyDescent="0.25">
      <c r="A8" s="259">
        <f t="shared" ref="A8:A37" si="4">A7+1</f>
        <v>44014</v>
      </c>
      <c r="B8" s="300">
        <f t="shared" ref="B8:B37" si="5">C7</f>
        <v>128488</v>
      </c>
      <c r="C8" s="300">
        <v>128568</v>
      </c>
      <c r="D8" s="300">
        <f t="shared" si="0"/>
        <v>80</v>
      </c>
      <c r="E8" s="297"/>
      <c r="F8" s="300">
        <f t="shared" ref="F8:F37" si="6">G7</f>
        <v>342406</v>
      </c>
      <c r="G8" s="300">
        <v>342566</v>
      </c>
      <c r="H8" s="300">
        <f t="shared" si="1"/>
        <v>160</v>
      </c>
      <c r="I8" s="297"/>
      <c r="J8" s="300" t="s">
        <v>474</v>
      </c>
      <c r="K8" s="300"/>
      <c r="L8" s="300">
        <v>79</v>
      </c>
      <c r="M8" s="297"/>
      <c r="N8" s="300" t="s">
        <v>474</v>
      </c>
      <c r="O8" s="300"/>
      <c r="P8" s="300">
        <v>16</v>
      </c>
      <c r="Q8" s="297"/>
      <c r="R8" s="300">
        <f t="shared" ref="R8:R37" si="7">S7</f>
        <v>103505</v>
      </c>
      <c r="S8" s="300">
        <v>103583</v>
      </c>
      <c r="T8" s="300">
        <f t="shared" si="2"/>
        <v>78</v>
      </c>
      <c r="U8" s="297"/>
      <c r="V8" s="300">
        <f t="shared" ref="V8:V37" si="8">W7</f>
        <v>260205</v>
      </c>
      <c r="W8" s="300">
        <v>260442</v>
      </c>
      <c r="X8" s="300">
        <f t="shared" si="3"/>
        <v>237</v>
      </c>
    </row>
    <row r="9" spans="1:24" x14ac:dyDescent="0.25">
      <c r="A9" s="259">
        <f t="shared" si="4"/>
        <v>44015</v>
      </c>
      <c r="B9" s="300">
        <f t="shared" si="5"/>
        <v>128568</v>
      </c>
      <c r="C9" s="300">
        <v>128628</v>
      </c>
      <c r="D9" s="300">
        <f t="shared" si="0"/>
        <v>60</v>
      </c>
      <c r="E9" s="297"/>
      <c r="F9" s="300">
        <f t="shared" si="6"/>
        <v>342566</v>
      </c>
      <c r="G9" s="300">
        <v>342728</v>
      </c>
      <c r="H9" s="300">
        <f t="shared" si="1"/>
        <v>162</v>
      </c>
      <c r="I9" s="297"/>
      <c r="J9" s="300" t="s">
        <v>474</v>
      </c>
      <c r="K9" s="300"/>
      <c r="L9" s="300">
        <v>79</v>
      </c>
      <c r="M9" s="297"/>
      <c r="N9" s="300" t="s">
        <v>474</v>
      </c>
      <c r="O9" s="300"/>
      <c r="P9" s="300">
        <v>16</v>
      </c>
      <c r="Q9" s="297"/>
      <c r="R9" s="300">
        <f t="shared" si="7"/>
        <v>103583</v>
      </c>
      <c r="S9" s="300">
        <v>103671</v>
      </c>
      <c r="T9" s="300">
        <f t="shared" si="2"/>
        <v>88</v>
      </c>
      <c r="U9" s="297"/>
      <c r="V9" s="300">
        <f t="shared" si="8"/>
        <v>260442</v>
      </c>
      <c r="W9" s="300">
        <v>260682</v>
      </c>
      <c r="X9" s="300">
        <f t="shared" si="3"/>
        <v>240</v>
      </c>
    </row>
    <row r="10" spans="1:24" x14ac:dyDescent="0.25">
      <c r="A10" s="259">
        <f t="shared" si="4"/>
        <v>44016</v>
      </c>
      <c r="B10" s="300">
        <f t="shared" si="5"/>
        <v>128628</v>
      </c>
      <c r="C10" s="300">
        <v>128678</v>
      </c>
      <c r="D10" s="300">
        <f t="shared" si="0"/>
        <v>50</v>
      </c>
      <c r="E10" s="297"/>
      <c r="F10" s="300">
        <f t="shared" si="6"/>
        <v>342728</v>
      </c>
      <c r="G10" s="300">
        <v>342902</v>
      </c>
      <c r="H10" s="300">
        <f t="shared" si="1"/>
        <v>174</v>
      </c>
      <c r="I10" s="297"/>
      <c r="J10" s="300" t="s">
        <v>474</v>
      </c>
      <c r="K10" s="300"/>
      <c r="L10" s="300">
        <v>79</v>
      </c>
      <c r="M10" s="297"/>
      <c r="N10" s="300" t="s">
        <v>474</v>
      </c>
      <c r="O10" s="300"/>
      <c r="P10" s="300">
        <v>16</v>
      </c>
      <c r="Q10" s="297"/>
      <c r="R10" s="300">
        <f t="shared" si="7"/>
        <v>103671</v>
      </c>
      <c r="S10" s="300">
        <v>103738</v>
      </c>
      <c r="T10" s="300">
        <f t="shared" si="2"/>
        <v>67</v>
      </c>
      <c r="U10" s="297"/>
      <c r="V10" s="300">
        <f t="shared" si="8"/>
        <v>260682</v>
      </c>
      <c r="W10" s="300">
        <v>260922</v>
      </c>
      <c r="X10" s="300">
        <f t="shared" si="3"/>
        <v>240</v>
      </c>
    </row>
    <row r="11" spans="1:24" x14ac:dyDescent="0.25">
      <c r="A11" s="259">
        <f t="shared" si="4"/>
        <v>44017</v>
      </c>
      <c r="B11" s="300">
        <f t="shared" si="5"/>
        <v>128678</v>
      </c>
      <c r="C11" s="300">
        <v>128730</v>
      </c>
      <c r="D11" s="300">
        <f t="shared" si="0"/>
        <v>52</v>
      </c>
      <c r="E11" s="297"/>
      <c r="F11" s="300">
        <f t="shared" si="6"/>
        <v>342902</v>
      </c>
      <c r="G11" s="300">
        <v>343059</v>
      </c>
      <c r="H11" s="300">
        <f t="shared" si="1"/>
        <v>157</v>
      </c>
      <c r="I11" s="297"/>
      <c r="J11" s="300" t="s">
        <v>474</v>
      </c>
      <c r="K11" s="300"/>
      <c r="L11" s="300">
        <v>79</v>
      </c>
      <c r="M11" s="297"/>
      <c r="N11" s="300">
        <v>209902</v>
      </c>
      <c r="O11" s="300">
        <v>209917</v>
      </c>
      <c r="P11" s="300">
        <f t="shared" ref="P11:P26" si="9">O11-N11</f>
        <v>15</v>
      </c>
      <c r="Q11" s="297"/>
      <c r="R11" s="300">
        <f t="shared" si="7"/>
        <v>103738</v>
      </c>
      <c r="S11" s="300">
        <v>103818</v>
      </c>
      <c r="T11" s="300">
        <f t="shared" si="2"/>
        <v>80</v>
      </c>
      <c r="U11" s="297"/>
      <c r="V11" s="300">
        <f t="shared" si="8"/>
        <v>260922</v>
      </c>
      <c r="W11" s="300">
        <v>261176</v>
      </c>
      <c r="X11" s="300">
        <f t="shared" si="3"/>
        <v>254</v>
      </c>
    </row>
    <row r="12" spans="1:24" x14ac:dyDescent="0.25">
      <c r="A12" s="259">
        <f t="shared" si="4"/>
        <v>44018</v>
      </c>
      <c r="B12" s="300">
        <f t="shared" si="5"/>
        <v>128730</v>
      </c>
      <c r="C12" s="300">
        <v>128796</v>
      </c>
      <c r="D12" s="300">
        <f t="shared" si="0"/>
        <v>66</v>
      </c>
      <c r="E12" s="297"/>
      <c r="F12" s="300">
        <f t="shared" si="6"/>
        <v>343059</v>
      </c>
      <c r="G12" s="300">
        <v>343181</v>
      </c>
      <c r="H12" s="300">
        <f t="shared" si="1"/>
        <v>122</v>
      </c>
      <c r="I12" s="297"/>
      <c r="J12" s="300">
        <v>5817</v>
      </c>
      <c r="K12" s="300">
        <v>5854</v>
      </c>
      <c r="L12" s="300">
        <f t="shared" ref="L12:L17" si="10">K12-J12</f>
        <v>37</v>
      </c>
      <c r="M12" s="297"/>
      <c r="N12" s="300">
        <f>O11</f>
        <v>209917</v>
      </c>
      <c r="O12" s="300">
        <v>209933</v>
      </c>
      <c r="P12" s="300">
        <f t="shared" si="9"/>
        <v>16</v>
      </c>
      <c r="Q12" s="297"/>
      <c r="R12" s="300">
        <f t="shared" si="7"/>
        <v>103818</v>
      </c>
      <c r="S12" s="300">
        <v>103885</v>
      </c>
      <c r="T12" s="300">
        <f t="shared" si="2"/>
        <v>67</v>
      </c>
      <c r="U12" s="297"/>
      <c r="V12" s="300">
        <f t="shared" si="8"/>
        <v>261176</v>
      </c>
      <c r="W12" s="300">
        <v>261480</v>
      </c>
      <c r="X12" s="300">
        <f t="shared" si="3"/>
        <v>304</v>
      </c>
    </row>
    <row r="13" spans="1:24" x14ac:dyDescent="0.25">
      <c r="A13" s="259">
        <f t="shared" si="4"/>
        <v>44019</v>
      </c>
      <c r="B13" s="300">
        <f t="shared" si="5"/>
        <v>128796</v>
      </c>
      <c r="C13" s="300">
        <v>128855</v>
      </c>
      <c r="D13" s="300">
        <f t="shared" si="0"/>
        <v>59</v>
      </c>
      <c r="E13" s="297"/>
      <c r="F13" s="300">
        <f t="shared" si="6"/>
        <v>343181</v>
      </c>
      <c r="G13" s="300">
        <v>343312</v>
      </c>
      <c r="H13" s="300">
        <f t="shared" si="1"/>
        <v>131</v>
      </c>
      <c r="I13" s="297"/>
      <c r="J13" s="300">
        <f t="shared" ref="J13:J17" si="11">K12</f>
        <v>5854</v>
      </c>
      <c r="K13" s="300">
        <v>5902</v>
      </c>
      <c r="L13" s="300">
        <f t="shared" si="10"/>
        <v>48</v>
      </c>
      <c r="M13" s="297"/>
      <c r="N13" s="300">
        <f t="shared" ref="N13:N26" si="12">O12</f>
        <v>209933</v>
      </c>
      <c r="O13" s="300">
        <v>209933</v>
      </c>
      <c r="P13" s="300">
        <f t="shared" si="9"/>
        <v>0</v>
      </c>
      <c r="Q13" s="297"/>
      <c r="R13" s="300">
        <f t="shared" si="7"/>
        <v>103885</v>
      </c>
      <c r="S13" s="300">
        <v>103965</v>
      </c>
      <c r="T13" s="300">
        <f t="shared" si="2"/>
        <v>80</v>
      </c>
      <c r="U13" s="297"/>
      <c r="V13" s="300">
        <f t="shared" si="8"/>
        <v>261480</v>
      </c>
      <c r="W13" s="300">
        <v>261734</v>
      </c>
      <c r="X13" s="300">
        <f t="shared" si="3"/>
        <v>254</v>
      </c>
    </row>
    <row r="14" spans="1:24" x14ac:dyDescent="0.25">
      <c r="A14" s="259">
        <f t="shared" si="4"/>
        <v>44020</v>
      </c>
      <c r="B14" s="300">
        <f t="shared" si="5"/>
        <v>128855</v>
      </c>
      <c r="C14" s="300">
        <v>128924</v>
      </c>
      <c r="D14" s="300">
        <f t="shared" si="0"/>
        <v>69</v>
      </c>
      <c r="E14" s="297"/>
      <c r="F14" s="300">
        <f t="shared" si="6"/>
        <v>343312</v>
      </c>
      <c r="G14" s="300">
        <v>343567</v>
      </c>
      <c r="H14" s="300">
        <f t="shared" si="1"/>
        <v>255</v>
      </c>
      <c r="I14" s="297"/>
      <c r="J14" s="300">
        <f t="shared" si="11"/>
        <v>5902</v>
      </c>
      <c r="K14" s="300">
        <v>5983</v>
      </c>
      <c r="L14" s="300">
        <f t="shared" si="10"/>
        <v>81</v>
      </c>
      <c r="M14" s="297"/>
      <c r="N14" s="300">
        <f t="shared" si="12"/>
        <v>209933</v>
      </c>
      <c r="O14" s="300">
        <v>209939</v>
      </c>
      <c r="P14" s="300">
        <f t="shared" si="9"/>
        <v>6</v>
      </c>
      <c r="Q14" s="297"/>
      <c r="R14" s="300">
        <f t="shared" si="7"/>
        <v>103965</v>
      </c>
      <c r="S14" s="300">
        <v>104043</v>
      </c>
      <c r="T14" s="300">
        <f t="shared" si="2"/>
        <v>78</v>
      </c>
      <c r="U14" s="297"/>
      <c r="V14" s="300">
        <f t="shared" si="8"/>
        <v>261734</v>
      </c>
      <c r="W14" s="300">
        <v>261970</v>
      </c>
      <c r="X14" s="300">
        <f t="shared" si="3"/>
        <v>236</v>
      </c>
    </row>
    <row r="15" spans="1:24" x14ac:dyDescent="0.25">
      <c r="A15" s="259">
        <f t="shared" si="4"/>
        <v>44021</v>
      </c>
      <c r="B15" s="300">
        <f t="shared" si="5"/>
        <v>128924</v>
      </c>
      <c r="C15" s="300">
        <v>128989</v>
      </c>
      <c r="D15" s="300">
        <f t="shared" si="0"/>
        <v>65</v>
      </c>
      <c r="E15" s="297"/>
      <c r="F15" s="300">
        <f t="shared" si="6"/>
        <v>343567</v>
      </c>
      <c r="G15" s="300">
        <v>343640</v>
      </c>
      <c r="H15" s="300">
        <f t="shared" si="1"/>
        <v>73</v>
      </c>
      <c r="I15" s="297"/>
      <c r="J15" s="300">
        <f t="shared" si="11"/>
        <v>5983</v>
      </c>
      <c r="K15" s="300">
        <v>6071</v>
      </c>
      <c r="L15" s="300">
        <f t="shared" si="10"/>
        <v>88</v>
      </c>
      <c r="M15" s="297"/>
      <c r="N15" s="300">
        <f t="shared" si="12"/>
        <v>209939</v>
      </c>
      <c r="O15" s="300">
        <v>209950</v>
      </c>
      <c r="P15" s="300">
        <f t="shared" si="9"/>
        <v>11</v>
      </c>
      <c r="Q15" s="297"/>
      <c r="R15" s="300">
        <f t="shared" si="7"/>
        <v>104043</v>
      </c>
      <c r="S15" s="300">
        <v>104116</v>
      </c>
      <c r="T15" s="300">
        <f t="shared" si="2"/>
        <v>73</v>
      </c>
      <c r="U15" s="297"/>
      <c r="V15" s="300">
        <f t="shared" si="8"/>
        <v>261970</v>
      </c>
      <c r="W15" s="300">
        <v>262228</v>
      </c>
      <c r="X15" s="300">
        <f t="shared" si="3"/>
        <v>258</v>
      </c>
    </row>
    <row r="16" spans="1:24" x14ac:dyDescent="0.25">
      <c r="A16" s="259">
        <f t="shared" si="4"/>
        <v>44022</v>
      </c>
      <c r="B16" s="300">
        <f t="shared" si="5"/>
        <v>128989</v>
      </c>
      <c r="C16" s="300">
        <v>129072</v>
      </c>
      <c r="D16" s="300">
        <f t="shared" si="0"/>
        <v>83</v>
      </c>
      <c r="E16" s="297"/>
      <c r="F16" s="300">
        <f t="shared" si="6"/>
        <v>343640</v>
      </c>
      <c r="G16" s="300">
        <v>343713</v>
      </c>
      <c r="H16" s="300">
        <f t="shared" si="1"/>
        <v>73</v>
      </c>
      <c r="I16" s="297"/>
      <c r="J16" s="300">
        <f t="shared" si="11"/>
        <v>6071</v>
      </c>
      <c r="K16" s="300">
        <v>6183</v>
      </c>
      <c r="L16" s="300">
        <f t="shared" si="10"/>
        <v>112</v>
      </c>
      <c r="M16" s="297"/>
      <c r="N16" s="300">
        <f t="shared" si="12"/>
        <v>209950</v>
      </c>
      <c r="O16" s="300">
        <v>209954</v>
      </c>
      <c r="P16" s="300">
        <f t="shared" si="9"/>
        <v>4</v>
      </c>
      <c r="Q16" s="297"/>
      <c r="R16" s="300">
        <f t="shared" si="7"/>
        <v>104116</v>
      </c>
      <c r="S16" s="300">
        <v>104202</v>
      </c>
      <c r="T16" s="300">
        <f t="shared" si="2"/>
        <v>86</v>
      </c>
      <c r="U16" s="297"/>
      <c r="V16" s="300">
        <f t="shared" si="8"/>
        <v>262228</v>
      </c>
      <c r="W16" s="300">
        <v>262469</v>
      </c>
      <c r="X16" s="300">
        <f t="shared" si="3"/>
        <v>241</v>
      </c>
    </row>
    <row r="17" spans="1:24" x14ac:dyDescent="0.25">
      <c r="A17" s="259">
        <f t="shared" si="4"/>
        <v>44023</v>
      </c>
      <c r="B17" s="300">
        <f t="shared" si="5"/>
        <v>129072</v>
      </c>
      <c r="C17" s="300">
        <v>129134</v>
      </c>
      <c r="D17" s="300">
        <f t="shared" si="0"/>
        <v>62</v>
      </c>
      <c r="E17" s="297"/>
      <c r="F17" s="300">
        <f t="shared" si="6"/>
        <v>343713</v>
      </c>
      <c r="G17" s="300">
        <v>343843</v>
      </c>
      <c r="H17" s="300">
        <f t="shared" si="1"/>
        <v>130</v>
      </c>
      <c r="I17" s="297"/>
      <c r="J17" s="300">
        <f t="shared" si="11"/>
        <v>6183</v>
      </c>
      <c r="K17" s="300">
        <v>6295</v>
      </c>
      <c r="L17" s="300">
        <f t="shared" si="10"/>
        <v>112</v>
      </c>
      <c r="M17" s="297"/>
      <c r="N17" s="300">
        <f t="shared" si="12"/>
        <v>209954</v>
      </c>
      <c r="O17" s="300">
        <v>209964</v>
      </c>
      <c r="P17" s="300">
        <f t="shared" si="9"/>
        <v>10</v>
      </c>
      <c r="Q17" s="297"/>
      <c r="R17" s="300">
        <f t="shared" si="7"/>
        <v>104202</v>
      </c>
      <c r="S17" s="300">
        <v>104286</v>
      </c>
      <c r="T17" s="300">
        <f t="shared" si="2"/>
        <v>84</v>
      </c>
      <c r="U17" s="297"/>
      <c r="V17" s="300">
        <f t="shared" si="8"/>
        <v>262469</v>
      </c>
      <c r="W17" s="300">
        <v>262717</v>
      </c>
      <c r="X17" s="300">
        <f t="shared" si="3"/>
        <v>248</v>
      </c>
    </row>
    <row r="18" spans="1:24" x14ac:dyDescent="0.25">
      <c r="A18" s="259">
        <f t="shared" si="4"/>
        <v>44024</v>
      </c>
      <c r="B18" s="300">
        <f t="shared" si="5"/>
        <v>129134</v>
      </c>
      <c r="C18" s="300">
        <v>129220</v>
      </c>
      <c r="D18" s="300">
        <f t="shared" si="0"/>
        <v>86</v>
      </c>
      <c r="E18" s="297"/>
      <c r="F18" s="300">
        <f t="shared" si="6"/>
        <v>343843</v>
      </c>
      <c r="G18" s="300">
        <v>343983</v>
      </c>
      <c r="H18" s="300">
        <f t="shared" si="1"/>
        <v>140</v>
      </c>
      <c r="I18" s="297"/>
      <c r="J18" s="300" t="s">
        <v>474</v>
      </c>
      <c r="K18" s="300"/>
      <c r="L18" s="300">
        <v>79</v>
      </c>
      <c r="M18" s="297"/>
      <c r="N18" s="300">
        <f t="shared" si="12"/>
        <v>209964</v>
      </c>
      <c r="O18" s="300">
        <v>209976</v>
      </c>
      <c r="P18" s="300">
        <f t="shared" si="9"/>
        <v>12</v>
      </c>
      <c r="Q18" s="297"/>
      <c r="R18" s="300">
        <f t="shared" si="7"/>
        <v>104286</v>
      </c>
      <c r="S18" s="300">
        <v>104363</v>
      </c>
      <c r="T18" s="300">
        <f t="shared" si="2"/>
        <v>77</v>
      </c>
      <c r="U18" s="297"/>
      <c r="V18" s="300">
        <f t="shared" si="8"/>
        <v>262717</v>
      </c>
      <c r="W18" s="300">
        <v>262976</v>
      </c>
      <c r="X18" s="300">
        <f t="shared" si="3"/>
        <v>259</v>
      </c>
    </row>
    <row r="19" spans="1:24" x14ac:dyDescent="0.25">
      <c r="A19" s="259">
        <f t="shared" si="4"/>
        <v>44025</v>
      </c>
      <c r="B19" s="300">
        <f t="shared" si="5"/>
        <v>129220</v>
      </c>
      <c r="C19" s="300">
        <v>129275</v>
      </c>
      <c r="D19" s="300">
        <f t="shared" si="0"/>
        <v>55</v>
      </c>
      <c r="E19" s="297"/>
      <c r="F19" s="300">
        <f t="shared" si="6"/>
        <v>343983</v>
      </c>
      <c r="G19" s="300">
        <v>344110</v>
      </c>
      <c r="H19" s="300">
        <f t="shared" si="1"/>
        <v>127</v>
      </c>
      <c r="I19" s="297"/>
      <c r="J19" s="300" t="s">
        <v>474</v>
      </c>
      <c r="K19" s="300"/>
      <c r="L19" s="300">
        <v>79</v>
      </c>
      <c r="M19" s="297"/>
      <c r="N19" s="300">
        <f t="shared" si="12"/>
        <v>209976</v>
      </c>
      <c r="O19" s="300">
        <v>209996</v>
      </c>
      <c r="P19" s="300">
        <f t="shared" si="9"/>
        <v>20</v>
      </c>
      <c r="Q19" s="297"/>
      <c r="R19" s="300">
        <f t="shared" si="7"/>
        <v>104363</v>
      </c>
      <c r="S19" s="300">
        <v>104432</v>
      </c>
      <c r="T19" s="300">
        <f t="shared" si="2"/>
        <v>69</v>
      </c>
      <c r="U19" s="297"/>
      <c r="V19" s="300">
        <f t="shared" si="8"/>
        <v>262976</v>
      </c>
      <c r="W19" s="300">
        <v>263201</v>
      </c>
      <c r="X19" s="300">
        <f t="shared" si="3"/>
        <v>225</v>
      </c>
    </row>
    <row r="20" spans="1:24" x14ac:dyDescent="0.25">
      <c r="A20" s="259">
        <f t="shared" si="4"/>
        <v>44026</v>
      </c>
      <c r="B20" s="300">
        <f t="shared" si="5"/>
        <v>129275</v>
      </c>
      <c r="C20" s="300">
        <v>129343</v>
      </c>
      <c r="D20" s="300">
        <f t="shared" si="0"/>
        <v>68</v>
      </c>
      <c r="E20" s="297"/>
      <c r="F20" s="300">
        <f t="shared" si="6"/>
        <v>344110</v>
      </c>
      <c r="G20" s="300">
        <v>344239</v>
      </c>
      <c r="H20" s="300">
        <f t="shared" si="1"/>
        <v>129</v>
      </c>
      <c r="I20" s="297"/>
      <c r="J20" s="300" t="s">
        <v>474</v>
      </c>
      <c r="K20" s="300"/>
      <c r="L20" s="300">
        <v>79</v>
      </c>
      <c r="M20" s="297"/>
      <c r="N20" s="300">
        <f t="shared" si="12"/>
        <v>209996</v>
      </c>
      <c r="O20" s="300">
        <v>210009</v>
      </c>
      <c r="P20" s="300">
        <f t="shared" si="9"/>
        <v>13</v>
      </c>
      <c r="Q20" s="297"/>
      <c r="R20" s="300">
        <f t="shared" si="7"/>
        <v>104432</v>
      </c>
      <c r="S20" s="300">
        <v>104515</v>
      </c>
      <c r="T20" s="300">
        <f t="shared" si="2"/>
        <v>83</v>
      </c>
      <c r="U20" s="297"/>
      <c r="V20" s="300">
        <f t="shared" si="8"/>
        <v>263201</v>
      </c>
      <c r="W20" s="300">
        <v>263433</v>
      </c>
      <c r="X20" s="300">
        <f t="shared" si="3"/>
        <v>232</v>
      </c>
    </row>
    <row r="21" spans="1:24" x14ac:dyDescent="0.25">
      <c r="A21" s="259">
        <f t="shared" si="4"/>
        <v>44027</v>
      </c>
      <c r="B21" s="300">
        <f t="shared" si="5"/>
        <v>129343</v>
      </c>
      <c r="C21" s="300">
        <v>129410</v>
      </c>
      <c r="D21" s="300">
        <f t="shared" si="0"/>
        <v>67</v>
      </c>
      <c r="E21" s="297"/>
      <c r="F21" s="300">
        <f t="shared" si="6"/>
        <v>344239</v>
      </c>
      <c r="G21" s="300">
        <v>344382</v>
      </c>
      <c r="H21" s="300">
        <f t="shared" si="1"/>
        <v>143</v>
      </c>
      <c r="I21" s="297"/>
      <c r="J21" s="300" t="s">
        <v>474</v>
      </c>
      <c r="K21" s="300"/>
      <c r="L21" s="300">
        <v>79</v>
      </c>
      <c r="M21" s="297"/>
      <c r="N21" s="300">
        <f t="shared" si="12"/>
        <v>210009</v>
      </c>
      <c r="O21" s="300">
        <v>210022</v>
      </c>
      <c r="P21" s="300">
        <f t="shared" si="9"/>
        <v>13</v>
      </c>
      <c r="Q21" s="297"/>
      <c r="R21" s="300">
        <f t="shared" si="7"/>
        <v>104515</v>
      </c>
      <c r="S21" s="300">
        <v>104591</v>
      </c>
      <c r="T21" s="300">
        <f t="shared" si="2"/>
        <v>76</v>
      </c>
      <c r="U21" s="297"/>
      <c r="V21" s="300">
        <f t="shared" si="8"/>
        <v>263433</v>
      </c>
      <c r="W21" s="300">
        <v>263722</v>
      </c>
      <c r="X21" s="300">
        <f t="shared" si="3"/>
        <v>289</v>
      </c>
    </row>
    <row r="22" spans="1:24" x14ac:dyDescent="0.25">
      <c r="A22" s="259">
        <f t="shared" si="4"/>
        <v>44028</v>
      </c>
      <c r="B22" s="300">
        <f t="shared" si="5"/>
        <v>129410</v>
      </c>
      <c r="C22" s="300">
        <v>129488</v>
      </c>
      <c r="D22" s="300">
        <f t="shared" si="0"/>
        <v>78</v>
      </c>
      <c r="E22" s="297"/>
      <c r="F22" s="300">
        <f t="shared" si="6"/>
        <v>344382</v>
      </c>
      <c r="G22" s="300">
        <v>344518</v>
      </c>
      <c r="H22" s="300">
        <f t="shared" si="1"/>
        <v>136</v>
      </c>
      <c r="I22" s="297"/>
      <c r="J22" s="300" t="s">
        <v>474</v>
      </c>
      <c r="K22" s="300"/>
      <c r="L22" s="300">
        <v>79</v>
      </c>
      <c r="M22" s="297"/>
      <c r="N22" s="300">
        <f t="shared" si="12"/>
        <v>210022</v>
      </c>
      <c r="O22" s="300">
        <v>210022</v>
      </c>
      <c r="P22" s="300">
        <f t="shared" si="9"/>
        <v>0</v>
      </c>
      <c r="Q22" s="297"/>
      <c r="R22" s="300">
        <f t="shared" si="7"/>
        <v>104591</v>
      </c>
      <c r="S22" s="300">
        <v>104604</v>
      </c>
      <c r="T22" s="300">
        <f t="shared" si="2"/>
        <v>13</v>
      </c>
      <c r="U22" s="297"/>
      <c r="V22" s="300">
        <f t="shared" si="8"/>
        <v>263722</v>
      </c>
      <c r="W22" s="300">
        <v>264004</v>
      </c>
      <c r="X22" s="300">
        <f t="shared" si="3"/>
        <v>282</v>
      </c>
    </row>
    <row r="23" spans="1:24" x14ac:dyDescent="0.25">
      <c r="A23" s="259">
        <f t="shared" si="4"/>
        <v>44029</v>
      </c>
      <c r="B23" s="300">
        <f t="shared" si="5"/>
        <v>129488</v>
      </c>
      <c r="C23" s="300">
        <v>129546</v>
      </c>
      <c r="D23" s="300">
        <f t="shared" si="0"/>
        <v>58</v>
      </c>
      <c r="E23" s="297"/>
      <c r="F23" s="300">
        <f t="shared" si="6"/>
        <v>344518</v>
      </c>
      <c r="G23" s="300">
        <v>344670</v>
      </c>
      <c r="H23" s="300">
        <f t="shared" si="1"/>
        <v>152</v>
      </c>
      <c r="I23" s="297"/>
      <c r="J23" s="300" t="s">
        <v>474</v>
      </c>
      <c r="K23" s="300"/>
      <c r="L23" s="300">
        <v>79</v>
      </c>
      <c r="M23" s="297"/>
      <c r="N23" s="300">
        <f t="shared" si="12"/>
        <v>210022</v>
      </c>
      <c r="O23" s="300">
        <v>210122</v>
      </c>
      <c r="P23" s="300">
        <f t="shared" si="9"/>
        <v>100</v>
      </c>
      <c r="Q23" s="297"/>
      <c r="R23" s="300">
        <f t="shared" si="7"/>
        <v>104604</v>
      </c>
      <c r="S23" s="300">
        <v>104679</v>
      </c>
      <c r="T23" s="300">
        <f t="shared" si="2"/>
        <v>75</v>
      </c>
      <c r="U23" s="297"/>
      <c r="V23" s="300">
        <f t="shared" si="8"/>
        <v>264004</v>
      </c>
      <c r="W23" s="300">
        <v>264306</v>
      </c>
      <c r="X23" s="300">
        <f t="shared" si="3"/>
        <v>302</v>
      </c>
    </row>
    <row r="24" spans="1:24" x14ac:dyDescent="0.25">
      <c r="A24" s="259">
        <f t="shared" si="4"/>
        <v>44030</v>
      </c>
      <c r="B24" s="300">
        <f t="shared" si="5"/>
        <v>129546</v>
      </c>
      <c r="C24" s="300">
        <v>129602</v>
      </c>
      <c r="D24" s="300">
        <f t="shared" si="0"/>
        <v>56</v>
      </c>
      <c r="E24" s="297"/>
      <c r="F24" s="300">
        <f t="shared" si="6"/>
        <v>344670</v>
      </c>
      <c r="G24" s="300">
        <v>344839</v>
      </c>
      <c r="H24" s="300">
        <f t="shared" si="1"/>
        <v>169</v>
      </c>
      <c r="I24" s="297"/>
      <c r="J24" s="300" t="s">
        <v>474</v>
      </c>
      <c r="K24" s="300"/>
      <c r="L24" s="300">
        <v>79</v>
      </c>
      <c r="M24" s="297"/>
      <c r="N24" s="300">
        <f t="shared" si="12"/>
        <v>210122</v>
      </c>
      <c r="O24" s="300">
        <v>210138</v>
      </c>
      <c r="P24" s="300">
        <f t="shared" si="9"/>
        <v>16</v>
      </c>
      <c r="Q24" s="297"/>
      <c r="R24" s="300">
        <f t="shared" si="7"/>
        <v>104679</v>
      </c>
      <c r="S24" s="300">
        <v>104747</v>
      </c>
      <c r="T24" s="300">
        <f t="shared" si="2"/>
        <v>68</v>
      </c>
      <c r="U24" s="297"/>
      <c r="V24" s="300">
        <f t="shared" si="8"/>
        <v>264306</v>
      </c>
      <c r="W24" s="300">
        <v>264603</v>
      </c>
      <c r="X24" s="300">
        <f t="shared" si="3"/>
        <v>297</v>
      </c>
    </row>
    <row r="25" spans="1:24" x14ac:dyDescent="0.25">
      <c r="A25" s="259">
        <f t="shared" si="4"/>
        <v>44031</v>
      </c>
      <c r="B25" s="300">
        <f t="shared" si="5"/>
        <v>129602</v>
      </c>
      <c r="C25" s="300">
        <v>129708</v>
      </c>
      <c r="D25" s="300">
        <f t="shared" si="0"/>
        <v>106</v>
      </c>
      <c r="E25" s="297"/>
      <c r="F25" s="300">
        <f t="shared" si="6"/>
        <v>344839</v>
      </c>
      <c r="G25" s="300">
        <v>345021</v>
      </c>
      <c r="H25" s="300">
        <f t="shared" si="1"/>
        <v>182</v>
      </c>
      <c r="I25" s="297"/>
      <c r="J25" s="300" t="s">
        <v>474</v>
      </c>
      <c r="K25" s="300"/>
      <c r="L25" s="300">
        <v>79</v>
      </c>
      <c r="M25" s="297"/>
      <c r="N25" s="300">
        <f t="shared" si="12"/>
        <v>210138</v>
      </c>
      <c r="O25" s="300">
        <v>210156</v>
      </c>
      <c r="P25" s="300">
        <f t="shared" si="9"/>
        <v>18</v>
      </c>
      <c r="Q25" s="297"/>
      <c r="R25" s="300">
        <f t="shared" si="7"/>
        <v>104747</v>
      </c>
      <c r="S25" s="300">
        <v>104818</v>
      </c>
      <c r="T25" s="300">
        <f t="shared" si="2"/>
        <v>71</v>
      </c>
      <c r="U25" s="297"/>
      <c r="V25" s="300">
        <f t="shared" si="8"/>
        <v>264603</v>
      </c>
      <c r="W25" s="300">
        <v>264885</v>
      </c>
      <c r="X25" s="300">
        <f t="shared" si="3"/>
        <v>282</v>
      </c>
    </row>
    <row r="26" spans="1:24" x14ac:dyDescent="0.25">
      <c r="A26" s="259">
        <f t="shared" si="4"/>
        <v>44032</v>
      </c>
      <c r="B26" s="300">
        <f t="shared" si="5"/>
        <v>129708</v>
      </c>
      <c r="C26" s="300">
        <v>129712</v>
      </c>
      <c r="D26" s="300">
        <f t="shared" si="0"/>
        <v>4</v>
      </c>
      <c r="E26" s="297"/>
      <c r="F26" s="300">
        <f t="shared" si="6"/>
        <v>345021</v>
      </c>
      <c r="G26" s="300">
        <v>345199</v>
      </c>
      <c r="H26" s="300">
        <f t="shared" si="1"/>
        <v>178</v>
      </c>
      <c r="I26" s="297"/>
      <c r="J26" s="300" t="s">
        <v>474</v>
      </c>
      <c r="K26" s="300"/>
      <c r="L26" s="300">
        <v>79</v>
      </c>
      <c r="M26" s="297"/>
      <c r="N26" s="300">
        <f t="shared" si="12"/>
        <v>210156</v>
      </c>
      <c r="O26" s="300">
        <v>210168</v>
      </c>
      <c r="P26" s="300">
        <f t="shared" si="9"/>
        <v>12</v>
      </c>
      <c r="Q26" s="297"/>
      <c r="R26" s="300">
        <f t="shared" si="7"/>
        <v>104818</v>
      </c>
      <c r="S26" s="300">
        <v>104880</v>
      </c>
      <c r="T26" s="300">
        <f t="shared" si="2"/>
        <v>62</v>
      </c>
      <c r="U26" s="297"/>
      <c r="V26" s="300">
        <f t="shared" si="8"/>
        <v>264885</v>
      </c>
      <c r="W26" s="300">
        <v>265138</v>
      </c>
      <c r="X26" s="300">
        <f t="shared" si="3"/>
        <v>253</v>
      </c>
    </row>
    <row r="27" spans="1:24" x14ac:dyDescent="0.25">
      <c r="A27" s="259">
        <f t="shared" si="4"/>
        <v>44033</v>
      </c>
      <c r="B27" s="300">
        <f t="shared" si="5"/>
        <v>129712</v>
      </c>
      <c r="C27" s="300">
        <v>129900</v>
      </c>
      <c r="D27" s="300">
        <f t="shared" si="0"/>
        <v>188</v>
      </c>
      <c r="E27" s="297"/>
      <c r="F27" s="300">
        <f t="shared" si="6"/>
        <v>345199</v>
      </c>
      <c r="G27" s="300">
        <v>345339</v>
      </c>
      <c r="H27" s="300">
        <f t="shared" si="1"/>
        <v>140</v>
      </c>
      <c r="I27" s="297"/>
      <c r="J27" s="300" t="s">
        <v>474</v>
      </c>
      <c r="K27" s="300"/>
      <c r="L27" s="300">
        <v>79</v>
      </c>
      <c r="M27" s="297"/>
      <c r="N27" s="300" t="s">
        <v>474</v>
      </c>
      <c r="O27" s="300"/>
      <c r="P27" s="300">
        <v>16</v>
      </c>
      <c r="Q27" s="301"/>
      <c r="R27" s="300">
        <f t="shared" si="7"/>
        <v>104880</v>
      </c>
      <c r="S27" s="300">
        <v>104965</v>
      </c>
      <c r="T27" s="300">
        <f t="shared" si="2"/>
        <v>85</v>
      </c>
      <c r="U27" s="297"/>
      <c r="V27" s="300">
        <f t="shared" si="8"/>
        <v>265138</v>
      </c>
      <c r="W27" s="300">
        <v>265418</v>
      </c>
      <c r="X27" s="300">
        <f t="shared" si="3"/>
        <v>280</v>
      </c>
    </row>
    <row r="28" spans="1:24" x14ac:dyDescent="0.25">
      <c r="A28" s="259">
        <f t="shared" si="4"/>
        <v>44034</v>
      </c>
      <c r="B28" s="300">
        <f t="shared" si="5"/>
        <v>129900</v>
      </c>
      <c r="C28" s="300">
        <v>129959</v>
      </c>
      <c r="D28" s="300">
        <f t="shared" si="0"/>
        <v>59</v>
      </c>
      <c r="E28" s="297"/>
      <c r="F28" s="300">
        <f t="shared" si="6"/>
        <v>345339</v>
      </c>
      <c r="G28" s="300">
        <v>345502</v>
      </c>
      <c r="H28" s="300">
        <f t="shared" si="1"/>
        <v>163</v>
      </c>
      <c r="I28" s="297"/>
      <c r="J28" s="300" t="s">
        <v>474</v>
      </c>
      <c r="K28" s="300"/>
      <c r="L28" s="300">
        <v>79</v>
      </c>
      <c r="M28" s="297"/>
      <c r="N28" s="300" t="s">
        <v>474</v>
      </c>
      <c r="O28" s="300"/>
      <c r="P28" s="300">
        <v>16</v>
      </c>
      <c r="Q28" s="301"/>
      <c r="R28" s="300">
        <f t="shared" si="7"/>
        <v>104965</v>
      </c>
      <c r="S28" s="300">
        <v>105028</v>
      </c>
      <c r="T28" s="300">
        <f t="shared" si="2"/>
        <v>63</v>
      </c>
      <c r="U28" s="297"/>
      <c r="V28" s="300">
        <f t="shared" si="8"/>
        <v>265418</v>
      </c>
      <c r="W28" s="300">
        <v>265652</v>
      </c>
      <c r="X28" s="300">
        <f t="shared" si="3"/>
        <v>234</v>
      </c>
    </row>
    <row r="29" spans="1:24" x14ac:dyDescent="0.25">
      <c r="A29" s="259">
        <f t="shared" si="4"/>
        <v>44035</v>
      </c>
      <c r="B29" s="300">
        <f t="shared" si="5"/>
        <v>129959</v>
      </c>
      <c r="C29" s="300">
        <v>130070</v>
      </c>
      <c r="D29" s="300">
        <f t="shared" si="0"/>
        <v>111</v>
      </c>
      <c r="E29" s="297"/>
      <c r="F29" s="300">
        <f t="shared" si="6"/>
        <v>345502</v>
      </c>
      <c r="G29" s="300">
        <v>345645</v>
      </c>
      <c r="H29" s="300">
        <f t="shared" si="1"/>
        <v>143</v>
      </c>
      <c r="I29" s="297"/>
      <c r="J29" s="300" t="s">
        <v>474</v>
      </c>
      <c r="K29" s="300"/>
      <c r="L29" s="300">
        <v>79</v>
      </c>
      <c r="M29" s="297"/>
      <c r="N29" s="300" t="s">
        <v>474</v>
      </c>
      <c r="O29" s="300"/>
      <c r="P29" s="300">
        <v>16</v>
      </c>
      <c r="Q29" s="301"/>
      <c r="R29" s="300">
        <f t="shared" si="7"/>
        <v>105028</v>
      </c>
      <c r="S29" s="300">
        <v>105115</v>
      </c>
      <c r="T29" s="300">
        <f t="shared" si="2"/>
        <v>87</v>
      </c>
      <c r="U29" s="297"/>
      <c r="V29" s="300">
        <f t="shared" si="8"/>
        <v>265652</v>
      </c>
      <c r="W29" s="300">
        <v>265917</v>
      </c>
      <c r="X29" s="300">
        <f t="shared" si="3"/>
        <v>265</v>
      </c>
    </row>
    <row r="30" spans="1:24" x14ac:dyDescent="0.25">
      <c r="A30" s="259">
        <f t="shared" si="4"/>
        <v>44036</v>
      </c>
      <c r="B30" s="300">
        <f t="shared" si="5"/>
        <v>130070</v>
      </c>
      <c r="C30" s="300">
        <v>130129</v>
      </c>
      <c r="D30" s="300">
        <f t="shared" si="0"/>
        <v>59</v>
      </c>
      <c r="E30" s="297"/>
      <c r="F30" s="300">
        <f t="shared" si="6"/>
        <v>345645</v>
      </c>
      <c r="G30" s="300">
        <v>345784</v>
      </c>
      <c r="H30" s="300">
        <f t="shared" si="1"/>
        <v>139</v>
      </c>
      <c r="I30" s="297"/>
      <c r="J30" s="300" t="s">
        <v>474</v>
      </c>
      <c r="K30" s="300"/>
      <c r="L30" s="300">
        <v>79</v>
      </c>
      <c r="M30" s="297"/>
      <c r="N30" s="300" t="s">
        <v>474</v>
      </c>
      <c r="O30" s="300"/>
      <c r="P30" s="300">
        <v>16</v>
      </c>
      <c r="Q30" s="302"/>
      <c r="R30" s="300">
        <f t="shared" si="7"/>
        <v>105115</v>
      </c>
      <c r="S30" s="300">
        <v>105231</v>
      </c>
      <c r="T30" s="300">
        <f t="shared" si="2"/>
        <v>116</v>
      </c>
      <c r="U30" s="297"/>
      <c r="V30" s="300">
        <f t="shared" si="8"/>
        <v>265917</v>
      </c>
      <c r="W30" s="300">
        <v>266121</v>
      </c>
      <c r="X30" s="300">
        <f t="shared" si="3"/>
        <v>204</v>
      </c>
    </row>
    <row r="31" spans="1:24" x14ac:dyDescent="0.25">
      <c r="A31" s="259">
        <f t="shared" si="4"/>
        <v>44037</v>
      </c>
      <c r="B31" s="300">
        <f t="shared" si="5"/>
        <v>130129</v>
      </c>
      <c r="C31" s="300">
        <v>130186</v>
      </c>
      <c r="D31" s="300">
        <f t="shared" si="0"/>
        <v>57</v>
      </c>
      <c r="E31" s="297"/>
      <c r="F31" s="300">
        <f t="shared" si="6"/>
        <v>345784</v>
      </c>
      <c r="G31" s="300">
        <v>345934</v>
      </c>
      <c r="H31" s="300">
        <f t="shared" si="1"/>
        <v>150</v>
      </c>
      <c r="I31" s="297"/>
      <c r="J31" s="300" t="s">
        <v>474</v>
      </c>
      <c r="K31" s="300"/>
      <c r="L31" s="300">
        <v>79</v>
      </c>
      <c r="M31" s="297"/>
      <c r="N31" s="300" t="s">
        <v>474</v>
      </c>
      <c r="O31" s="300"/>
      <c r="P31" s="300">
        <v>16</v>
      </c>
      <c r="Q31" s="302"/>
      <c r="R31" s="300">
        <f t="shared" si="7"/>
        <v>105231</v>
      </c>
      <c r="S31" s="300">
        <v>105336</v>
      </c>
      <c r="T31" s="300">
        <f t="shared" si="2"/>
        <v>105</v>
      </c>
      <c r="U31" s="297"/>
      <c r="V31" s="300">
        <f t="shared" si="8"/>
        <v>266121</v>
      </c>
      <c r="W31" s="300">
        <v>266345</v>
      </c>
      <c r="X31" s="300">
        <f t="shared" si="3"/>
        <v>224</v>
      </c>
    </row>
    <row r="32" spans="1:24" x14ac:dyDescent="0.25">
      <c r="A32" s="259">
        <f t="shared" si="4"/>
        <v>44038</v>
      </c>
      <c r="B32" s="300">
        <f t="shared" si="5"/>
        <v>130186</v>
      </c>
      <c r="C32" s="300">
        <v>130247</v>
      </c>
      <c r="D32" s="300">
        <f t="shared" si="0"/>
        <v>61</v>
      </c>
      <c r="E32" s="297"/>
      <c r="F32" s="300">
        <f t="shared" si="6"/>
        <v>345934</v>
      </c>
      <c r="G32" s="300">
        <v>346078</v>
      </c>
      <c r="H32" s="300">
        <f t="shared" si="1"/>
        <v>144</v>
      </c>
      <c r="I32" s="297"/>
      <c r="J32" s="300" t="s">
        <v>474</v>
      </c>
      <c r="K32" s="300"/>
      <c r="L32" s="300">
        <v>79</v>
      </c>
      <c r="M32" s="297"/>
      <c r="N32" s="300" t="s">
        <v>474</v>
      </c>
      <c r="O32" s="300"/>
      <c r="P32" s="300">
        <v>16</v>
      </c>
      <c r="Q32" s="302"/>
      <c r="R32" s="300">
        <f t="shared" si="7"/>
        <v>105336</v>
      </c>
      <c r="S32" s="300">
        <v>105442</v>
      </c>
      <c r="T32" s="300">
        <f t="shared" si="2"/>
        <v>106</v>
      </c>
      <c r="U32" s="297"/>
      <c r="V32" s="300">
        <f t="shared" si="8"/>
        <v>266345</v>
      </c>
      <c r="W32" s="300">
        <v>266605</v>
      </c>
      <c r="X32" s="300">
        <f t="shared" si="3"/>
        <v>260</v>
      </c>
    </row>
    <row r="33" spans="1:24" x14ac:dyDescent="0.25">
      <c r="A33" s="259">
        <f t="shared" si="4"/>
        <v>44039</v>
      </c>
      <c r="B33" s="300">
        <f t="shared" si="5"/>
        <v>130247</v>
      </c>
      <c r="C33" s="300">
        <v>130313</v>
      </c>
      <c r="D33" s="300">
        <f t="shared" si="0"/>
        <v>66</v>
      </c>
      <c r="E33" s="297"/>
      <c r="F33" s="300">
        <f t="shared" si="6"/>
        <v>346078</v>
      </c>
      <c r="G33" s="300">
        <v>346268</v>
      </c>
      <c r="H33" s="300">
        <f t="shared" si="1"/>
        <v>190</v>
      </c>
      <c r="I33" s="297"/>
      <c r="J33" s="300" t="s">
        <v>474</v>
      </c>
      <c r="K33" s="300"/>
      <c r="L33" s="300">
        <v>79</v>
      </c>
      <c r="M33" s="297"/>
      <c r="N33" s="300" t="s">
        <v>474</v>
      </c>
      <c r="O33" s="300"/>
      <c r="P33" s="300">
        <v>16</v>
      </c>
      <c r="Q33" s="302"/>
      <c r="R33" s="300">
        <f t="shared" si="7"/>
        <v>105442</v>
      </c>
      <c r="S33" s="300">
        <v>105532</v>
      </c>
      <c r="T33" s="300">
        <f t="shared" si="2"/>
        <v>90</v>
      </c>
      <c r="U33" s="297"/>
      <c r="V33" s="300">
        <f t="shared" si="8"/>
        <v>266605</v>
      </c>
      <c r="W33" s="300">
        <v>266860</v>
      </c>
      <c r="X33" s="300">
        <f t="shared" si="3"/>
        <v>255</v>
      </c>
    </row>
    <row r="34" spans="1:24" x14ac:dyDescent="0.25">
      <c r="A34" s="259">
        <f t="shared" si="4"/>
        <v>44040</v>
      </c>
      <c r="B34" s="300">
        <f t="shared" si="5"/>
        <v>130313</v>
      </c>
      <c r="C34" s="300">
        <v>130435</v>
      </c>
      <c r="D34" s="300">
        <f t="shared" si="0"/>
        <v>122</v>
      </c>
      <c r="E34" s="297"/>
      <c r="F34" s="300">
        <f t="shared" si="6"/>
        <v>346268</v>
      </c>
      <c r="G34" s="300">
        <v>346439</v>
      </c>
      <c r="H34" s="300">
        <f t="shared" si="1"/>
        <v>171</v>
      </c>
      <c r="I34" s="297"/>
      <c r="J34" s="300" t="s">
        <v>474</v>
      </c>
      <c r="K34" s="300"/>
      <c r="L34" s="300">
        <v>79</v>
      </c>
      <c r="M34" s="297"/>
      <c r="N34" s="300" t="s">
        <v>474</v>
      </c>
      <c r="O34" s="300"/>
      <c r="P34" s="300">
        <v>16</v>
      </c>
      <c r="Q34" s="302"/>
      <c r="R34" s="300">
        <f t="shared" si="7"/>
        <v>105532</v>
      </c>
      <c r="S34" s="300">
        <v>105628</v>
      </c>
      <c r="T34" s="300">
        <f t="shared" si="2"/>
        <v>96</v>
      </c>
      <c r="U34" s="297"/>
      <c r="V34" s="300">
        <f t="shared" si="8"/>
        <v>266860</v>
      </c>
      <c r="W34" s="300">
        <v>267098</v>
      </c>
      <c r="X34" s="300">
        <f t="shared" si="3"/>
        <v>238</v>
      </c>
    </row>
    <row r="35" spans="1:24" x14ac:dyDescent="0.25">
      <c r="A35" s="259">
        <f t="shared" si="4"/>
        <v>44041</v>
      </c>
      <c r="B35" s="300">
        <f t="shared" si="5"/>
        <v>130435</v>
      </c>
      <c r="C35" s="300">
        <v>130528</v>
      </c>
      <c r="D35" s="300">
        <f t="shared" si="0"/>
        <v>93</v>
      </c>
      <c r="E35" s="297"/>
      <c r="F35" s="300">
        <f t="shared" si="6"/>
        <v>346439</v>
      </c>
      <c r="G35" s="300">
        <v>346582</v>
      </c>
      <c r="H35" s="300">
        <f t="shared" si="1"/>
        <v>143</v>
      </c>
      <c r="I35" s="297"/>
      <c r="J35" s="300" t="s">
        <v>474</v>
      </c>
      <c r="K35" s="300"/>
      <c r="L35" s="300">
        <v>79</v>
      </c>
      <c r="M35" s="297"/>
      <c r="N35" s="300" t="s">
        <v>474</v>
      </c>
      <c r="O35" s="300"/>
      <c r="P35" s="300">
        <v>16</v>
      </c>
      <c r="Q35" s="302"/>
      <c r="R35" s="300">
        <f t="shared" si="7"/>
        <v>105628</v>
      </c>
      <c r="S35" s="300">
        <v>105727</v>
      </c>
      <c r="T35" s="300">
        <f t="shared" si="2"/>
        <v>99</v>
      </c>
      <c r="U35" s="297"/>
      <c r="V35" s="300">
        <f t="shared" si="8"/>
        <v>267098</v>
      </c>
      <c r="W35" s="300">
        <v>267336</v>
      </c>
      <c r="X35" s="300">
        <f t="shared" si="3"/>
        <v>238</v>
      </c>
    </row>
    <row r="36" spans="1:24" x14ac:dyDescent="0.25">
      <c r="A36" s="259">
        <f t="shared" si="4"/>
        <v>44042</v>
      </c>
      <c r="B36" s="300">
        <f t="shared" si="5"/>
        <v>130528</v>
      </c>
      <c r="C36" s="300">
        <v>130650</v>
      </c>
      <c r="D36" s="300">
        <f t="shared" si="0"/>
        <v>122</v>
      </c>
      <c r="E36" s="297"/>
      <c r="F36" s="300">
        <f t="shared" si="6"/>
        <v>346582</v>
      </c>
      <c r="G36" s="300">
        <v>346734</v>
      </c>
      <c r="H36" s="300">
        <f t="shared" si="1"/>
        <v>152</v>
      </c>
      <c r="I36" s="297"/>
      <c r="J36" s="300" t="s">
        <v>474</v>
      </c>
      <c r="K36" s="300"/>
      <c r="L36" s="300">
        <v>79</v>
      </c>
      <c r="M36" s="297"/>
      <c r="N36" s="300" t="s">
        <v>474</v>
      </c>
      <c r="O36" s="300"/>
      <c r="P36" s="300">
        <v>16</v>
      </c>
      <c r="Q36" s="302"/>
      <c r="R36" s="300">
        <f t="shared" si="7"/>
        <v>105727</v>
      </c>
      <c r="S36" s="300">
        <v>105821</v>
      </c>
      <c r="T36" s="300">
        <f t="shared" si="2"/>
        <v>94</v>
      </c>
      <c r="U36" s="297"/>
      <c r="V36" s="300">
        <f t="shared" si="8"/>
        <v>267336</v>
      </c>
      <c r="W36" s="300">
        <v>267547</v>
      </c>
      <c r="X36" s="300">
        <f t="shared" si="3"/>
        <v>211</v>
      </c>
    </row>
    <row r="37" spans="1:24" x14ac:dyDescent="0.25">
      <c r="A37" s="259">
        <f t="shared" si="4"/>
        <v>44043</v>
      </c>
      <c r="B37" s="300">
        <f t="shared" si="5"/>
        <v>130650</v>
      </c>
      <c r="C37" s="300">
        <v>130727</v>
      </c>
      <c r="D37" s="300">
        <f t="shared" si="0"/>
        <v>77</v>
      </c>
      <c r="E37" s="297"/>
      <c r="F37" s="300">
        <f t="shared" si="6"/>
        <v>346734</v>
      </c>
      <c r="G37" s="300">
        <v>346797</v>
      </c>
      <c r="H37" s="300">
        <f t="shared" si="1"/>
        <v>63</v>
      </c>
      <c r="I37" s="297"/>
      <c r="J37" s="300" t="s">
        <v>474</v>
      </c>
      <c r="K37" s="300"/>
      <c r="L37" s="300">
        <v>79</v>
      </c>
      <c r="M37" s="297"/>
      <c r="N37" s="300" t="s">
        <v>474</v>
      </c>
      <c r="O37" s="300"/>
      <c r="P37" s="300">
        <v>16</v>
      </c>
      <c r="Q37" s="302"/>
      <c r="R37" s="300">
        <f t="shared" si="7"/>
        <v>105821</v>
      </c>
      <c r="S37" s="300">
        <v>105899</v>
      </c>
      <c r="T37" s="300">
        <f t="shared" si="2"/>
        <v>78</v>
      </c>
      <c r="U37" s="297"/>
      <c r="V37" s="300">
        <f t="shared" si="8"/>
        <v>267547</v>
      </c>
      <c r="W37" s="300">
        <v>267813</v>
      </c>
      <c r="X37" s="300">
        <f t="shared" si="3"/>
        <v>266</v>
      </c>
    </row>
    <row r="38" spans="1:24" x14ac:dyDescent="0.25">
      <c r="A38" s="303" t="s">
        <v>294</v>
      </c>
      <c r="B38" s="303"/>
      <c r="C38" s="303"/>
      <c r="D38" s="303">
        <f>SUM(D6:D37)</f>
        <v>2337</v>
      </c>
      <c r="E38" s="304"/>
      <c r="F38" s="303"/>
      <c r="G38" s="303"/>
      <c r="H38" s="303">
        <f>SUM(H6:H37)</f>
        <v>4684</v>
      </c>
      <c r="I38" s="304"/>
      <c r="J38" s="303"/>
      <c r="K38" s="303"/>
      <c r="L38" s="303">
        <f>SUM(L6:L37)</f>
        <v>2532</v>
      </c>
      <c r="M38" s="304"/>
      <c r="N38" s="303"/>
      <c r="O38" s="303"/>
      <c r="P38" s="303">
        <f>SUM(P6:P37)</f>
        <v>522</v>
      </c>
      <c r="Q38" s="304"/>
      <c r="R38" s="303"/>
      <c r="S38" s="303"/>
      <c r="T38" s="303">
        <f>SUM(T6:T37)</f>
        <v>2565</v>
      </c>
      <c r="U38" s="304"/>
      <c r="V38" s="303"/>
      <c r="W38" s="303"/>
      <c r="X38" s="303">
        <f>SUM(X6:X37)</f>
        <v>8031</v>
      </c>
    </row>
    <row r="39" spans="1:24" x14ac:dyDescent="0.25">
      <c r="H39" s="261"/>
      <c r="P39" s="260"/>
      <c r="T39" s="260"/>
    </row>
    <row r="41" spans="1:24" x14ac:dyDescent="0.25">
      <c r="A41" s="257"/>
    </row>
    <row r="45" spans="1:24" x14ac:dyDescent="0.25">
      <c r="Q45" s="262"/>
    </row>
  </sheetData>
  <mergeCells count="6">
    <mergeCell ref="V4:X4"/>
    <mergeCell ref="B4:D4"/>
    <mergeCell ref="F4:H4"/>
    <mergeCell ref="J4:L4"/>
    <mergeCell ref="N4:P4"/>
    <mergeCell ref="R4:T4"/>
  </mergeCells>
  <pageMargins left="0.7" right="0.7" top="0.75" bottom="0.75" header="0.3" footer="0.3"/>
  <pageSetup paperSize="5" scale="75" orientation="landscape" horizontalDpi="4294967294" verticalDpi="7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zoomScale="80" zoomScaleNormal="80" workbookViewId="0">
      <selection activeCell="C28" sqref="C28"/>
    </sheetView>
  </sheetViews>
  <sheetFormatPr defaultRowHeight="15.75" x14ac:dyDescent="0.25"/>
  <cols>
    <col min="6" max="6" width="2.375" customWidth="1"/>
    <col min="12" max="12" width="2.625" customWidth="1"/>
    <col min="18" max="18" width="2" customWidth="1"/>
  </cols>
  <sheetData>
    <row r="1" spans="1:23" x14ac:dyDescent="0.25">
      <c r="A1" s="263" t="s">
        <v>295</v>
      </c>
      <c r="G1" s="263" t="s">
        <v>296</v>
      </c>
      <c r="M1" s="263" t="s">
        <v>157</v>
      </c>
      <c r="S1" s="263" t="s">
        <v>297</v>
      </c>
    </row>
    <row r="2" spans="1:23" x14ac:dyDescent="0.25">
      <c r="A2" s="62" t="s">
        <v>298</v>
      </c>
      <c r="B2" s="62" t="s">
        <v>299</v>
      </c>
      <c r="C2" s="62" t="s">
        <v>300</v>
      </c>
      <c r="D2" s="62" t="s">
        <v>148</v>
      </c>
      <c r="E2" s="62" t="s">
        <v>301</v>
      </c>
      <c r="G2" s="62" t="s">
        <v>298</v>
      </c>
      <c r="H2" s="62" t="s">
        <v>299</v>
      </c>
      <c r="I2" s="62" t="s">
        <v>300</v>
      </c>
      <c r="J2" s="62" t="s">
        <v>148</v>
      </c>
      <c r="K2" s="62" t="s">
        <v>301</v>
      </c>
      <c r="M2" s="62" t="s">
        <v>298</v>
      </c>
      <c r="N2" s="62" t="s">
        <v>299</v>
      </c>
      <c r="O2" s="62" t="s">
        <v>300</v>
      </c>
      <c r="P2" s="62" t="s">
        <v>148</v>
      </c>
      <c r="Q2" s="62" t="s">
        <v>301</v>
      </c>
      <c r="S2" s="62" t="s">
        <v>298</v>
      </c>
      <c r="T2" s="62" t="s">
        <v>299</v>
      </c>
      <c r="U2" s="62" t="s">
        <v>300</v>
      </c>
      <c r="V2" s="62" t="s">
        <v>148</v>
      </c>
      <c r="W2" s="62" t="s">
        <v>301</v>
      </c>
    </row>
    <row r="3" spans="1:23" x14ac:dyDescent="0.25">
      <c r="A3" s="62">
        <v>310</v>
      </c>
      <c r="B3" s="62">
        <v>406</v>
      </c>
      <c r="C3" s="62">
        <v>17</v>
      </c>
      <c r="D3" s="290">
        <f t="shared" ref="D3" si="0">SUM(B3:C3)</f>
        <v>423</v>
      </c>
      <c r="E3" s="264">
        <v>23</v>
      </c>
      <c r="G3" s="270">
        <v>140</v>
      </c>
      <c r="H3" s="62">
        <v>7926</v>
      </c>
      <c r="I3" s="62">
        <v>735</v>
      </c>
      <c r="J3" s="264">
        <f>SUM(H3:I3)</f>
        <v>8661</v>
      </c>
      <c r="K3" s="264">
        <v>374</v>
      </c>
      <c r="M3" s="62">
        <v>130</v>
      </c>
      <c r="N3" s="62">
        <v>5312</v>
      </c>
      <c r="O3" s="62">
        <v>10</v>
      </c>
      <c r="P3" s="264">
        <f>SUM(N3:O3)</f>
        <v>5322</v>
      </c>
      <c r="Q3" s="264">
        <v>230</v>
      </c>
      <c r="S3" s="62">
        <v>110</v>
      </c>
      <c r="T3" s="62">
        <v>7766</v>
      </c>
      <c r="U3" s="62">
        <v>10</v>
      </c>
      <c r="V3" s="264">
        <f>SUM(T3:U3)</f>
        <v>7776</v>
      </c>
      <c r="W3" s="264">
        <v>408</v>
      </c>
    </row>
    <row r="4" spans="1:23" x14ac:dyDescent="0.25">
      <c r="A4" s="62">
        <v>320</v>
      </c>
      <c r="B4" s="62">
        <v>3875</v>
      </c>
      <c r="C4" s="62">
        <v>5</v>
      </c>
      <c r="D4">
        <f>SUM(B4:C4)</f>
        <v>3880</v>
      </c>
      <c r="E4" s="264">
        <v>176</v>
      </c>
      <c r="G4" s="270">
        <v>210</v>
      </c>
      <c r="H4" s="62">
        <v>7925</v>
      </c>
      <c r="I4" s="62">
        <v>157</v>
      </c>
      <c r="J4" s="264">
        <f t="shared" ref="J4:J7" si="1">SUM(H4:I4)</f>
        <v>8082</v>
      </c>
      <c r="K4" s="264">
        <v>368</v>
      </c>
      <c r="M4" s="62">
        <v>150</v>
      </c>
      <c r="N4" s="62">
        <v>4738</v>
      </c>
      <c r="O4" s="62">
        <v>82</v>
      </c>
      <c r="P4" s="264">
        <f t="shared" ref="P4:P6" si="2">SUM(N4:O4)</f>
        <v>4820</v>
      </c>
      <c r="Q4" s="264">
        <v>244</v>
      </c>
      <c r="S4" s="62">
        <v>120</v>
      </c>
      <c r="T4" s="62">
        <v>6128</v>
      </c>
      <c r="U4" s="62">
        <v>12</v>
      </c>
      <c r="V4" s="264">
        <f t="shared" ref="V4:V7" si="3">SUM(T4:U4)</f>
        <v>6140</v>
      </c>
      <c r="W4" s="264">
        <v>272</v>
      </c>
    </row>
    <row r="5" spans="1:23" x14ac:dyDescent="0.25">
      <c r="A5" s="62">
        <v>330</v>
      </c>
      <c r="B5" s="62">
        <v>4598</v>
      </c>
      <c r="C5" s="62">
        <v>234</v>
      </c>
      <c r="D5">
        <f t="shared" ref="D5:D8" si="4">SUM(B5:C5)</f>
        <v>4832</v>
      </c>
      <c r="E5" s="264">
        <v>239</v>
      </c>
      <c r="G5" s="270">
        <v>220</v>
      </c>
      <c r="H5" s="62">
        <v>6798</v>
      </c>
      <c r="I5" s="62">
        <v>31</v>
      </c>
      <c r="J5" s="264">
        <f t="shared" si="1"/>
        <v>6829</v>
      </c>
      <c r="K5" s="264">
        <v>304</v>
      </c>
      <c r="M5" s="62">
        <v>170</v>
      </c>
      <c r="N5" s="62">
        <v>3449</v>
      </c>
      <c r="O5" s="62">
        <v>9</v>
      </c>
      <c r="P5" s="264">
        <f t="shared" si="2"/>
        <v>3458</v>
      </c>
      <c r="Q5" s="264">
        <v>177</v>
      </c>
      <c r="S5" s="62">
        <v>160</v>
      </c>
      <c r="T5" s="62">
        <v>3630</v>
      </c>
      <c r="U5" s="62">
        <v>120</v>
      </c>
      <c r="V5" s="264">
        <f t="shared" si="3"/>
        <v>3750</v>
      </c>
      <c r="W5" s="264">
        <v>179</v>
      </c>
    </row>
    <row r="6" spans="1:23" x14ac:dyDescent="0.25">
      <c r="A6" s="62">
        <v>340</v>
      </c>
      <c r="B6" s="62">
        <v>2787</v>
      </c>
      <c r="C6" s="62">
        <v>9</v>
      </c>
      <c r="D6">
        <f t="shared" si="4"/>
        <v>2796</v>
      </c>
      <c r="E6" s="264">
        <v>150</v>
      </c>
      <c r="G6" s="270">
        <v>230</v>
      </c>
      <c r="H6" s="62">
        <v>7226</v>
      </c>
      <c r="I6" s="62">
        <v>1668</v>
      </c>
      <c r="J6" s="264">
        <f t="shared" si="1"/>
        <v>8894</v>
      </c>
      <c r="K6" s="264">
        <v>399</v>
      </c>
      <c r="M6" s="62">
        <v>190</v>
      </c>
      <c r="N6" s="62">
        <v>5001</v>
      </c>
      <c r="O6" s="62">
        <v>13</v>
      </c>
      <c r="P6" s="264">
        <f t="shared" si="2"/>
        <v>5014</v>
      </c>
      <c r="Q6" s="264">
        <v>257</v>
      </c>
      <c r="S6" s="62">
        <v>420</v>
      </c>
      <c r="T6" s="62">
        <v>5139</v>
      </c>
      <c r="U6" s="62">
        <v>0</v>
      </c>
      <c r="V6" s="264">
        <f t="shared" si="3"/>
        <v>5139</v>
      </c>
      <c r="W6" s="264">
        <v>280</v>
      </c>
    </row>
    <row r="7" spans="1:23" x14ac:dyDescent="0.25">
      <c r="A7" s="62">
        <v>410</v>
      </c>
      <c r="B7" s="62">
        <v>4562</v>
      </c>
      <c r="C7" s="62">
        <v>0</v>
      </c>
      <c r="D7">
        <f t="shared" si="4"/>
        <v>4562</v>
      </c>
      <c r="E7" s="264">
        <v>232</v>
      </c>
      <c r="G7" s="270">
        <v>240</v>
      </c>
      <c r="H7" s="62">
        <v>10548</v>
      </c>
      <c r="I7" s="62">
        <v>450</v>
      </c>
      <c r="J7" s="264">
        <f t="shared" si="1"/>
        <v>10998</v>
      </c>
      <c r="K7" s="264">
        <v>504</v>
      </c>
      <c r="M7" s="62"/>
      <c r="N7" s="265">
        <f t="shared" ref="N7:O7" si="5">SUM(N3:N6)</f>
        <v>18500</v>
      </c>
      <c r="O7" s="265">
        <f t="shared" si="5"/>
        <v>114</v>
      </c>
      <c r="P7" s="266">
        <f>SUM(P3:P6)</f>
        <v>18614</v>
      </c>
      <c r="Q7" s="266">
        <f>SUM(Q3:Q6)</f>
        <v>908</v>
      </c>
      <c r="S7" s="62">
        <v>430</v>
      </c>
      <c r="T7" s="62">
        <v>2546</v>
      </c>
      <c r="U7" s="62">
        <v>214</v>
      </c>
      <c r="V7" s="264">
        <f t="shared" si="3"/>
        <v>2760</v>
      </c>
      <c r="W7" s="264">
        <v>135</v>
      </c>
    </row>
    <row r="8" spans="1:23" x14ac:dyDescent="0.25">
      <c r="A8" s="62">
        <v>440</v>
      </c>
      <c r="B8" s="62">
        <v>2574</v>
      </c>
      <c r="C8" s="62">
        <v>0</v>
      </c>
      <c r="D8">
        <f t="shared" si="4"/>
        <v>2574</v>
      </c>
      <c r="E8" s="264">
        <v>135</v>
      </c>
      <c r="G8" s="270">
        <v>310</v>
      </c>
      <c r="H8" s="62">
        <f>4937-406</f>
        <v>4531</v>
      </c>
      <c r="I8" s="62">
        <f>58-17</f>
        <v>41</v>
      </c>
      <c r="J8">
        <f>SUM(H8:I8)</f>
        <v>4572</v>
      </c>
      <c r="K8" s="264">
        <f>232-23</f>
        <v>209</v>
      </c>
      <c r="M8" s="62"/>
      <c r="N8" s="62"/>
      <c r="O8" s="62"/>
      <c r="P8" s="264"/>
      <c r="Q8" s="264"/>
      <c r="T8" s="265">
        <f t="shared" ref="T8:U8" si="6">SUM(T3:T7)</f>
        <v>25209</v>
      </c>
      <c r="U8" s="265">
        <f t="shared" si="6"/>
        <v>356</v>
      </c>
      <c r="V8" s="267">
        <f>SUM(V3:V7)</f>
        <v>25565</v>
      </c>
      <c r="W8" s="266">
        <f>SUM(W3:W7)</f>
        <v>1274</v>
      </c>
    </row>
    <row r="9" spans="1:23" x14ac:dyDescent="0.25">
      <c r="B9" s="265">
        <f>SUM(B3:B8)</f>
        <v>18802</v>
      </c>
      <c r="C9" s="265">
        <f>SUM(C3:C8)</f>
        <v>265</v>
      </c>
      <c r="D9" s="267">
        <f>SUM(D3:D8)</f>
        <v>19067</v>
      </c>
      <c r="E9" s="266">
        <f>SUM(E3:E8)</f>
        <v>955</v>
      </c>
      <c r="G9" s="270">
        <v>350</v>
      </c>
      <c r="H9" s="62">
        <v>2053</v>
      </c>
      <c r="I9" s="62">
        <v>0</v>
      </c>
      <c r="J9" s="264">
        <f>SUM(H9:I9)</f>
        <v>2053</v>
      </c>
      <c r="K9" s="264">
        <v>114</v>
      </c>
      <c r="M9" s="62"/>
      <c r="N9" s="62"/>
      <c r="O9" s="62"/>
      <c r="P9" s="264"/>
      <c r="Q9" s="264"/>
    </row>
    <row r="10" spans="1:23" x14ac:dyDescent="0.25">
      <c r="G10" s="270">
        <v>360</v>
      </c>
      <c r="H10" s="62">
        <v>10445</v>
      </c>
      <c r="I10" s="62">
        <v>225</v>
      </c>
      <c r="J10" s="264">
        <f>SUM(H10:I10)</f>
        <v>10670</v>
      </c>
      <c r="K10" s="264">
        <v>539</v>
      </c>
    </row>
    <row r="11" spans="1:23" x14ac:dyDescent="0.25">
      <c r="H11" s="265">
        <f>SUM(H3:H10)</f>
        <v>57452</v>
      </c>
      <c r="I11" s="265">
        <f>SUM(I3:I10)</f>
        <v>3307</v>
      </c>
      <c r="J11" s="266">
        <f>SUM(J3:J10)</f>
        <v>60759</v>
      </c>
      <c r="K11" s="266">
        <f>SUM(K3:K10)</f>
        <v>2811</v>
      </c>
    </row>
    <row r="13" spans="1:23" x14ac:dyDescent="0.25">
      <c r="B13" s="62" t="s">
        <v>299</v>
      </c>
      <c r="C13" s="62" t="s">
        <v>300</v>
      </c>
      <c r="D13" s="62" t="s">
        <v>148</v>
      </c>
      <c r="E13" s="62" t="s">
        <v>302</v>
      </c>
    </row>
    <row r="14" spans="1:23" x14ac:dyDescent="0.25">
      <c r="A14" t="s">
        <v>295</v>
      </c>
      <c r="B14" s="264">
        <f>B9</f>
        <v>18802</v>
      </c>
      <c r="C14" s="264">
        <f>C9</f>
        <v>265</v>
      </c>
      <c r="D14">
        <f>SUM(B14:C14)</f>
        <v>19067</v>
      </c>
      <c r="E14">
        <f>E9</f>
        <v>955</v>
      </c>
    </row>
    <row r="15" spans="1:23" x14ac:dyDescent="0.25">
      <c r="A15" t="s">
        <v>296</v>
      </c>
      <c r="B15" s="264">
        <f>H11</f>
        <v>57452</v>
      </c>
      <c r="C15" s="264">
        <f>I11</f>
        <v>3307</v>
      </c>
      <c r="D15">
        <f t="shared" ref="D15" si="7">SUM(B15:C15)</f>
        <v>60759</v>
      </c>
      <c r="E15">
        <f>K11</f>
        <v>2811</v>
      </c>
    </row>
    <row r="16" spans="1:23" x14ac:dyDescent="0.25">
      <c r="A16" t="s">
        <v>297</v>
      </c>
      <c r="B16" s="264">
        <f>T8</f>
        <v>25209</v>
      </c>
      <c r="C16" s="264">
        <f>U8</f>
        <v>356</v>
      </c>
      <c r="D16">
        <f>B16+C16</f>
        <v>25565</v>
      </c>
      <c r="E16">
        <f>W8</f>
        <v>1274</v>
      </c>
    </row>
    <row r="17" spans="1:20" x14ac:dyDescent="0.25">
      <c r="A17" t="s">
        <v>157</v>
      </c>
      <c r="B17" s="264">
        <f>N7</f>
        <v>18500</v>
      </c>
      <c r="C17" s="264">
        <f>O7</f>
        <v>114</v>
      </c>
      <c r="D17">
        <f>B17+C17</f>
        <v>18614</v>
      </c>
      <c r="E17">
        <f>Q7</f>
        <v>908</v>
      </c>
    </row>
    <row r="18" spans="1:20" x14ac:dyDescent="0.25">
      <c r="B18" s="268">
        <f>SUM(B14:B17)</f>
        <v>119963</v>
      </c>
      <c r="C18" s="268">
        <f>SUM(C14:C17)</f>
        <v>4042</v>
      </c>
      <c r="D18" s="269">
        <f>SUM(D14:D17)</f>
        <v>124005</v>
      </c>
      <c r="E18" s="269">
        <f>SUM(E14:E17)</f>
        <v>5948</v>
      </c>
    </row>
    <row r="19" spans="1:20" x14ac:dyDescent="0.25">
      <c r="T19" s="305"/>
    </row>
  </sheetData>
  <pageMargins left="0.7" right="0.7" top="0.75" bottom="0.75" header="0.3" footer="0.3"/>
  <pageSetup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AB40"/>
  <sheetViews>
    <sheetView tabSelected="1" zoomScale="110" zoomScaleNormal="110" workbookViewId="0">
      <selection activeCell="I28" sqref="I28"/>
    </sheetView>
  </sheetViews>
  <sheetFormatPr defaultRowHeight="15" x14ac:dyDescent="0.25"/>
  <cols>
    <col min="1" max="1" width="5.375" style="197" customWidth="1"/>
    <col min="2" max="2" width="7.125" style="197" customWidth="1"/>
    <col min="3" max="4" width="10.625" style="197" customWidth="1"/>
    <col min="5" max="5" width="6.875" style="197" customWidth="1"/>
    <col min="6" max="6" width="6.875" style="197" bestFit="1" customWidth="1"/>
    <col min="7" max="7" width="7" style="197" customWidth="1"/>
    <col min="8" max="8" width="11.125" style="197" bestFit="1" customWidth="1"/>
    <col min="9" max="9" width="9.25" style="197" bestFit="1" customWidth="1"/>
    <col min="10" max="10" width="11.875" style="197" bestFit="1" customWidth="1"/>
    <col min="11" max="11" width="22.5" style="197" customWidth="1"/>
    <col min="12" max="12" width="12.75" style="197" bestFit="1" customWidth="1"/>
    <col min="13" max="13" width="21.5" style="197" customWidth="1"/>
    <col min="14" max="14" width="10.125" style="197" customWidth="1"/>
    <col min="15" max="15" width="6.875" style="197" bestFit="1" customWidth="1"/>
    <col min="16" max="16" width="8.375" style="197" bestFit="1" customWidth="1"/>
    <col min="17" max="17" width="8.625" style="197" customWidth="1"/>
    <col min="18" max="18" width="10.5" style="197" customWidth="1"/>
    <col min="19" max="19" width="1.125" style="197" customWidth="1"/>
    <col min="20" max="20" width="10.625" style="197" customWidth="1"/>
    <col min="21" max="22" width="10.75" style="197" customWidth="1"/>
    <col min="23" max="23" width="10.125" style="197" customWidth="1"/>
    <col min="24" max="24" width="8.875" style="197" customWidth="1"/>
    <col min="25" max="25" width="14.875" style="197" customWidth="1"/>
    <col min="26" max="26" width="9.125" style="197" customWidth="1"/>
    <col min="27" max="27" width="11.25" style="197" customWidth="1"/>
    <col min="28" max="28" width="11.5" style="197" customWidth="1"/>
    <col min="29" max="29" width="8" style="197" customWidth="1"/>
    <col min="30" max="256" width="9" style="197"/>
    <col min="257" max="257" width="5.375" style="197" customWidth="1"/>
    <col min="258" max="258" width="8.375" style="197" customWidth="1"/>
    <col min="259" max="260" width="10.625" style="197" customWidth="1"/>
    <col min="261" max="261" width="10.25" style="197" customWidth="1"/>
    <col min="262" max="262" width="10.625" style="197" customWidth="1"/>
    <col min="263" max="263" width="7" style="197" customWidth="1"/>
    <col min="264" max="265" width="10.25" style="197" customWidth="1"/>
    <col min="266" max="266" width="12.5" style="197" bestFit="1" customWidth="1"/>
    <col min="267" max="267" width="12.375" style="197" customWidth="1"/>
    <col min="268" max="268" width="10.75" style="197" customWidth="1"/>
    <col min="269" max="269" width="12.375" style="197" customWidth="1"/>
    <col min="270" max="270" width="10.25" style="197" customWidth="1"/>
    <col min="271" max="271" width="11" style="197" customWidth="1"/>
    <col min="272" max="272" width="9.375" style="197" customWidth="1"/>
    <col min="273" max="273" width="6.625" style="197" customWidth="1"/>
    <col min="274" max="274" width="10.5" style="197" customWidth="1"/>
    <col min="275" max="275" width="1.125" style="197" customWidth="1"/>
    <col min="276" max="276" width="10.625" style="197" customWidth="1"/>
    <col min="277" max="278" width="10.75" style="197" customWidth="1"/>
    <col min="279" max="279" width="10.125" style="197" customWidth="1"/>
    <col min="280" max="280" width="8.875" style="197" customWidth="1"/>
    <col min="281" max="281" width="14.875" style="197" customWidth="1"/>
    <col min="282" max="282" width="9.125" style="197" customWidth="1"/>
    <col min="283" max="283" width="11.25" style="197" customWidth="1"/>
    <col min="284" max="284" width="11.5" style="197" customWidth="1"/>
    <col min="285" max="285" width="8" style="197" customWidth="1"/>
    <col min="286" max="512" width="9" style="197"/>
    <col min="513" max="513" width="5.375" style="197" customWidth="1"/>
    <col min="514" max="514" width="8.375" style="197" customWidth="1"/>
    <col min="515" max="516" width="10.625" style="197" customWidth="1"/>
    <col min="517" max="517" width="10.25" style="197" customWidth="1"/>
    <col min="518" max="518" width="10.625" style="197" customWidth="1"/>
    <col min="519" max="519" width="7" style="197" customWidth="1"/>
    <col min="520" max="521" width="10.25" style="197" customWidth="1"/>
    <col min="522" max="522" width="12.5" style="197" bestFit="1" customWidth="1"/>
    <col min="523" max="523" width="12.375" style="197" customWidth="1"/>
    <col min="524" max="524" width="10.75" style="197" customWidth="1"/>
    <col min="525" max="525" width="12.375" style="197" customWidth="1"/>
    <col min="526" max="526" width="10.25" style="197" customWidth="1"/>
    <col min="527" max="527" width="11" style="197" customWidth="1"/>
    <col min="528" max="528" width="9.375" style="197" customWidth="1"/>
    <col min="529" max="529" width="6.625" style="197" customWidth="1"/>
    <col min="530" max="530" width="10.5" style="197" customWidth="1"/>
    <col min="531" max="531" width="1.125" style="197" customWidth="1"/>
    <col min="532" max="532" width="10.625" style="197" customWidth="1"/>
    <col min="533" max="534" width="10.75" style="197" customWidth="1"/>
    <col min="535" max="535" width="10.125" style="197" customWidth="1"/>
    <col min="536" max="536" width="8.875" style="197" customWidth="1"/>
    <col min="537" max="537" width="14.875" style="197" customWidth="1"/>
    <col min="538" max="538" width="9.125" style="197" customWidth="1"/>
    <col min="539" max="539" width="11.25" style="197" customWidth="1"/>
    <col min="540" max="540" width="11.5" style="197" customWidth="1"/>
    <col min="541" max="541" width="8" style="197" customWidth="1"/>
    <col min="542" max="768" width="9" style="197"/>
    <col min="769" max="769" width="5.375" style="197" customWidth="1"/>
    <col min="770" max="770" width="8.375" style="197" customWidth="1"/>
    <col min="771" max="772" width="10.625" style="197" customWidth="1"/>
    <col min="773" max="773" width="10.25" style="197" customWidth="1"/>
    <col min="774" max="774" width="10.625" style="197" customWidth="1"/>
    <col min="775" max="775" width="7" style="197" customWidth="1"/>
    <col min="776" max="777" width="10.25" style="197" customWidth="1"/>
    <col min="778" max="778" width="12.5" style="197" bestFit="1" customWidth="1"/>
    <col min="779" max="779" width="12.375" style="197" customWidth="1"/>
    <col min="780" max="780" width="10.75" style="197" customWidth="1"/>
    <col min="781" max="781" width="12.375" style="197" customWidth="1"/>
    <col min="782" max="782" width="10.25" style="197" customWidth="1"/>
    <col min="783" max="783" width="11" style="197" customWidth="1"/>
    <col min="784" max="784" width="9.375" style="197" customWidth="1"/>
    <col min="785" max="785" width="6.625" style="197" customWidth="1"/>
    <col min="786" max="786" width="10.5" style="197" customWidth="1"/>
    <col min="787" max="787" width="1.125" style="197" customWidth="1"/>
    <col min="788" max="788" width="10.625" style="197" customWidth="1"/>
    <col min="789" max="790" width="10.75" style="197" customWidth="1"/>
    <col min="791" max="791" width="10.125" style="197" customWidth="1"/>
    <col min="792" max="792" width="8.875" style="197" customWidth="1"/>
    <col min="793" max="793" width="14.875" style="197" customWidth="1"/>
    <col min="794" max="794" width="9.125" style="197" customWidth="1"/>
    <col min="795" max="795" width="11.25" style="197" customWidth="1"/>
    <col min="796" max="796" width="11.5" style="197" customWidth="1"/>
    <col min="797" max="797" width="8" style="197" customWidth="1"/>
    <col min="798" max="1024" width="9" style="197"/>
    <col min="1025" max="1025" width="5.375" style="197" customWidth="1"/>
    <col min="1026" max="1026" width="8.375" style="197" customWidth="1"/>
    <col min="1027" max="1028" width="10.625" style="197" customWidth="1"/>
    <col min="1029" max="1029" width="10.25" style="197" customWidth="1"/>
    <col min="1030" max="1030" width="10.625" style="197" customWidth="1"/>
    <col min="1031" max="1031" width="7" style="197" customWidth="1"/>
    <col min="1032" max="1033" width="10.25" style="197" customWidth="1"/>
    <col min="1034" max="1034" width="12.5" style="197" bestFit="1" customWidth="1"/>
    <col min="1035" max="1035" width="12.375" style="197" customWidth="1"/>
    <col min="1036" max="1036" width="10.75" style="197" customWidth="1"/>
    <col min="1037" max="1037" width="12.375" style="197" customWidth="1"/>
    <col min="1038" max="1038" width="10.25" style="197" customWidth="1"/>
    <col min="1039" max="1039" width="11" style="197" customWidth="1"/>
    <col min="1040" max="1040" width="9.375" style="197" customWidth="1"/>
    <col min="1041" max="1041" width="6.625" style="197" customWidth="1"/>
    <col min="1042" max="1042" width="10.5" style="197" customWidth="1"/>
    <col min="1043" max="1043" width="1.125" style="197" customWidth="1"/>
    <col min="1044" max="1044" width="10.625" style="197" customWidth="1"/>
    <col min="1045" max="1046" width="10.75" style="197" customWidth="1"/>
    <col min="1047" max="1047" width="10.125" style="197" customWidth="1"/>
    <col min="1048" max="1048" width="8.875" style="197" customWidth="1"/>
    <col min="1049" max="1049" width="14.875" style="197" customWidth="1"/>
    <col min="1050" max="1050" width="9.125" style="197" customWidth="1"/>
    <col min="1051" max="1051" width="11.25" style="197" customWidth="1"/>
    <col min="1052" max="1052" width="11.5" style="197" customWidth="1"/>
    <col min="1053" max="1053" width="8" style="197" customWidth="1"/>
    <col min="1054" max="1280" width="9" style="197"/>
    <col min="1281" max="1281" width="5.375" style="197" customWidth="1"/>
    <col min="1282" max="1282" width="8.375" style="197" customWidth="1"/>
    <col min="1283" max="1284" width="10.625" style="197" customWidth="1"/>
    <col min="1285" max="1285" width="10.25" style="197" customWidth="1"/>
    <col min="1286" max="1286" width="10.625" style="197" customWidth="1"/>
    <col min="1287" max="1287" width="7" style="197" customWidth="1"/>
    <col min="1288" max="1289" width="10.25" style="197" customWidth="1"/>
    <col min="1290" max="1290" width="12.5" style="197" bestFit="1" customWidth="1"/>
    <col min="1291" max="1291" width="12.375" style="197" customWidth="1"/>
    <col min="1292" max="1292" width="10.75" style="197" customWidth="1"/>
    <col min="1293" max="1293" width="12.375" style="197" customWidth="1"/>
    <col min="1294" max="1294" width="10.25" style="197" customWidth="1"/>
    <col min="1295" max="1295" width="11" style="197" customWidth="1"/>
    <col min="1296" max="1296" width="9.375" style="197" customWidth="1"/>
    <col min="1297" max="1297" width="6.625" style="197" customWidth="1"/>
    <col min="1298" max="1298" width="10.5" style="197" customWidth="1"/>
    <col min="1299" max="1299" width="1.125" style="197" customWidth="1"/>
    <col min="1300" max="1300" width="10.625" style="197" customWidth="1"/>
    <col min="1301" max="1302" width="10.75" style="197" customWidth="1"/>
    <col min="1303" max="1303" width="10.125" style="197" customWidth="1"/>
    <col min="1304" max="1304" width="8.875" style="197" customWidth="1"/>
    <col min="1305" max="1305" width="14.875" style="197" customWidth="1"/>
    <col min="1306" max="1306" width="9.125" style="197" customWidth="1"/>
    <col min="1307" max="1307" width="11.25" style="197" customWidth="1"/>
    <col min="1308" max="1308" width="11.5" style="197" customWidth="1"/>
    <col min="1309" max="1309" width="8" style="197" customWidth="1"/>
    <col min="1310" max="1536" width="9" style="197"/>
    <col min="1537" max="1537" width="5.375" style="197" customWidth="1"/>
    <col min="1538" max="1538" width="8.375" style="197" customWidth="1"/>
    <col min="1539" max="1540" width="10.625" style="197" customWidth="1"/>
    <col min="1541" max="1541" width="10.25" style="197" customWidth="1"/>
    <col min="1542" max="1542" width="10.625" style="197" customWidth="1"/>
    <col min="1543" max="1543" width="7" style="197" customWidth="1"/>
    <col min="1544" max="1545" width="10.25" style="197" customWidth="1"/>
    <col min="1546" max="1546" width="12.5" style="197" bestFit="1" customWidth="1"/>
    <col min="1547" max="1547" width="12.375" style="197" customWidth="1"/>
    <col min="1548" max="1548" width="10.75" style="197" customWidth="1"/>
    <col min="1549" max="1549" width="12.375" style="197" customWidth="1"/>
    <col min="1550" max="1550" width="10.25" style="197" customWidth="1"/>
    <col min="1551" max="1551" width="11" style="197" customWidth="1"/>
    <col min="1552" max="1552" width="9.375" style="197" customWidth="1"/>
    <col min="1553" max="1553" width="6.625" style="197" customWidth="1"/>
    <col min="1554" max="1554" width="10.5" style="197" customWidth="1"/>
    <col min="1555" max="1555" width="1.125" style="197" customWidth="1"/>
    <col min="1556" max="1556" width="10.625" style="197" customWidth="1"/>
    <col min="1557" max="1558" width="10.75" style="197" customWidth="1"/>
    <col min="1559" max="1559" width="10.125" style="197" customWidth="1"/>
    <col min="1560" max="1560" width="8.875" style="197" customWidth="1"/>
    <col min="1561" max="1561" width="14.875" style="197" customWidth="1"/>
    <col min="1562" max="1562" width="9.125" style="197" customWidth="1"/>
    <col min="1563" max="1563" width="11.25" style="197" customWidth="1"/>
    <col min="1564" max="1564" width="11.5" style="197" customWidth="1"/>
    <col min="1565" max="1565" width="8" style="197" customWidth="1"/>
    <col min="1566" max="1792" width="9" style="197"/>
    <col min="1793" max="1793" width="5.375" style="197" customWidth="1"/>
    <col min="1794" max="1794" width="8.375" style="197" customWidth="1"/>
    <col min="1795" max="1796" width="10.625" style="197" customWidth="1"/>
    <col min="1797" max="1797" width="10.25" style="197" customWidth="1"/>
    <col min="1798" max="1798" width="10.625" style="197" customWidth="1"/>
    <col min="1799" max="1799" width="7" style="197" customWidth="1"/>
    <col min="1800" max="1801" width="10.25" style="197" customWidth="1"/>
    <col min="1802" max="1802" width="12.5" style="197" bestFit="1" customWidth="1"/>
    <col min="1803" max="1803" width="12.375" style="197" customWidth="1"/>
    <col min="1804" max="1804" width="10.75" style="197" customWidth="1"/>
    <col min="1805" max="1805" width="12.375" style="197" customWidth="1"/>
    <col min="1806" max="1806" width="10.25" style="197" customWidth="1"/>
    <col min="1807" max="1807" width="11" style="197" customWidth="1"/>
    <col min="1808" max="1808" width="9.375" style="197" customWidth="1"/>
    <col min="1809" max="1809" width="6.625" style="197" customWidth="1"/>
    <col min="1810" max="1810" width="10.5" style="197" customWidth="1"/>
    <col min="1811" max="1811" width="1.125" style="197" customWidth="1"/>
    <col min="1812" max="1812" width="10.625" style="197" customWidth="1"/>
    <col min="1813" max="1814" width="10.75" style="197" customWidth="1"/>
    <col min="1815" max="1815" width="10.125" style="197" customWidth="1"/>
    <col min="1816" max="1816" width="8.875" style="197" customWidth="1"/>
    <col min="1817" max="1817" width="14.875" style="197" customWidth="1"/>
    <col min="1818" max="1818" width="9.125" style="197" customWidth="1"/>
    <col min="1819" max="1819" width="11.25" style="197" customWidth="1"/>
    <col min="1820" max="1820" width="11.5" style="197" customWidth="1"/>
    <col min="1821" max="1821" width="8" style="197" customWidth="1"/>
    <col min="1822" max="2048" width="9" style="197"/>
    <col min="2049" max="2049" width="5.375" style="197" customWidth="1"/>
    <col min="2050" max="2050" width="8.375" style="197" customWidth="1"/>
    <col min="2051" max="2052" width="10.625" style="197" customWidth="1"/>
    <col min="2053" max="2053" width="10.25" style="197" customWidth="1"/>
    <col min="2054" max="2054" width="10.625" style="197" customWidth="1"/>
    <col min="2055" max="2055" width="7" style="197" customWidth="1"/>
    <col min="2056" max="2057" width="10.25" style="197" customWidth="1"/>
    <col min="2058" max="2058" width="12.5" style="197" bestFit="1" customWidth="1"/>
    <col min="2059" max="2059" width="12.375" style="197" customWidth="1"/>
    <col min="2060" max="2060" width="10.75" style="197" customWidth="1"/>
    <col min="2061" max="2061" width="12.375" style="197" customWidth="1"/>
    <col min="2062" max="2062" width="10.25" style="197" customWidth="1"/>
    <col min="2063" max="2063" width="11" style="197" customWidth="1"/>
    <col min="2064" max="2064" width="9.375" style="197" customWidth="1"/>
    <col min="2065" max="2065" width="6.625" style="197" customWidth="1"/>
    <col min="2066" max="2066" width="10.5" style="197" customWidth="1"/>
    <col min="2067" max="2067" width="1.125" style="197" customWidth="1"/>
    <col min="2068" max="2068" width="10.625" style="197" customWidth="1"/>
    <col min="2069" max="2070" width="10.75" style="197" customWidth="1"/>
    <col min="2071" max="2071" width="10.125" style="197" customWidth="1"/>
    <col min="2072" max="2072" width="8.875" style="197" customWidth="1"/>
    <col min="2073" max="2073" width="14.875" style="197" customWidth="1"/>
    <col min="2074" max="2074" width="9.125" style="197" customWidth="1"/>
    <col min="2075" max="2075" width="11.25" style="197" customWidth="1"/>
    <col min="2076" max="2076" width="11.5" style="197" customWidth="1"/>
    <col min="2077" max="2077" width="8" style="197" customWidth="1"/>
    <col min="2078" max="2304" width="9" style="197"/>
    <col min="2305" max="2305" width="5.375" style="197" customWidth="1"/>
    <col min="2306" max="2306" width="8.375" style="197" customWidth="1"/>
    <col min="2307" max="2308" width="10.625" style="197" customWidth="1"/>
    <col min="2309" max="2309" width="10.25" style="197" customWidth="1"/>
    <col min="2310" max="2310" width="10.625" style="197" customWidth="1"/>
    <col min="2311" max="2311" width="7" style="197" customWidth="1"/>
    <col min="2312" max="2313" width="10.25" style="197" customWidth="1"/>
    <col min="2314" max="2314" width="12.5" style="197" bestFit="1" customWidth="1"/>
    <col min="2315" max="2315" width="12.375" style="197" customWidth="1"/>
    <col min="2316" max="2316" width="10.75" style="197" customWidth="1"/>
    <col min="2317" max="2317" width="12.375" style="197" customWidth="1"/>
    <col min="2318" max="2318" width="10.25" style="197" customWidth="1"/>
    <col min="2319" max="2319" width="11" style="197" customWidth="1"/>
    <col min="2320" max="2320" width="9.375" style="197" customWidth="1"/>
    <col min="2321" max="2321" width="6.625" style="197" customWidth="1"/>
    <col min="2322" max="2322" width="10.5" style="197" customWidth="1"/>
    <col min="2323" max="2323" width="1.125" style="197" customWidth="1"/>
    <col min="2324" max="2324" width="10.625" style="197" customWidth="1"/>
    <col min="2325" max="2326" width="10.75" style="197" customWidth="1"/>
    <col min="2327" max="2327" width="10.125" style="197" customWidth="1"/>
    <col min="2328" max="2328" width="8.875" style="197" customWidth="1"/>
    <col min="2329" max="2329" width="14.875" style="197" customWidth="1"/>
    <col min="2330" max="2330" width="9.125" style="197" customWidth="1"/>
    <col min="2331" max="2331" width="11.25" style="197" customWidth="1"/>
    <col min="2332" max="2332" width="11.5" style="197" customWidth="1"/>
    <col min="2333" max="2333" width="8" style="197" customWidth="1"/>
    <col min="2334" max="2560" width="9" style="197"/>
    <col min="2561" max="2561" width="5.375" style="197" customWidth="1"/>
    <col min="2562" max="2562" width="8.375" style="197" customWidth="1"/>
    <col min="2563" max="2564" width="10.625" style="197" customWidth="1"/>
    <col min="2565" max="2565" width="10.25" style="197" customWidth="1"/>
    <col min="2566" max="2566" width="10.625" style="197" customWidth="1"/>
    <col min="2567" max="2567" width="7" style="197" customWidth="1"/>
    <col min="2568" max="2569" width="10.25" style="197" customWidth="1"/>
    <col min="2570" max="2570" width="12.5" style="197" bestFit="1" customWidth="1"/>
    <col min="2571" max="2571" width="12.375" style="197" customWidth="1"/>
    <col min="2572" max="2572" width="10.75" style="197" customWidth="1"/>
    <col min="2573" max="2573" width="12.375" style="197" customWidth="1"/>
    <col min="2574" max="2574" width="10.25" style="197" customWidth="1"/>
    <col min="2575" max="2575" width="11" style="197" customWidth="1"/>
    <col min="2576" max="2576" width="9.375" style="197" customWidth="1"/>
    <col min="2577" max="2577" width="6.625" style="197" customWidth="1"/>
    <col min="2578" max="2578" width="10.5" style="197" customWidth="1"/>
    <col min="2579" max="2579" width="1.125" style="197" customWidth="1"/>
    <col min="2580" max="2580" width="10.625" style="197" customWidth="1"/>
    <col min="2581" max="2582" width="10.75" style="197" customWidth="1"/>
    <col min="2583" max="2583" width="10.125" style="197" customWidth="1"/>
    <col min="2584" max="2584" width="8.875" style="197" customWidth="1"/>
    <col min="2585" max="2585" width="14.875" style="197" customWidth="1"/>
    <col min="2586" max="2586" width="9.125" style="197" customWidth="1"/>
    <col min="2587" max="2587" width="11.25" style="197" customWidth="1"/>
    <col min="2588" max="2588" width="11.5" style="197" customWidth="1"/>
    <col min="2589" max="2589" width="8" style="197" customWidth="1"/>
    <col min="2590" max="2816" width="9" style="197"/>
    <col min="2817" max="2817" width="5.375" style="197" customWidth="1"/>
    <col min="2818" max="2818" width="8.375" style="197" customWidth="1"/>
    <col min="2819" max="2820" width="10.625" style="197" customWidth="1"/>
    <col min="2821" max="2821" width="10.25" style="197" customWidth="1"/>
    <col min="2822" max="2822" width="10.625" style="197" customWidth="1"/>
    <col min="2823" max="2823" width="7" style="197" customWidth="1"/>
    <col min="2824" max="2825" width="10.25" style="197" customWidth="1"/>
    <col min="2826" max="2826" width="12.5" style="197" bestFit="1" customWidth="1"/>
    <col min="2827" max="2827" width="12.375" style="197" customWidth="1"/>
    <col min="2828" max="2828" width="10.75" style="197" customWidth="1"/>
    <col min="2829" max="2829" width="12.375" style="197" customWidth="1"/>
    <col min="2830" max="2830" width="10.25" style="197" customWidth="1"/>
    <col min="2831" max="2831" width="11" style="197" customWidth="1"/>
    <col min="2832" max="2832" width="9.375" style="197" customWidth="1"/>
    <col min="2833" max="2833" width="6.625" style="197" customWidth="1"/>
    <col min="2834" max="2834" width="10.5" style="197" customWidth="1"/>
    <col min="2835" max="2835" width="1.125" style="197" customWidth="1"/>
    <col min="2836" max="2836" width="10.625" style="197" customWidth="1"/>
    <col min="2837" max="2838" width="10.75" style="197" customWidth="1"/>
    <col min="2839" max="2839" width="10.125" style="197" customWidth="1"/>
    <col min="2840" max="2840" width="8.875" style="197" customWidth="1"/>
    <col min="2841" max="2841" width="14.875" style="197" customWidth="1"/>
    <col min="2842" max="2842" width="9.125" style="197" customWidth="1"/>
    <col min="2843" max="2843" width="11.25" style="197" customWidth="1"/>
    <col min="2844" max="2844" width="11.5" style="197" customWidth="1"/>
    <col min="2845" max="2845" width="8" style="197" customWidth="1"/>
    <col min="2846" max="3072" width="9" style="197"/>
    <col min="3073" max="3073" width="5.375" style="197" customWidth="1"/>
    <col min="3074" max="3074" width="8.375" style="197" customWidth="1"/>
    <col min="3075" max="3076" width="10.625" style="197" customWidth="1"/>
    <col min="3077" max="3077" width="10.25" style="197" customWidth="1"/>
    <col min="3078" max="3078" width="10.625" style="197" customWidth="1"/>
    <col min="3079" max="3079" width="7" style="197" customWidth="1"/>
    <col min="3080" max="3081" width="10.25" style="197" customWidth="1"/>
    <col min="3082" max="3082" width="12.5" style="197" bestFit="1" customWidth="1"/>
    <col min="3083" max="3083" width="12.375" style="197" customWidth="1"/>
    <col min="3084" max="3084" width="10.75" style="197" customWidth="1"/>
    <col min="3085" max="3085" width="12.375" style="197" customWidth="1"/>
    <col min="3086" max="3086" width="10.25" style="197" customWidth="1"/>
    <col min="3087" max="3087" width="11" style="197" customWidth="1"/>
    <col min="3088" max="3088" width="9.375" style="197" customWidth="1"/>
    <col min="3089" max="3089" width="6.625" style="197" customWidth="1"/>
    <col min="3090" max="3090" width="10.5" style="197" customWidth="1"/>
    <col min="3091" max="3091" width="1.125" style="197" customWidth="1"/>
    <col min="3092" max="3092" width="10.625" style="197" customWidth="1"/>
    <col min="3093" max="3094" width="10.75" style="197" customWidth="1"/>
    <col min="3095" max="3095" width="10.125" style="197" customWidth="1"/>
    <col min="3096" max="3096" width="8.875" style="197" customWidth="1"/>
    <col min="3097" max="3097" width="14.875" style="197" customWidth="1"/>
    <col min="3098" max="3098" width="9.125" style="197" customWidth="1"/>
    <col min="3099" max="3099" width="11.25" style="197" customWidth="1"/>
    <col min="3100" max="3100" width="11.5" style="197" customWidth="1"/>
    <col min="3101" max="3101" width="8" style="197" customWidth="1"/>
    <col min="3102" max="3328" width="9" style="197"/>
    <col min="3329" max="3329" width="5.375" style="197" customWidth="1"/>
    <col min="3330" max="3330" width="8.375" style="197" customWidth="1"/>
    <col min="3331" max="3332" width="10.625" style="197" customWidth="1"/>
    <col min="3333" max="3333" width="10.25" style="197" customWidth="1"/>
    <col min="3334" max="3334" width="10.625" style="197" customWidth="1"/>
    <col min="3335" max="3335" width="7" style="197" customWidth="1"/>
    <col min="3336" max="3337" width="10.25" style="197" customWidth="1"/>
    <col min="3338" max="3338" width="12.5" style="197" bestFit="1" customWidth="1"/>
    <col min="3339" max="3339" width="12.375" style="197" customWidth="1"/>
    <col min="3340" max="3340" width="10.75" style="197" customWidth="1"/>
    <col min="3341" max="3341" width="12.375" style="197" customWidth="1"/>
    <col min="3342" max="3342" width="10.25" style="197" customWidth="1"/>
    <col min="3343" max="3343" width="11" style="197" customWidth="1"/>
    <col min="3344" max="3344" width="9.375" style="197" customWidth="1"/>
    <col min="3345" max="3345" width="6.625" style="197" customWidth="1"/>
    <col min="3346" max="3346" width="10.5" style="197" customWidth="1"/>
    <col min="3347" max="3347" width="1.125" style="197" customWidth="1"/>
    <col min="3348" max="3348" width="10.625" style="197" customWidth="1"/>
    <col min="3349" max="3350" width="10.75" style="197" customWidth="1"/>
    <col min="3351" max="3351" width="10.125" style="197" customWidth="1"/>
    <col min="3352" max="3352" width="8.875" style="197" customWidth="1"/>
    <col min="3353" max="3353" width="14.875" style="197" customWidth="1"/>
    <col min="3354" max="3354" width="9.125" style="197" customWidth="1"/>
    <col min="3355" max="3355" width="11.25" style="197" customWidth="1"/>
    <col min="3356" max="3356" width="11.5" style="197" customWidth="1"/>
    <col min="3357" max="3357" width="8" style="197" customWidth="1"/>
    <col min="3358" max="3584" width="9" style="197"/>
    <col min="3585" max="3585" width="5.375" style="197" customWidth="1"/>
    <col min="3586" max="3586" width="8.375" style="197" customWidth="1"/>
    <col min="3587" max="3588" width="10.625" style="197" customWidth="1"/>
    <col min="3589" max="3589" width="10.25" style="197" customWidth="1"/>
    <col min="3590" max="3590" width="10.625" style="197" customWidth="1"/>
    <col min="3591" max="3591" width="7" style="197" customWidth="1"/>
    <col min="3592" max="3593" width="10.25" style="197" customWidth="1"/>
    <col min="3594" max="3594" width="12.5" style="197" bestFit="1" customWidth="1"/>
    <col min="3595" max="3595" width="12.375" style="197" customWidth="1"/>
    <col min="3596" max="3596" width="10.75" style="197" customWidth="1"/>
    <col min="3597" max="3597" width="12.375" style="197" customWidth="1"/>
    <col min="3598" max="3598" width="10.25" style="197" customWidth="1"/>
    <col min="3599" max="3599" width="11" style="197" customWidth="1"/>
    <col min="3600" max="3600" width="9.375" style="197" customWidth="1"/>
    <col min="3601" max="3601" width="6.625" style="197" customWidth="1"/>
    <col min="3602" max="3602" width="10.5" style="197" customWidth="1"/>
    <col min="3603" max="3603" width="1.125" style="197" customWidth="1"/>
    <col min="3604" max="3604" width="10.625" style="197" customWidth="1"/>
    <col min="3605" max="3606" width="10.75" style="197" customWidth="1"/>
    <col min="3607" max="3607" width="10.125" style="197" customWidth="1"/>
    <col min="3608" max="3608" width="8.875" style="197" customWidth="1"/>
    <col min="3609" max="3609" width="14.875" style="197" customWidth="1"/>
    <col min="3610" max="3610" width="9.125" style="197" customWidth="1"/>
    <col min="3611" max="3611" width="11.25" style="197" customWidth="1"/>
    <col min="3612" max="3612" width="11.5" style="197" customWidth="1"/>
    <col min="3613" max="3613" width="8" style="197" customWidth="1"/>
    <col min="3614" max="3840" width="9" style="197"/>
    <col min="3841" max="3841" width="5.375" style="197" customWidth="1"/>
    <col min="3842" max="3842" width="8.375" style="197" customWidth="1"/>
    <col min="3843" max="3844" width="10.625" style="197" customWidth="1"/>
    <col min="3845" max="3845" width="10.25" style="197" customWidth="1"/>
    <col min="3846" max="3846" width="10.625" style="197" customWidth="1"/>
    <col min="3847" max="3847" width="7" style="197" customWidth="1"/>
    <col min="3848" max="3849" width="10.25" style="197" customWidth="1"/>
    <col min="3850" max="3850" width="12.5" style="197" bestFit="1" customWidth="1"/>
    <col min="3851" max="3851" width="12.375" style="197" customWidth="1"/>
    <col min="3852" max="3852" width="10.75" style="197" customWidth="1"/>
    <col min="3853" max="3853" width="12.375" style="197" customWidth="1"/>
    <col min="3854" max="3854" width="10.25" style="197" customWidth="1"/>
    <col min="3855" max="3855" width="11" style="197" customWidth="1"/>
    <col min="3856" max="3856" width="9.375" style="197" customWidth="1"/>
    <col min="3857" max="3857" width="6.625" style="197" customWidth="1"/>
    <col min="3858" max="3858" width="10.5" style="197" customWidth="1"/>
    <col min="3859" max="3859" width="1.125" style="197" customWidth="1"/>
    <col min="3860" max="3860" width="10.625" style="197" customWidth="1"/>
    <col min="3861" max="3862" width="10.75" style="197" customWidth="1"/>
    <col min="3863" max="3863" width="10.125" style="197" customWidth="1"/>
    <col min="3864" max="3864" width="8.875" style="197" customWidth="1"/>
    <col min="3865" max="3865" width="14.875" style="197" customWidth="1"/>
    <col min="3866" max="3866" width="9.125" style="197" customWidth="1"/>
    <col min="3867" max="3867" width="11.25" style="197" customWidth="1"/>
    <col min="3868" max="3868" width="11.5" style="197" customWidth="1"/>
    <col min="3869" max="3869" width="8" style="197" customWidth="1"/>
    <col min="3870" max="4096" width="9" style="197"/>
    <col min="4097" max="4097" width="5.375" style="197" customWidth="1"/>
    <col min="4098" max="4098" width="8.375" style="197" customWidth="1"/>
    <col min="4099" max="4100" width="10.625" style="197" customWidth="1"/>
    <col min="4101" max="4101" width="10.25" style="197" customWidth="1"/>
    <col min="4102" max="4102" width="10.625" style="197" customWidth="1"/>
    <col min="4103" max="4103" width="7" style="197" customWidth="1"/>
    <col min="4104" max="4105" width="10.25" style="197" customWidth="1"/>
    <col min="4106" max="4106" width="12.5" style="197" bestFit="1" customWidth="1"/>
    <col min="4107" max="4107" width="12.375" style="197" customWidth="1"/>
    <col min="4108" max="4108" width="10.75" style="197" customWidth="1"/>
    <col min="4109" max="4109" width="12.375" style="197" customWidth="1"/>
    <col min="4110" max="4110" width="10.25" style="197" customWidth="1"/>
    <col min="4111" max="4111" width="11" style="197" customWidth="1"/>
    <col min="4112" max="4112" width="9.375" style="197" customWidth="1"/>
    <col min="4113" max="4113" width="6.625" style="197" customWidth="1"/>
    <col min="4114" max="4114" width="10.5" style="197" customWidth="1"/>
    <col min="4115" max="4115" width="1.125" style="197" customWidth="1"/>
    <col min="4116" max="4116" width="10.625" style="197" customWidth="1"/>
    <col min="4117" max="4118" width="10.75" style="197" customWidth="1"/>
    <col min="4119" max="4119" width="10.125" style="197" customWidth="1"/>
    <col min="4120" max="4120" width="8.875" style="197" customWidth="1"/>
    <col min="4121" max="4121" width="14.875" style="197" customWidth="1"/>
    <col min="4122" max="4122" width="9.125" style="197" customWidth="1"/>
    <col min="4123" max="4123" width="11.25" style="197" customWidth="1"/>
    <col min="4124" max="4124" width="11.5" style="197" customWidth="1"/>
    <col min="4125" max="4125" width="8" style="197" customWidth="1"/>
    <col min="4126" max="4352" width="9" style="197"/>
    <col min="4353" max="4353" width="5.375" style="197" customWidth="1"/>
    <col min="4354" max="4354" width="8.375" style="197" customWidth="1"/>
    <col min="4355" max="4356" width="10.625" style="197" customWidth="1"/>
    <col min="4357" max="4357" width="10.25" style="197" customWidth="1"/>
    <col min="4358" max="4358" width="10.625" style="197" customWidth="1"/>
    <col min="4359" max="4359" width="7" style="197" customWidth="1"/>
    <col min="4360" max="4361" width="10.25" style="197" customWidth="1"/>
    <col min="4362" max="4362" width="12.5" style="197" bestFit="1" customWidth="1"/>
    <col min="4363" max="4363" width="12.375" style="197" customWidth="1"/>
    <col min="4364" max="4364" width="10.75" style="197" customWidth="1"/>
    <col min="4365" max="4365" width="12.375" style="197" customWidth="1"/>
    <col min="4366" max="4366" width="10.25" style="197" customWidth="1"/>
    <col min="4367" max="4367" width="11" style="197" customWidth="1"/>
    <col min="4368" max="4368" width="9.375" style="197" customWidth="1"/>
    <col min="4369" max="4369" width="6.625" style="197" customWidth="1"/>
    <col min="4370" max="4370" width="10.5" style="197" customWidth="1"/>
    <col min="4371" max="4371" width="1.125" style="197" customWidth="1"/>
    <col min="4372" max="4372" width="10.625" style="197" customWidth="1"/>
    <col min="4373" max="4374" width="10.75" style="197" customWidth="1"/>
    <col min="4375" max="4375" width="10.125" style="197" customWidth="1"/>
    <col min="4376" max="4376" width="8.875" style="197" customWidth="1"/>
    <col min="4377" max="4377" width="14.875" style="197" customWidth="1"/>
    <col min="4378" max="4378" width="9.125" style="197" customWidth="1"/>
    <col min="4379" max="4379" width="11.25" style="197" customWidth="1"/>
    <col min="4380" max="4380" width="11.5" style="197" customWidth="1"/>
    <col min="4381" max="4381" width="8" style="197" customWidth="1"/>
    <col min="4382" max="4608" width="9" style="197"/>
    <col min="4609" max="4609" width="5.375" style="197" customWidth="1"/>
    <col min="4610" max="4610" width="8.375" style="197" customWidth="1"/>
    <col min="4611" max="4612" width="10.625" style="197" customWidth="1"/>
    <col min="4613" max="4613" width="10.25" style="197" customWidth="1"/>
    <col min="4614" max="4614" width="10.625" style="197" customWidth="1"/>
    <col min="4615" max="4615" width="7" style="197" customWidth="1"/>
    <col min="4616" max="4617" width="10.25" style="197" customWidth="1"/>
    <col min="4618" max="4618" width="12.5" style="197" bestFit="1" customWidth="1"/>
    <col min="4619" max="4619" width="12.375" style="197" customWidth="1"/>
    <col min="4620" max="4620" width="10.75" style="197" customWidth="1"/>
    <col min="4621" max="4621" width="12.375" style="197" customWidth="1"/>
    <col min="4622" max="4622" width="10.25" style="197" customWidth="1"/>
    <col min="4623" max="4623" width="11" style="197" customWidth="1"/>
    <col min="4624" max="4624" width="9.375" style="197" customWidth="1"/>
    <col min="4625" max="4625" width="6.625" style="197" customWidth="1"/>
    <col min="4626" max="4626" width="10.5" style="197" customWidth="1"/>
    <col min="4627" max="4627" width="1.125" style="197" customWidth="1"/>
    <col min="4628" max="4628" width="10.625" style="197" customWidth="1"/>
    <col min="4629" max="4630" width="10.75" style="197" customWidth="1"/>
    <col min="4631" max="4631" width="10.125" style="197" customWidth="1"/>
    <col min="4632" max="4632" width="8.875" style="197" customWidth="1"/>
    <col min="4633" max="4633" width="14.875" style="197" customWidth="1"/>
    <col min="4634" max="4634" width="9.125" style="197" customWidth="1"/>
    <col min="4635" max="4635" width="11.25" style="197" customWidth="1"/>
    <col min="4636" max="4636" width="11.5" style="197" customWidth="1"/>
    <col min="4637" max="4637" width="8" style="197" customWidth="1"/>
    <col min="4638" max="4864" width="9" style="197"/>
    <col min="4865" max="4865" width="5.375" style="197" customWidth="1"/>
    <col min="4866" max="4866" width="8.375" style="197" customWidth="1"/>
    <col min="4867" max="4868" width="10.625" style="197" customWidth="1"/>
    <col min="4869" max="4869" width="10.25" style="197" customWidth="1"/>
    <col min="4870" max="4870" width="10.625" style="197" customWidth="1"/>
    <col min="4871" max="4871" width="7" style="197" customWidth="1"/>
    <col min="4872" max="4873" width="10.25" style="197" customWidth="1"/>
    <col min="4874" max="4874" width="12.5" style="197" bestFit="1" customWidth="1"/>
    <col min="4875" max="4875" width="12.375" style="197" customWidth="1"/>
    <col min="4876" max="4876" width="10.75" style="197" customWidth="1"/>
    <col min="4877" max="4877" width="12.375" style="197" customWidth="1"/>
    <col min="4878" max="4878" width="10.25" style="197" customWidth="1"/>
    <col min="4879" max="4879" width="11" style="197" customWidth="1"/>
    <col min="4880" max="4880" width="9.375" style="197" customWidth="1"/>
    <col min="4881" max="4881" width="6.625" style="197" customWidth="1"/>
    <col min="4882" max="4882" width="10.5" style="197" customWidth="1"/>
    <col min="4883" max="4883" width="1.125" style="197" customWidth="1"/>
    <col min="4884" max="4884" width="10.625" style="197" customWidth="1"/>
    <col min="4885" max="4886" width="10.75" style="197" customWidth="1"/>
    <col min="4887" max="4887" width="10.125" style="197" customWidth="1"/>
    <col min="4888" max="4888" width="8.875" style="197" customWidth="1"/>
    <col min="4889" max="4889" width="14.875" style="197" customWidth="1"/>
    <col min="4890" max="4890" width="9.125" style="197" customWidth="1"/>
    <col min="4891" max="4891" width="11.25" style="197" customWidth="1"/>
    <col min="4892" max="4892" width="11.5" style="197" customWidth="1"/>
    <col min="4893" max="4893" width="8" style="197" customWidth="1"/>
    <col min="4894" max="5120" width="9" style="197"/>
    <col min="5121" max="5121" width="5.375" style="197" customWidth="1"/>
    <col min="5122" max="5122" width="8.375" style="197" customWidth="1"/>
    <col min="5123" max="5124" width="10.625" style="197" customWidth="1"/>
    <col min="5125" max="5125" width="10.25" style="197" customWidth="1"/>
    <col min="5126" max="5126" width="10.625" style="197" customWidth="1"/>
    <col min="5127" max="5127" width="7" style="197" customWidth="1"/>
    <col min="5128" max="5129" width="10.25" style="197" customWidth="1"/>
    <col min="5130" max="5130" width="12.5" style="197" bestFit="1" customWidth="1"/>
    <col min="5131" max="5131" width="12.375" style="197" customWidth="1"/>
    <col min="5132" max="5132" width="10.75" style="197" customWidth="1"/>
    <col min="5133" max="5133" width="12.375" style="197" customWidth="1"/>
    <col min="5134" max="5134" width="10.25" style="197" customWidth="1"/>
    <col min="5135" max="5135" width="11" style="197" customWidth="1"/>
    <col min="5136" max="5136" width="9.375" style="197" customWidth="1"/>
    <col min="5137" max="5137" width="6.625" style="197" customWidth="1"/>
    <col min="5138" max="5138" width="10.5" style="197" customWidth="1"/>
    <col min="5139" max="5139" width="1.125" style="197" customWidth="1"/>
    <col min="5140" max="5140" width="10.625" style="197" customWidth="1"/>
    <col min="5141" max="5142" width="10.75" style="197" customWidth="1"/>
    <col min="5143" max="5143" width="10.125" style="197" customWidth="1"/>
    <col min="5144" max="5144" width="8.875" style="197" customWidth="1"/>
    <col min="5145" max="5145" width="14.875" style="197" customWidth="1"/>
    <col min="5146" max="5146" width="9.125" style="197" customWidth="1"/>
    <col min="5147" max="5147" width="11.25" style="197" customWidth="1"/>
    <col min="5148" max="5148" width="11.5" style="197" customWidth="1"/>
    <col min="5149" max="5149" width="8" style="197" customWidth="1"/>
    <col min="5150" max="5376" width="9" style="197"/>
    <col min="5377" max="5377" width="5.375" style="197" customWidth="1"/>
    <col min="5378" max="5378" width="8.375" style="197" customWidth="1"/>
    <col min="5379" max="5380" width="10.625" style="197" customWidth="1"/>
    <col min="5381" max="5381" width="10.25" style="197" customWidth="1"/>
    <col min="5382" max="5382" width="10.625" style="197" customWidth="1"/>
    <col min="5383" max="5383" width="7" style="197" customWidth="1"/>
    <col min="5384" max="5385" width="10.25" style="197" customWidth="1"/>
    <col min="5386" max="5386" width="12.5" style="197" bestFit="1" customWidth="1"/>
    <col min="5387" max="5387" width="12.375" style="197" customWidth="1"/>
    <col min="5388" max="5388" width="10.75" style="197" customWidth="1"/>
    <col min="5389" max="5389" width="12.375" style="197" customWidth="1"/>
    <col min="5390" max="5390" width="10.25" style="197" customWidth="1"/>
    <col min="5391" max="5391" width="11" style="197" customWidth="1"/>
    <col min="5392" max="5392" width="9.375" style="197" customWidth="1"/>
    <col min="5393" max="5393" width="6.625" style="197" customWidth="1"/>
    <col min="5394" max="5394" width="10.5" style="197" customWidth="1"/>
    <col min="5395" max="5395" width="1.125" style="197" customWidth="1"/>
    <col min="5396" max="5396" width="10.625" style="197" customWidth="1"/>
    <col min="5397" max="5398" width="10.75" style="197" customWidth="1"/>
    <col min="5399" max="5399" width="10.125" style="197" customWidth="1"/>
    <col min="5400" max="5400" width="8.875" style="197" customWidth="1"/>
    <col min="5401" max="5401" width="14.875" style="197" customWidth="1"/>
    <col min="5402" max="5402" width="9.125" style="197" customWidth="1"/>
    <col min="5403" max="5403" width="11.25" style="197" customWidth="1"/>
    <col min="5404" max="5404" width="11.5" style="197" customWidth="1"/>
    <col min="5405" max="5405" width="8" style="197" customWidth="1"/>
    <col min="5406" max="5632" width="9" style="197"/>
    <col min="5633" max="5633" width="5.375" style="197" customWidth="1"/>
    <col min="5634" max="5634" width="8.375" style="197" customWidth="1"/>
    <col min="5635" max="5636" width="10.625" style="197" customWidth="1"/>
    <col min="5637" max="5637" width="10.25" style="197" customWidth="1"/>
    <col min="5638" max="5638" width="10.625" style="197" customWidth="1"/>
    <col min="5639" max="5639" width="7" style="197" customWidth="1"/>
    <col min="5640" max="5641" width="10.25" style="197" customWidth="1"/>
    <col min="5642" max="5642" width="12.5" style="197" bestFit="1" customWidth="1"/>
    <col min="5643" max="5643" width="12.375" style="197" customWidth="1"/>
    <col min="5644" max="5644" width="10.75" style="197" customWidth="1"/>
    <col min="5645" max="5645" width="12.375" style="197" customWidth="1"/>
    <col min="5646" max="5646" width="10.25" style="197" customWidth="1"/>
    <col min="5647" max="5647" width="11" style="197" customWidth="1"/>
    <col min="5648" max="5648" width="9.375" style="197" customWidth="1"/>
    <col min="5649" max="5649" width="6.625" style="197" customWidth="1"/>
    <col min="5650" max="5650" width="10.5" style="197" customWidth="1"/>
    <col min="5651" max="5651" width="1.125" style="197" customWidth="1"/>
    <col min="5652" max="5652" width="10.625" style="197" customWidth="1"/>
    <col min="5653" max="5654" width="10.75" style="197" customWidth="1"/>
    <col min="5655" max="5655" width="10.125" style="197" customWidth="1"/>
    <col min="5656" max="5656" width="8.875" style="197" customWidth="1"/>
    <col min="5657" max="5657" width="14.875" style="197" customWidth="1"/>
    <col min="5658" max="5658" width="9.125" style="197" customWidth="1"/>
    <col min="5659" max="5659" width="11.25" style="197" customWidth="1"/>
    <col min="5660" max="5660" width="11.5" style="197" customWidth="1"/>
    <col min="5661" max="5661" width="8" style="197" customWidth="1"/>
    <col min="5662" max="5888" width="9" style="197"/>
    <col min="5889" max="5889" width="5.375" style="197" customWidth="1"/>
    <col min="5890" max="5890" width="8.375" style="197" customWidth="1"/>
    <col min="5891" max="5892" width="10.625" style="197" customWidth="1"/>
    <col min="5893" max="5893" width="10.25" style="197" customWidth="1"/>
    <col min="5894" max="5894" width="10.625" style="197" customWidth="1"/>
    <col min="5895" max="5895" width="7" style="197" customWidth="1"/>
    <col min="5896" max="5897" width="10.25" style="197" customWidth="1"/>
    <col min="5898" max="5898" width="12.5" style="197" bestFit="1" customWidth="1"/>
    <col min="5899" max="5899" width="12.375" style="197" customWidth="1"/>
    <col min="5900" max="5900" width="10.75" style="197" customWidth="1"/>
    <col min="5901" max="5901" width="12.375" style="197" customWidth="1"/>
    <col min="5902" max="5902" width="10.25" style="197" customWidth="1"/>
    <col min="5903" max="5903" width="11" style="197" customWidth="1"/>
    <col min="5904" max="5904" width="9.375" style="197" customWidth="1"/>
    <col min="5905" max="5905" width="6.625" style="197" customWidth="1"/>
    <col min="5906" max="5906" width="10.5" style="197" customWidth="1"/>
    <col min="5907" max="5907" width="1.125" style="197" customWidth="1"/>
    <col min="5908" max="5908" width="10.625" style="197" customWidth="1"/>
    <col min="5909" max="5910" width="10.75" style="197" customWidth="1"/>
    <col min="5911" max="5911" width="10.125" style="197" customWidth="1"/>
    <col min="5912" max="5912" width="8.875" style="197" customWidth="1"/>
    <col min="5913" max="5913" width="14.875" style="197" customWidth="1"/>
    <col min="5914" max="5914" width="9.125" style="197" customWidth="1"/>
    <col min="5915" max="5915" width="11.25" style="197" customWidth="1"/>
    <col min="5916" max="5916" width="11.5" style="197" customWidth="1"/>
    <col min="5917" max="5917" width="8" style="197" customWidth="1"/>
    <col min="5918" max="6144" width="9" style="197"/>
    <col min="6145" max="6145" width="5.375" style="197" customWidth="1"/>
    <col min="6146" max="6146" width="8.375" style="197" customWidth="1"/>
    <col min="6147" max="6148" width="10.625" style="197" customWidth="1"/>
    <col min="6149" max="6149" width="10.25" style="197" customWidth="1"/>
    <col min="6150" max="6150" width="10.625" style="197" customWidth="1"/>
    <col min="6151" max="6151" width="7" style="197" customWidth="1"/>
    <col min="6152" max="6153" width="10.25" style="197" customWidth="1"/>
    <col min="6154" max="6154" width="12.5" style="197" bestFit="1" customWidth="1"/>
    <col min="6155" max="6155" width="12.375" style="197" customWidth="1"/>
    <col min="6156" max="6156" width="10.75" style="197" customWidth="1"/>
    <col min="6157" max="6157" width="12.375" style="197" customWidth="1"/>
    <col min="6158" max="6158" width="10.25" style="197" customWidth="1"/>
    <col min="6159" max="6159" width="11" style="197" customWidth="1"/>
    <col min="6160" max="6160" width="9.375" style="197" customWidth="1"/>
    <col min="6161" max="6161" width="6.625" style="197" customWidth="1"/>
    <col min="6162" max="6162" width="10.5" style="197" customWidth="1"/>
    <col min="6163" max="6163" width="1.125" style="197" customWidth="1"/>
    <col min="6164" max="6164" width="10.625" style="197" customWidth="1"/>
    <col min="6165" max="6166" width="10.75" style="197" customWidth="1"/>
    <col min="6167" max="6167" width="10.125" style="197" customWidth="1"/>
    <col min="6168" max="6168" width="8.875" style="197" customWidth="1"/>
    <col min="6169" max="6169" width="14.875" style="197" customWidth="1"/>
    <col min="6170" max="6170" width="9.125" style="197" customWidth="1"/>
    <col min="6171" max="6171" width="11.25" style="197" customWidth="1"/>
    <col min="6172" max="6172" width="11.5" style="197" customWidth="1"/>
    <col min="6173" max="6173" width="8" style="197" customWidth="1"/>
    <col min="6174" max="6400" width="9" style="197"/>
    <col min="6401" max="6401" width="5.375" style="197" customWidth="1"/>
    <col min="6402" max="6402" width="8.375" style="197" customWidth="1"/>
    <col min="6403" max="6404" width="10.625" style="197" customWidth="1"/>
    <col min="6405" max="6405" width="10.25" style="197" customWidth="1"/>
    <col min="6406" max="6406" width="10.625" style="197" customWidth="1"/>
    <col min="6407" max="6407" width="7" style="197" customWidth="1"/>
    <col min="6408" max="6409" width="10.25" style="197" customWidth="1"/>
    <col min="6410" max="6410" width="12.5" style="197" bestFit="1" customWidth="1"/>
    <col min="6411" max="6411" width="12.375" style="197" customWidth="1"/>
    <col min="6412" max="6412" width="10.75" style="197" customWidth="1"/>
    <col min="6413" max="6413" width="12.375" style="197" customWidth="1"/>
    <col min="6414" max="6414" width="10.25" style="197" customWidth="1"/>
    <col min="6415" max="6415" width="11" style="197" customWidth="1"/>
    <col min="6416" max="6416" width="9.375" style="197" customWidth="1"/>
    <col min="6417" max="6417" width="6.625" style="197" customWidth="1"/>
    <col min="6418" max="6418" width="10.5" style="197" customWidth="1"/>
    <col min="6419" max="6419" width="1.125" style="197" customWidth="1"/>
    <col min="6420" max="6420" width="10.625" style="197" customWidth="1"/>
    <col min="6421" max="6422" width="10.75" style="197" customWidth="1"/>
    <col min="6423" max="6423" width="10.125" style="197" customWidth="1"/>
    <col min="6424" max="6424" width="8.875" style="197" customWidth="1"/>
    <col min="6425" max="6425" width="14.875" style="197" customWidth="1"/>
    <col min="6426" max="6426" width="9.125" style="197" customWidth="1"/>
    <col min="6427" max="6427" width="11.25" style="197" customWidth="1"/>
    <col min="6428" max="6428" width="11.5" style="197" customWidth="1"/>
    <col min="6429" max="6429" width="8" style="197" customWidth="1"/>
    <col min="6430" max="6656" width="9" style="197"/>
    <col min="6657" max="6657" width="5.375" style="197" customWidth="1"/>
    <col min="6658" max="6658" width="8.375" style="197" customWidth="1"/>
    <col min="6659" max="6660" width="10.625" style="197" customWidth="1"/>
    <col min="6661" max="6661" width="10.25" style="197" customWidth="1"/>
    <col min="6662" max="6662" width="10.625" style="197" customWidth="1"/>
    <col min="6663" max="6663" width="7" style="197" customWidth="1"/>
    <col min="6664" max="6665" width="10.25" style="197" customWidth="1"/>
    <col min="6666" max="6666" width="12.5" style="197" bestFit="1" customWidth="1"/>
    <col min="6667" max="6667" width="12.375" style="197" customWidth="1"/>
    <col min="6668" max="6668" width="10.75" style="197" customWidth="1"/>
    <col min="6669" max="6669" width="12.375" style="197" customWidth="1"/>
    <col min="6670" max="6670" width="10.25" style="197" customWidth="1"/>
    <col min="6671" max="6671" width="11" style="197" customWidth="1"/>
    <col min="6672" max="6672" width="9.375" style="197" customWidth="1"/>
    <col min="6673" max="6673" width="6.625" style="197" customWidth="1"/>
    <col min="6674" max="6674" width="10.5" style="197" customWidth="1"/>
    <col min="6675" max="6675" width="1.125" style="197" customWidth="1"/>
    <col min="6676" max="6676" width="10.625" style="197" customWidth="1"/>
    <col min="6677" max="6678" width="10.75" style="197" customWidth="1"/>
    <col min="6679" max="6679" width="10.125" style="197" customWidth="1"/>
    <col min="6680" max="6680" width="8.875" style="197" customWidth="1"/>
    <col min="6681" max="6681" width="14.875" style="197" customWidth="1"/>
    <col min="6682" max="6682" width="9.125" style="197" customWidth="1"/>
    <col min="6683" max="6683" width="11.25" style="197" customWidth="1"/>
    <col min="6684" max="6684" width="11.5" style="197" customWidth="1"/>
    <col min="6685" max="6685" width="8" style="197" customWidth="1"/>
    <col min="6686" max="6912" width="9" style="197"/>
    <col min="6913" max="6913" width="5.375" style="197" customWidth="1"/>
    <col min="6914" max="6914" width="8.375" style="197" customWidth="1"/>
    <col min="6915" max="6916" width="10.625" style="197" customWidth="1"/>
    <col min="6917" max="6917" width="10.25" style="197" customWidth="1"/>
    <col min="6918" max="6918" width="10.625" style="197" customWidth="1"/>
    <col min="6919" max="6919" width="7" style="197" customWidth="1"/>
    <col min="6920" max="6921" width="10.25" style="197" customWidth="1"/>
    <col min="6922" max="6922" width="12.5" style="197" bestFit="1" customWidth="1"/>
    <col min="6923" max="6923" width="12.375" style="197" customWidth="1"/>
    <col min="6924" max="6924" width="10.75" style="197" customWidth="1"/>
    <col min="6925" max="6925" width="12.375" style="197" customWidth="1"/>
    <col min="6926" max="6926" width="10.25" style="197" customWidth="1"/>
    <col min="6927" max="6927" width="11" style="197" customWidth="1"/>
    <col min="6928" max="6928" width="9.375" style="197" customWidth="1"/>
    <col min="6929" max="6929" width="6.625" style="197" customWidth="1"/>
    <col min="6930" max="6930" width="10.5" style="197" customWidth="1"/>
    <col min="6931" max="6931" width="1.125" style="197" customWidth="1"/>
    <col min="6932" max="6932" width="10.625" style="197" customWidth="1"/>
    <col min="6933" max="6934" width="10.75" style="197" customWidth="1"/>
    <col min="6935" max="6935" width="10.125" style="197" customWidth="1"/>
    <col min="6936" max="6936" width="8.875" style="197" customWidth="1"/>
    <col min="6937" max="6937" width="14.875" style="197" customWidth="1"/>
    <col min="6938" max="6938" width="9.125" style="197" customWidth="1"/>
    <col min="6939" max="6939" width="11.25" style="197" customWidth="1"/>
    <col min="6940" max="6940" width="11.5" style="197" customWidth="1"/>
    <col min="6941" max="6941" width="8" style="197" customWidth="1"/>
    <col min="6942" max="7168" width="9" style="197"/>
    <col min="7169" max="7169" width="5.375" style="197" customWidth="1"/>
    <col min="7170" max="7170" width="8.375" style="197" customWidth="1"/>
    <col min="7171" max="7172" width="10.625" style="197" customWidth="1"/>
    <col min="7173" max="7173" width="10.25" style="197" customWidth="1"/>
    <col min="7174" max="7174" width="10.625" style="197" customWidth="1"/>
    <col min="7175" max="7175" width="7" style="197" customWidth="1"/>
    <col min="7176" max="7177" width="10.25" style="197" customWidth="1"/>
    <col min="7178" max="7178" width="12.5" style="197" bestFit="1" customWidth="1"/>
    <col min="7179" max="7179" width="12.375" style="197" customWidth="1"/>
    <col min="7180" max="7180" width="10.75" style="197" customWidth="1"/>
    <col min="7181" max="7181" width="12.375" style="197" customWidth="1"/>
    <col min="7182" max="7182" width="10.25" style="197" customWidth="1"/>
    <col min="7183" max="7183" width="11" style="197" customWidth="1"/>
    <col min="7184" max="7184" width="9.375" style="197" customWidth="1"/>
    <col min="7185" max="7185" width="6.625" style="197" customWidth="1"/>
    <col min="7186" max="7186" width="10.5" style="197" customWidth="1"/>
    <col min="7187" max="7187" width="1.125" style="197" customWidth="1"/>
    <col min="7188" max="7188" width="10.625" style="197" customWidth="1"/>
    <col min="7189" max="7190" width="10.75" style="197" customWidth="1"/>
    <col min="7191" max="7191" width="10.125" style="197" customWidth="1"/>
    <col min="7192" max="7192" width="8.875" style="197" customWidth="1"/>
    <col min="7193" max="7193" width="14.875" style="197" customWidth="1"/>
    <col min="7194" max="7194" width="9.125" style="197" customWidth="1"/>
    <col min="7195" max="7195" width="11.25" style="197" customWidth="1"/>
    <col min="7196" max="7196" width="11.5" style="197" customWidth="1"/>
    <col min="7197" max="7197" width="8" style="197" customWidth="1"/>
    <col min="7198" max="7424" width="9" style="197"/>
    <col min="7425" max="7425" width="5.375" style="197" customWidth="1"/>
    <col min="7426" max="7426" width="8.375" style="197" customWidth="1"/>
    <col min="7427" max="7428" width="10.625" style="197" customWidth="1"/>
    <col min="7429" max="7429" width="10.25" style="197" customWidth="1"/>
    <col min="7430" max="7430" width="10.625" style="197" customWidth="1"/>
    <col min="7431" max="7431" width="7" style="197" customWidth="1"/>
    <col min="7432" max="7433" width="10.25" style="197" customWidth="1"/>
    <col min="7434" max="7434" width="12.5" style="197" bestFit="1" customWidth="1"/>
    <col min="7435" max="7435" width="12.375" style="197" customWidth="1"/>
    <col min="7436" max="7436" width="10.75" style="197" customWidth="1"/>
    <col min="7437" max="7437" width="12.375" style="197" customWidth="1"/>
    <col min="7438" max="7438" width="10.25" style="197" customWidth="1"/>
    <col min="7439" max="7439" width="11" style="197" customWidth="1"/>
    <col min="7440" max="7440" width="9.375" style="197" customWidth="1"/>
    <col min="7441" max="7441" width="6.625" style="197" customWidth="1"/>
    <col min="7442" max="7442" width="10.5" style="197" customWidth="1"/>
    <col min="7443" max="7443" width="1.125" style="197" customWidth="1"/>
    <col min="7444" max="7444" width="10.625" style="197" customWidth="1"/>
    <col min="7445" max="7446" width="10.75" style="197" customWidth="1"/>
    <col min="7447" max="7447" width="10.125" style="197" customWidth="1"/>
    <col min="7448" max="7448" width="8.875" style="197" customWidth="1"/>
    <col min="7449" max="7449" width="14.875" style="197" customWidth="1"/>
    <col min="7450" max="7450" width="9.125" style="197" customWidth="1"/>
    <col min="7451" max="7451" width="11.25" style="197" customWidth="1"/>
    <col min="7452" max="7452" width="11.5" style="197" customWidth="1"/>
    <col min="7453" max="7453" width="8" style="197" customWidth="1"/>
    <col min="7454" max="7680" width="9" style="197"/>
    <col min="7681" max="7681" width="5.375" style="197" customWidth="1"/>
    <col min="7682" max="7682" width="8.375" style="197" customWidth="1"/>
    <col min="7683" max="7684" width="10.625" style="197" customWidth="1"/>
    <col min="7685" max="7685" width="10.25" style="197" customWidth="1"/>
    <col min="7686" max="7686" width="10.625" style="197" customWidth="1"/>
    <col min="7687" max="7687" width="7" style="197" customWidth="1"/>
    <col min="7688" max="7689" width="10.25" style="197" customWidth="1"/>
    <col min="7690" max="7690" width="12.5" style="197" bestFit="1" customWidth="1"/>
    <col min="7691" max="7691" width="12.375" style="197" customWidth="1"/>
    <col min="7692" max="7692" width="10.75" style="197" customWidth="1"/>
    <col min="7693" max="7693" width="12.375" style="197" customWidth="1"/>
    <col min="7694" max="7694" width="10.25" style="197" customWidth="1"/>
    <col min="7695" max="7695" width="11" style="197" customWidth="1"/>
    <col min="7696" max="7696" width="9.375" style="197" customWidth="1"/>
    <col min="7697" max="7697" width="6.625" style="197" customWidth="1"/>
    <col min="7698" max="7698" width="10.5" style="197" customWidth="1"/>
    <col min="7699" max="7699" width="1.125" style="197" customWidth="1"/>
    <col min="7700" max="7700" width="10.625" style="197" customWidth="1"/>
    <col min="7701" max="7702" width="10.75" style="197" customWidth="1"/>
    <col min="7703" max="7703" width="10.125" style="197" customWidth="1"/>
    <col min="7704" max="7704" width="8.875" style="197" customWidth="1"/>
    <col min="7705" max="7705" width="14.875" style="197" customWidth="1"/>
    <col min="7706" max="7706" width="9.125" style="197" customWidth="1"/>
    <col min="7707" max="7707" width="11.25" style="197" customWidth="1"/>
    <col min="7708" max="7708" width="11.5" style="197" customWidth="1"/>
    <col min="7709" max="7709" width="8" style="197" customWidth="1"/>
    <col min="7710" max="7936" width="9" style="197"/>
    <col min="7937" max="7937" width="5.375" style="197" customWidth="1"/>
    <col min="7938" max="7938" width="8.375" style="197" customWidth="1"/>
    <col min="7939" max="7940" width="10.625" style="197" customWidth="1"/>
    <col min="7941" max="7941" width="10.25" style="197" customWidth="1"/>
    <col min="7942" max="7942" width="10.625" style="197" customWidth="1"/>
    <col min="7943" max="7943" width="7" style="197" customWidth="1"/>
    <col min="7944" max="7945" width="10.25" style="197" customWidth="1"/>
    <col min="7946" max="7946" width="12.5" style="197" bestFit="1" customWidth="1"/>
    <col min="7947" max="7947" width="12.375" style="197" customWidth="1"/>
    <col min="7948" max="7948" width="10.75" style="197" customWidth="1"/>
    <col min="7949" max="7949" width="12.375" style="197" customWidth="1"/>
    <col min="7950" max="7950" width="10.25" style="197" customWidth="1"/>
    <col min="7951" max="7951" width="11" style="197" customWidth="1"/>
    <col min="7952" max="7952" width="9.375" style="197" customWidth="1"/>
    <col min="7953" max="7953" width="6.625" style="197" customWidth="1"/>
    <col min="7954" max="7954" width="10.5" style="197" customWidth="1"/>
    <col min="7955" max="7955" width="1.125" style="197" customWidth="1"/>
    <col min="7956" max="7956" width="10.625" style="197" customWidth="1"/>
    <col min="7957" max="7958" width="10.75" style="197" customWidth="1"/>
    <col min="7959" max="7959" width="10.125" style="197" customWidth="1"/>
    <col min="7960" max="7960" width="8.875" style="197" customWidth="1"/>
    <col min="7961" max="7961" width="14.875" style="197" customWidth="1"/>
    <col min="7962" max="7962" width="9.125" style="197" customWidth="1"/>
    <col min="7963" max="7963" width="11.25" style="197" customWidth="1"/>
    <col min="7964" max="7964" width="11.5" style="197" customWidth="1"/>
    <col min="7965" max="7965" width="8" style="197" customWidth="1"/>
    <col min="7966" max="8192" width="9" style="197"/>
    <col min="8193" max="8193" width="5.375" style="197" customWidth="1"/>
    <col min="8194" max="8194" width="8.375" style="197" customWidth="1"/>
    <col min="8195" max="8196" width="10.625" style="197" customWidth="1"/>
    <col min="8197" max="8197" width="10.25" style="197" customWidth="1"/>
    <col min="8198" max="8198" width="10.625" style="197" customWidth="1"/>
    <col min="8199" max="8199" width="7" style="197" customWidth="1"/>
    <col min="8200" max="8201" width="10.25" style="197" customWidth="1"/>
    <col min="8202" max="8202" width="12.5" style="197" bestFit="1" customWidth="1"/>
    <col min="8203" max="8203" width="12.375" style="197" customWidth="1"/>
    <col min="8204" max="8204" width="10.75" style="197" customWidth="1"/>
    <col min="8205" max="8205" width="12.375" style="197" customWidth="1"/>
    <col min="8206" max="8206" width="10.25" style="197" customWidth="1"/>
    <col min="8207" max="8207" width="11" style="197" customWidth="1"/>
    <col min="8208" max="8208" width="9.375" style="197" customWidth="1"/>
    <col min="8209" max="8209" width="6.625" style="197" customWidth="1"/>
    <col min="8210" max="8210" width="10.5" style="197" customWidth="1"/>
    <col min="8211" max="8211" width="1.125" style="197" customWidth="1"/>
    <col min="8212" max="8212" width="10.625" style="197" customWidth="1"/>
    <col min="8213" max="8214" width="10.75" style="197" customWidth="1"/>
    <col min="8215" max="8215" width="10.125" style="197" customWidth="1"/>
    <col min="8216" max="8216" width="8.875" style="197" customWidth="1"/>
    <col min="8217" max="8217" width="14.875" style="197" customWidth="1"/>
    <col min="8218" max="8218" width="9.125" style="197" customWidth="1"/>
    <col min="8219" max="8219" width="11.25" style="197" customWidth="1"/>
    <col min="8220" max="8220" width="11.5" style="197" customWidth="1"/>
    <col min="8221" max="8221" width="8" style="197" customWidth="1"/>
    <col min="8222" max="8448" width="9" style="197"/>
    <col min="8449" max="8449" width="5.375" style="197" customWidth="1"/>
    <col min="8450" max="8450" width="8.375" style="197" customWidth="1"/>
    <col min="8451" max="8452" width="10.625" style="197" customWidth="1"/>
    <col min="8453" max="8453" width="10.25" style="197" customWidth="1"/>
    <col min="8454" max="8454" width="10.625" style="197" customWidth="1"/>
    <col min="8455" max="8455" width="7" style="197" customWidth="1"/>
    <col min="8456" max="8457" width="10.25" style="197" customWidth="1"/>
    <col min="8458" max="8458" width="12.5" style="197" bestFit="1" customWidth="1"/>
    <col min="8459" max="8459" width="12.375" style="197" customWidth="1"/>
    <col min="8460" max="8460" width="10.75" style="197" customWidth="1"/>
    <col min="8461" max="8461" width="12.375" style="197" customWidth="1"/>
    <col min="8462" max="8462" width="10.25" style="197" customWidth="1"/>
    <col min="8463" max="8463" width="11" style="197" customWidth="1"/>
    <col min="8464" max="8464" width="9.375" style="197" customWidth="1"/>
    <col min="8465" max="8465" width="6.625" style="197" customWidth="1"/>
    <col min="8466" max="8466" width="10.5" style="197" customWidth="1"/>
    <col min="8467" max="8467" width="1.125" style="197" customWidth="1"/>
    <col min="8468" max="8468" width="10.625" style="197" customWidth="1"/>
    <col min="8469" max="8470" width="10.75" style="197" customWidth="1"/>
    <col min="8471" max="8471" width="10.125" style="197" customWidth="1"/>
    <col min="8472" max="8472" width="8.875" style="197" customWidth="1"/>
    <col min="8473" max="8473" width="14.875" style="197" customWidth="1"/>
    <col min="8474" max="8474" width="9.125" style="197" customWidth="1"/>
    <col min="8475" max="8475" width="11.25" style="197" customWidth="1"/>
    <col min="8476" max="8476" width="11.5" style="197" customWidth="1"/>
    <col min="8477" max="8477" width="8" style="197" customWidth="1"/>
    <col min="8478" max="8704" width="9" style="197"/>
    <col min="8705" max="8705" width="5.375" style="197" customWidth="1"/>
    <col min="8706" max="8706" width="8.375" style="197" customWidth="1"/>
    <col min="8707" max="8708" width="10.625" style="197" customWidth="1"/>
    <col min="8709" max="8709" width="10.25" style="197" customWidth="1"/>
    <col min="8710" max="8710" width="10.625" style="197" customWidth="1"/>
    <col min="8711" max="8711" width="7" style="197" customWidth="1"/>
    <col min="8712" max="8713" width="10.25" style="197" customWidth="1"/>
    <col min="8714" max="8714" width="12.5" style="197" bestFit="1" customWidth="1"/>
    <col min="8715" max="8715" width="12.375" style="197" customWidth="1"/>
    <col min="8716" max="8716" width="10.75" style="197" customWidth="1"/>
    <col min="8717" max="8717" width="12.375" style="197" customWidth="1"/>
    <col min="8718" max="8718" width="10.25" style="197" customWidth="1"/>
    <col min="8719" max="8719" width="11" style="197" customWidth="1"/>
    <col min="8720" max="8720" width="9.375" style="197" customWidth="1"/>
    <col min="8721" max="8721" width="6.625" style="197" customWidth="1"/>
    <col min="8722" max="8722" width="10.5" style="197" customWidth="1"/>
    <col min="8723" max="8723" width="1.125" style="197" customWidth="1"/>
    <col min="8724" max="8724" width="10.625" style="197" customWidth="1"/>
    <col min="8725" max="8726" width="10.75" style="197" customWidth="1"/>
    <col min="8727" max="8727" width="10.125" style="197" customWidth="1"/>
    <col min="8728" max="8728" width="8.875" style="197" customWidth="1"/>
    <col min="8729" max="8729" width="14.875" style="197" customWidth="1"/>
    <col min="8730" max="8730" width="9.125" style="197" customWidth="1"/>
    <col min="8731" max="8731" width="11.25" style="197" customWidth="1"/>
    <col min="8732" max="8732" width="11.5" style="197" customWidth="1"/>
    <col min="8733" max="8733" width="8" style="197" customWidth="1"/>
    <col min="8734" max="8960" width="9" style="197"/>
    <col min="8961" max="8961" width="5.375" style="197" customWidth="1"/>
    <col min="8962" max="8962" width="8.375" style="197" customWidth="1"/>
    <col min="8963" max="8964" width="10.625" style="197" customWidth="1"/>
    <col min="8965" max="8965" width="10.25" style="197" customWidth="1"/>
    <col min="8966" max="8966" width="10.625" style="197" customWidth="1"/>
    <col min="8967" max="8967" width="7" style="197" customWidth="1"/>
    <col min="8968" max="8969" width="10.25" style="197" customWidth="1"/>
    <col min="8970" max="8970" width="12.5" style="197" bestFit="1" customWidth="1"/>
    <col min="8971" max="8971" width="12.375" style="197" customWidth="1"/>
    <col min="8972" max="8972" width="10.75" style="197" customWidth="1"/>
    <col min="8973" max="8973" width="12.375" style="197" customWidth="1"/>
    <col min="8974" max="8974" width="10.25" style="197" customWidth="1"/>
    <col min="8975" max="8975" width="11" style="197" customWidth="1"/>
    <col min="8976" max="8976" width="9.375" style="197" customWidth="1"/>
    <col min="8977" max="8977" width="6.625" style="197" customWidth="1"/>
    <col min="8978" max="8978" width="10.5" style="197" customWidth="1"/>
    <col min="8979" max="8979" width="1.125" style="197" customWidth="1"/>
    <col min="8980" max="8980" width="10.625" style="197" customWidth="1"/>
    <col min="8981" max="8982" width="10.75" style="197" customWidth="1"/>
    <col min="8983" max="8983" width="10.125" style="197" customWidth="1"/>
    <col min="8984" max="8984" width="8.875" style="197" customWidth="1"/>
    <col min="8985" max="8985" width="14.875" style="197" customWidth="1"/>
    <col min="8986" max="8986" width="9.125" style="197" customWidth="1"/>
    <col min="8987" max="8987" width="11.25" style="197" customWidth="1"/>
    <col min="8988" max="8988" width="11.5" style="197" customWidth="1"/>
    <col min="8989" max="8989" width="8" style="197" customWidth="1"/>
    <col min="8990" max="9216" width="9" style="197"/>
    <col min="9217" max="9217" width="5.375" style="197" customWidth="1"/>
    <col min="9218" max="9218" width="8.375" style="197" customWidth="1"/>
    <col min="9219" max="9220" width="10.625" style="197" customWidth="1"/>
    <col min="9221" max="9221" width="10.25" style="197" customWidth="1"/>
    <col min="9222" max="9222" width="10.625" style="197" customWidth="1"/>
    <col min="9223" max="9223" width="7" style="197" customWidth="1"/>
    <col min="9224" max="9225" width="10.25" style="197" customWidth="1"/>
    <col min="9226" max="9226" width="12.5" style="197" bestFit="1" customWidth="1"/>
    <col min="9227" max="9227" width="12.375" style="197" customWidth="1"/>
    <col min="9228" max="9228" width="10.75" style="197" customWidth="1"/>
    <col min="9229" max="9229" width="12.375" style="197" customWidth="1"/>
    <col min="9230" max="9230" width="10.25" style="197" customWidth="1"/>
    <col min="9231" max="9231" width="11" style="197" customWidth="1"/>
    <col min="9232" max="9232" width="9.375" style="197" customWidth="1"/>
    <col min="9233" max="9233" width="6.625" style="197" customWidth="1"/>
    <col min="9234" max="9234" width="10.5" style="197" customWidth="1"/>
    <col min="9235" max="9235" width="1.125" style="197" customWidth="1"/>
    <col min="9236" max="9236" width="10.625" style="197" customWidth="1"/>
    <col min="9237" max="9238" width="10.75" style="197" customWidth="1"/>
    <col min="9239" max="9239" width="10.125" style="197" customWidth="1"/>
    <col min="9240" max="9240" width="8.875" style="197" customWidth="1"/>
    <col min="9241" max="9241" width="14.875" style="197" customWidth="1"/>
    <col min="9242" max="9242" width="9.125" style="197" customWidth="1"/>
    <col min="9243" max="9243" width="11.25" style="197" customWidth="1"/>
    <col min="9244" max="9244" width="11.5" style="197" customWidth="1"/>
    <col min="9245" max="9245" width="8" style="197" customWidth="1"/>
    <col min="9246" max="9472" width="9" style="197"/>
    <col min="9473" max="9473" width="5.375" style="197" customWidth="1"/>
    <col min="9474" max="9474" width="8.375" style="197" customWidth="1"/>
    <col min="9475" max="9476" width="10.625" style="197" customWidth="1"/>
    <col min="9477" max="9477" width="10.25" style="197" customWidth="1"/>
    <col min="9478" max="9478" width="10.625" style="197" customWidth="1"/>
    <col min="9479" max="9479" width="7" style="197" customWidth="1"/>
    <col min="9480" max="9481" width="10.25" style="197" customWidth="1"/>
    <col min="9482" max="9482" width="12.5" style="197" bestFit="1" customWidth="1"/>
    <col min="9483" max="9483" width="12.375" style="197" customWidth="1"/>
    <col min="9484" max="9484" width="10.75" style="197" customWidth="1"/>
    <col min="9485" max="9485" width="12.375" style="197" customWidth="1"/>
    <col min="9486" max="9486" width="10.25" style="197" customWidth="1"/>
    <col min="9487" max="9487" width="11" style="197" customWidth="1"/>
    <col min="9488" max="9488" width="9.375" style="197" customWidth="1"/>
    <col min="9489" max="9489" width="6.625" style="197" customWidth="1"/>
    <col min="9490" max="9490" width="10.5" style="197" customWidth="1"/>
    <col min="9491" max="9491" width="1.125" style="197" customWidth="1"/>
    <col min="9492" max="9492" width="10.625" style="197" customWidth="1"/>
    <col min="9493" max="9494" width="10.75" style="197" customWidth="1"/>
    <col min="9495" max="9495" width="10.125" style="197" customWidth="1"/>
    <col min="9496" max="9496" width="8.875" style="197" customWidth="1"/>
    <col min="9497" max="9497" width="14.875" style="197" customWidth="1"/>
    <col min="9498" max="9498" width="9.125" style="197" customWidth="1"/>
    <col min="9499" max="9499" width="11.25" style="197" customWidth="1"/>
    <col min="9500" max="9500" width="11.5" style="197" customWidth="1"/>
    <col min="9501" max="9501" width="8" style="197" customWidth="1"/>
    <col min="9502" max="9728" width="9" style="197"/>
    <col min="9729" max="9729" width="5.375" style="197" customWidth="1"/>
    <col min="9730" max="9730" width="8.375" style="197" customWidth="1"/>
    <col min="9731" max="9732" width="10.625" style="197" customWidth="1"/>
    <col min="9733" max="9733" width="10.25" style="197" customWidth="1"/>
    <col min="9734" max="9734" width="10.625" style="197" customWidth="1"/>
    <col min="9735" max="9735" width="7" style="197" customWidth="1"/>
    <col min="9736" max="9737" width="10.25" style="197" customWidth="1"/>
    <col min="9738" max="9738" width="12.5" style="197" bestFit="1" customWidth="1"/>
    <col min="9739" max="9739" width="12.375" style="197" customWidth="1"/>
    <col min="9740" max="9740" width="10.75" style="197" customWidth="1"/>
    <col min="9741" max="9741" width="12.375" style="197" customWidth="1"/>
    <col min="9742" max="9742" width="10.25" style="197" customWidth="1"/>
    <col min="9743" max="9743" width="11" style="197" customWidth="1"/>
    <col min="9744" max="9744" width="9.375" style="197" customWidth="1"/>
    <col min="9745" max="9745" width="6.625" style="197" customWidth="1"/>
    <col min="9746" max="9746" width="10.5" style="197" customWidth="1"/>
    <col min="9747" max="9747" width="1.125" style="197" customWidth="1"/>
    <col min="9748" max="9748" width="10.625" style="197" customWidth="1"/>
    <col min="9749" max="9750" width="10.75" style="197" customWidth="1"/>
    <col min="9751" max="9751" width="10.125" style="197" customWidth="1"/>
    <col min="9752" max="9752" width="8.875" style="197" customWidth="1"/>
    <col min="9753" max="9753" width="14.875" style="197" customWidth="1"/>
    <col min="9754" max="9754" width="9.125" style="197" customWidth="1"/>
    <col min="9755" max="9755" width="11.25" style="197" customWidth="1"/>
    <col min="9756" max="9756" width="11.5" style="197" customWidth="1"/>
    <col min="9757" max="9757" width="8" style="197" customWidth="1"/>
    <col min="9758" max="9984" width="9" style="197"/>
    <col min="9985" max="9985" width="5.375" style="197" customWidth="1"/>
    <col min="9986" max="9986" width="8.375" style="197" customWidth="1"/>
    <col min="9987" max="9988" width="10.625" style="197" customWidth="1"/>
    <col min="9989" max="9989" width="10.25" style="197" customWidth="1"/>
    <col min="9990" max="9990" width="10.625" style="197" customWidth="1"/>
    <col min="9991" max="9991" width="7" style="197" customWidth="1"/>
    <col min="9992" max="9993" width="10.25" style="197" customWidth="1"/>
    <col min="9994" max="9994" width="12.5" style="197" bestFit="1" customWidth="1"/>
    <col min="9995" max="9995" width="12.375" style="197" customWidth="1"/>
    <col min="9996" max="9996" width="10.75" style="197" customWidth="1"/>
    <col min="9997" max="9997" width="12.375" style="197" customWidth="1"/>
    <col min="9998" max="9998" width="10.25" style="197" customWidth="1"/>
    <col min="9999" max="9999" width="11" style="197" customWidth="1"/>
    <col min="10000" max="10000" width="9.375" style="197" customWidth="1"/>
    <col min="10001" max="10001" width="6.625" style="197" customWidth="1"/>
    <col min="10002" max="10002" width="10.5" style="197" customWidth="1"/>
    <col min="10003" max="10003" width="1.125" style="197" customWidth="1"/>
    <col min="10004" max="10004" width="10.625" style="197" customWidth="1"/>
    <col min="10005" max="10006" width="10.75" style="197" customWidth="1"/>
    <col min="10007" max="10007" width="10.125" style="197" customWidth="1"/>
    <col min="10008" max="10008" width="8.875" style="197" customWidth="1"/>
    <col min="10009" max="10009" width="14.875" style="197" customWidth="1"/>
    <col min="10010" max="10010" width="9.125" style="197" customWidth="1"/>
    <col min="10011" max="10011" width="11.25" style="197" customWidth="1"/>
    <col min="10012" max="10012" width="11.5" style="197" customWidth="1"/>
    <col min="10013" max="10013" width="8" style="197" customWidth="1"/>
    <col min="10014" max="10240" width="9" style="197"/>
    <col min="10241" max="10241" width="5.375" style="197" customWidth="1"/>
    <col min="10242" max="10242" width="8.375" style="197" customWidth="1"/>
    <col min="10243" max="10244" width="10.625" style="197" customWidth="1"/>
    <col min="10245" max="10245" width="10.25" style="197" customWidth="1"/>
    <col min="10246" max="10246" width="10.625" style="197" customWidth="1"/>
    <col min="10247" max="10247" width="7" style="197" customWidth="1"/>
    <col min="10248" max="10249" width="10.25" style="197" customWidth="1"/>
    <col min="10250" max="10250" width="12.5" style="197" bestFit="1" customWidth="1"/>
    <col min="10251" max="10251" width="12.375" style="197" customWidth="1"/>
    <col min="10252" max="10252" width="10.75" style="197" customWidth="1"/>
    <col min="10253" max="10253" width="12.375" style="197" customWidth="1"/>
    <col min="10254" max="10254" width="10.25" style="197" customWidth="1"/>
    <col min="10255" max="10255" width="11" style="197" customWidth="1"/>
    <col min="10256" max="10256" width="9.375" style="197" customWidth="1"/>
    <col min="10257" max="10257" width="6.625" style="197" customWidth="1"/>
    <col min="10258" max="10258" width="10.5" style="197" customWidth="1"/>
    <col min="10259" max="10259" width="1.125" style="197" customWidth="1"/>
    <col min="10260" max="10260" width="10.625" style="197" customWidth="1"/>
    <col min="10261" max="10262" width="10.75" style="197" customWidth="1"/>
    <col min="10263" max="10263" width="10.125" style="197" customWidth="1"/>
    <col min="10264" max="10264" width="8.875" style="197" customWidth="1"/>
    <col min="10265" max="10265" width="14.875" style="197" customWidth="1"/>
    <col min="10266" max="10266" width="9.125" style="197" customWidth="1"/>
    <col min="10267" max="10267" width="11.25" style="197" customWidth="1"/>
    <col min="10268" max="10268" width="11.5" style="197" customWidth="1"/>
    <col min="10269" max="10269" width="8" style="197" customWidth="1"/>
    <col min="10270" max="10496" width="9" style="197"/>
    <col min="10497" max="10497" width="5.375" style="197" customWidth="1"/>
    <col min="10498" max="10498" width="8.375" style="197" customWidth="1"/>
    <col min="10499" max="10500" width="10.625" style="197" customWidth="1"/>
    <col min="10501" max="10501" width="10.25" style="197" customWidth="1"/>
    <col min="10502" max="10502" width="10.625" style="197" customWidth="1"/>
    <col min="10503" max="10503" width="7" style="197" customWidth="1"/>
    <col min="10504" max="10505" width="10.25" style="197" customWidth="1"/>
    <col min="10506" max="10506" width="12.5" style="197" bestFit="1" customWidth="1"/>
    <col min="10507" max="10507" width="12.375" style="197" customWidth="1"/>
    <col min="10508" max="10508" width="10.75" style="197" customWidth="1"/>
    <col min="10509" max="10509" width="12.375" style="197" customWidth="1"/>
    <col min="10510" max="10510" width="10.25" style="197" customWidth="1"/>
    <col min="10511" max="10511" width="11" style="197" customWidth="1"/>
    <col min="10512" max="10512" width="9.375" style="197" customWidth="1"/>
    <col min="10513" max="10513" width="6.625" style="197" customWidth="1"/>
    <col min="10514" max="10514" width="10.5" style="197" customWidth="1"/>
    <col min="10515" max="10515" width="1.125" style="197" customWidth="1"/>
    <col min="10516" max="10516" width="10.625" style="197" customWidth="1"/>
    <col min="10517" max="10518" width="10.75" style="197" customWidth="1"/>
    <col min="10519" max="10519" width="10.125" style="197" customWidth="1"/>
    <col min="10520" max="10520" width="8.875" style="197" customWidth="1"/>
    <col min="10521" max="10521" width="14.875" style="197" customWidth="1"/>
    <col min="10522" max="10522" width="9.125" style="197" customWidth="1"/>
    <col min="10523" max="10523" width="11.25" style="197" customWidth="1"/>
    <col min="10524" max="10524" width="11.5" style="197" customWidth="1"/>
    <col min="10525" max="10525" width="8" style="197" customWidth="1"/>
    <col min="10526" max="10752" width="9" style="197"/>
    <col min="10753" max="10753" width="5.375" style="197" customWidth="1"/>
    <col min="10754" max="10754" width="8.375" style="197" customWidth="1"/>
    <col min="10755" max="10756" width="10.625" style="197" customWidth="1"/>
    <col min="10757" max="10757" width="10.25" style="197" customWidth="1"/>
    <col min="10758" max="10758" width="10.625" style="197" customWidth="1"/>
    <col min="10759" max="10759" width="7" style="197" customWidth="1"/>
    <col min="10760" max="10761" width="10.25" style="197" customWidth="1"/>
    <col min="10762" max="10762" width="12.5" style="197" bestFit="1" customWidth="1"/>
    <col min="10763" max="10763" width="12.375" style="197" customWidth="1"/>
    <col min="10764" max="10764" width="10.75" style="197" customWidth="1"/>
    <col min="10765" max="10765" width="12.375" style="197" customWidth="1"/>
    <col min="10766" max="10766" width="10.25" style="197" customWidth="1"/>
    <col min="10767" max="10767" width="11" style="197" customWidth="1"/>
    <col min="10768" max="10768" width="9.375" style="197" customWidth="1"/>
    <col min="10769" max="10769" width="6.625" style="197" customWidth="1"/>
    <col min="10770" max="10770" width="10.5" style="197" customWidth="1"/>
    <col min="10771" max="10771" width="1.125" style="197" customWidth="1"/>
    <col min="10772" max="10772" width="10.625" style="197" customWidth="1"/>
    <col min="10773" max="10774" width="10.75" style="197" customWidth="1"/>
    <col min="10775" max="10775" width="10.125" style="197" customWidth="1"/>
    <col min="10776" max="10776" width="8.875" style="197" customWidth="1"/>
    <col min="10777" max="10777" width="14.875" style="197" customWidth="1"/>
    <col min="10778" max="10778" width="9.125" style="197" customWidth="1"/>
    <col min="10779" max="10779" width="11.25" style="197" customWidth="1"/>
    <col min="10780" max="10780" width="11.5" style="197" customWidth="1"/>
    <col min="10781" max="10781" width="8" style="197" customWidth="1"/>
    <col min="10782" max="11008" width="9" style="197"/>
    <col min="11009" max="11009" width="5.375" style="197" customWidth="1"/>
    <col min="11010" max="11010" width="8.375" style="197" customWidth="1"/>
    <col min="11011" max="11012" width="10.625" style="197" customWidth="1"/>
    <col min="11013" max="11013" width="10.25" style="197" customWidth="1"/>
    <col min="11014" max="11014" width="10.625" style="197" customWidth="1"/>
    <col min="11015" max="11015" width="7" style="197" customWidth="1"/>
    <col min="11016" max="11017" width="10.25" style="197" customWidth="1"/>
    <col min="11018" max="11018" width="12.5" style="197" bestFit="1" customWidth="1"/>
    <col min="11019" max="11019" width="12.375" style="197" customWidth="1"/>
    <col min="11020" max="11020" width="10.75" style="197" customWidth="1"/>
    <col min="11021" max="11021" width="12.375" style="197" customWidth="1"/>
    <col min="11022" max="11022" width="10.25" style="197" customWidth="1"/>
    <col min="11023" max="11023" width="11" style="197" customWidth="1"/>
    <col min="11024" max="11024" width="9.375" style="197" customWidth="1"/>
    <col min="11025" max="11025" width="6.625" style="197" customWidth="1"/>
    <col min="11026" max="11026" width="10.5" style="197" customWidth="1"/>
    <col min="11027" max="11027" width="1.125" style="197" customWidth="1"/>
    <col min="11028" max="11028" width="10.625" style="197" customWidth="1"/>
    <col min="11029" max="11030" width="10.75" style="197" customWidth="1"/>
    <col min="11031" max="11031" width="10.125" style="197" customWidth="1"/>
    <col min="11032" max="11032" width="8.875" style="197" customWidth="1"/>
    <col min="11033" max="11033" width="14.875" style="197" customWidth="1"/>
    <col min="11034" max="11034" width="9.125" style="197" customWidth="1"/>
    <col min="11035" max="11035" width="11.25" style="197" customWidth="1"/>
    <col min="11036" max="11036" width="11.5" style="197" customWidth="1"/>
    <col min="11037" max="11037" width="8" style="197" customWidth="1"/>
    <col min="11038" max="11264" width="9" style="197"/>
    <col min="11265" max="11265" width="5.375" style="197" customWidth="1"/>
    <col min="11266" max="11266" width="8.375" style="197" customWidth="1"/>
    <col min="11267" max="11268" width="10.625" style="197" customWidth="1"/>
    <col min="11269" max="11269" width="10.25" style="197" customWidth="1"/>
    <col min="11270" max="11270" width="10.625" style="197" customWidth="1"/>
    <col min="11271" max="11271" width="7" style="197" customWidth="1"/>
    <col min="11272" max="11273" width="10.25" style="197" customWidth="1"/>
    <col min="11274" max="11274" width="12.5" style="197" bestFit="1" customWidth="1"/>
    <col min="11275" max="11275" width="12.375" style="197" customWidth="1"/>
    <col min="11276" max="11276" width="10.75" style="197" customWidth="1"/>
    <col min="11277" max="11277" width="12.375" style="197" customWidth="1"/>
    <col min="11278" max="11278" width="10.25" style="197" customWidth="1"/>
    <col min="11279" max="11279" width="11" style="197" customWidth="1"/>
    <col min="11280" max="11280" width="9.375" style="197" customWidth="1"/>
    <col min="11281" max="11281" width="6.625" style="197" customWidth="1"/>
    <col min="11282" max="11282" width="10.5" style="197" customWidth="1"/>
    <col min="11283" max="11283" width="1.125" style="197" customWidth="1"/>
    <col min="11284" max="11284" width="10.625" style="197" customWidth="1"/>
    <col min="11285" max="11286" width="10.75" style="197" customWidth="1"/>
    <col min="11287" max="11287" width="10.125" style="197" customWidth="1"/>
    <col min="11288" max="11288" width="8.875" style="197" customWidth="1"/>
    <col min="11289" max="11289" width="14.875" style="197" customWidth="1"/>
    <col min="11290" max="11290" width="9.125" style="197" customWidth="1"/>
    <col min="11291" max="11291" width="11.25" style="197" customWidth="1"/>
    <col min="11292" max="11292" width="11.5" style="197" customWidth="1"/>
    <col min="11293" max="11293" width="8" style="197" customWidth="1"/>
    <col min="11294" max="11520" width="9" style="197"/>
    <col min="11521" max="11521" width="5.375" style="197" customWidth="1"/>
    <col min="11522" max="11522" width="8.375" style="197" customWidth="1"/>
    <col min="11523" max="11524" width="10.625" style="197" customWidth="1"/>
    <col min="11525" max="11525" width="10.25" style="197" customWidth="1"/>
    <col min="11526" max="11526" width="10.625" style="197" customWidth="1"/>
    <col min="11527" max="11527" width="7" style="197" customWidth="1"/>
    <col min="11528" max="11529" width="10.25" style="197" customWidth="1"/>
    <col min="11530" max="11530" width="12.5" style="197" bestFit="1" customWidth="1"/>
    <col min="11531" max="11531" width="12.375" style="197" customWidth="1"/>
    <col min="11532" max="11532" width="10.75" style="197" customWidth="1"/>
    <col min="11533" max="11533" width="12.375" style="197" customWidth="1"/>
    <col min="11534" max="11534" width="10.25" style="197" customWidth="1"/>
    <col min="11535" max="11535" width="11" style="197" customWidth="1"/>
    <col min="11536" max="11536" width="9.375" style="197" customWidth="1"/>
    <col min="11537" max="11537" width="6.625" style="197" customWidth="1"/>
    <col min="11538" max="11538" width="10.5" style="197" customWidth="1"/>
    <col min="11539" max="11539" width="1.125" style="197" customWidth="1"/>
    <col min="11540" max="11540" width="10.625" style="197" customWidth="1"/>
    <col min="11541" max="11542" width="10.75" style="197" customWidth="1"/>
    <col min="11543" max="11543" width="10.125" style="197" customWidth="1"/>
    <col min="11544" max="11544" width="8.875" style="197" customWidth="1"/>
    <col min="11545" max="11545" width="14.875" style="197" customWidth="1"/>
    <col min="11546" max="11546" width="9.125" style="197" customWidth="1"/>
    <col min="11547" max="11547" width="11.25" style="197" customWidth="1"/>
    <col min="11548" max="11548" width="11.5" style="197" customWidth="1"/>
    <col min="11549" max="11549" width="8" style="197" customWidth="1"/>
    <col min="11550" max="11776" width="9" style="197"/>
    <col min="11777" max="11777" width="5.375" style="197" customWidth="1"/>
    <col min="11778" max="11778" width="8.375" style="197" customWidth="1"/>
    <col min="11779" max="11780" width="10.625" style="197" customWidth="1"/>
    <col min="11781" max="11781" width="10.25" style="197" customWidth="1"/>
    <col min="11782" max="11782" width="10.625" style="197" customWidth="1"/>
    <col min="11783" max="11783" width="7" style="197" customWidth="1"/>
    <col min="11784" max="11785" width="10.25" style="197" customWidth="1"/>
    <col min="11786" max="11786" width="12.5" style="197" bestFit="1" customWidth="1"/>
    <col min="11787" max="11787" width="12.375" style="197" customWidth="1"/>
    <col min="11788" max="11788" width="10.75" style="197" customWidth="1"/>
    <col min="11789" max="11789" width="12.375" style="197" customWidth="1"/>
    <col min="11790" max="11790" width="10.25" style="197" customWidth="1"/>
    <col min="11791" max="11791" width="11" style="197" customWidth="1"/>
    <col min="11792" max="11792" width="9.375" style="197" customWidth="1"/>
    <col min="11793" max="11793" width="6.625" style="197" customWidth="1"/>
    <col min="11794" max="11794" width="10.5" style="197" customWidth="1"/>
    <col min="11795" max="11795" width="1.125" style="197" customWidth="1"/>
    <col min="11796" max="11796" width="10.625" style="197" customWidth="1"/>
    <col min="11797" max="11798" width="10.75" style="197" customWidth="1"/>
    <col min="11799" max="11799" width="10.125" style="197" customWidth="1"/>
    <col min="11800" max="11800" width="8.875" style="197" customWidth="1"/>
    <col min="11801" max="11801" width="14.875" style="197" customWidth="1"/>
    <col min="11802" max="11802" width="9.125" style="197" customWidth="1"/>
    <col min="11803" max="11803" width="11.25" style="197" customWidth="1"/>
    <col min="11804" max="11804" width="11.5" style="197" customWidth="1"/>
    <col min="11805" max="11805" width="8" style="197" customWidth="1"/>
    <col min="11806" max="12032" width="9" style="197"/>
    <col min="12033" max="12033" width="5.375" style="197" customWidth="1"/>
    <col min="12034" max="12034" width="8.375" style="197" customWidth="1"/>
    <col min="12035" max="12036" width="10.625" style="197" customWidth="1"/>
    <col min="12037" max="12037" width="10.25" style="197" customWidth="1"/>
    <col min="12038" max="12038" width="10.625" style="197" customWidth="1"/>
    <col min="12039" max="12039" width="7" style="197" customWidth="1"/>
    <col min="12040" max="12041" width="10.25" style="197" customWidth="1"/>
    <col min="12042" max="12042" width="12.5" style="197" bestFit="1" customWidth="1"/>
    <col min="12043" max="12043" width="12.375" style="197" customWidth="1"/>
    <col min="12044" max="12044" width="10.75" style="197" customWidth="1"/>
    <col min="12045" max="12045" width="12.375" style="197" customWidth="1"/>
    <col min="12046" max="12046" width="10.25" style="197" customWidth="1"/>
    <col min="12047" max="12047" width="11" style="197" customWidth="1"/>
    <col min="12048" max="12048" width="9.375" style="197" customWidth="1"/>
    <col min="12049" max="12049" width="6.625" style="197" customWidth="1"/>
    <col min="12050" max="12050" width="10.5" style="197" customWidth="1"/>
    <col min="12051" max="12051" width="1.125" style="197" customWidth="1"/>
    <col min="12052" max="12052" width="10.625" style="197" customWidth="1"/>
    <col min="12053" max="12054" width="10.75" style="197" customWidth="1"/>
    <col min="12055" max="12055" width="10.125" style="197" customWidth="1"/>
    <col min="12056" max="12056" width="8.875" style="197" customWidth="1"/>
    <col min="12057" max="12057" width="14.875" style="197" customWidth="1"/>
    <col min="12058" max="12058" width="9.125" style="197" customWidth="1"/>
    <col min="12059" max="12059" width="11.25" style="197" customWidth="1"/>
    <col min="12060" max="12060" width="11.5" style="197" customWidth="1"/>
    <col min="12061" max="12061" width="8" style="197" customWidth="1"/>
    <col min="12062" max="12288" width="9" style="197"/>
    <col min="12289" max="12289" width="5.375" style="197" customWidth="1"/>
    <col min="12290" max="12290" width="8.375" style="197" customWidth="1"/>
    <col min="12291" max="12292" width="10.625" style="197" customWidth="1"/>
    <col min="12293" max="12293" width="10.25" style="197" customWidth="1"/>
    <col min="12294" max="12294" width="10.625" style="197" customWidth="1"/>
    <col min="12295" max="12295" width="7" style="197" customWidth="1"/>
    <col min="12296" max="12297" width="10.25" style="197" customWidth="1"/>
    <col min="12298" max="12298" width="12.5" style="197" bestFit="1" customWidth="1"/>
    <col min="12299" max="12299" width="12.375" style="197" customWidth="1"/>
    <col min="12300" max="12300" width="10.75" style="197" customWidth="1"/>
    <col min="12301" max="12301" width="12.375" style="197" customWidth="1"/>
    <col min="12302" max="12302" width="10.25" style="197" customWidth="1"/>
    <col min="12303" max="12303" width="11" style="197" customWidth="1"/>
    <col min="12304" max="12304" width="9.375" style="197" customWidth="1"/>
    <col min="12305" max="12305" width="6.625" style="197" customWidth="1"/>
    <col min="12306" max="12306" width="10.5" style="197" customWidth="1"/>
    <col min="12307" max="12307" width="1.125" style="197" customWidth="1"/>
    <col min="12308" max="12308" width="10.625" style="197" customWidth="1"/>
    <col min="12309" max="12310" width="10.75" style="197" customWidth="1"/>
    <col min="12311" max="12311" width="10.125" style="197" customWidth="1"/>
    <col min="12312" max="12312" width="8.875" style="197" customWidth="1"/>
    <col min="12313" max="12313" width="14.875" style="197" customWidth="1"/>
    <col min="12314" max="12314" width="9.125" style="197" customWidth="1"/>
    <col min="12315" max="12315" width="11.25" style="197" customWidth="1"/>
    <col min="12316" max="12316" width="11.5" style="197" customWidth="1"/>
    <col min="12317" max="12317" width="8" style="197" customWidth="1"/>
    <col min="12318" max="12544" width="9" style="197"/>
    <col min="12545" max="12545" width="5.375" style="197" customWidth="1"/>
    <col min="12546" max="12546" width="8.375" style="197" customWidth="1"/>
    <col min="12547" max="12548" width="10.625" style="197" customWidth="1"/>
    <col min="12549" max="12549" width="10.25" style="197" customWidth="1"/>
    <col min="12550" max="12550" width="10.625" style="197" customWidth="1"/>
    <col min="12551" max="12551" width="7" style="197" customWidth="1"/>
    <col min="12552" max="12553" width="10.25" style="197" customWidth="1"/>
    <col min="12554" max="12554" width="12.5" style="197" bestFit="1" customWidth="1"/>
    <col min="12555" max="12555" width="12.375" style="197" customWidth="1"/>
    <col min="12556" max="12556" width="10.75" style="197" customWidth="1"/>
    <col min="12557" max="12557" width="12.375" style="197" customWidth="1"/>
    <col min="12558" max="12558" width="10.25" style="197" customWidth="1"/>
    <col min="12559" max="12559" width="11" style="197" customWidth="1"/>
    <col min="12560" max="12560" width="9.375" style="197" customWidth="1"/>
    <col min="12561" max="12561" width="6.625" style="197" customWidth="1"/>
    <col min="12562" max="12562" width="10.5" style="197" customWidth="1"/>
    <col min="12563" max="12563" width="1.125" style="197" customWidth="1"/>
    <col min="12564" max="12564" width="10.625" style="197" customWidth="1"/>
    <col min="12565" max="12566" width="10.75" style="197" customWidth="1"/>
    <col min="12567" max="12567" width="10.125" style="197" customWidth="1"/>
    <col min="12568" max="12568" width="8.875" style="197" customWidth="1"/>
    <col min="12569" max="12569" width="14.875" style="197" customWidth="1"/>
    <col min="12570" max="12570" width="9.125" style="197" customWidth="1"/>
    <col min="12571" max="12571" width="11.25" style="197" customWidth="1"/>
    <col min="12572" max="12572" width="11.5" style="197" customWidth="1"/>
    <col min="12573" max="12573" width="8" style="197" customWidth="1"/>
    <col min="12574" max="12800" width="9" style="197"/>
    <col min="12801" max="12801" width="5.375" style="197" customWidth="1"/>
    <col min="12802" max="12802" width="8.375" style="197" customWidth="1"/>
    <col min="12803" max="12804" width="10.625" style="197" customWidth="1"/>
    <col min="12805" max="12805" width="10.25" style="197" customWidth="1"/>
    <col min="12806" max="12806" width="10.625" style="197" customWidth="1"/>
    <col min="12807" max="12807" width="7" style="197" customWidth="1"/>
    <col min="12808" max="12809" width="10.25" style="197" customWidth="1"/>
    <col min="12810" max="12810" width="12.5" style="197" bestFit="1" customWidth="1"/>
    <col min="12811" max="12811" width="12.375" style="197" customWidth="1"/>
    <col min="12812" max="12812" width="10.75" style="197" customWidth="1"/>
    <col min="12813" max="12813" width="12.375" style="197" customWidth="1"/>
    <col min="12814" max="12814" width="10.25" style="197" customWidth="1"/>
    <col min="12815" max="12815" width="11" style="197" customWidth="1"/>
    <col min="12816" max="12816" width="9.375" style="197" customWidth="1"/>
    <col min="12817" max="12817" width="6.625" style="197" customWidth="1"/>
    <col min="12818" max="12818" width="10.5" style="197" customWidth="1"/>
    <col min="12819" max="12819" width="1.125" style="197" customWidth="1"/>
    <col min="12820" max="12820" width="10.625" style="197" customWidth="1"/>
    <col min="12821" max="12822" width="10.75" style="197" customWidth="1"/>
    <col min="12823" max="12823" width="10.125" style="197" customWidth="1"/>
    <col min="12824" max="12824" width="8.875" style="197" customWidth="1"/>
    <col min="12825" max="12825" width="14.875" style="197" customWidth="1"/>
    <col min="12826" max="12826" width="9.125" style="197" customWidth="1"/>
    <col min="12827" max="12827" width="11.25" style="197" customWidth="1"/>
    <col min="12828" max="12828" width="11.5" style="197" customWidth="1"/>
    <col min="12829" max="12829" width="8" style="197" customWidth="1"/>
    <col min="12830" max="13056" width="9" style="197"/>
    <col min="13057" max="13057" width="5.375" style="197" customWidth="1"/>
    <col min="13058" max="13058" width="8.375" style="197" customWidth="1"/>
    <col min="13059" max="13060" width="10.625" style="197" customWidth="1"/>
    <col min="13061" max="13061" width="10.25" style="197" customWidth="1"/>
    <col min="13062" max="13062" width="10.625" style="197" customWidth="1"/>
    <col min="13063" max="13063" width="7" style="197" customWidth="1"/>
    <col min="13064" max="13065" width="10.25" style="197" customWidth="1"/>
    <col min="13066" max="13066" width="12.5" style="197" bestFit="1" customWidth="1"/>
    <col min="13067" max="13067" width="12.375" style="197" customWidth="1"/>
    <col min="13068" max="13068" width="10.75" style="197" customWidth="1"/>
    <col min="13069" max="13069" width="12.375" style="197" customWidth="1"/>
    <col min="13070" max="13070" width="10.25" style="197" customWidth="1"/>
    <col min="13071" max="13071" width="11" style="197" customWidth="1"/>
    <col min="13072" max="13072" width="9.375" style="197" customWidth="1"/>
    <col min="13073" max="13073" width="6.625" style="197" customWidth="1"/>
    <col min="13074" max="13074" width="10.5" style="197" customWidth="1"/>
    <col min="13075" max="13075" width="1.125" style="197" customWidth="1"/>
    <col min="13076" max="13076" width="10.625" style="197" customWidth="1"/>
    <col min="13077" max="13078" width="10.75" style="197" customWidth="1"/>
    <col min="13079" max="13079" width="10.125" style="197" customWidth="1"/>
    <col min="13080" max="13080" width="8.875" style="197" customWidth="1"/>
    <col min="13081" max="13081" width="14.875" style="197" customWidth="1"/>
    <col min="13082" max="13082" width="9.125" style="197" customWidth="1"/>
    <col min="13083" max="13083" width="11.25" style="197" customWidth="1"/>
    <col min="13084" max="13084" width="11.5" style="197" customWidth="1"/>
    <col min="13085" max="13085" width="8" style="197" customWidth="1"/>
    <col min="13086" max="13312" width="9" style="197"/>
    <col min="13313" max="13313" width="5.375" style="197" customWidth="1"/>
    <col min="13314" max="13314" width="8.375" style="197" customWidth="1"/>
    <col min="13315" max="13316" width="10.625" style="197" customWidth="1"/>
    <col min="13317" max="13317" width="10.25" style="197" customWidth="1"/>
    <col min="13318" max="13318" width="10.625" style="197" customWidth="1"/>
    <col min="13319" max="13319" width="7" style="197" customWidth="1"/>
    <col min="13320" max="13321" width="10.25" style="197" customWidth="1"/>
    <col min="13322" max="13322" width="12.5" style="197" bestFit="1" customWidth="1"/>
    <col min="13323" max="13323" width="12.375" style="197" customWidth="1"/>
    <col min="13324" max="13324" width="10.75" style="197" customWidth="1"/>
    <col min="13325" max="13325" width="12.375" style="197" customWidth="1"/>
    <col min="13326" max="13326" width="10.25" style="197" customWidth="1"/>
    <col min="13327" max="13327" width="11" style="197" customWidth="1"/>
    <col min="13328" max="13328" width="9.375" style="197" customWidth="1"/>
    <col min="13329" max="13329" width="6.625" style="197" customWidth="1"/>
    <col min="13330" max="13330" width="10.5" style="197" customWidth="1"/>
    <col min="13331" max="13331" width="1.125" style="197" customWidth="1"/>
    <col min="13332" max="13332" width="10.625" style="197" customWidth="1"/>
    <col min="13333" max="13334" width="10.75" style="197" customWidth="1"/>
    <col min="13335" max="13335" width="10.125" style="197" customWidth="1"/>
    <col min="13336" max="13336" width="8.875" style="197" customWidth="1"/>
    <col min="13337" max="13337" width="14.875" style="197" customWidth="1"/>
    <col min="13338" max="13338" width="9.125" style="197" customWidth="1"/>
    <col min="13339" max="13339" width="11.25" style="197" customWidth="1"/>
    <col min="13340" max="13340" width="11.5" style="197" customWidth="1"/>
    <col min="13341" max="13341" width="8" style="197" customWidth="1"/>
    <col min="13342" max="13568" width="9" style="197"/>
    <col min="13569" max="13569" width="5.375" style="197" customWidth="1"/>
    <col min="13570" max="13570" width="8.375" style="197" customWidth="1"/>
    <col min="13571" max="13572" width="10.625" style="197" customWidth="1"/>
    <col min="13573" max="13573" width="10.25" style="197" customWidth="1"/>
    <col min="13574" max="13574" width="10.625" style="197" customWidth="1"/>
    <col min="13575" max="13575" width="7" style="197" customWidth="1"/>
    <col min="13576" max="13577" width="10.25" style="197" customWidth="1"/>
    <col min="13578" max="13578" width="12.5" style="197" bestFit="1" customWidth="1"/>
    <col min="13579" max="13579" width="12.375" style="197" customWidth="1"/>
    <col min="13580" max="13580" width="10.75" style="197" customWidth="1"/>
    <col min="13581" max="13581" width="12.375" style="197" customWidth="1"/>
    <col min="13582" max="13582" width="10.25" style="197" customWidth="1"/>
    <col min="13583" max="13583" width="11" style="197" customWidth="1"/>
    <col min="13584" max="13584" width="9.375" style="197" customWidth="1"/>
    <col min="13585" max="13585" width="6.625" style="197" customWidth="1"/>
    <col min="13586" max="13586" width="10.5" style="197" customWidth="1"/>
    <col min="13587" max="13587" width="1.125" style="197" customWidth="1"/>
    <col min="13588" max="13588" width="10.625" style="197" customWidth="1"/>
    <col min="13589" max="13590" width="10.75" style="197" customWidth="1"/>
    <col min="13591" max="13591" width="10.125" style="197" customWidth="1"/>
    <col min="13592" max="13592" width="8.875" style="197" customWidth="1"/>
    <col min="13593" max="13593" width="14.875" style="197" customWidth="1"/>
    <col min="13594" max="13594" width="9.125" style="197" customWidth="1"/>
    <col min="13595" max="13595" width="11.25" style="197" customWidth="1"/>
    <col min="13596" max="13596" width="11.5" style="197" customWidth="1"/>
    <col min="13597" max="13597" width="8" style="197" customWidth="1"/>
    <col min="13598" max="13824" width="9" style="197"/>
    <col min="13825" max="13825" width="5.375" style="197" customWidth="1"/>
    <col min="13826" max="13826" width="8.375" style="197" customWidth="1"/>
    <col min="13827" max="13828" width="10.625" style="197" customWidth="1"/>
    <col min="13829" max="13829" width="10.25" style="197" customWidth="1"/>
    <col min="13830" max="13830" width="10.625" style="197" customWidth="1"/>
    <col min="13831" max="13831" width="7" style="197" customWidth="1"/>
    <col min="13832" max="13833" width="10.25" style="197" customWidth="1"/>
    <col min="13834" max="13834" width="12.5" style="197" bestFit="1" customWidth="1"/>
    <col min="13835" max="13835" width="12.375" style="197" customWidth="1"/>
    <col min="13836" max="13836" width="10.75" style="197" customWidth="1"/>
    <col min="13837" max="13837" width="12.375" style="197" customWidth="1"/>
    <col min="13838" max="13838" width="10.25" style="197" customWidth="1"/>
    <col min="13839" max="13839" width="11" style="197" customWidth="1"/>
    <col min="13840" max="13840" width="9.375" style="197" customWidth="1"/>
    <col min="13841" max="13841" width="6.625" style="197" customWidth="1"/>
    <col min="13842" max="13842" width="10.5" style="197" customWidth="1"/>
    <col min="13843" max="13843" width="1.125" style="197" customWidth="1"/>
    <col min="13844" max="13844" width="10.625" style="197" customWidth="1"/>
    <col min="13845" max="13846" width="10.75" style="197" customWidth="1"/>
    <col min="13847" max="13847" width="10.125" style="197" customWidth="1"/>
    <col min="13848" max="13848" width="8.875" style="197" customWidth="1"/>
    <col min="13849" max="13849" width="14.875" style="197" customWidth="1"/>
    <col min="13850" max="13850" width="9.125" style="197" customWidth="1"/>
    <col min="13851" max="13851" width="11.25" style="197" customWidth="1"/>
    <col min="13852" max="13852" width="11.5" style="197" customWidth="1"/>
    <col min="13853" max="13853" width="8" style="197" customWidth="1"/>
    <col min="13854" max="14080" width="9" style="197"/>
    <col min="14081" max="14081" width="5.375" style="197" customWidth="1"/>
    <col min="14082" max="14082" width="8.375" style="197" customWidth="1"/>
    <col min="14083" max="14084" width="10.625" style="197" customWidth="1"/>
    <col min="14085" max="14085" width="10.25" style="197" customWidth="1"/>
    <col min="14086" max="14086" width="10.625" style="197" customWidth="1"/>
    <col min="14087" max="14087" width="7" style="197" customWidth="1"/>
    <col min="14088" max="14089" width="10.25" style="197" customWidth="1"/>
    <col min="14090" max="14090" width="12.5" style="197" bestFit="1" customWidth="1"/>
    <col min="14091" max="14091" width="12.375" style="197" customWidth="1"/>
    <col min="14092" max="14092" width="10.75" style="197" customWidth="1"/>
    <col min="14093" max="14093" width="12.375" style="197" customWidth="1"/>
    <col min="14094" max="14094" width="10.25" style="197" customWidth="1"/>
    <col min="14095" max="14095" width="11" style="197" customWidth="1"/>
    <col min="14096" max="14096" width="9.375" style="197" customWidth="1"/>
    <col min="14097" max="14097" width="6.625" style="197" customWidth="1"/>
    <col min="14098" max="14098" width="10.5" style="197" customWidth="1"/>
    <col min="14099" max="14099" width="1.125" style="197" customWidth="1"/>
    <col min="14100" max="14100" width="10.625" style="197" customWidth="1"/>
    <col min="14101" max="14102" width="10.75" style="197" customWidth="1"/>
    <col min="14103" max="14103" width="10.125" style="197" customWidth="1"/>
    <col min="14104" max="14104" width="8.875" style="197" customWidth="1"/>
    <col min="14105" max="14105" width="14.875" style="197" customWidth="1"/>
    <col min="14106" max="14106" width="9.125" style="197" customWidth="1"/>
    <col min="14107" max="14107" width="11.25" style="197" customWidth="1"/>
    <col min="14108" max="14108" width="11.5" style="197" customWidth="1"/>
    <col min="14109" max="14109" width="8" style="197" customWidth="1"/>
    <col min="14110" max="14336" width="9" style="197"/>
    <col min="14337" max="14337" width="5.375" style="197" customWidth="1"/>
    <col min="14338" max="14338" width="8.375" style="197" customWidth="1"/>
    <col min="14339" max="14340" width="10.625" style="197" customWidth="1"/>
    <col min="14341" max="14341" width="10.25" style="197" customWidth="1"/>
    <col min="14342" max="14342" width="10.625" style="197" customWidth="1"/>
    <col min="14343" max="14343" width="7" style="197" customWidth="1"/>
    <col min="14344" max="14345" width="10.25" style="197" customWidth="1"/>
    <col min="14346" max="14346" width="12.5" style="197" bestFit="1" customWidth="1"/>
    <col min="14347" max="14347" width="12.375" style="197" customWidth="1"/>
    <col min="14348" max="14348" width="10.75" style="197" customWidth="1"/>
    <col min="14349" max="14349" width="12.375" style="197" customWidth="1"/>
    <col min="14350" max="14350" width="10.25" style="197" customWidth="1"/>
    <col min="14351" max="14351" width="11" style="197" customWidth="1"/>
    <col min="14352" max="14352" width="9.375" style="197" customWidth="1"/>
    <col min="14353" max="14353" width="6.625" style="197" customWidth="1"/>
    <col min="14354" max="14354" width="10.5" style="197" customWidth="1"/>
    <col min="14355" max="14355" width="1.125" style="197" customWidth="1"/>
    <col min="14356" max="14356" width="10.625" style="197" customWidth="1"/>
    <col min="14357" max="14358" width="10.75" style="197" customWidth="1"/>
    <col min="14359" max="14359" width="10.125" style="197" customWidth="1"/>
    <col min="14360" max="14360" width="8.875" style="197" customWidth="1"/>
    <col min="14361" max="14361" width="14.875" style="197" customWidth="1"/>
    <col min="14362" max="14362" width="9.125" style="197" customWidth="1"/>
    <col min="14363" max="14363" width="11.25" style="197" customWidth="1"/>
    <col min="14364" max="14364" width="11.5" style="197" customWidth="1"/>
    <col min="14365" max="14365" width="8" style="197" customWidth="1"/>
    <col min="14366" max="14592" width="9" style="197"/>
    <col min="14593" max="14593" width="5.375" style="197" customWidth="1"/>
    <col min="14594" max="14594" width="8.375" style="197" customWidth="1"/>
    <col min="14595" max="14596" width="10.625" style="197" customWidth="1"/>
    <col min="14597" max="14597" width="10.25" style="197" customWidth="1"/>
    <col min="14598" max="14598" width="10.625" style="197" customWidth="1"/>
    <col min="14599" max="14599" width="7" style="197" customWidth="1"/>
    <col min="14600" max="14601" width="10.25" style="197" customWidth="1"/>
    <col min="14602" max="14602" width="12.5" style="197" bestFit="1" customWidth="1"/>
    <col min="14603" max="14603" width="12.375" style="197" customWidth="1"/>
    <col min="14604" max="14604" width="10.75" style="197" customWidth="1"/>
    <col min="14605" max="14605" width="12.375" style="197" customWidth="1"/>
    <col min="14606" max="14606" width="10.25" style="197" customWidth="1"/>
    <col min="14607" max="14607" width="11" style="197" customWidth="1"/>
    <col min="14608" max="14608" width="9.375" style="197" customWidth="1"/>
    <col min="14609" max="14609" width="6.625" style="197" customWidth="1"/>
    <col min="14610" max="14610" width="10.5" style="197" customWidth="1"/>
    <col min="14611" max="14611" width="1.125" style="197" customWidth="1"/>
    <col min="14612" max="14612" width="10.625" style="197" customWidth="1"/>
    <col min="14613" max="14614" width="10.75" style="197" customWidth="1"/>
    <col min="14615" max="14615" width="10.125" style="197" customWidth="1"/>
    <col min="14616" max="14616" width="8.875" style="197" customWidth="1"/>
    <col min="14617" max="14617" width="14.875" style="197" customWidth="1"/>
    <col min="14618" max="14618" width="9.125" style="197" customWidth="1"/>
    <col min="14619" max="14619" width="11.25" style="197" customWidth="1"/>
    <col min="14620" max="14620" width="11.5" style="197" customWidth="1"/>
    <col min="14621" max="14621" width="8" style="197" customWidth="1"/>
    <col min="14622" max="14848" width="9" style="197"/>
    <col min="14849" max="14849" width="5.375" style="197" customWidth="1"/>
    <col min="14850" max="14850" width="8.375" style="197" customWidth="1"/>
    <col min="14851" max="14852" width="10.625" style="197" customWidth="1"/>
    <col min="14853" max="14853" width="10.25" style="197" customWidth="1"/>
    <col min="14854" max="14854" width="10.625" style="197" customWidth="1"/>
    <col min="14855" max="14855" width="7" style="197" customWidth="1"/>
    <col min="14856" max="14857" width="10.25" style="197" customWidth="1"/>
    <col min="14858" max="14858" width="12.5" style="197" bestFit="1" customWidth="1"/>
    <col min="14859" max="14859" width="12.375" style="197" customWidth="1"/>
    <col min="14860" max="14860" width="10.75" style="197" customWidth="1"/>
    <col min="14861" max="14861" width="12.375" style="197" customWidth="1"/>
    <col min="14862" max="14862" width="10.25" style="197" customWidth="1"/>
    <col min="14863" max="14863" width="11" style="197" customWidth="1"/>
    <col min="14864" max="14864" width="9.375" style="197" customWidth="1"/>
    <col min="14865" max="14865" width="6.625" style="197" customWidth="1"/>
    <col min="14866" max="14866" width="10.5" style="197" customWidth="1"/>
    <col min="14867" max="14867" width="1.125" style="197" customWidth="1"/>
    <col min="14868" max="14868" width="10.625" style="197" customWidth="1"/>
    <col min="14869" max="14870" width="10.75" style="197" customWidth="1"/>
    <col min="14871" max="14871" width="10.125" style="197" customWidth="1"/>
    <col min="14872" max="14872" width="8.875" style="197" customWidth="1"/>
    <col min="14873" max="14873" width="14.875" style="197" customWidth="1"/>
    <col min="14874" max="14874" width="9.125" style="197" customWidth="1"/>
    <col min="14875" max="14875" width="11.25" style="197" customWidth="1"/>
    <col min="14876" max="14876" width="11.5" style="197" customWidth="1"/>
    <col min="14877" max="14877" width="8" style="197" customWidth="1"/>
    <col min="14878" max="15104" width="9" style="197"/>
    <col min="15105" max="15105" width="5.375" style="197" customWidth="1"/>
    <col min="15106" max="15106" width="8.375" style="197" customWidth="1"/>
    <col min="15107" max="15108" width="10.625" style="197" customWidth="1"/>
    <col min="15109" max="15109" width="10.25" style="197" customWidth="1"/>
    <col min="15110" max="15110" width="10.625" style="197" customWidth="1"/>
    <col min="15111" max="15111" width="7" style="197" customWidth="1"/>
    <col min="15112" max="15113" width="10.25" style="197" customWidth="1"/>
    <col min="15114" max="15114" width="12.5" style="197" bestFit="1" customWidth="1"/>
    <col min="15115" max="15115" width="12.375" style="197" customWidth="1"/>
    <col min="15116" max="15116" width="10.75" style="197" customWidth="1"/>
    <col min="15117" max="15117" width="12.375" style="197" customWidth="1"/>
    <col min="15118" max="15118" width="10.25" style="197" customWidth="1"/>
    <col min="15119" max="15119" width="11" style="197" customWidth="1"/>
    <col min="15120" max="15120" width="9.375" style="197" customWidth="1"/>
    <col min="15121" max="15121" width="6.625" style="197" customWidth="1"/>
    <col min="15122" max="15122" width="10.5" style="197" customWidth="1"/>
    <col min="15123" max="15123" width="1.125" style="197" customWidth="1"/>
    <col min="15124" max="15124" width="10.625" style="197" customWidth="1"/>
    <col min="15125" max="15126" width="10.75" style="197" customWidth="1"/>
    <col min="15127" max="15127" width="10.125" style="197" customWidth="1"/>
    <col min="15128" max="15128" width="8.875" style="197" customWidth="1"/>
    <col min="15129" max="15129" width="14.875" style="197" customWidth="1"/>
    <col min="15130" max="15130" width="9.125" style="197" customWidth="1"/>
    <col min="15131" max="15131" width="11.25" style="197" customWidth="1"/>
    <col min="15132" max="15132" width="11.5" style="197" customWidth="1"/>
    <col min="15133" max="15133" width="8" style="197" customWidth="1"/>
    <col min="15134" max="15360" width="9" style="197"/>
    <col min="15361" max="15361" width="5.375" style="197" customWidth="1"/>
    <col min="15362" max="15362" width="8.375" style="197" customWidth="1"/>
    <col min="15363" max="15364" width="10.625" style="197" customWidth="1"/>
    <col min="15365" max="15365" width="10.25" style="197" customWidth="1"/>
    <col min="15366" max="15366" width="10.625" style="197" customWidth="1"/>
    <col min="15367" max="15367" width="7" style="197" customWidth="1"/>
    <col min="15368" max="15369" width="10.25" style="197" customWidth="1"/>
    <col min="15370" max="15370" width="12.5" style="197" bestFit="1" customWidth="1"/>
    <col min="15371" max="15371" width="12.375" style="197" customWidth="1"/>
    <col min="15372" max="15372" width="10.75" style="197" customWidth="1"/>
    <col min="15373" max="15373" width="12.375" style="197" customWidth="1"/>
    <col min="15374" max="15374" width="10.25" style="197" customWidth="1"/>
    <col min="15375" max="15375" width="11" style="197" customWidth="1"/>
    <col min="15376" max="15376" width="9.375" style="197" customWidth="1"/>
    <col min="15377" max="15377" width="6.625" style="197" customWidth="1"/>
    <col min="15378" max="15378" width="10.5" style="197" customWidth="1"/>
    <col min="15379" max="15379" width="1.125" style="197" customWidth="1"/>
    <col min="15380" max="15380" width="10.625" style="197" customWidth="1"/>
    <col min="15381" max="15382" width="10.75" style="197" customWidth="1"/>
    <col min="15383" max="15383" width="10.125" style="197" customWidth="1"/>
    <col min="15384" max="15384" width="8.875" style="197" customWidth="1"/>
    <col min="15385" max="15385" width="14.875" style="197" customWidth="1"/>
    <col min="15386" max="15386" width="9.125" style="197" customWidth="1"/>
    <col min="15387" max="15387" width="11.25" style="197" customWidth="1"/>
    <col min="15388" max="15388" width="11.5" style="197" customWidth="1"/>
    <col min="15389" max="15389" width="8" style="197" customWidth="1"/>
    <col min="15390" max="15616" width="9" style="197"/>
    <col min="15617" max="15617" width="5.375" style="197" customWidth="1"/>
    <col min="15618" max="15618" width="8.375" style="197" customWidth="1"/>
    <col min="15619" max="15620" width="10.625" style="197" customWidth="1"/>
    <col min="15621" max="15621" width="10.25" style="197" customWidth="1"/>
    <col min="15622" max="15622" width="10.625" style="197" customWidth="1"/>
    <col min="15623" max="15623" width="7" style="197" customWidth="1"/>
    <col min="15624" max="15625" width="10.25" style="197" customWidth="1"/>
    <col min="15626" max="15626" width="12.5" style="197" bestFit="1" customWidth="1"/>
    <col min="15627" max="15627" width="12.375" style="197" customWidth="1"/>
    <col min="15628" max="15628" width="10.75" style="197" customWidth="1"/>
    <col min="15629" max="15629" width="12.375" style="197" customWidth="1"/>
    <col min="15630" max="15630" width="10.25" style="197" customWidth="1"/>
    <col min="15631" max="15631" width="11" style="197" customWidth="1"/>
    <col min="15632" max="15632" width="9.375" style="197" customWidth="1"/>
    <col min="15633" max="15633" width="6.625" style="197" customWidth="1"/>
    <col min="15634" max="15634" width="10.5" style="197" customWidth="1"/>
    <col min="15635" max="15635" width="1.125" style="197" customWidth="1"/>
    <col min="15636" max="15636" width="10.625" style="197" customWidth="1"/>
    <col min="15637" max="15638" width="10.75" style="197" customWidth="1"/>
    <col min="15639" max="15639" width="10.125" style="197" customWidth="1"/>
    <col min="15640" max="15640" width="8.875" style="197" customWidth="1"/>
    <col min="15641" max="15641" width="14.875" style="197" customWidth="1"/>
    <col min="15642" max="15642" width="9.125" style="197" customWidth="1"/>
    <col min="15643" max="15643" width="11.25" style="197" customWidth="1"/>
    <col min="15644" max="15644" width="11.5" style="197" customWidth="1"/>
    <col min="15645" max="15645" width="8" style="197" customWidth="1"/>
    <col min="15646" max="15872" width="9" style="197"/>
    <col min="15873" max="15873" width="5.375" style="197" customWidth="1"/>
    <col min="15874" max="15874" width="8.375" style="197" customWidth="1"/>
    <col min="15875" max="15876" width="10.625" style="197" customWidth="1"/>
    <col min="15877" max="15877" width="10.25" style="197" customWidth="1"/>
    <col min="15878" max="15878" width="10.625" style="197" customWidth="1"/>
    <col min="15879" max="15879" width="7" style="197" customWidth="1"/>
    <col min="15880" max="15881" width="10.25" style="197" customWidth="1"/>
    <col min="15882" max="15882" width="12.5" style="197" bestFit="1" customWidth="1"/>
    <col min="15883" max="15883" width="12.375" style="197" customWidth="1"/>
    <col min="15884" max="15884" width="10.75" style="197" customWidth="1"/>
    <col min="15885" max="15885" width="12.375" style="197" customWidth="1"/>
    <col min="15886" max="15886" width="10.25" style="197" customWidth="1"/>
    <col min="15887" max="15887" width="11" style="197" customWidth="1"/>
    <col min="15888" max="15888" width="9.375" style="197" customWidth="1"/>
    <col min="15889" max="15889" width="6.625" style="197" customWidth="1"/>
    <col min="15890" max="15890" width="10.5" style="197" customWidth="1"/>
    <col min="15891" max="15891" width="1.125" style="197" customWidth="1"/>
    <col min="15892" max="15892" width="10.625" style="197" customWidth="1"/>
    <col min="15893" max="15894" width="10.75" style="197" customWidth="1"/>
    <col min="15895" max="15895" width="10.125" style="197" customWidth="1"/>
    <col min="15896" max="15896" width="8.875" style="197" customWidth="1"/>
    <col min="15897" max="15897" width="14.875" style="197" customWidth="1"/>
    <col min="15898" max="15898" width="9.125" style="197" customWidth="1"/>
    <col min="15899" max="15899" width="11.25" style="197" customWidth="1"/>
    <col min="15900" max="15900" width="11.5" style="197" customWidth="1"/>
    <col min="15901" max="15901" width="8" style="197" customWidth="1"/>
    <col min="15902" max="16128" width="9" style="197"/>
    <col min="16129" max="16129" width="5.375" style="197" customWidth="1"/>
    <col min="16130" max="16130" width="8.375" style="197" customWidth="1"/>
    <col min="16131" max="16132" width="10.625" style="197" customWidth="1"/>
    <col min="16133" max="16133" width="10.25" style="197" customWidth="1"/>
    <col min="16134" max="16134" width="10.625" style="197" customWidth="1"/>
    <col min="16135" max="16135" width="7" style="197" customWidth="1"/>
    <col min="16136" max="16137" width="10.25" style="197" customWidth="1"/>
    <col min="16138" max="16138" width="12.5" style="197" bestFit="1" customWidth="1"/>
    <col min="16139" max="16139" width="12.375" style="197" customWidth="1"/>
    <col min="16140" max="16140" width="10.75" style="197" customWidth="1"/>
    <col min="16141" max="16141" width="12.375" style="197" customWidth="1"/>
    <col min="16142" max="16142" width="10.25" style="197" customWidth="1"/>
    <col min="16143" max="16143" width="11" style="197" customWidth="1"/>
    <col min="16144" max="16144" width="9.375" style="197" customWidth="1"/>
    <col min="16145" max="16145" width="6.625" style="197" customWidth="1"/>
    <col min="16146" max="16146" width="10.5" style="197" customWidth="1"/>
    <col min="16147" max="16147" width="1.125" style="197" customWidth="1"/>
    <col min="16148" max="16148" width="10.625" style="197" customWidth="1"/>
    <col min="16149" max="16150" width="10.75" style="197" customWidth="1"/>
    <col min="16151" max="16151" width="10.125" style="197" customWidth="1"/>
    <col min="16152" max="16152" width="8.875" style="197" customWidth="1"/>
    <col min="16153" max="16153" width="14.875" style="197" customWidth="1"/>
    <col min="16154" max="16154" width="9.125" style="197" customWidth="1"/>
    <col min="16155" max="16155" width="11.25" style="197" customWidth="1"/>
    <col min="16156" max="16156" width="11.5" style="197" customWidth="1"/>
    <col min="16157" max="16157" width="8" style="197" customWidth="1"/>
    <col min="16158" max="16384" width="9" style="197"/>
  </cols>
  <sheetData>
    <row r="2" spans="1:28" ht="18.75" x14ac:dyDescent="0.3">
      <c r="A2" s="411" t="s">
        <v>257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3"/>
      <c r="S2" s="196"/>
      <c r="T2" s="420" t="s">
        <v>132</v>
      </c>
      <c r="U2" s="420"/>
      <c r="V2" s="420"/>
      <c r="W2" s="420"/>
      <c r="X2" s="420"/>
      <c r="Y2" s="420"/>
      <c r="Z2" s="420"/>
      <c r="AA2" s="420"/>
      <c r="AB2" s="420"/>
    </row>
    <row r="3" spans="1:28" ht="18.75" x14ac:dyDescent="0.3">
      <c r="A3" s="414"/>
      <c r="B3" s="415"/>
      <c r="C3" s="415"/>
      <c r="D3" s="415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6"/>
      <c r="S3" s="198"/>
      <c r="T3" s="420"/>
      <c r="U3" s="420"/>
      <c r="V3" s="420"/>
      <c r="W3" s="420"/>
      <c r="X3" s="420"/>
      <c r="Y3" s="420"/>
      <c r="Z3" s="420"/>
      <c r="AA3" s="420"/>
      <c r="AB3" s="420"/>
    </row>
    <row r="4" spans="1:28" x14ac:dyDescent="0.25">
      <c r="A4" s="417"/>
      <c r="B4" s="418"/>
      <c r="C4" s="418"/>
      <c r="D4" s="418"/>
      <c r="E4" s="418"/>
      <c r="F4" s="418"/>
      <c r="G4" s="418"/>
      <c r="H4" s="418"/>
      <c r="I4" s="418"/>
      <c r="J4" s="418"/>
      <c r="K4" s="418"/>
      <c r="L4" s="418"/>
      <c r="M4" s="418"/>
      <c r="N4" s="418"/>
      <c r="O4" s="418"/>
      <c r="P4" s="418"/>
      <c r="Q4" s="418"/>
      <c r="R4" s="419"/>
      <c r="S4" s="199"/>
      <c r="T4" s="421" t="s">
        <v>133</v>
      </c>
      <c r="U4" s="421"/>
      <c r="V4" s="421"/>
      <c r="W4" s="421"/>
      <c r="X4" s="422" t="s">
        <v>258</v>
      </c>
      <c r="Y4" s="422"/>
      <c r="Z4" s="422"/>
      <c r="AA4" s="422"/>
      <c r="AB4" s="423" t="s">
        <v>134</v>
      </c>
    </row>
    <row r="5" spans="1:28" x14ac:dyDescent="0.25">
      <c r="A5" s="424" t="s">
        <v>135</v>
      </c>
      <c r="B5" s="426" t="s">
        <v>259</v>
      </c>
      <c r="C5" s="428" t="s">
        <v>260</v>
      </c>
      <c r="D5" s="429"/>
      <c r="E5" s="429"/>
      <c r="F5" s="430"/>
      <c r="G5" s="427" t="s">
        <v>136</v>
      </c>
      <c r="H5" s="432" t="s">
        <v>137</v>
      </c>
      <c r="I5" s="432"/>
      <c r="J5" s="432"/>
      <c r="K5" s="432" t="s">
        <v>138</v>
      </c>
      <c r="L5" s="432"/>
      <c r="M5" s="432" t="s">
        <v>139</v>
      </c>
      <c r="N5" s="432"/>
      <c r="O5" s="424" t="s">
        <v>140</v>
      </c>
      <c r="P5" s="439" t="s">
        <v>141</v>
      </c>
      <c r="Q5" s="440"/>
      <c r="R5" s="423" t="s">
        <v>134</v>
      </c>
      <c r="S5" s="200"/>
      <c r="T5" s="424" t="s">
        <v>142</v>
      </c>
      <c r="U5" s="424" t="s">
        <v>143</v>
      </c>
      <c r="V5" s="434" t="s">
        <v>144</v>
      </c>
      <c r="W5" s="435"/>
      <c r="X5" s="424" t="s">
        <v>261</v>
      </c>
      <c r="Y5" s="424" t="s">
        <v>262</v>
      </c>
      <c r="Z5" s="424" t="s">
        <v>6</v>
      </c>
      <c r="AA5" s="438" t="s">
        <v>263</v>
      </c>
      <c r="AB5" s="423"/>
    </row>
    <row r="6" spans="1:28" x14ac:dyDescent="0.25">
      <c r="A6" s="425"/>
      <c r="B6" s="426"/>
      <c r="C6" s="201" t="s">
        <v>145</v>
      </c>
      <c r="D6" s="201" t="s">
        <v>146</v>
      </c>
      <c r="E6" s="201" t="s">
        <v>147</v>
      </c>
      <c r="F6" s="201" t="s">
        <v>148</v>
      </c>
      <c r="G6" s="431"/>
      <c r="H6" s="202" t="s">
        <v>149</v>
      </c>
      <c r="I6" s="202" t="s">
        <v>150</v>
      </c>
      <c r="J6" s="202" t="s">
        <v>264</v>
      </c>
      <c r="K6" s="426" t="s">
        <v>265</v>
      </c>
      <c r="L6" s="248" t="s">
        <v>151</v>
      </c>
      <c r="M6" s="426" t="s">
        <v>265</v>
      </c>
      <c r="N6" s="248" t="s">
        <v>151</v>
      </c>
      <c r="O6" s="433"/>
      <c r="P6" s="203" t="s">
        <v>152</v>
      </c>
      <c r="Q6" s="408" t="s">
        <v>153</v>
      </c>
      <c r="R6" s="423"/>
      <c r="S6" s="200"/>
      <c r="T6" s="433"/>
      <c r="U6" s="433"/>
      <c r="V6" s="436"/>
      <c r="W6" s="437"/>
      <c r="X6" s="433"/>
      <c r="Y6" s="433"/>
      <c r="Z6" s="433"/>
      <c r="AA6" s="438"/>
      <c r="AB6" s="423"/>
    </row>
    <row r="7" spans="1:28" x14ac:dyDescent="0.25">
      <c r="A7" s="425"/>
      <c r="B7" s="427"/>
      <c r="C7" s="204" t="s">
        <v>154</v>
      </c>
      <c r="D7" s="204" t="s">
        <v>154</v>
      </c>
      <c r="E7" s="204" t="s">
        <v>154</v>
      </c>
      <c r="F7" s="204" t="s">
        <v>154</v>
      </c>
      <c r="G7" s="431"/>
      <c r="H7" s="205" t="s">
        <v>154</v>
      </c>
      <c r="I7" s="205" t="s">
        <v>154</v>
      </c>
      <c r="J7" s="205" t="s">
        <v>155</v>
      </c>
      <c r="K7" s="426"/>
      <c r="L7" s="248" t="s">
        <v>154</v>
      </c>
      <c r="M7" s="426"/>
      <c r="N7" s="248" t="s">
        <v>154</v>
      </c>
      <c r="O7" s="206" t="s">
        <v>154</v>
      </c>
      <c r="P7" s="206" t="s">
        <v>154</v>
      </c>
      <c r="Q7" s="409"/>
      <c r="R7" s="424"/>
      <c r="S7" s="200"/>
      <c r="T7" s="203" t="s">
        <v>154</v>
      </c>
      <c r="U7" s="203" t="s">
        <v>154</v>
      </c>
      <c r="V7" s="203" t="s">
        <v>154</v>
      </c>
      <c r="W7" s="203" t="s">
        <v>156</v>
      </c>
      <c r="X7" s="203" t="s">
        <v>156</v>
      </c>
      <c r="Y7" s="203" t="s">
        <v>156</v>
      </c>
      <c r="Z7" s="203" t="s">
        <v>156</v>
      </c>
      <c r="AA7" s="438"/>
      <c r="AB7" s="423"/>
    </row>
    <row r="8" spans="1:28" x14ac:dyDescent="0.25">
      <c r="A8" s="347">
        <v>1</v>
      </c>
      <c r="B8" s="348">
        <v>932</v>
      </c>
      <c r="C8" s="348">
        <v>18396</v>
      </c>
      <c r="D8" s="348">
        <v>248</v>
      </c>
      <c r="E8" s="348"/>
      <c r="F8" s="349">
        <f>C8+D8+E8</f>
        <v>18644</v>
      </c>
      <c r="G8" s="348">
        <v>31</v>
      </c>
      <c r="H8" s="367">
        <f>F8/B8</f>
        <v>20.004291845493562</v>
      </c>
      <c r="I8" s="368">
        <f>H8</f>
        <v>20.004291845493562</v>
      </c>
      <c r="J8" s="371">
        <f>(H8/G8*1000)/5</f>
        <v>129.05994739028102</v>
      </c>
      <c r="K8" s="291" t="s">
        <v>303</v>
      </c>
      <c r="L8" s="207">
        <f>'MPPR#2'!G42</f>
        <v>21213.829427236367</v>
      </c>
      <c r="M8" s="291" t="s">
        <v>305</v>
      </c>
      <c r="N8" s="207">
        <f>'DMA FM'!H38</f>
        <v>4684</v>
      </c>
      <c r="O8" s="364">
        <f>SUM(L8:L10)-SUM(N8:N10)</f>
        <v>18866.829427236367</v>
      </c>
      <c r="P8" s="364">
        <f>O8-F8</f>
        <v>222.82942723636734</v>
      </c>
      <c r="Q8" s="379">
        <f>P8/O8</f>
        <v>1.1810645137581425E-2</v>
      </c>
      <c r="R8" s="357"/>
      <c r="S8" s="200"/>
      <c r="T8" s="358">
        <v>583.93548387096769</v>
      </c>
      <c r="U8" s="358">
        <v>595.80645161290317</v>
      </c>
      <c r="V8" s="358">
        <v>774.54838709677415</v>
      </c>
      <c r="W8" s="358">
        <v>141.85867895545314</v>
      </c>
      <c r="X8" s="350"/>
      <c r="Y8" s="350">
        <v>0</v>
      </c>
      <c r="Z8" s="353">
        <v>0</v>
      </c>
      <c r="AA8" s="361">
        <v>0</v>
      </c>
      <c r="AB8" s="362"/>
    </row>
    <row r="9" spans="1:28" x14ac:dyDescent="0.25">
      <c r="A9" s="347"/>
      <c r="B9" s="348"/>
      <c r="C9" s="348"/>
      <c r="D9" s="348"/>
      <c r="E9" s="348"/>
      <c r="F9" s="349"/>
      <c r="G9" s="348"/>
      <c r="H9" s="367"/>
      <c r="I9" s="369"/>
      <c r="J9" s="372"/>
      <c r="K9" s="291" t="s">
        <v>304</v>
      </c>
      <c r="L9" s="207">
        <f>'DMA FM'!D38</f>
        <v>2337</v>
      </c>
      <c r="M9" s="233"/>
      <c r="N9" s="207"/>
      <c r="O9" s="374" t="e">
        <f>SUM(#REF!)-SUM(#REF!)</f>
        <v>#REF!</v>
      </c>
      <c r="P9" s="365"/>
      <c r="Q9" s="379"/>
      <c r="R9" s="357"/>
      <c r="S9" s="200"/>
      <c r="T9" s="359"/>
      <c r="U9" s="359"/>
      <c r="V9" s="359"/>
      <c r="W9" s="359"/>
      <c r="X9" s="351"/>
      <c r="Y9" s="351"/>
      <c r="Z9" s="354"/>
      <c r="AA9" s="354"/>
      <c r="AB9" s="363"/>
    </row>
    <row r="10" spans="1:28" x14ac:dyDescent="0.25">
      <c r="A10" s="347"/>
      <c r="B10" s="348"/>
      <c r="C10" s="348"/>
      <c r="D10" s="348"/>
      <c r="E10" s="348"/>
      <c r="F10" s="349"/>
      <c r="G10" s="348"/>
      <c r="H10" s="367"/>
      <c r="I10" s="370"/>
      <c r="J10" s="373"/>
      <c r="K10" s="252"/>
      <c r="L10" s="207"/>
      <c r="M10" s="252"/>
      <c r="N10" s="207"/>
      <c r="O10" s="375" t="e">
        <f>SUM(#REF!)-SUM(#REF!)</f>
        <v>#REF!</v>
      </c>
      <c r="P10" s="376"/>
      <c r="Q10" s="379"/>
      <c r="R10" s="357"/>
      <c r="S10" s="208"/>
      <c r="T10" s="360"/>
      <c r="U10" s="360"/>
      <c r="V10" s="360"/>
      <c r="W10" s="360"/>
      <c r="X10" s="352"/>
      <c r="Y10" s="352"/>
      <c r="Z10" s="355"/>
      <c r="AA10" s="355"/>
      <c r="AB10" s="377"/>
    </row>
    <row r="11" spans="1:28" x14ac:dyDescent="0.25">
      <c r="A11" s="410">
        <v>2</v>
      </c>
      <c r="B11" s="398">
        <v>3106</v>
      </c>
      <c r="C11" s="398">
        <v>63986</v>
      </c>
      <c r="D11" s="398">
        <v>3336</v>
      </c>
      <c r="E11" s="398"/>
      <c r="F11" s="349">
        <f>C11+D11+E11</f>
        <v>67322</v>
      </c>
      <c r="G11" s="398">
        <v>31</v>
      </c>
      <c r="H11" s="399">
        <f>F11/B11</f>
        <v>21.674822923374116</v>
      </c>
      <c r="I11" s="400">
        <f t="shared" ref="I11" si="0">H11</f>
        <v>21.674822923374116</v>
      </c>
      <c r="J11" s="403">
        <f>(H11/G11*1000)/5</f>
        <v>139.83756724757495</v>
      </c>
      <c r="K11" s="293" t="s">
        <v>310</v>
      </c>
      <c r="L11" s="294">
        <f>'MPPR#1'!G42</f>
        <v>52312.428263679452</v>
      </c>
      <c r="M11" s="292" t="s">
        <v>307</v>
      </c>
      <c r="N11" s="209">
        <f>L17</f>
        <v>2565</v>
      </c>
      <c r="O11" s="394">
        <f>SUM(L11:L15)-SUM(N11:N15)</f>
        <v>70663.45858678376</v>
      </c>
      <c r="P11" s="394">
        <f>O11-F11</f>
        <v>3341.4585867837595</v>
      </c>
      <c r="Q11" s="397">
        <f>P11/O11</f>
        <v>4.7286938024410752E-2</v>
      </c>
      <c r="R11" s="357"/>
      <c r="S11" s="208"/>
      <c r="T11" s="358">
        <v>1926.8709677419354</v>
      </c>
      <c r="U11" s="358">
        <v>2126.322580645161</v>
      </c>
      <c r="V11" s="358">
        <v>2764.2193548387095</v>
      </c>
      <c r="W11" s="358">
        <v>506.26728110599078</v>
      </c>
      <c r="X11" s="350"/>
      <c r="Y11" s="350">
        <v>0</v>
      </c>
      <c r="Z11" s="353">
        <v>0</v>
      </c>
      <c r="AA11" s="361">
        <v>0</v>
      </c>
      <c r="AB11" s="362"/>
    </row>
    <row r="12" spans="1:28" x14ac:dyDescent="0.25">
      <c r="A12" s="410"/>
      <c r="B12" s="398"/>
      <c r="C12" s="398"/>
      <c r="D12" s="398"/>
      <c r="E12" s="398"/>
      <c r="F12" s="349"/>
      <c r="G12" s="398"/>
      <c r="H12" s="399"/>
      <c r="I12" s="401"/>
      <c r="J12" s="404"/>
      <c r="K12" s="293" t="s">
        <v>311</v>
      </c>
      <c r="L12" s="294">
        <f>'MPPR#5'!G42</f>
        <v>13070.030323104309</v>
      </c>
      <c r="M12" s="292" t="s">
        <v>312</v>
      </c>
      <c r="N12" s="209">
        <f>L20</f>
        <v>2532</v>
      </c>
      <c r="O12" s="395"/>
      <c r="P12" s="395"/>
      <c r="Q12" s="397"/>
      <c r="R12" s="357"/>
      <c r="S12" s="208"/>
      <c r="T12" s="359"/>
      <c r="U12" s="359"/>
      <c r="V12" s="359"/>
      <c r="W12" s="359"/>
      <c r="X12" s="351"/>
      <c r="Y12" s="351"/>
      <c r="Z12" s="354"/>
      <c r="AA12" s="393"/>
      <c r="AB12" s="363"/>
    </row>
    <row r="13" spans="1:28" x14ac:dyDescent="0.25">
      <c r="A13" s="410"/>
      <c r="B13" s="398"/>
      <c r="C13" s="398"/>
      <c r="D13" s="398"/>
      <c r="E13" s="398"/>
      <c r="F13" s="349"/>
      <c r="G13" s="398"/>
      <c r="H13" s="399"/>
      <c r="I13" s="401"/>
      <c r="J13" s="404"/>
      <c r="K13" s="292" t="s">
        <v>305</v>
      </c>
      <c r="L13" s="209">
        <f>N8</f>
        <v>4684</v>
      </c>
      <c r="M13" s="292" t="s">
        <v>304</v>
      </c>
      <c r="N13" s="209">
        <f>L9</f>
        <v>2337</v>
      </c>
      <c r="O13" s="406" t="e">
        <f>SUM(#REF!)-SUM(#REF!)</f>
        <v>#REF!</v>
      </c>
      <c r="P13" s="395"/>
      <c r="Q13" s="397"/>
      <c r="R13" s="357"/>
      <c r="S13" s="208"/>
      <c r="T13" s="359"/>
      <c r="U13" s="359"/>
      <c r="V13" s="359"/>
      <c r="W13" s="359"/>
      <c r="X13" s="351"/>
      <c r="Y13" s="351"/>
      <c r="Z13" s="354"/>
      <c r="AA13" s="354"/>
      <c r="AB13" s="363"/>
    </row>
    <row r="14" spans="1:28" x14ac:dyDescent="0.25">
      <c r="A14" s="410"/>
      <c r="B14" s="398"/>
      <c r="C14" s="398"/>
      <c r="D14" s="398"/>
      <c r="E14" s="398"/>
      <c r="F14" s="349"/>
      <c r="G14" s="398"/>
      <c r="H14" s="399"/>
      <c r="I14" s="401"/>
      <c r="J14" s="404"/>
      <c r="K14" s="292" t="s">
        <v>306</v>
      </c>
      <c r="L14" s="209">
        <f>N16</f>
        <v>8031</v>
      </c>
      <c r="M14" s="295"/>
      <c r="N14" s="294"/>
      <c r="O14" s="406"/>
      <c r="P14" s="395"/>
      <c r="Q14" s="397"/>
      <c r="R14" s="357"/>
      <c r="S14" s="208"/>
      <c r="T14" s="359"/>
      <c r="U14" s="359"/>
      <c r="V14" s="359"/>
      <c r="W14" s="359"/>
      <c r="X14" s="351"/>
      <c r="Y14" s="351"/>
      <c r="Z14" s="354"/>
      <c r="AA14" s="354"/>
      <c r="AB14" s="363"/>
    </row>
    <row r="15" spans="1:28" x14ac:dyDescent="0.25">
      <c r="A15" s="410"/>
      <c r="B15" s="398"/>
      <c r="C15" s="398"/>
      <c r="D15" s="398"/>
      <c r="E15" s="398"/>
      <c r="F15" s="349"/>
      <c r="G15" s="398"/>
      <c r="H15" s="399"/>
      <c r="I15" s="402"/>
      <c r="J15" s="405"/>
      <c r="K15" s="296"/>
      <c r="L15" s="294"/>
      <c r="M15" s="295"/>
      <c r="N15" s="294"/>
      <c r="O15" s="407" t="e">
        <f>SUM(#REF!)-SUM(#REF!)</f>
        <v>#REF!</v>
      </c>
      <c r="P15" s="396"/>
      <c r="Q15" s="397"/>
      <c r="R15" s="357"/>
      <c r="S15" s="208"/>
      <c r="T15" s="360"/>
      <c r="U15" s="360"/>
      <c r="V15" s="360"/>
      <c r="W15" s="360"/>
      <c r="X15" s="352"/>
      <c r="Y15" s="352"/>
      <c r="Z15" s="355"/>
      <c r="AA15" s="355"/>
      <c r="AB15" s="377"/>
    </row>
    <row r="16" spans="1:28" x14ac:dyDescent="0.25">
      <c r="A16" s="392">
        <v>3</v>
      </c>
      <c r="B16" s="348">
        <v>1087</v>
      </c>
      <c r="C16" s="348">
        <v>22130</v>
      </c>
      <c r="D16" s="348">
        <v>234</v>
      </c>
      <c r="E16" s="348"/>
      <c r="F16" s="378">
        <f>C16+D16+E16</f>
        <v>22364</v>
      </c>
      <c r="G16" s="348">
        <v>31</v>
      </c>
      <c r="H16" s="380">
        <f>F16/B16</f>
        <v>20.574057037718493</v>
      </c>
      <c r="I16" s="381">
        <f t="shared" ref="I16" si="1">H16</f>
        <v>20.574057037718493</v>
      </c>
      <c r="J16" s="384">
        <f>(H16/G16*1000)/5</f>
        <v>132.73585185624833</v>
      </c>
      <c r="K16" s="291" t="s">
        <v>309</v>
      </c>
      <c r="L16" s="207">
        <f>'MPPR#4'!G42</f>
        <v>28030.454952696229</v>
      </c>
      <c r="M16" s="291" t="s">
        <v>306</v>
      </c>
      <c r="N16" s="207">
        <f>'DMA FM'!X38</f>
        <v>8031</v>
      </c>
      <c r="O16" s="387">
        <f>SUM(L16:L18)-SUM(N16:N18)</f>
        <v>23086.454952696229</v>
      </c>
      <c r="P16" s="387">
        <f>O16-F16</f>
        <v>722.45495269622916</v>
      </c>
      <c r="Q16" s="379">
        <f>P16/O16</f>
        <v>3.1293455585819807E-2</v>
      </c>
      <c r="R16" s="357"/>
      <c r="S16" s="208"/>
      <c r="T16" s="358">
        <v>737.19354838709683</v>
      </c>
      <c r="U16" s="358">
        <v>922.64516129032268</v>
      </c>
      <c r="V16" s="358">
        <v>1199.4387096774194</v>
      </c>
      <c r="W16" s="358">
        <v>219.67741935483872</v>
      </c>
      <c r="X16" s="350"/>
      <c r="Y16" s="350">
        <v>0</v>
      </c>
      <c r="Z16" s="353">
        <v>0</v>
      </c>
      <c r="AA16" s="361">
        <v>0</v>
      </c>
      <c r="AB16" s="362"/>
    </row>
    <row r="17" spans="1:28" x14ac:dyDescent="0.25">
      <c r="A17" s="392"/>
      <c r="B17" s="348"/>
      <c r="C17" s="348"/>
      <c r="D17" s="348"/>
      <c r="E17" s="348"/>
      <c r="F17" s="378"/>
      <c r="G17" s="348"/>
      <c r="H17" s="380"/>
      <c r="I17" s="382"/>
      <c r="J17" s="385"/>
      <c r="K17" s="291" t="s">
        <v>307</v>
      </c>
      <c r="L17" s="207">
        <f>'DMA FM'!T38</f>
        <v>2565</v>
      </c>
      <c r="M17" s="233"/>
      <c r="N17" s="210"/>
      <c r="O17" s="388" t="e">
        <f>SUM(#REF!)-SUM(#REF!)</f>
        <v>#REF!</v>
      </c>
      <c r="P17" s="390"/>
      <c r="Q17" s="379"/>
      <c r="R17" s="357"/>
      <c r="S17" s="208"/>
      <c r="T17" s="359"/>
      <c r="U17" s="359"/>
      <c r="V17" s="359"/>
      <c r="W17" s="359"/>
      <c r="X17" s="351"/>
      <c r="Y17" s="351"/>
      <c r="Z17" s="354"/>
      <c r="AA17" s="354"/>
      <c r="AB17" s="363"/>
    </row>
    <row r="18" spans="1:28" x14ac:dyDescent="0.25">
      <c r="A18" s="392"/>
      <c r="B18" s="348"/>
      <c r="C18" s="348"/>
      <c r="D18" s="348"/>
      <c r="E18" s="348"/>
      <c r="F18" s="378"/>
      <c r="G18" s="348"/>
      <c r="H18" s="380"/>
      <c r="I18" s="383"/>
      <c r="J18" s="386"/>
      <c r="K18" s="292" t="s">
        <v>313</v>
      </c>
      <c r="L18" s="209">
        <f>N19</f>
        <v>522</v>
      </c>
      <c r="M18" s="252"/>
      <c r="N18" s="207"/>
      <c r="O18" s="389" t="e">
        <f>SUM(#REF!)-SUM(#REF!)</f>
        <v>#REF!</v>
      </c>
      <c r="P18" s="391"/>
      <c r="Q18" s="379"/>
      <c r="R18" s="357"/>
      <c r="S18" s="208"/>
      <c r="T18" s="360"/>
      <c r="U18" s="360"/>
      <c r="V18" s="360"/>
      <c r="W18" s="360"/>
      <c r="X18" s="352"/>
      <c r="Y18" s="352"/>
      <c r="Z18" s="355"/>
      <c r="AA18" s="355"/>
      <c r="AB18" s="377"/>
    </row>
    <row r="19" spans="1:28" x14ac:dyDescent="0.25">
      <c r="A19" s="347">
        <v>4</v>
      </c>
      <c r="B19" s="348">
        <v>823</v>
      </c>
      <c r="C19" s="348">
        <v>15451</v>
      </c>
      <c r="D19" s="348">
        <v>224</v>
      </c>
      <c r="E19" s="348"/>
      <c r="F19" s="349">
        <f>C19+D19+E19</f>
        <v>15675</v>
      </c>
      <c r="G19" s="348">
        <v>31</v>
      </c>
      <c r="H19" s="367">
        <f>F19/B19</f>
        <v>19.046172539489671</v>
      </c>
      <c r="I19" s="368">
        <f>H19</f>
        <v>19.046172539489671</v>
      </c>
      <c r="J19" s="371">
        <f>(H19/G19*1000)/5</f>
        <v>122.87853251283659</v>
      </c>
      <c r="K19" s="291" t="s">
        <v>308</v>
      </c>
      <c r="L19" s="207">
        <f>'MPPR#3'!G42</f>
        <v>25777.425576994661</v>
      </c>
      <c r="M19" s="291" t="s">
        <v>313</v>
      </c>
      <c r="N19" s="207">
        <f>'DMA FM'!P38</f>
        <v>522</v>
      </c>
      <c r="O19" s="364">
        <f>SUM(L19:L21)-SUM(N19:N21)</f>
        <v>27787.425576994661</v>
      </c>
      <c r="P19" s="364">
        <f>O19-F19</f>
        <v>12112.425576994661</v>
      </c>
      <c r="Q19" s="366">
        <f>P19/O19</f>
        <v>0.43589592506268715</v>
      </c>
      <c r="R19" s="357"/>
      <c r="S19" s="211"/>
      <c r="T19" s="358">
        <v>353.90322580645159</v>
      </c>
      <c r="U19" s="358">
        <v>374.22580645161287</v>
      </c>
      <c r="V19" s="358">
        <v>486.49354838709672</v>
      </c>
      <c r="W19" s="358">
        <v>89.10138248847926</v>
      </c>
      <c r="X19" s="350"/>
      <c r="Y19" s="350">
        <v>0</v>
      </c>
      <c r="Z19" s="353">
        <v>0</v>
      </c>
      <c r="AA19" s="361">
        <v>0</v>
      </c>
      <c r="AB19" s="362"/>
    </row>
    <row r="20" spans="1:28" x14ac:dyDescent="0.25">
      <c r="A20" s="347"/>
      <c r="B20" s="348"/>
      <c r="C20" s="348"/>
      <c r="D20" s="348"/>
      <c r="E20" s="348"/>
      <c r="F20" s="349"/>
      <c r="G20" s="348"/>
      <c r="H20" s="367"/>
      <c r="I20" s="369"/>
      <c r="J20" s="372"/>
      <c r="K20" s="291" t="s">
        <v>312</v>
      </c>
      <c r="L20" s="207">
        <f>'DMA FM'!L38</f>
        <v>2532</v>
      </c>
      <c r="M20" s="233"/>
      <c r="N20" s="207"/>
      <c r="O20" s="374"/>
      <c r="P20" s="365"/>
      <c r="Q20" s="366"/>
      <c r="R20" s="357"/>
      <c r="S20" s="211"/>
      <c r="T20" s="359"/>
      <c r="U20" s="359"/>
      <c r="V20" s="359"/>
      <c r="W20" s="359"/>
      <c r="X20" s="351"/>
      <c r="Y20" s="351"/>
      <c r="Z20" s="354"/>
      <c r="AA20" s="354"/>
      <c r="AB20" s="363"/>
    </row>
    <row r="21" spans="1:28" x14ac:dyDescent="0.25">
      <c r="A21" s="347"/>
      <c r="B21" s="348"/>
      <c r="C21" s="348"/>
      <c r="D21" s="348"/>
      <c r="E21" s="348"/>
      <c r="F21" s="349"/>
      <c r="G21" s="348"/>
      <c r="H21" s="367"/>
      <c r="I21" s="369"/>
      <c r="J21" s="372"/>
      <c r="K21" s="233"/>
      <c r="L21" s="207"/>
      <c r="M21" s="233"/>
      <c r="N21" s="207"/>
      <c r="O21" s="374"/>
      <c r="P21" s="365"/>
      <c r="Q21" s="366"/>
      <c r="R21" s="357"/>
      <c r="S21" s="211"/>
      <c r="T21" s="359"/>
      <c r="U21" s="359"/>
      <c r="V21" s="359"/>
      <c r="W21" s="359"/>
      <c r="X21" s="351"/>
      <c r="Y21" s="351"/>
      <c r="Z21" s="354"/>
      <c r="AA21" s="354"/>
      <c r="AB21" s="363"/>
    </row>
    <row r="22" spans="1:28" hidden="1" x14ac:dyDescent="0.25">
      <c r="A22" s="347">
        <v>5</v>
      </c>
      <c r="B22" s="348"/>
      <c r="C22" s="348"/>
      <c r="D22" s="348"/>
      <c r="E22" s="348"/>
      <c r="F22" s="349">
        <v>0</v>
      </c>
      <c r="G22" s="348"/>
      <c r="H22" s="367" t="e">
        <v>#DIV/0!</v>
      </c>
      <c r="I22" s="368" t="e">
        <v>#DIV/0!</v>
      </c>
      <c r="J22" s="371" t="e">
        <v>#DIV/0!</v>
      </c>
      <c r="K22" s="233"/>
      <c r="L22" s="207"/>
      <c r="M22" s="233"/>
      <c r="N22" s="207"/>
      <c r="O22" s="364">
        <v>0</v>
      </c>
      <c r="P22" s="364">
        <v>0</v>
      </c>
      <c r="Q22" s="356" t="e">
        <v>#DIV/0!</v>
      </c>
      <c r="R22" s="357"/>
      <c r="S22" s="208"/>
      <c r="T22" s="358" t="e">
        <v>#DIV/0!</v>
      </c>
      <c r="U22" s="358" t="e">
        <v>#DIV/0!</v>
      </c>
      <c r="V22" s="358" t="e">
        <v>#DIV/0!</v>
      </c>
      <c r="W22" s="358" t="e">
        <v>#DIV/0!</v>
      </c>
      <c r="X22" s="350"/>
      <c r="Y22" s="350"/>
      <c r="Z22" s="353">
        <v>0</v>
      </c>
      <c r="AA22" s="361" t="e">
        <v>#DIV/0!</v>
      </c>
      <c r="AB22" s="362"/>
    </row>
    <row r="23" spans="1:28" hidden="1" x14ac:dyDescent="0.25">
      <c r="A23" s="347"/>
      <c r="B23" s="348"/>
      <c r="C23" s="348"/>
      <c r="D23" s="348"/>
      <c r="E23" s="348"/>
      <c r="F23" s="349"/>
      <c r="G23" s="348"/>
      <c r="H23" s="367"/>
      <c r="I23" s="369"/>
      <c r="J23" s="372"/>
      <c r="K23" s="233"/>
      <c r="L23" s="253"/>
      <c r="M23" s="233"/>
      <c r="N23" s="207"/>
      <c r="O23" s="374"/>
      <c r="P23" s="365"/>
      <c r="Q23" s="356"/>
      <c r="R23" s="357"/>
      <c r="S23" s="208"/>
      <c r="T23" s="359"/>
      <c r="U23" s="359"/>
      <c r="V23" s="359"/>
      <c r="W23" s="359"/>
      <c r="X23" s="351"/>
      <c r="Y23" s="351"/>
      <c r="Z23" s="354"/>
      <c r="AA23" s="354"/>
      <c r="AB23" s="363"/>
    </row>
    <row r="24" spans="1:28" hidden="1" x14ac:dyDescent="0.25">
      <c r="A24" s="347"/>
      <c r="B24" s="348"/>
      <c r="C24" s="348"/>
      <c r="D24" s="348"/>
      <c r="E24" s="348"/>
      <c r="F24" s="349"/>
      <c r="G24" s="348"/>
      <c r="H24" s="367"/>
      <c r="I24" s="369"/>
      <c r="J24" s="372"/>
      <c r="K24" s="233"/>
      <c r="L24" s="207"/>
      <c r="M24" s="233"/>
      <c r="N24" s="207"/>
      <c r="O24" s="374"/>
      <c r="P24" s="365"/>
      <c r="Q24" s="356"/>
      <c r="R24" s="357"/>
      <c r="S24" s="208"/>
      <c r="T24" s="359"/>
      <c r="U24" s="359"/>
      <c r="V24" s="359"/>
      <c r="W24" s="359"/>
      <c r="X24" s="351"/>
      <c r="Y24" s="351"/>
      <c r="Z24" s="354"/>
      <c r="AA24" s="354"/>
      <c r="AB24" s="363"/>
    </row>
    <row r="25" spans="1:28" hidden="1" x14ac:dyDescent="0.25">
      <c r="A25" s="347"/>
      <c r="B25" s="348"/>
      <c r="C25" s="348"/>
      <c r="D25" s="348"/>
      <c r="E25" s="348"/>
      <c r="F25" s="349"/>
      <c r="G25" s="348"/>
      <c r="H25" s="367"/>
      <c r="I25" s="369"/>
      <c r="J25" s="372"/>
      <c r="K25" s="233"/>
      <c r="L25" s="207"/>
      <c r="M25" s="233"/>
      <c r="N25" s="207"/>
      <c r="O25" s="374"/>
      <c r="P25" s="365"/>
      <c r="Q25" s="356"/>
      <c r="R25" s="357"/>
      <c r="S25" s="208"/>
      <c r="T25" s="359"/>
      <c r="U25" s="359"/>
      <c r="V25" s="359"/>
      <c r="W25" s="359"/>
      <c r="X25" s="351"/>
      <c r="Y25" s="351"/>
      <c r="Z25" s="354"/>
      <c r="AA25" s="354"/>
      <c r="AB25" s="363"/>
    </row>
    <row r="26" spans="1:28" hidden="1" x14ac:dyDescent="0.25">
      <c r="A26" s="347"/>
      <c r="B26" s="348"/>
      <c r="C26" s="348"/>
      <c r="D26" s="348"/>
      <c r="E26" s="348"/>
      <c r="F26" s="349"/>
      <c r="G26" s="348"/>
      <c r="H26" s="367"/>
      <c r="I26" s="370"/>
      <c r="J26" s="373"/>
      <c r="K26" s="252"/>
      <c r="L26" s="207"/>
      <c r="M26" s="252"/>
      <c r="N26" s="207"/>
      <c r="O26" s="375"/>
      <c r="P26" s="376"/>
      <c r="Q26" s="356"/>
      <c r="R26" s="357"/>
      <c r="S26" s="208"/>
      <c r="T26" s="360"/>
      <c r="U26" s="360"/>
      <c r="V26" s="360"/>
      <c r="W26" s="360"/>
      <c r="X26" s="352"/>
      <c r="Y26" s="352"/>
      <c r="Z26" s="355"/>
      <c r="AA26" s="355"/>
      <c r="AB26" s="377"/>
    </row>
    <row r="27" spans="1:28" x14ac:dyDescent="0.25">
      <c r="A27" s="212" t="s">
        <v>148</v>
      </c>
      <c r="B27" s="213">
        <f>SUM(B8:B26)</f>
        <v>5948</v>
      </c>
      <c r="C27" s="213">
        <f>SUM(C8:C26)</f>
        <v>119963</v>
      </c>
      <c r="D27" s="213">
        <f t="shared" ref="D27:F27" si="2">SUM(D8:D26)</f>
        <v>4042</v>
      </c>
      <c r="E27" s="213">
        <f t="shared" si="2"/>
        <v>0</v>
      </c>
      <c r="F27" s="213">
        <f t="shared" si="2"/>
        <v>124005</v>
      </c>
      <c r="G27" s="213">
        <f>G8</f>
        <v>31</v>
      </c>
      <c r="H27" s="214">
        <f>F27/B27</f>
        <v>20.848184263618023</v>
      </c>
      <c r="I27" s="214">
        <f>H27</f>
        <v>20.848184263618023</v>
      </c>
      <c r="J27" s="213">
        <f>(H27/G27*1000)/5</f>
        <v>134.50441460398727</v>
      </c>
      <c r="K27" s="249"/>
      <c r="L27" s="250">
        <f>SUM(L8:L20)</f>
        <v>161075.16854371101</v>
      </c>
      <c r="M27" s="249"/>
      <c r="N27" s="251">
        <f>SUM(N11:N26)</f>
        <v>15987</v>
      </c>
      <c r="O27" s="213">
        <f>O8+O11+O16+O19</f>
        <v>140404.16854371101</v>
      </c>
      <c r="P27" s="215">
        <f>SUM(P8+P11+P16+P19)</f>
        <v>16399.168543711017</v>
      </c>
      <c r="Q27" s="216">
        <f>P27/O27</f>
        <v>0.1167997269155551</v>
      </c>
      <c r="R27" s="254"/>
      <c r="S27" s="208"/>
      <c r="T27" s="218">
        <v>3601.9032258064517</v>
      </c>
      <c r="U27" s="218">
        <v>4019</v>
      </c>
      <c r="V27" s="218">
        <v>5224.7</v>
      </c>
      <c r="W27" s="218">
        <v>956.90476190476193</v>
      </c>
      <c r="X27" s="217">
        <v>0</v>
      </c>
      <c r="Y27" s="217">
        <v>0</v>
      </c>
      <c r="Z27" s="217">
        <v>0</v>
      </c>
      <c r="AA27" s="219">
        <v>0</v>
      </c>
      <c r="AB27" s="220"/>
    </row>
    <row r="28" spans="1:28" x14ac:dyDescent="0.25">
      <c r="H28" s="221"/>
      <c r="I28" s="221"/>
      <c r="J28" s="222"/>
    </row>
    <row r="29" spans="1:28" x14ac:dyDescent="0.25">
      <c r="A29" s="223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24"/>
      <c r="O29" s="225"/>
      <c r="P29" s="226"/>
      <c r="Q29" s="224"/>
      <c r="R29" s="224"/>
      <c r="S29" s="224"/>
      <c r="T29" s="224"/>
      <c r="U29" s="224"/>
      <c r="V29" s="224"/>
      <c r="W29" s="224"/>
      <c r="X29" s="224"/>
      <c r="Y29" s="224"/>
      <c r="Z29" s="224"/>
      <c r="AA29" s="224"/>
      <c r="AB29" s="224"/>
    </row>
    <row r="30" spans="1:28" x14ac:dyDescent="0.25">
      <c r="O30" s="227"/>
      <c r="W30" s="228"/>
    </row>
    <row r="31" spans="1:28" x14ac:dyDescent="0.25">
      <c r="Q31" s="227"/>
      <c r="W31" s="229"/>
    </row>
    <row r="32" spans="1:28" ht="15.75" x14ac:dyDescent="0.25">
      <c r="Q32" s="230"/>
    </row>
    <row r="33" spans="7:16" x14ac:dyDescent="0.25">
      <c r="P33" s="227"/>
    </row>
    <row r="34" spans="7:16" x14ac:dyDescent="0.25">
      <c r="H34" s="227"/>
      <c r="I34" s="231"/>
      <c r="J34" s="231"/>
      <c r="K34" s="231"/>
    </row>
    <row r="36" spans="7:16" x14ac:dyDescent="0.25">
      <c r="M36" s="227"/>
      <c r="O36" s="231"/>
    </row>
    <row r="37" spans="7:16" x14ac:dyDescent="0.25">
      <c r="G37" s="232"/>
      <c r="H37" s="232"/>
    </row>
    <row r="39" spans="7:16" x14ac:dyDescent="0.25">
      <c r="O39" s="227"/>
      <c r="P39" s="227"/>
    </row>
    <row r="40" spans="7:16" x14ac:dyDescent="0.25">
      <c r="L40" s="227"/>
    </row>
  </sheetData>
  <mergeCells count="140">
    <mergeCell ref="A2:R4"/>
    <mergeCell ref="T2:AB3"/>
    <mergeCell ref="T4:W4"/>
    <mergeCell ref="X4:AA4"/>
    <mergeCell ref="AB4:AB7"/>
    <mergeCell ref="A5:A7"/>
    <mergeCell ref="B5:B7"/>
    <mergeCell ref="C5:F5"/>
    <mergeCell ref="G5:G7"/>
    <mergeCell ref="H5:J5"/>
    <mergeCell ref="U5:U6"/>
    <mergeCell ref="V5:W6"/>
    <mergeCell ref="X5:X6"/>
    <mergeCell ref="Y5:Y6"/>
    <mergeCell ref="Z5:Z6"/>
    <mergeCell ref="AA5:AA7"/>
    <mergeCell ref="K5:L5"/>
    <mergeCell ref="M5:N5"/>
    <mergeCell ref="O5:O6"/>
    <mergeCell ref="P5:Q5"/>
    <mergeCell ref="R5:R7"/>
    <mergeCell ref="T5:T6"/>
    <mergeCell ref="K6:K7"/>
    <mergeCell ref="M6:M7"/>
    <mergeCell ref="Q6:Q7"/>
    <mergeCell ref="AA8:AA10"/>
    <mergeCell ref="AB8:AB10"/>
    <mergeCell ref="A11:A15"/>
    <mergeCell ref="B11:B15"/>
    <mergeCell ref="C11:C15"/>
    <mergeCell ref="D11:D15"/>
    <mergeCell ref="E11:E15"/>
    <mergeCell ref="Q8:Q10"/>
    <mergeCell ref="R8:R10"/>
    <mergeCell ref="T8:T10"/>
    <mergeCell ref="U8:U10"/>
    <mergeCell ref="V8:V10"/>
    <mergeCell ref="W8:W10"/>
    <mergeCell ref="G8:G10"/>
    <mergeCell ref="H8:H10"/>
    <mergeCell ref="I8:I10"/>
    <mergeCell ref="J8:J10"/>
    <mergeCell ref="O8:O10"/>
    <mergeCell ref="P8:P10"/>
    <mergeCell ref="A8:A10"/>
    <mergeCell ref="B8:B10"/>
    <mergeCell ref="C8:C10"/>
    <mergeCell ref="D8:D10"/>
    <mergeCell ref="E8:E10"/>
    <mergeCell ref="F11:F15"/>
    <mergeCell ref="G11:G15"/>
    <mergeCell ref="H11:H15"/>
    <mergeCell ref="I11:I15"/>
    <mergeCell ref="J11:J15"/>
    <mergeCell ref="O11:O15"/>
    <mergeCell ref="X8:X10"/>
    <mergeCell ref="Y8:Y10"/>
    <mergeCell ref="Z8:Z10"/>
    <mergeCell ref="F8:F10"/>
    <mergeCell ref="W11:W15"/>
    <mergeCell ref="X11:X15"/>
    <mergeCell ref="Y11:Y15"/>
    <mergeCell ref="Z11:Z15"/>
    <mergeCell ref="AA11:AA15"/>
    <mergeCell ref="AB11:AB15"/>
    <mergeCell ref="P11:P15"/>
    <mergeCell ref="Q11:Q15"/>
    <mergeCell ref="R11:R15"/>
    <mergeCell ref="T11:T15"/>
    <mergeCell ref="U11:U15"/>
    <mergeCell ref="V11:V15"/>
    <mergeCell ref="AA16:AA18"/>
    <mergeCell ref="AB16:AB18"/>
    <mergeCell ref="A19:A21"/>
    <mergeCell ref="B19:B21"/>
    <mergeCell ref="C19:C21"/>
    <mergeCell ref="D19:D21"/>
    <mergeCell ref="E19:E21"/>
    <mergeCell ref="Q16:Q18"/>
    <mergeCell ref="R16:R18"/>
    <mergeCell ref="T16:T18"/>
    <mergeCell ref="U16:U18"/>
    <mergeCell ref="V16:V18"/>
    <mergeCell ref="W16:W18"/>
    <mergeCell ref="G16:G18"/>
    <mergeCell ref="H16:H18"/>
    <mergeCell ref="I16:I18"/>
    <mergeCell ref="J16:J18"/>
    <mergeCell ref="O16:O18"/>
    <mergeCell ref="P16:P18"/>
    <mergeCell ref="A16:A18"/>
    <mergeCell ref="B16:B18"/>
    <mergeCell ref="C16:C18"/>
    <mergeCell ref="D16:D18"/>
    <mergeCell ref="E16:E18"/>
    <mergeCell ref="F19:F21"/>
    <mergeCell ref="G19:G21"/>
    <mergeCell ref="H19:H21"/>
    <mergeCell ref="I19:I21"/>
    <mergeCell ref="J19:J21"/>
    <mergeCell ref="O19:O21"/>
    <mergeCell ref="X16:X18"/>
    <mergeCell ref="Y16:Y18"/>
    <mergeCell ref="Z16:Z18"/>
    <mergeCell ref="F16:F18"/>
    <mergeCell ref="W19:W21"/>
    <mergeCell ref="X19:X21"/>
    <mergeCell ref="Y19:Y21"/>
    <mergeCell ref="Z19:Z21"/>
    <mergeCell ref="AA19:AA21"/>
    <mergeCell ref="AB19:AB21"/>
    <mergeCell ref="P19:P21"/>
    <mergeCell ref="Q19:Q21"/>
    <mergeCell ref="R19:R21"/>
    <mergeCell ref="T19:T21"/>
    <mergeCell ref="U19:U21"/>
    <mergeCell ref="V19:V21"/>
    <mergeCell ref="G22:G26"/>
    <mergeCell ref="H22:H26"/>
    <mergeCell ref="I22:I26"/>
    <mergeCell ref="J22:J26"/>
    <mergeCell ref="O22:O26"/>
    <mergeCell ref="P22:P26"/>
    <mergeCell ref="AA22:AA26"/>
    <mergeCell ref="AB22:AB26"/>
    <mergeCell ref="A22:A26"/>
    <mergeCell ref="B22:B26"/>
    <mergeCell ref="C22:C26"/>
    <mergeCell ref="D22:D26"/>
    <mergeCell ref="E22:E26"/>
    <mergeCell ref="F22:F26"/>
    <mergeCell ref="X22:X26"/>
    <mergeCell ref="Y22:Y26"/>
    <mergeCell ref="Z22:Z26"/>
    <mergeCell ref="Q22:Q26"/>
    <mergeCell ref="R22:R26"/>
    <mergeCell ref="T22:T26"/>
    <mergeCell ref="U22:U26"/>
    <mergeCell ref="V22:V26"/>
    <mergeCell ref="W22:W26"/>
  </mergeCells>
  <pageMargins left="0.70866141732283472" right="0.70866141732283472" top="0.74803149606299213" bottom="0.74803149606299213" header="0.31496062992125984" footer="0.31496062992125984"/>
  <pageSetup paperSize="5" scale="7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110" zoomScaleNormal="110" workbookViewId="0">
      <selection activeCell="A7" sqref="A7"/>
    </sheetView>
  </sheetViews>
  <sheetFormatPr defaultRowHeight="15.75" x14ac:dyDescent="0.25"/>
  <cols>
    <col min="2" max="2" width="14.875" customWidth="1"/>
  </cols>
  <sheetData>
    <row r="1" spans="1:12" x14ac:dyDescent="0.25"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25">
      <c r="A2" s="441" t="s">
        <v>256</v>
      </c>
      <c r="B2" s="441" t="s">
        <v>103</v>
      </c>
      <c r="C2" s="441" t="s">
        <v>5</v>
      </c>
      <c r="D2" s="191" t="s">
        <v>104</v>
      </c>
      <c r="E2" s="443" t="s">
        <v>105</v>
      </c>
      <c r="F2" s="443"/>
      <c r="G2" s="444" t="s">
        <v>97</v>
      </c>
      <c r="H2" s="444"/>
      <c r="I2" s="191" t="s">
        <v>98</v>
      </c>
      <c r="J2" s="191" t="s">
        <v>99</v>
      </c>
      <c r="K2" s="191" t="s">
        <v>100</v>
      </c>
      <c r="L2" s="191" t="s">
        <v>106</v>
      </c>
    </row>
    <row r="3" spans="1:12" x14ac:dyDescent="0.25">
      <c r="A3" s="442"/>
      <c r="B3" s="442"/>
      <c r="C3" s="442"/>
      <c r="D3" s="191" t="s">
        <v>107</v>
      </c>
      <c r="E3" s="191" t="s">
        <v>102</v>
      </c>
      <c r="F3" s="191" t="s">
        <v>101</v>
      </c>
      <c r="G3" s="191" t="s">
        <v>102</v>
      </c>
      <c r="H3" s="191" t="s">
        <v>101</v>
      </c>
      <c r="I3" s="191" t="s">
        <v>96</v>
      </c>
      <c r="J3" s="191" t="s">
        <v>96</v>
      </c>
      <c r="K3" s="191" t="s">
        <v>96</v>
      </c>
      <c r="L3" s="191" t="s">
        <v>96</v>
      </c>
    </row>
    <row r="4" spans="1:12" x14ac:dyDescent="0.25">
      <c r="A4" s="192" t="s">
        <v>213</v>
      </c>
      <c r="B4" s="57" t="s">
        <v>214</v>
      </c>
      <c r="C4" s="195">
        <v>16</v>
      </c>
      <c r="D4" s="57">
        <v>0.12851000000000001</v>
      </c>
      <c r="E4" s="234">
        <v>0.1956</v>
      </c>
      <c r="F4" s="57">
        <v>0.17604</v>
      </c>
      <c r="G4" s="57"/>
      <c r="H4" s="57"/>
      <c r="I4" s="57">
        <v>0.34743000000000002</v>
      </c>
      <c r="J4" s="57">
        <v>0.37124000000000001</v>
      </c>
      <c r="K4" s="57">
        <v>0.41432000000000002</v>
      </c>
      <c r="L4" s="57">
        <v>0.58862000000000003</v>
      </c>
    </row>
    <row r="5" spans="1:12" x14ac:dyDescent="0.25">
      <c r="A5" s="192" t="s">
        <v>215</v>
      </c>
      <c r="B5" s="57" t="s">
        <v>216</v>
      </c>
      <c r="C5" s="195">
        <v>15</v>
      </c>
      <c r="D5" s="57">
        <v>0.12046999999999999</v>
      </c>
      <c r="E5" s="57">
        <v>0.18337000000000001</v>
      </c>
      <c r="F5" s="57">
        <v>0.16503000000000001</v>
      </c>
      <c r="G5" s="57"/>
      <c r="H5" s="57"/>
      <c r="I5" s="57">
        <v>0.32699</v>
      </c>
      <c r="J5" s="57">
        <v>0.35043999999999997</v>
      </c>
      <c r="K5" s="57">
        <v>0.39287</v>
      </c>
      <c r="L5" s="57">
        <v>0.56452999999999998</v>
      </c>
    </row>
    <row r="6" spans="1:12" x14ac:dyDescent="0.25">
      <c r="A6" s="192" t="s">
        <v>217</v>
      </c>
      <c r="B6" s="57" t="s">
        <v>218</v>
      </c>
      <c r="C6" s="195">
        <v>13</v>
      </c>
      <c r="D6" s="57">
        <v>0.10441</v>
      </c>
      <c r="E6" s="57">
        <v>0.15892000000000001</v>
      </c>
      <c r="F6" s="57">
        <v>0.14302999999999999</v>
      </c>
      <c r="G6" s="57"/>
      <c r="H6" s="57"/>
      <c r="I6" s="57">
        <v>0.28610999999999998</v>
      </c>
      <c r="J6" s="57">
        <v>0.30884</v>
      </c>
      <c r="K6" s="57">
        <v>0.34995999999999999</v>
      </c>
      <c r="L6" s="57">
        <v>0.51632999999999996</v>
      </c>
    </row>
    <row r="7" spans="1:12" x14ac:dyDescent="0.25">
      <c r="A7" s="193" t="s">
        <v>219</v>
      </c>
      <c r="B7" s="194" t="s">
        <v>220</v>
      </c>
      <c r="C7" s="195">
        <v>12</v>
      </c>
      <c r="D7" s="57">
        <v>9.6379999999999993E-2</v>
      </c>
      <c r="E7" s="234">
        <v>0.1467</v>
      </c>
      <c r="F7" s="57">
        <v>0.13203000000000001</v>
      </c>
      <c r="G7" s="57"/>
      <c r="H7" s="57"/>
      <c r="I7" s="57">
        <v>0.26568000000000003</v>
      </c>
      <c r="J7" s="57">
        <v>0.28804000000000002</v>
      </c>
      <c r="K7" s="57">
        <v>0.32851000000000002</v>
      </c>
      <c r="L7" s="57">
        <v>0.49224000000000001</v>
      </c>
    </row>
    <row r="8" spans="1:12" x14ac:dyDescent="0.25">
      <c r="A8" s="192" t="s">
        <v>221</v>
      </c>
      <c r="B8" s="57" t="s">
        <v>222</v>
      </c>
      <c r="C8" s="195">
        <v>16</v>
      </c>
      <c r="D8" s="57">
        <v>0.12851000000000001</v>
      </c>
      <c r="E8" s="234">
        <v>0.1956</v>
      </c>
      <c r="F8" s="57">
        <v>0.17604</v>
      </c>
      <c r="G8" s="57"/>
      <c r="H8" s="57"/>
      <c r="I8" s="57">
        <v>0.34743000000000002</v>
      </c>
      <c r="J8" s="57">
        <v>0.37124000000000001</v>
      </c>
      <c r="K8" s="57">
        <v>0.41432000000000002</v>
      </c>
      <c r="L8" s="57">
        <v>0.58862000000000003</v>
      </c>
    </row>
    <row r="9" spans="1:12" x14ac:dyDescent="0.25">
      <c r="A9" s="193" t="s">
        <v>223</v>
      </c>
      <c r="B9" s="194" t="s">
        <v>224</v>
      </c>
      <c r="C9" s="195">
        <v>13</v>
      </c>
      <c r="D9" s="57">
        <v>0.10441</v>
      </c>
      <c r="E9" s="57">
        <v>0.15892000000000001</v>
      </c>
      <c r="F9" s="57">
        <v>0.14302999999999999</v>
      </c>
      <c r="G9" s="57"/>
      <c r="H9" s="57"/>
      <c r="I9" s="57">
        <v>0.28610999999999998</v>
      </c>
      <c r="J9" s="57">
        <v>0.30884</v>
      </c>
      <c r="K9" s="57">
        <v>0.34995999999999999</v>
      </c>
      <c r="L9" s="57">
        <v>0.51632999999999996</v>
      </c>
    </row>
    <row r="10" spans="1:12" x14ac:dyDescent="0.25">
      <c r="A10" s="193" t="s">
        <v>225</v>
      </c>
      <c r="B10" s="194" t="s">
        <v>226</v>
      </c>
      <c r="C10" s="195">
        <v>14</v>
      </c>
      <c r="D10" s="57">
        <v>0.11244</v>
      </c>
      <c r="E10" s="57">
        <v>0.17115</v>
      </c>
      <c r="F10" s="57">
        <v>0.15403</v>
      </c>
      <c r="G10" s="57"/>
      <c r="H10" s="57"/>
      <c r="I10" s="57">
        <v>0.30654999999999999</v>
      </c>
      <c r="J10" s="57">
        <v>0.32963999999999999</v>
      </c>
      <c r="K10" s="57">
        <v>0.37141000000000002</v>
      </c>
      <c r="L10" s="57">
        <v>0.54042999999999997</v>
      </c>
    </row>
    <row r="11" spans="1:12" x14ac:dyDescent="0.25">
      <c r="A11" s="193" t="s">
        <v>227</v>
      </c>
      <c r="B11" s="194" t="s">
        <v>228</v>
      </c>
      <c r="C11" s="195">
        <v>8</v>
      </c>
      <c r="D11" s="57">
        <v>6.4250000000000002E-2</v>
      </c>
      <c r="E11" s="234">
        <v>9.7799999999999998E-2</v>
      </c>
      <c r="F11" s="57">
        <v>8.8020000000000001E-2</v>
      </c>
      <c r="G11" s="57"/>
      <c r="H11" s="57"/>
      <c r="I11" s="234">
        <v>0.1956</v>
      </c>
      <c r="J11" s="57">
        <v>0.21673000000000001</v>
      </c>
      <c r="K11" s="57">
        <v>0.25496000000000002</v>
      </c>
      <c r="L11" s="57">
        <v>0.40961999999999998</v>
      </c>
    </row>
    <row r="12" spans="1:12" x14ac:dyDescent="0.25">
      <c r="A12" s="192" t="s">
        <v>229</v>
      </c>
      <c r="B12" s="57" t="s">
        <v>230</v>
      </c>
      <c r="C12" s="195">
        <v>16</v>
      </c>
      <c r="D12" s="57">
        <v>0.12851000000000001</v>
      </c>
      <c r="E12" s="234">
        <v>0.1956</v>
      </c>
      <c r="F12" s="57">
        <v>0.17604</v>
      </c>
      <c r="G12" s="57"/>
      <c r="H12" s="57"/>
      <c r="I12" s="57">
        <v>0.34743000000000002</v>
      </c>
      <c r="J12" s="57">
        <v>0.37124000000000001</v>
      </c>
      <c r="K12" s="57">
        <v>0.41432000000000002</v>
      </c>
      <c r="L12" s="57">
        <v>0.58862000000000003</v>
      </c>
    </row>
    <row r="13" spans="1:12" x14ac:dyDescent="0.25">
      <c r="A13" s="192" t="s">
        <v>231</v>
      </c>
      <c r="B13" s="57" t="s">
        <v>266</v>
      </c>
      <c r="C13" s="195">
        <v>20</v>
      </c>
      <c r="D13" s="57">
        <v>0.16063</v>
      </c>
      <c r="E13" s="57">
        <v>0.24449000000000001</v>
      </c>
      <c r="F13" s="57">
        <v>0.22004000000000001</v>
      </c>
      <c r="G13" s="57"/>
      <c r="H13" s="57"/>
      <c r="I13" s="57">
        <v>0.42918000000000001</v>
      </c>
      <c r="J13" s="57">
        <v>0.45444000000000001</v>
      </c>
      <c r="K13" s="57">
        <v>0.50012999999999996</v>
      </c>
      <c r="L13" s="57">
        <v>0.68501000000000001</v>
      </c>
    </row>
    <row r="14" spans="1:12" x14ac:dyDescent="0.25">
      <c r="A14" s="192" t="s">
        <v>232</v>
      </c>
      <c r="B14" s="57" t="s">
        <v>233</v>
      </c>
      <c r="C14" s="195">
        <v>18</v>
      </c>
      <c r="D14" s="57">
        <v>0.14457</v>
      </c>
      <c r="E14" s="57">
        <v>0.22004000000000001</v>
      </c>
      <c r="F14" s="57">
        <v>0.19803999999999999</v>
      </c>
      <c r="G14" s="57"/>
      <c r="H14" s="57"/>
      <c r="I14" s="234">
        <v>0.38829999999999998</v>
      </c>
      <c r="J14" s="57">
        <v>0.41283999999999998</v>
      </c>
      <c r="K14" s="57">
        <v>0.45722000000000002</v>
      </c>
      <c r="L14" s="57">
        <v>0.63682000000000005</v>
      </c>
    </row>
    <row r="15" spans="1:12" x14ac:dyDescent="0.25">
      <c r="A15" s="192" t="s">
        <v>234</v>
      </c>
      <c r="B15" s="57" t="s">
        <v>235</v>
      </c>
      <c r="C15" s="195">
        <v>22</v>
      </c>
      <c r="D15" s="234">
        <v>0.1767</v>
      </c>
      <c r="E15" s="57">
        <v>0.26894000000000001</v>
      </c>
      <c r="F15" s="57">
        <v>0.24204999999999999</v>
      </c>
      <c r="G15" s="57"/>
      <c r="H15" s="57"/>
      <c r="I15" s="57">
        <v>0.47005999999999998</v>
      </c>
      <c r="J15" s="57">
        <v>0.49603000000000003</v>
      </c>
      <c r="K15" s="57">
        <v>0.54303000000000001</v>
      </c>
      <c r="L15" s="234">
        <v>0.73319999999999996</v>
      </c>
    </row>
    <row r="16" spans="1:12" x14ac:dyDescent="0.25">
      <c r="A16" s="192" t="s">
        <v>236</v>
      </c>
      <c r="B16" s="57" t="s">
        <v>237</v>
      </c>
      <c r="C16" s="195">
        <v>25</v>
      </c>
      <c r="D16" s="57">
        <v>0.20079</v>
      </c>
      <c r="E16" s="57">
        <v>0.30562</v>
      </c>
      <c r="F16" s="57">
        <v>0.27506000000000003</v>
      </c>
      <c r="G16" s="57"/>
      <c r="H16" s="57"/>
      <c r="I16" s="57">
        <v>0.53137000000000001</v>
      </c>
      <c r="J16" s="57">
        <v>0.55842999999999998</v>
      </c>
      <c r="K16" s="57">
        <v>0.60738999999999999</v>
      </c>
      <c r="L16" s="57">
        <v>0.80549000000000004</v>
      </c>
    </row>
    <row r="17" spans="1:12" x14ac:dyDescent="0.25">
      <c r="A17" s="192" t="s">
        <v>238</v>
      </c>
      <c r="B17" s="57" t="s">
        <v>239</v>
      </c>
      <c r="C17" s="195">
        <v>20</v>
      </c>
      <c r="D17" s="57">
        <v>0.16063</v>
      </c>
      <c r="E17" s="57">
        <v>0.24449000000000001</v>
      </c>
      <c r="F17" s="57">
        <v>0.22004000000000001</v>
      </c>
      <c r="G17" s="57"/>
      <c r="H17" s="57"/>
      <c r="I17" s="57">
        <v>0.42918000000000001</v>
      </c>
      <c r="J17" s="57">
        <v>0.45444000000000001</v>
      </c>
      <c r="K17" s="57">
        <v>0.50012999999999996</v>
      </c>
      <c r="L17" s="57">
        <v>0.68501000000000001</v>
      </c>
    </row>
    <row r="18" spans="1:12" x14ac:dyDescent="0.25">
      <c r="A18" s="192" t="s">
        <v>240</v>
      </c>
      <c r="B18" s="57" t="s">
        <v>241</v>
      </c>
      <c r="C18" s="195">
        <v>20</v>
      </c>
      <c r="D18" s="57">
        <v>0.16063</v>
      </c>
      <c r="E18" s="57">
        <v>0.24449000000000001</v>
      </c>
      <c r="F18" s="57">
        <v>0.22004000000000001</v>
      </c>
      <c r="G18" s="57"/>
      <c r="H18" s="57"/>
      <c r="I18" s="57">
        <v>0.42918000000000001</v>
      </c>
      <c r="J18" s="57">
        <v>0.45444000000000001</v>
      </c>
      <c r="K18" s="57">
        <v>0.50012999999999996</v>
      </c>
      <c r="L18" s="57">
        <v>0.68501000000000001</v>
      </c>
    </row>
    <row r="19" spans="1:12" x14ac:dyDescent="0.25">
      <c r="A19" s="192" t="s">
        <v>242</v>
      </c>
      <c r="B19" s="57" t="s">
        <v>243</v>
      </c>
      <c r="C19" s="195">
        <v>18</v>
      </c>
      <c r="D19" s="57">
        <v>0.14457</v>
      </c>
      <c r="E19" s="57">
        <v>0.22004000000000001</v>
      </c>
      <c r="F19" s="57">
        <v>0.19803999999999999</v>
      </c>
      <c r="G19" s="57"/>
      <c r="H19" s="57"/>
      <c r="I19" s="234">
        <v>0.38829999999999998</v>
      </c>
      <c r="J19" s="57">
        <v>0.41283999999999998</v>
      </c>
      <c r="K19" s="57">
        <v>0.45722000000000002</v>
      </c>
      <c r="L19" s="57">
        <v>0.63682000000000005</v>
      </c>
    </row>
    <row r="20" spans="1:12" x14ac:dyDescent="0.25">
      <c r="A20" s="192" t="s">
        <v>244</v>
      </c>
      <c r="B20" s="57" t="s">
        <v>245</v>
      </c>
      <c r="C20" s="195">
        <v>30</v>
      </c>
      <c r="D20" s="57">
        <v>0.20079</v>
      </c>
      <c r="E20" s="57">
        <v>0.30562</v>
      </c>
      <c r="F20" s="57">
        <v>0.27506000000000003</v>
      </c>
      <c r="G20" s="57"/>
      <c r="H20" s="57"/>
      <c r="I20" s="57">
        <v>0.63356000000000001</v>
      </c>
      <c r="J20" s="57">
        <v>0.55842999999999998</v>
      </c>
      <c r="K20" s="57">
        <v>0.60738999999999999</v>
      </c>
      <c r="L20" s="57">
        <v>0.80549000000000004</v>
      </c>
    </row>
    <row r="21" spans="1:12" x14ac:dyDescent="0.25">
      <c r="A21" s="192" t="s">
        <v>246</v>
      </c>
      <c r="B21" s="57" t="s">
        <v>247</v>
      </c>
      <c r="C21" s="195">
        <v>35</v>
      </c>
      <c r="D21" s="57">
        <v>0.20079</v>
      </c>
      <c r="E21" s="57">
        <v>0.30562</v>
      </c>
      <c r="F21" s="57">
        <v>0.27506000000000003</v>
      </c>
      <c r="G21" s="57"/>
      <c r="H21" s="57"/>
      <c r="I21" s="57">
        <v>0.73575000000000002</v>
      </c>
      <c r="J21" s="57">
        <v>0.55842999999999998</v>
      </c>
      <c r="K21" s="57">
        <v>0.60738999999999999</v>
      </c>
      <c r="L21" s="57">
        <v>0.80549000000000004</v>
      </c>
    </row>
    <row r="22" spans="1:12" x14ac:dyDescent="0.25">
      <c r="A22" s="192" t="s">
        <v>248</v>
      </c>
      <c r="B22" s="57" t="s">
        <v>249</v>
      </c>
      <c r="C22" s="195">
        <v>25</v>
      </c>
      <c r="D22" s="57">
        <v>0.20079</v>
      </c>
      <c r="E22" s="57">
        <v>0.30562</v>
      </c>
      <c r="F22" s="57">
        <v>0.27506000000000003</v>
      </c>
      <c r="G22" s="57"/>
      <c r="H22" s="57"/>
      <c r="I22" s="57">
        <v>0.73575000000000002</v>
      </c>
      <c r="J22" s="57">
        <v>0.55842999999999998</v>
      </c>
      <c r="K22" s="57">
        <v>0.60738999999999999</v>
      </c>
      <c r="L22" s="57">
        <v>0.80549000000000004</v>
      </c>
    </row>
    <row r="23" spans="1:12" x14ac:dyDescent="0.25">
      <c r="A23" s="193" t="s">
        <v>250</v>
      </c>
      <c r="B23" s="194" t="s">
        <v>251</v>
      </c>
      <c r="C23" s="195">
        <v>10</v>
      </c>
      <c r="D23" s="57">
        <v>8.0320000000000003E-2</v>
      </c>
      <c r="E23" s="57">
        <v>0.12225</v>
      </c>
      <c r="F23" s="57">
        <v>0.11002000000000001</v>
      </c>
      <c r="G23" s="57"/>
      <c r="H23" s="57"/>
      <c r="I23" s="234">
        <v>0.2394</v>
      </c>
      <c r="J23" s="234">
        <v>0.26129999999999998</v>
      </c>
      <c r="K23" s="57">
        <v>0.30092999999999998</v>
      </c>
      <c r="L23" s="57">
        <v>0.46126</v>
      </c>
    </row>
    <row r="24" spans="1:12" x14ac:dyDescent="0.25">
      <c r="A24" s="193" t="s">
        <v>252</v>
      </c>
      <c r="B24" s="194" t="s">
        <v>253</v>
      </c>
      <c r="C24" s="195">
        <v>8</v>
      </c>
      <c r="D24" s="57">
        <v>6.4250000000000002E-2</v>
      </c>
      <c r="E24" s="234">
        <v>9.7799999999999998E-2</v>
      </c>
      <c r="F24" s="57">
        <v>8.8020000000000001E-2</v>
      </c>
      <c r="G24" s="57"/>
      <c r="H24" s="57"/>
      <c r="I24" s="234">
        <v>0.1956</v>
      </c>
      <c r="J24" s="57">
        <v>0.21673000000000001</v>
      </c>
      <c r="K24" s="57">
        <v>0.25496000000000002</v>
      </c>
      <c r="L24" s="57">
        <v>0.40961999999999998</v>
      </c>
    </row>
    <row r="25" spans="1:12" x14ac:dyDescent="0.25">
      <c r="A25" s="193" t="s">
        <v>254</v>
      </c>
      <c r="B25" s="194" t="s">
        <v>255</v>
      </c>
      <c r="C25" s="195">
        <v>22</v>
      </c>
      <c r="D25" s="234">
        <v>0.1767</v>
      </c>
      <c r="E25" s="57">
        <v>0.26894000000000001</v>
      </c>
      <c r="F25" s="57">
        <v>0.24204999999999999</v>
      </c>
      <c r="G25" s="57"/>
      <c r="H25" s="57"/>
      <c r="I25" s="57">
        <v>0.47005999999999998</v>
      </c>
      <c r="J25" s="57">
        <v>0.49603000000000003</v>
      </c>
      <c r="K25" s="57">
        <v>0.54303000000000001</v>
      </c>
      <c r="L25" s="234">
        <v>0.73319999999999996</v>
      </c>
    </row>
  </sheetData>
  <mergeCells count="5">
    <mergeCell ref="B2:B3"/>
    <mergeCell ref="C2:C3"/>
    <mergeCell ref="E2:F2"/>
    <mergeCell ref="G2:H2"/>
    <mergeCell ref="A2:A3"/>
  </mergeCells>
  <pageMargins left="0.7" right="0.7" top="0.75" bottom="0.75" header="0.3" footer="0.3"/>
  <pageSetup orientation="landscape" horizontalDpi="4294967294" verticalDpi="7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zoomScale="110" zoomScaleNormal="110" workbookViewId="0">
      <pane xSplit="6" ySplit="7" topLeftCell="G51" activePane="bottomRight" state="frozen"/>
      <selection pane="topRight" activeCell="G1" sqref="G1"/>
      <selection pane="bottomLeft" activeCell="A8" sqref="A8"/>
      <selection pane="bottomRight" activeCell="D62" sqref="D62"/>
    </sheetView>
  </sheetViews>
  <sheetFormatPr defaultRowHeight="15.75" x14ac:dyDescent="0.25"/>
  <cols>
    <col min="1" max="1" width="12.25" style="62" customWidth="1"/>
    <col min="2" max="2" width="13.125" style="62" customWidth="1"/>
    <col min="3" max="3" width="30" style="65" customWidth="1"/>
    <col min="4" max="4" width="6.75" style="62" customWidth="1"/>
    <col min="5" max="5" width="33.75" style="65" bestFit="1" customWidth="1"/>
    <col min="6" max="6" width="7.875" bestFit="1" customWidth="1"/>
    <col min="7" max="7" width="8" hidden="1" customWidth="1"/>
    <col min="8" max="8" width="9.625" customWidth="1"/>
    <col min="9" max="9" width="12.875" customWidth="1"/>
    <col min="10" max="10" width="11.875" customWidth="1"/>
    <col min="11" max="11" width="10.625" customWidth="1"/>
    <col min="12" max="12" width="10.375" bestFit="1" customWidth="1"/>
    <col min="13" max="13" width="8.5" customWidth="1"/>
    <col min="14" max="14" width="6.75" bestFit="1" customWidth="1"/>
    <col min="15" max="15" width="7.125" bestFit="1" customWidth="1"/>
    <col min="16" max="16" width="8.5" customWidth="1"/>
    <col min="17" max="17" width="7.625" bestFit="1" customWidth="1"/>
    <col min="18" max="18" width="9.625" bestFit="1" customWidth="1"/>
    <col min="19" max="19" width="7.5" customWidth="1"/>
    <col min="20" max="20" width="8.25" bestFit="1" customWidth="1"/>
    <col min="22" max="22" width="9.375" bestFit="1" customWidth="1"/>
  </cols>
  <sheetData>
    <row r="1" spans="1:20" x14ac:dyDescent="0.25">
      <c r="A1" s="64" t="s">
        <v>212</v>
      </c>
    </row>
    <row r="2" spans="1:20" x14ac:dyDescent="0.25">
      <c r="A2" s="65"/>
    </row>
    <row r="3" spans="1:20" x14ac:dyDescent="0.25">
      <c r="A3" s="66" t="s">
        <v>124</v>
      </c>
    </row>
    <row r="4" spans="1:20" x14ac:dyDescent="0.25">
      <c r="A4" s="66" t="s">
        <v>473</v>
      </c>
      <c r="C4" s="185"/>
      <c r="D4" s="244"/>
      <c r="E4" s="185"/>
      <c r="F4" s="61" t="s">
        <v>314</v>
      </c>
    </row>
    <row r="5" spans="1:20" x14ac:dyDescent="0.25">
      <c r="A5" s="63"/>
      <c r="C5" s="186"/>
      <c r="D5" s="61"/>
      <c r="E5" s="186"/>
    </row>
    <row r="6" spans="1:20" x14ac:dyDescent="0.25">
      <c r="A6" s="447" t="s">
        <v>77</v>
      </c>
      <c r="B6" s="447" t="s">
        <v>108</v>
      </c>
      <c r="C6" s="187"/>
      <c r="D6" s="245" t="s">
        <v>268</v>
      </c>
      <c r="E6" s="187"/>
      <c r="F6" s="238" t="s">
        <v>109</v>
      </c>
      <c r="G6" s="449" t="s">
        <v>110</v>
      </c>
      <c r="H6" s="451" t="s">
        <v>111</v>
      </c>
      <c r="I6" s="451"/>
      <c r="J6" s="451"/>
      <c r="K6" s="451"/>
      <c r="L6" s="452" t="s">
        <v>112</v>
      </c>
      <c r="M6" s="452"/>
      <c r="N6" s="453" t="s">
        <v>127</v>
      </c>
      <c r="O6" s="454"/>
      <c r="P6" s="445" t="s">
        <v>113</v>
      </c>
      <c r="Q6" s="445"/>
      <c r="R6" s="445"/>
      <c r="S6" s="445"/>
      <c r="T6" s="445"/>
    </row>
    <row r="7" spans="1:20" x14ac:dyDescent="0.25">
      <c r="A7" s="448"/>
      <c r="B7" s="448"/>
      <c r="C7" s="188" t="s">
        <v>123</v>
      </c>
      <c r="D7" s="246" t="s">
        <v>267</v>
      </c>
      <c r="E7" s="188" t="s">
        <v>126</v>
      </c>
      <c r="F7" s="239" t="s">
        <v>125</v>
      </c>
      <c r="G7" s="450"/>
      <c r="H7" s="58" t="s">
        <v>114</v>
      </c>
      <c r="I7" s="58" t="s">
        <v>128</v>
      </c>
      <c r="J7" s="58" t="s">
        <v>115</v>
      </c>
      <c r="K7" s="58" t="s">
        <v>116</v>
      </c>
      <c r="L7" s="60" t="s">
        <v>117</v>
      </c>
      <c r="M7" s="60" t="s">
        <v>118</v>
      </c>
      <c r="N7" s="73" t="s">
        <v>129</v>
      </c>
      <c r="O7" s="73" t="s">
        <v>130</v>
      </c>
      <c r="P7" s="59" t="s">
        <v>119</v>
      </c>
      <c r="Q7" s="59" t="s">
        <v>117</v>
      </c>
      <c r="R7" s="59" t="s">
        <v>120</v>
      </c>
      <c r="S7" s="59" t="s">
        <v>121</v>
      </c>
      <c r="T7" s="59" t="s">
        <v>122</v>
      </c>
    </row>
    <row r="8" spans="1:20" s="67" customFormat="1" x14ac:dyDescent="0.25">
      <c r="A8" s="190"/>
      <c r="B8" s="112"/>
      <c r="C8" s="189"/>
      <c r="D8" s="324"/>
      <c r="E8" s="325"/>
      <c r="F8" s="327"/>
      <c r="G8" s="326"/>
      <c r="H8" s="78"/>
      <c r="I8" s="78"/>
      <c r="J8" s="78"/>
      <c r="K8" s="78"/>
      <c r="L8" s="78"/>
      <c r="M8" s="78"/>
      <c r="N8" s="78"/>
      <c r="O8" s="78"/>
      <c r="P8" s="78"/>
      <c r="Q8" s="328"/>
      <c r="R8" s="78"/>
      <c r="S8" s="78"/>
      <c r="T8" s="78"/>
    </row>
    <row r="9" spans="1:20" x14ac:dyDescent="0.25">
      <c r="A9" s="190">
        <v>44012.456250000003</v>
      </c>
      <c r="B9" s="112" t="s">
        <v>277</v>
      </c>
      <c r="C9" s="189" t="s">
        <v>271</v>
      </c>
      <c r="D9" s="255">
        <v>0.75</v>
      </c>
      <c r="E9" s="189" t="s">
        <v>285</v>
      </c>
      <c r="F9" s="327">
        <v>102</v>
      </c>
      <c r="G9" s="326"/>
      <c r="H9" s="78"/>
      <c r="I9" s="78"/>
      <c r="J9" s="78"/>
      <c r="K9" s="78"/>
      <c r="L9" s="78"/>
      <c r="M9" s="78"/>
      <c r="N9" s="78"/>
      <c r="O9" s="78"/>
      <c r="P9" s="78"/>
      <c r="Q9" s="328"/>
      <c r="R9" s="78">
        <f>F9*LVC!E7</f>
        <v>14.9634</v>
      </c>
      <c r="S9" s="78"/>
      <c r="T9" s="78"/>
    </row>
    <row r="10" spans="1:20" x14ac:dyDescent="0.25">
      <c r="A10" s="190">
        <v>44012.656944444447</v>
      </c>
      <c r="B10" s="112" t="s">
        <v>278</v>
      </c>
      <c r="C10" s="189" t="s">
        <v>270</v>
      </c>
      <c r="D10" s="255">
        <v>0.5</v>
      </c>
      <c r="E10" s="189" t="s">
        <v>286</v>
      </c>
      <c r="F10" s="327">
        <v>4</v>
      </c>
      <c r="G10" s="326"/>
      <c r="H10" s="145"/>
      <c r="I10" s="145"/>
      <c r="J10" s="145"/>
      <c r="K10" s="145"/>
      <c r="L10" s="145"/>
      <c r="M10" s="145"/>
      <c r="N10" s="145"/>
      <c r="O10" s="145"/>
      <c r="P10" s="145"/>
      <c r="Q10" s="329"/>
      <c r="R10" s="145"/>
      <c r="S10" s="145">
        <f>F10*LVC!D23</f>
        <v>0.32128000000000001</v>
      </c>
      <c r="T10" s="145"/>
    </row>
    <row r="11" spans="1:20" x14ac:dyDescent="0.25">
      <c r="A11" s="190">
        <v>44013.493055555555</v>
      </c>
      <c r="B11" s="112" t="s">
        <v>322</v>
      </c>
      <c r="C11" s="189" t="s">
        <v>281</v>
      </c>
      <c r="D11" s="255">
        <v>0.75</v>
      </c>
      <c r="E11" s="189" t="s">
        <v>405</v>
      </c>
      <c r="F11" s="327">
        <v>20</v>
      </c>
      <c r="G11" s="326"/>
      <c r="H11" s="145"/>
      <c r="I11" s="145"/>
      <c r="J11" s="145"/>
      <c r="K11" s="145"/>
      <c r="L11" s="145"/>
      <c r="M11" s="145"/>
      <c r="N11" s="145"/>
      <c r="O11" s="145"/>
      <c r="P11" s="145">
        <f>F11*LVC!F6</f>
        <v>2.8605999999999998</v>
      </c>
      <c r="Q11" s="329"/>
      <c r="R11" s="145"/>
      <c r="S11" s="145"/>
      <c r="T11" s="145"/>
    </row>
    <row r="12" spans="1:20" s="67" customFormat="1" x14ac:dyDescent="0.25">
      <c r="A12" s="190">
        <v>44013.461805555555</v>
      </c>
      <c r="B12" s="112" t="s">
        <v>323</v>
      </c>
      <c r="C12" s="189" t="s">
        <v>269</v>
      </c>
      <c r="D12" s="255">
        <v>0.75</v>
      </c>
      <c r="E12" s="189" t="s">
        <v>406</v>
      </c>
      <c r="F12" s="327">
        <v>20</v>
      </c>
      <c r="G12" s="326"/>
      <c r="H12" s="78"/>
      <c r="I12" s="78"/>
      <c r="J12" s="78"/>
      <c r="K12" s="78"/>
      <c r="L12" s="78"/>
      <c r="M12" s="78"/>
      <c r="N12" s="78"/>
      <c r="O12" s="78"/>
      <c r="P12" s="78">
        <f>F12*LVC!E21</f>
        <v>6.1124000000000001</v>
      </c>
      <c r="Q12" s="328"/>
      <c r="R12" s="78"/>
      <c r="S12" s="78"/>
      <c r="T12" s="78"/>
    </row>
    <row r="13" spans="1:20" s="67" customFormat="1" x14ac:dyDescent="0.25">
      <c r="A13" s="190">
        <v>44013.604166666664</v>
      </c>
      <c r="B13" s="112" t="s">
        <v>324</v>
      </c>
      <c r="C13" s="189" t="s">
        <v>281</v>
      </c>
      <c r="D13" s="255">
        <v>0.75</v>
      </c>
      <c r="E13" s="189" t="s">
        <v>405</v>
      </c>
      <c r="F13" s="327">
        <v>60</v>
      </c>
      <c r="G13" s="326"/>
      <c r="H13" s="78"/>
      <c r="I13" s="78"/>
      <c r="J13" s="78"/>
      <c r="K13" s="78"/>
      <c r="L13" s="78"/>
      <c r="M13" s="78"/>
      <c r="N13" s="78"/>
      <c r="O13" s="78"/>
      <c r="P13" s="78">
        <f>F13*LVC!E6</f>
        <v>9.5351999999999997</v>
      </c>
      <c r="Q13" s="328"/>
      <c r="R13" s="78"/>
      <c r="S13" s="78"/>
      <c r="T13" s="78"/>
    </row>
    <row r="14" spans="1:20" s="67" customFormat="1" x14ac:dyDescent="0.25">
      <c r="A14" s="190">
        <v>44015.59375</v>
      </c>
      <c r="B14" s="112" t="s">
        <v>325</v>
      </c>
      <c r="C14" s="189" t="s">
        <v>398</v>
      </c>
      <c r="D14" s="255">
        <v>0.5</v>
      </c>
      <c r="E14" s="189" t="s">
        <v>407</v>
      </c>
      <c r="F14" s="327">
        <v>5</v>
      </c>
      <c r="G14" s="326"/>
      <c r="H14" s="78"/>
      <c r="I14" s="78"/>
      <c r="J14" s="78"/>
      <c r="K14" s="78"/>
      <c r="L14" s="78"/>
      <c r="M14" s="78"/>
      <c r="N14" s="78"/>
      <c r="O14" s="78"/>
      <c r="P14" s="78"/>
      <c r="Q14" s="328"/>
      <c r="R14" s="78"/>
      <c r="S14" s="78">
        <f>F14*LVC!D22</f>
        <v>1.0039499999999999</v>
      </c>
      <c r="T14" s="78"/>
    </row>
    <row r="15" spans="1:20" s="67" customFormat="1" x14ac:dyDescent="0.25">
      <c r="A15" s="190">
        <v>44015.625</v>
      </c>
      <c r="B15" s="112" t="s">
        <v>326</v>
      </c>
      <c r="C15" s="189" t="s">
        <v>398</v>
      </c>
      <c r="D15" s="255">
        <v>0.5</v>
      </c>
      <c r="E15" s="189" t="s">
        <v>408</v>
      </c>
      <c r="F15" s="327">
        <v>15</v>
      </c>
      <c r="G15" s="326"/>
      <c r="H15" s="78"/>
      <c r="I15" s="78"/>
      <c r="J15" s="78"/>
      <c r="K15" s="78"/>
      <c r="L15" s="78"/>
      <c r="M15" s="78"/>
      <c r="N15" s="78"/>
      <c r="O15" s="78"/>
      <c r="P15" s="78"/>
      <c r="Q15" s="328"/>
      <c r="R15" s="78"/>
      <c r="S15" s="78">
        <f>F15*LVC!D16</f>
        <v>3.0118499999999999</v>
      </c>
      <c r="T15" s="78"/>
    </row>
    <row r="16" spans="1:20" s="67" customFormat="1" x14ac:dyDescent="0.25">
      <c r="A16" s="190">
        <v>44015.479166666664</v>
      </c>
      <c r="B16" s="112" t="s">
        <v>327</v>
      </c>
      <c r="C16" s="189" t="s">
        <v>269</v>
      </c>
      <c r="D16" s="255">
        <v>0.75</v>
      </c>
      <c r="E16" s="189" t="s">
        <v>273</v>
      </c>
      <c r="F16" s="327">
        <v>150</v>
      </c>
      <c r="G16" s="326"/>
      <c r="H16" s="78"/>
      <c r="I16" s="78"/>
      <c r="J16" s="78"/>
      <c r="K16" s="78"/>
      <c r="L16" s="78"/>
      <c r="M16" s="78"/>
      <c r="N16" s="78"/>
      <c r="O16" s="78"/>
      <c r="P16" s="78">
        <f>F16*LVC!F8</f>
        <v>26.405999999999999</v>
      </c>
      <c r="Q16" s="328"/>
      <c r="R16" s="78"/>
      <c r="S16" s="78"/>
      <c r="T16" s="78"/>
    </row>
    <row r="17" spans="1:20" s="67" customFormat="1" x14ac:dyDescent="0.25">
      <c r="A17" s="190">
        <v>44015.479166666664</v>
      </c>
      <c r="B17" s="112" t="s">
        <v>328</v>
      </c>
      <c r="C17" s="189" t="s">
        <v>269</v>
      </c>
      <c r="D17" s="255">
        <v>0.75</v>
      </c>
      <c r="E17" s="189" t="s">
        <v>273</v>
      </c>
      <c r="F17" s="327">
        <v>150</v>
      </c>
      <c r="G17" s="326"/>
      <c r="H17" s="78"/>
      <c r="I17" s="78"/>
      <c r="J17" s="78"/>
      <c r="K17" s="78"/>
      <c r="L17" s="78"/>
      <c r="M17" s="78"/>
      <c r="N17" s="78"/>
      <c r="O17" s="78"/>
      <c r="P17" s="78">
        <f>F17*LVC!F8</f>
        <v>26.405999999999999</v>
      </c>
      <c r="Q17" s="328"/>
      <c r="R17" s="78"/>
      <c r="S17" s="78"/>
      <c r="T17" s="78"/>
    </row>
    <row r="18" spans="1:20" s="67" customFormat="1" x14ac:dyDescent="0.25">
      <c r="A18" s="190">
        <v>44015.479166666664</v>
      </c>
      <c r="B18" s="112" t="s">
        <v>329</v>
      </c>
      <c r="C18" s="189" t="s">
        <v>269</v>
      </c>
      <c r="D18" s="255">
        <v>0.75</v>
      </c>
      <c r="E18" s="189" t="s">
        <v>273</v>
      </c>
      <c r="F18" s="327">
        <v>150</v>
      </c>
      <c r="G18" s="326"/>
      <c r="H18" s="78"/>
      <c r="I18" s="78"/>
      <c r="J18" s="78"/>
      <c r="K18" s="78"/>
      <c r="L18" s="78"/>
      <c r="M18" s="78"/>
      <c r="N18" s="78"/>
      <c r="O18" s="78"/>
      <c r="P18" s="78">
        <f>F18*LVC!F8</f>
        <v>26.405999999999999</v>
      </c>
      <c r="Q18" s="328"/>
      <c r="R18" s="78"/>
      <c r="S18" s="78"/>
      <c r="T18" s="78"/>
    </row>
    <row r="19" spans="1:20" s="67" customFormat="1" x14ac:dyDescent="0.25">
      <c r="A19" s="190">
        <v>44015.642361111109</v>
      </c>
      <c r="B19" s="112" t="s">
        <v>330</v>
      </c>
      <c r="C19" s="189" t="s">
        <v>269</v>
      </c>
      <c r="D19" s="255">
        <v>0.75</v>
      </c>
      <c r="E19" s="189" t="s">
        <v>409</v>
      </c>
      <c r="F19" s="327">
        <v>10</v>
      </c>
      <c r="G19" s="326"/>
      <c r="H19" s="78"/>
      <c r="I19" s="78"/>
      <c r="J19" s="78"/>
      <c r="K19" s="78"/>
      <c r="L19" s="78"/>
      <c r="M19" s="78"/>
      <c r="N19" s="78"/>
      <c r="O19" s="78"/>
      <c r="P19" s="78">
        <f>F19*LVC!F16</f>
        <v>2.7506000000000004</v>
      </c>
      <c r="Q19" s="328"/>
      <c r="R19" s="78"/>
      <c r="S19" s="78"/>
      <c r="T19" s="78"/>
    </row>
    <row r="20" spans="1:20" s="67" customFormat="1" x14ac:dyDescent="0.25">
      <c r="A20" s="190">
        <v>44018.4375</v>
      </c>
      <c r="B20" s="112" t="s">
        <v>331</v>
      </c>
      <c r="C20" s="189" t="s">
        <v>269</v>
      </c>
      <c r="D20" s="255">
        <v>0.75</v>
      </c>
      <c r="E20" s="189" t="s">
        <v>272</v>
      </c>
      <c r="F20" s="327">
        <v>110</v>
      </c>
      <c r="G20" s="326"/>
      <c r="H20" s="78"/>
      <c r="I20" s="78"/>
      <c r="J20" s="78"/>
      <c r="K20" s="78"/>
      <c r="L20" s="78"/>
      <c r="M20" s="78"/>
      <c r="N20" s="78"/>
      <c r="O20" s="78"/>
      <c r="P20" s="78">
        <f>F20*LVC!F13</f>
        <v>24.2044</v>
      </c>
      <c r="Q20" s="328"/>
      <c r="R20" s="78"/>
      <c r="S20" s="78"/>
      <c r="T20" s="78"/>
    </row>
    <row r="21" spans="1:20" s="67" customFormat="1" x14ac:dyDescent="0.25">
      <c r="A21" s="190">
        <v>44018.5</v>
      </c>
      <c r="B21" s="112" t="s">
        <v>332</v>
      </c>
      <c r="C21" s="189" t="s">
        <v>269</v>
      </c>
      <c r="D21" s="255">
        <v>0.75</v>
      </c>
      <c r="E21" s="189" t="s">
        <v>410</v>
      </c>
      <c r="F21" s="327">
        <v>80</v>
      </c>
      <c r="G21" s="326"/>
      <c r="H21" s="78"/>
      <c r="I21" s="78"/>
      <c r="J21" s="78"/>
      <c r="K21" s="78"/>
      <c r="L21" s="78"/>
      <c r="M21" s="78"/>
      <c r="N21" s="78"/>
      <c r="O21" s="78"/>
      <c r="P21" s="78">
        <f>F21*LVC!F12</f>
        <v>14.0832</v>
      </c>
      <c r="Q21" s="328"/>
      <c r="R21" s="78"/>
      <c r="S21" s="78"/>
      <c r="T21" s="78"/>
    </row>
    <row r="22" spans="1:20" s="67" customFormat="1" x14ac:dyDescent="0.25">
      <c r="A22" s="190">
        <v>44018.6875</v>
      </c>
      <c r="B22" s="112" t="s">
        <v>333</v>
      </c>
      <c r="C22" s="189" t="s">
        <v>269</v>
      </c>
      <c r="D22" s="255">
        <v>0.75</v>
      </c>
      <c r="E22" s="189" t="s">
        <v>411</v>
      </c>
      <c r="F22" s="327">
        <v>180</v>
      </c>
      <c r="G22" s="326"/>
      <c r="H22" s="78"/>
      <c r="I22" s="78"/>
      <c r="J22" s="78"/>
      <c r="K22" s="78"/>
      <c r="L22" s="78"/>
      <c r="M22" s="78"/>
      <c r="N22" s="78"/>
      <c r="O22" s="78"/>
      <c r="P22" s="78">
        <f>F22*LVC!F14</f>
        <v>35.647199999999998</v>
      </c>
      <c r="Q22" s="328"/>
      <c r="R22" s="78"/>
      <c r="S22" s="78"/>
      <c r="T22" s="78"/>
    </row>
    <row r="23" spans="1:20" s="67" customFormat="1" x14ac:dyDescent="0.25">
      <c r="A23" s="190">
        <v>44020.409722222219</v>
      </c>
      <c r="B23" s="112" t="s">
        <v>334</v>
      </c>
      <c r="C23" s="189" t="s">
        <v>399</v>
      </c>
      <c r="D23" s="255" t="s">
        <v>403</v>
      </c>
      <c r="E23" s="189" t="s">
        <v>412</v>
      </c>
      <c r="F23" s="327">
        <v>3</v>
      </c>
      <c r="G23" s="326"/>
      <c r="H23" s="78"/>
      <c r="I23" s="78">
        <f>F23*LVC!D14</f>
        <v>0.43371000000000004</v>
      </c>
      <c r="J23" s="78"/>
      <c r="K23" s="78"/>
      <c r="L23" s="78"/>
      <c r="M23" s="78"/>
      <c r="N23" s="78"/>
      <c r="O23" s="78"/>
      <c r="P23" s="78"/>
      <c r="Q23" s="328"/>
      <c r="R23" s="78"/>
      <c r="S23" s="78"/>
      <c r="T23" s="78"/>
    </row>
    <row r="24" spans="1:20" s="67" customFormat="1" x14ac:dyDescent="0.25">
      <c r="A24" s="190">
        <v>44020.385416666664</v>
      </c>
      <c r="B24" s="112" t="s">
        <v>335</v>
      </c>
      <c r="C24" s="189" t="s">
        <v>399</v>
      </c>
      <c r="D24" s="255" t="s">
        <v>403</v>
      </c>
      <c r="E24" s="189" t="s">
        <v>413</v>
      </c>
      <c r="F24" s="327">
        <v>3</v>
      </c>
      <c r="G24" s="326"/>
      <c r="H24" s="78"/>
      <c r="I24" s="78">
        <f>F24*LVC!D22</f>
        <v>0.60236999999999996</v>
      </c>
      <c r="J24" s="78"/>
      <c r="K24" s="78"/>
      <c r="L24" s="78"/>
      <c r="M24" s="78"/>
      <c r="N24" s="78"/>
      <c r="O24" s="78"/>
      <c r="P24" s="78"/>
      <c r="Q24" s="328"/>
      <c r="R24" s="78"/>
      <c r="S24" s="78"/>
      <c r="T24" s="78"/>
    </row>
    <row r="25" spans="1:20" s="67" customFormat="1" x14ac:dyDescent="0.25">
      <c r="A25" s="190">
        <v>44020.478472222225</v>
      </c>
      <c r="B25" s="112" t="s">
        <v>336</v>
      </c>
      <c r="C25" s="189" t="s">
        <v>279</v>
      </c>
      <c r="D25" s="255" t="s">
        <v>404</v>
      </c>
      <c r="E25" s="189" t="s">
        <v>414</v>
      </c>
      <c r="F25" s="327">
        <v>3</v>
      </c>
      <c r="G25" s="326"/>
      <c r="H25" s="78"/>
      <c r="I25" s="78">
        <f>F25*LVC!D4</f>
        <v>0.38553000000000004</v>
      </c>
      <c r="J25" s="78"/>
      <c r="K25" s="78"/>
      <c r="L25" s="78"/>
      <c r="M25" s="78"/>
      <c r="N25" s="78"/>
      <c r="O25" s="78"/>
      <c r="P25" s="78"/>
      <c r="Q25" s="328"/>
      <c r="R25" s="78"/>
      <c r="S25" s="78"/>
      <c r="T25" s="78"/>
    </row>
    <row r="26" spans="1:20" s="67" customFormat="1" x14ac:dyDescent="0.25">
      <c r="A26" s="190">
        <v>44020.670138888891</v>
      </c>
      <c r="B26" s="112" t="s">
        <v>337</v>
      </c>
      <c r="C26" s="189" t="s">
        <v>280</v>
      </c>
      <c r="D26" s="255"/>
      <c r="E26" s="189" t="s">
        <v>415</v>
      </c>
      <c r="F26" s="327">
        <v>3</v>
      </c>
      <c r="G26" s="326"/>
      <c r="H26" s="78">
        <f>F26*LVC!D19</f>
        <v>0.43371000000000004</v>
      </c>
      <c r="I26" s="78"/>
      <c r="J26" s="78"/>
      <c r="K26" s="78"/>
      <c r="L26" s="78"/>
      <c r="M26" s="78"/>
      <c r="N26" s="78"/>
      <c r="O26" s="78"/>
      <c r="P26" s="78"/>
      <c r="Q26" s="328"/>
      <c r="R26" s="78"/>
      <c r="S26" s="78"/>
      <c r="T26" s="78"/>
    </row>
    <row r="27" spans="1:20" s="67" customFormat="1" x14ac:dyDescent="0.25">
      <c r="A27" s="190">
        <v>44020.59375</v>
      </c>
      <c r="B27" s="112" t="s">
        <v>338</v>
      </c>
      <c r="C27" s="189" t="s">
        <v>399</v>
      </c>
      <c r="D27" s="255"/>
      <c r="E27" s="189" t="s">
        <v>416</v>
      </c>
      <c r="F27" s="327">
        <v>3</v>
      </c>
      <c r="G27" s="326"/>
      <c r="H27" s="78"/>
      <c r="I27" s="78">
        <f>F27*LVC!D5</f>
        <v>0.36141000000000001</v>
      </c>
      <c r="J27" s="78"/>
      <c r="K27" s="78"/>
      <c r="L27" s="78"/>
      <c r="M27" s="78"/>
      <c r="N27" s="78"/>
      <c r="O27" s="78"/>
      <c r="P27" s="78"/>
      <c r="Q27" s="328"/>
      <c r="R27" s="78"/>
      <c r="S27" s="78"/>
      <c r="T27" s="78"/>
    </row>
    <row r="28" spans="1:20" x14ac:dyDescent="0.25">
      <c r="A28" s="190">
        <v>44020.611111111109</v>
      </c>
      <c r="B28" s="112" t="s">
        <v>339</v>
      </c>
      <c r="C28" s="189" t="s">
        <v>279</v>
      </c>
      <c r="D28" s="255"/>
      <c r="E28" s="189" t="s">
        <v>417</v>
      </c>
      <c r="F28" s="327">
        <v>3</v>
      </c>
      <c r="G28" s="326"/>
      <c r="H28" s="145"/>
      <c r="I28" s="145">
        <f>F28*LVC!D7</f>
        <v>0.28913999999999995</v>
      </c>
      <c r="J28" s="145"/>
      <c r="K28" s="145"/>
      <c r="L28" s="145"/>
      <c r="M28" s="145"/>
      <c r="N28" s="145"/>
      <c r="O28" s="145"/>
      <c r="P28" s="145"/>
      <c r="Q28" s="329"/>
      <c r="R28" s="145"/>
      <c r="S28" s="145"/>
      <c r="T28" s="145"/>
    </row>
    <row r="29" spans="1:20" x14ac:dyDescent="0.25">
      <c r="A29" s="190">
        <v>44020.770833333336</v>
      </c>
      <c r="B29" s="112" t="s">
        <v>340</v>
      </c>
      <c r="C29" s="189" t="s">
        <v>271</v>
      </c>
      <c r="D29" s="255">
        <v>0.75</v>
      </c>
      <c r="E29" s="189" t="s">
        <v>418</v>
      </c>
      <c r="F29" s="327">
        <v>30</v>
      </c>
      <c r="G29" s="326"/>
      <c r="H29" s="145"/>
      <c r="I29" s="145"/>
      <c r="J29" s="145"/>
      <c r="K29" s="145"/>
      <c r="L29" s="145"/>
      <c r="M29" s="145"/>
      <c r="N29" s="145"/>
      <c r="O29" s="145"/>
      <c r="P29" s="145"/>
      <c r="Q29" s="329"/>
      <c r="R29" s="145">
        <f>F29*LVC!F5</f>
        <v>4.9509000000000007</v>
      </c>
      <c r="S29" s="145"/>
      <c r="T29" s="145"/>
    </row>
    <row r="30" spans="1:20" x14ac:dyDescent="0.25">
      <c r="A30" s="190">
        <v>44021.427083333336</v>
      </c>
      <c r="B30" s="112" t="s">
        <v>341</v>
      </c>
      <c r="C30" s="189" t="s">
        <v>399</v>
      </c>
      <c r="D30" s="255"/>
      <c r="E30" s="189" t="s">
        <v>419</v>
      </c>
      <c r="F30" s="327">
        <v>3</v>
      </c>
      <c r="G30" s="326"/>
      <c r="H30" s="145"/>
      <c r="I30" s="145">
        <f>F30*LVC!D12</f>
        <v>0.38553000000000004</v>
      </c>
      <c r="J30" s="145"/>
      <c r="K30" s="145"/>
      <c r="L30" s="145"/>
      <c r="M30" s="145"/>
      <c r="N30" s="145"/>
      <c r="O30" s="145"/>
      <c r="P30" s="145"/>
      <c r="Q30" s="329"/>
      <c r="R30" s="145"/>
      <c r="S30" s="145"/>
      <c r="T30" s="145"/>
    </row>
    <row r="31" spans="1:20" x14ac:dyDescent="0.25">
      <c r="A31" s="190">
        <v>44021.402777777781</v>
      </c>
      <c r="B31" s="112" t="s">
        <v>342</v>
      </c>
      <c r="C31" s="189" t="s">
        <v>280</v>
      </c>
      <c r="D31" s="255"/>
      <c r="E31" s="189" t="s">
        <v>420</v>
      </c>
      <c r="F31" s="327">
        <v>3</v>
      </c>
      <c r="G31" s="326"/>
      <c r="H31" s="145">
        <f>F31*LVC!D4</f>
        <v>0.38553000000000004</v>
      </c>
      <c r="I31" s="145"/>
      <c r="J31" s="145"/>
      <c r="K31" s="145"/>
      <c r="L31" s="145"/>
      <c r="M31" s="145"/>
      <c r="N31" s="145"/>
      <c r="O31" s="145"/>
      <c r="P31" s="145"/>
      <c r="Q31" s="329"/>
      <c r="R31" s="145"/>
      <c r="S31" s="145"/>
      <c r="T31" s="145"/>
    </row>
    <row r="32" spans="1:20" x14ac:dyDescent="0.25">
      <c r="A32" s="190">
        <v>44021.443055555559</v>
      </c>
      <c r="B32" s="112" t="s">
        <v>343</v>
      </c>
      <c r="C32" s="189" t="s">
        <v>399</v>
      </c>
      <c r="D32" s="255"/>
      <c r="E32" s="189" t="s">
        <v>421</v>
      </c>
      <c r="F32" s="327">
        <v>3</v>
      </c>
      <c r="G32" s="326"/>
      <c r="H32" s="145"/>
      <c r="I32" s="145">
        <f>F32*LVC!D17</f>
        <v>0.48188999999999999</v>
      </c>
      <c r="J32" s="145"/>
      <c r="K32" s="145"/>
      <c r="L32" s="145"/>
      <c r="M32" s="145"/>
      <c r="N32" s="145"/>
      <c r="O32" s="145"/>
      <c r="P32" s="145"/>
      <c r="Q32" s="329"/>
      <c r="R32" s="145"/>
      <c r="S32" s="145"/>
      <c r="T32" s="145"/>
    </row>
    <row r="33" spans="1:20" x14ac:dyDescent="0.25">
      <c r="A33" s="190">
        <v>44021.477777777778</v>
      </c>
      <c r="B33" s="112" t="s">
        <v>344</v>
      </c>
      <c r="C33" s="189" t="s">
        <v>399</v>
      </c>
      <c r="D33" s="255"/>
      <c r="E33" s="189" t="s">
        <v>422</v>
      </c>
      <c r="F33" s="327">
        <v>3</v>
      </c>
      <c r="G33" s="326"/>
      <c r="H33" s="145"/>
      <c r="I33" s="145">
        <f>F33*LVC!D22</f>
        <v>0.60236999999999996</v>
      </c>
      <c r="J33" s="145"/>
      <c r="K33" s="145"/>
      <c r="L33" s="145"/>
      <c r="M33" s="145"/>
      <c r="N33" s="145"/>
      <c r="O33" s="145"/>
      <c r="P33" s="145"/>
      <c r="Q33" s="329"/>
      <c r="R33" s="145"/>
      <c r="S33" s="145"/>
      <c r="T33" s="145"/>
    </row>
    <row r="34" spans="1:20" x14ac:dyDescent="0.25">
      <c r="A34" s="190">
        <v>44021.418055555558</v>
      </c>
      <c r="B34" s="112" t="s">
        <v>345</v>
      </c>
      <c r="C34" s="189" t="s">
        <v>280</v>
      </c>
      <c r="D34" s="255"/>
      <c r="E34" s="189" t="s">
        <v>423</v>
      </c>
      <c r="F34" s="327">
        <v>3</v>
      </c>
      <c r="G34" s="326"/>
      <c r="H34" s="145">
        <f>F34*LVC!D10</f>
        <v>0.33732000000000001</v>
      </c>
      <c r="I34" s="145"/>
      <c r="J34" s="145"/>
      <c r="K34" s="145"/>
      <c r="L34" s="145"/>
      <c r="M34" s="145"/>
      <c r="N34" s="145"/>
      <c r="O34" s="145"/>
      <c r="P34" s="145"/>
      <c r="Q34" s="329"/>
      <c r="R34" s="145"/>
      <c r="S34" s="145"/>
      <c r="T34" s="145"/>
    </row>
    <row r="35" spans="1:20" x14ac:dyDescent="0.25">
      <c r="A35" s="190">
        <v>44021.430555555555</v>
      </c>
      <c r="B35" s="112" t="s">
        <v>346</v>
      </c>
      <c r="C35" s="189" t="s">
        <v>399</v>
      </c>
      <c r="D35" s="255"/>
      <c r="E35" s="189" t="s">
        <v>424</v>
      </c>
      <c r="F35" s="327">
        <v>3</v>
      </c>
      <c r="G35" s="326"/>
      <c r="H35" s="145"/>
      <c r="I35" s="145">
        <f>F35*LVC!D10</f>
        <v>0.33732000000000001</v>
      </c>
      <c r="J35" s="145"/>
      <c r="K35" s="145"/>
      <c r="L35" s="145"/>
      <c r="M35" s="145"/>
      <c r="N35" s="145"/>
      <c r="O35" s="145"/>
      <c r="P35" s="145"/>
      <c r="Q35" s="329"/>
      <c r="R35" s="145"/>
      <c r="S35" s="145"/>
      <c r="T35" s="145"/>
    </row>
    <row r="36" spans="1:20" x14ac:dyDescent="0.25">
      <c r="A36" s="190">
        <v>44021.461805555555</v>
      </c>
      <c r="B36" s="112" t="s">
        <v>347</v>
      </c>
      <c r="C36" s="189" t="s">
        <v>399</v>
      </c>
      <c r="D36" s="255"/>
      <c r="E36" s="189" t="s">
        <v>425</v>
      </c>
      <c r="F36" s="327">
        <v>3</v>
      </c>
      <c r="G36" s="326"/>
      <c r="H36" s="145"/>
      <c r="I36" s="145">
        <f>F36*LVC!D10</f>
        <v>0.33732000000000001</v>
      </c>
      <c r="J36" s="145"/>
      <c r="K36" s="145"/>
      <c r="L36" s="145"/>
      <c r="M36" s="145"/>
      <c r="N36" s="145"/>
      <c r="O36" s="145"/>
      <c r="P36" s="145"/>
      <c r="Q36" s="329"/>
      <c r="R36" s="145"/>
      <c r="S36" s="145"/>
      <c r="T36" s="145"/>
    </row>
    <row r="37" spans="1:20" x14ac:dyDescent="0.25">
      <c r="A37" s="190">
        <v>44021.447916666664</v>
      </c>
      <c r="B37" s="112" t="s">
        <v>348</v>
      </c>
      <c r="C37" s="189" t="s">
        <v>399</v>
      </c>
      <c r="D37" s="255"/>
      <c r="E37" s="189" t="s">
        <v>426</v>
      </c>
      <c r="F37" s="327">
        <v>3</v>
      </c>
      <c r="G37" s="326"/>
      <c r="H37" s="145"/>
      <c r="I37" s="145">
        <f>F37*LVC!D10</f>
        <v>0.33732000000000001</v>
      </c>
      <c r="J37" s="145"/>
      <c r="K37" s="145"/>
      <c r="L37" s="145"/>
      <c r="M37" s="145"/>
      <c r="N37" s="145"/>
      <c r="O37" s="145"/>
      <c r="P37" s="145"/>
      <c r="Q37" s="329"/>
      <c r="R37" s="145"/>
      <c r="S37" s="145"/>
      <c r="T37" s="145"/>
    </row>
    <row r="38" spans="1:20" x14ac:dyDescent="0.25">
      <c r="A38" s="190">
        <v>44021.677083333336</v>
      </c>
      <c r="B38" s="112" t="s">
        <v>349</v>
      </c>
      <c r="C38" s="189" t="s">
        <v>399</v>
      </c>
      <c r="D38" s="255"/>
      <c r="E38" s="189" t="s">
        <v>427</v>
      </c>
      <c r="F38" s="327">
        <v>3</v>
      </c>
      <c r="G38" s="326"/>
      <c r="H38" s="145"/>
      <c r="I38" s="145">
        <f>F38*LVC!D6</f>
        <v>0.31323000000000001</v>
      </c>
      <c r="J38" s="145"/>
      <c r="K38" s="145"/>
      <c r="L38" s="145"/>
      <c r="M38" s="145"/>
      <c r="N38" s="145"/>
      <c r="O38" s="145"/>
      <c r="P38" s="145"/>
      <c r="Q38" s="329"/>
      <c r="R38" s="145"/>
      <c r="S38" s="145"/>
      <c r="T38" s="145"/>
    </row>
    <row r="39" spans="1:20" x14ac:dyDescent="0.25">
      <c r="A39" s="190">
        <v>44021.701388888891</v>
      </c>
      <c r="B39" s="112" t="s">
        <v>350</v>
      </c>
      <c r="C39" s="189" t="s">
        <v>399</v>
      </c>
      <c r="D39" s="255"/>
      <c r="E39" s="189" t="s">
        <v>428</v>
      </c>
      <c r="F39" s="327">
        <v>3</v>
      </c>
      <c r="G39" s="326"/>
      <c r="H39" s="145"/>
      <c r="I39" s="145">
        <f>F39*LVC!D6</f>
        <v>0.31323000000000001</v>
      </c>
      <c r="J39" s="145"/>
      <c r="K39" s="145"/>
      <c r="L39" s="145"/>
      <c r="M39" s="145"/>
      <c r="N39" s="145"/>
      <c r="O39" s="145"/>
      <c r="P39" s="145"/>
      <c r="Q39" s="329"/>
      <c r="R39" s="145"/>
      <c r="S39" s="145"/>
      <c r="T39" s="145"/>
    </row>
    <row r="40" spans="1:20" x14ac:dyDescent="0.25">
      <c r="A40" s="190">
        <v>44021.649305555555</v>
      </c>
      <c r="B40" s="112" t="s">
        <v>351</v>
      </c>
      <c r="C40" s="189" t="s">
        <v>280</v>
      </c>
      <c r="D40" s="255"/>
      <c r="E40" s="189" t="s">
        <v>429</v>
      </c>
      <c r="F40" s="327">
        <v>3</v>
      </c>
      <c r="G40" s="326"/>
      <c r="H40" s="145">
        <f>F40*LVC!D12</f>
        <v>0.38553000000000004</v>
      </c>
      <c r="I40" s="145"/>
      <c r="J40" s="145"/>
      <c r="K40" s="145"/>
      <c r="L40" s="145"/>
      <c r="M40" s="145"/>
      <c r="N40" s="145"/>
      <c r="O40" s="145"/>
      <c r="P40" s="145"/>
      <c r="Q40" s="145"/>
      <c r="R40" s="145"/>
      <c r="S40" s="145"/>
      <c r="T40" s="145"/>
    </row>
    <row r="41" spans="1:20" x14ac:dyDescent="0.25">
      <c r="A41" s="190">
        <v>44023.388888888891</v>
      </c>
      <c r="B41" s="112" t="s">
        <v>352</v>
      </c>
      <c r="C41" s="189" t="s">
        <v>280</v>
      </c>
      <c r="D41" s="255"/>
      <c r="E41" s="189" t="s">
        <v>430</v>
      </c>
      <c r="F41" s="327">
        <v>3</v>
      </c>
      <c r="G41" s="326"/>
      <c r="H41" s="145">
        <f>F41*LVC!D12</f>
        <v>0.38553000000000004</v>
      </c>
      <c r="I41" s="145"/>
      <c r="J41" s="145"/>
      <c r="K41" s="145"/>
      <c r="L41" s="145"/>
      <c r="M41" s="145"/>
      <c r="N41" s="145"/>
      <c r="O41" s="145"/>
      <c r="P41" s="145"/>
      <c r="Q41" s="145"/>
      <c r="R41" s="145"/>
      <c r="S41" s="145"/>
      <c r="T41" s="145"/>
    </row>
    <row r="42" spans="1:20" x14ac:dyDescent="0.25">
      <c r="A42" s="190">
        <v>44023.430555555555</v>
      </c>
      <c r="B42" s="112" t="s">
        <v>353</v>
      </c>
      <c r="C42" s="189" t="s">
        <v>280</v>
      </c>
      <c r="D42" s="255"/>
      <c r="E42" s="189" t="s">
        <v>431</v>
      </c>
      <c r="F42" s="327">
        <v>3</v>
      </c>
      <c r="G42" s="326"/>
      <c r="H42" s="145">
        <f>F42*LVC!D21</f>
        <v>0.60236999999999996</v>
      </c>
      <c r="I42" s="145"/>
      <c r="J42" s="145"/>
      <c r="K42" s="145"/>
      <c r="L42" s="145"/>
      <c r="M42" s="145"/>
      <c r="N42" s="145"/>
      <c r="O42" s="145"/>
      <c r="P42" s="145"/>
      <c r="Q42" s="145"/>
      <c r="R42" s="145"/>
      <c r="S42" s="145"/>
      <c r="T42" s="145"/>
    </row>
    <row r="43" spans="1:20" x14ac:dyDescent="0.25">
      <c r="A43" s="190">
        <v>44023.493055555555</v>
      </c>
      <c r="B43" s="112" t="s">
        <v>354</v>
      </c>
      <c r="C43" s="189" t="s">
        <v>269</v>
      </c>
      <c r="D43" s="255">
        <v>0.5</v>
      </c>
      <c r="E43" s="189" t="s">
        <v>284</v>
      </c>
      <c r="F43" s="327">
        <v>70</v>
      </c>
      <c r="G43" s="326"/>
      <c r="H43" s="145"/>
      <c r="I43" s="145"/>
      <c r="J43" s="145"/>
      <c r="K43" s="145"/>
      <c r="L43" s="145"/>
      <c r="M43" s="145"/>
      <c r="N43" s="145"/>
      <c r="O43" s="145"/>
      <c r="P43" s="145"/>
      <c r="Q43" s="145"/>
      <c r="R43" s="145">
        <f>F43*LVC!D6</f>
        <v>7.3087</v>
      </c>
      <c r="S43" s="145"/>
      <c r="T43" s="145"/>
    </row>
    <row r="44" spans="1:20" x14ac:dyDescent="0.25">
      <c r="A44" s="190">
        <v>44025.438888888886</v>
      </c>
      <c r="B44" s="112" t="s">
        <v>355</v>
      </c>
      <c r="C44" s="189" t="s">
        <v>399</v>
      </c>
      <c r="D44" s="255"/>
      <c r="E44" s="189" t="s">
        <v>432</v>
      </c>
      <c r="F44" s="327">
        <v>3</v>
      </c>
      <c r="G44" s="326"/>
      <c r="H44" s="145"/>
      <c r="I44" s="145">
        <f>F44*LVC!D4</f>
        <v>0.38553000000000004</v>
      </c>
      <c r="J44" s="145"/>
      <c r="K44" s="145"/>
      <c r="L44" s="145"/>
      <c r="M44" s="145"/>
      <c r="N44" s="145"/>
      <c r="O44" s="145"/>
      <c r="P44" s="145"/>
      <c r="Q44" s="145"/>
      <c r="R44" s="145"/>
      <c r="S44" s="145"/>
      <c r="T44" s="145"/>
    </row>
    <row r="45" spans="1:20" x14ac:dyDescent="0.25">
      <c r="A45" s="190">
        <v>44025.413888888892</v>
      </c>
      <c r="B45" s="112" t="s">
        <v>356</v>
      </c>
      <c r="C45" s="189" t="s">
        <v>399</v>
      </c>
      <c r="D45" s="255"/>
      <c r="E45" s="189" t="s">
        <v>433</v>
      </c>
      <c r="F45" s="327">
        <v>3</v>
      </c>
      <c r="G45" s="326"/>
      <c r="H45" s="145"/>
      <c r="I45" s="145">
        <f>F45*LVC!D5</f>
        <v>0.36141000000000001</v>
      </c>
      <c r="J45" s="145"/>
      <c r="K45" s="145"/>
      <c r="L45" s="145"/>
      <c r="M45" s="145"/>
      <c r="N45" s="145"/>
      <c r="O45" s="145"/>
      <c r="P45" s="145"/>
      <c r="Q45" s="145"/>
      <c r="R45" s="145"/>
      <c r="S45" s="145"/>
      <c r="T45" s="145"/>
    </row>
    <row r="46" spans="1:20" x14ac:dyDescent="0.25">
      <c r="A46" s="190">
        <v>44025.643055555556</v>
      </c>
      <c r="B46" s="112" t="s">
        <v>357</v>
      </c>
      <c r="C46" s="189" t="s">
        <v>398</v>
      </c>
      <c r="D46" s="255">
        <v>0.5</v>
      </c>
      <c r="E46" s="189" t="s">
        <v>434</v>
      </c>
      <c r="F46" s="327">
        <v>4</v>
      </c>
      <c r="G46" s="326"/>
      <c r="H46" s="145"/>
      <c r="I46" s="145"/>
      <c r="J46" s="145"/>
      <c r="K46" s="145"/>
      <c r="L46" s="145"/>
      <c r="M46" s="145"/>
      <c r="N46" s="145"/>
      <c r="O46" s="145"/>
      <c r="P46" s="145"/>
      <c r="Q46" s="145"/>
      <c r="R46" s="145"/>
      <c r="S46" s="145">
        <f>F46*LVC!D12</f>
        <v>0.51404000000000005</v>
      </c>
      <c r="T46" s="145"/>
    </row>
    <row r="47" spans="1:20" x14ac:dyDescent="0.25">
      <c r="A47" s="190">
        <v>44025.611111111109</v>
      </c>
      <c r="B47" s="112" t="s">
        <v>358</v>
      </c>
      <c r="C47" s="189" t="s">
        <v>271</v>
      </c>
      <c r="D47" s="255">
        <v>0.75</v>
      </c>
      <c r="E47" s="189" t="s">
        <v>284</v>
      </c>
      <c r="F47" s="327">
        <v>66</v>
      </c>
      <c r="G47" s="326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>
        <f>F47*LVC!F6</f>
        <v>9.4399799999999985</v>
      </c>
      <c r="S47" s="145"/>
      <c r="T47" s="145"/>
    </row>
    <row r="48" spans="1:20" x14ac:dyDescent="0.25">
      <c r="A48" s="190">
        <v>44025.679166666669</v>
      </c>
      <c r="B48" s="112" t="s">
        <v>359</v>
      </c>
      <c r="C48" s="189" t="s">
        <v>399</v>
      </c>
      <c r="D48" s="255"/>
      <c r="E48" s="189" t="s">
        <v>435</v>
      </c>
      <c r="F48" s="327">
        <v>3</v>
      </c>
      <c r="G48" s="326"/>
      <c r="H48" s="145"/>
      <c r="I48" s="145">
        <f>F48*LVC!D21</f>
        <v>0.60236999999999996</v>
      </c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</row>
    <row r="49" spans="1:20" x14ac:dyDescent="0.25">
      <c r="A49" s="190">
        <v>44026.45416666667</v>
      </c>
      <c r="B49" s="112" t="s">
        <v>360</v>
      </c>
      <c r="C49" s="189" t="s">
        <v>280</v>
      </c>
      <c r="D49" s="255"/>
      <c r="E49" s="189" t="s">
        <v>436</v>
      </c>
      <c r="F49" s="327">
        <v>3</v>
      </c>
      <c r="G49" s="326"/>
      <c r="H49" s="145">
        <f>F49*LVC!D12</f>
        <v>0.38553000000000004</v>
      </c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</row>
    <row r="50" spans="1:20" x14ac:dyDescent="0.25">
      <c r="A50" s="190">
        <v>44026.611111111109</v>
      </c>
      <c r="B50" s="112" t="s">
        <v>361</v>
      </c>
      <c r="C50" s="189" t="s">
        <v>280</v>
      </c>
      <c r="D50" s="255"/>
      <c r="E50" s="189" t="s">
        <v>437</v>
      </c>
      <c r="F50" s="327">
        <v>3</v>
      </c>
      <c r="G50" s="326"/>
      <c r="H50" s="145">
        <f>F50*LVC!D21</f>
        <v>0.60236999999999996</v>
      </c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</row>
    <row r="51" spans="1:20" x14ac:dyDescent="0.25">
      <c r="A51" s="190">
        <v>44026.659722222219</v>
      </c>
      <c r="B51" s="112" t="s">
        <v>362</v>
      </c>
      <c r="C51" s="189" t="s">
        <v>399</v>
      </c>
      <c r="D51" s="255"/>
      <c r="E51" s="189" t="s">
        <v>438</v>
      </c>
      <c r="F51" s="327">
        <v>3</v>
      </c>
      <c r="G51" s="326"/>
      <c r="H51" s="145"/>
      <c r="I51" s="145">
        <f>F51*LVC!D20</f>
        <v>0.60236999999999996</v>
      </c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0" x14ac:dyDescent="0.25">
      <c r="A52" s="190">
        <v>44027.46875</v>
      </c>
      <c r="B52" s="112" t="s">
        <v>363</v>
      </c>
      <c r="C52" s="189" t="s">
        <v>280</v>
      </c>
      <c r="D52" s="255"/>
      <c r="E52" s="189" t="s">
        <v>439</v>
      </c>
      <c r="F52" s="327">
        <v>3</v>
      </c>
      <c r="G52" s="326"/>
      <c r="H52" s="145">
        <f>F52*LVC!D20</f>
        <v>0.60236999999999996</v>
      </c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0" x14ac:dyDescent="0.25">
      <c r="A53" s="190">
        <v>44027.628472222219</v>
      </c>
      <c r="B53" s="112" t="s">
        <v>364</v>
      </c>
      <c r="C53" s="189" t="s">
        <v>280</v>
      </c>
      <c r="D53" s="255"/>
      <c r="E53" s="189" t="s">
        <v>440</v>
      </c>
      <c r="F53" s="327">
        <v>3</v>
      </c>
      <c r="G53" s="326"/>
      <c r="H53" s="145">
        <f>F53*LVC!D14</f>
        <v>0.43371000000000004</v>
      </c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</row>
    <row r="54" spans="1:20" x14ac:dyDescent="0.25">
      <c r="A54" s="190">
        <v>44027.4375</v>
      </c>
      <c r="B54" s="112" t="s">
        <v>365</v>
      </c>
      <c r="C54" s="189" t="s">
        <v>280</v>
      </c>
      <c r="D54" s="255"/>
      <c r="E54" s="189" t="s">
        <v>441</v>
      </c>
      <c r="F54" s="327">
        <v>3</v>
      </c>
      <c r="G54" s="326"/>
      <c r="H54" s="145">
        <f>F54*LVC!D10</f>
        <v>0.33732000000000001</v>
      </c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</row>
    <row r="55" spans="1:20" x14ac:dyDescent="0.25">
      <c r="A55" s="190">
        <v>44027.493055555555</v>
      </c>
      <c r="B55" s="112" t="s">
        <v>366</v>
      </c>
      <c r="C55" s="189" t="s">
        <v>399</v>
      </c>
      <c r="D55" s="255"/>
      <c r="E55" s="189" t="s">
        <v>442</v>
      </c>
      <c r="F55" s="327">
        <v>3</v>
      </c>
      <c r="G55" s="326"/>
      <c r="H55" s="145"/>
      <c r="I55" s="145">
        <f>F55*LVC!D11</f>
        <v>0.19275</v>
      </c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</row>
    <row r="56" spans="1:20" x14ac:dyDescent="0.25">
      <c r="A56" s="190">
        <v>44027.645833333336</v>
      </c>
      <c r="B56" s="112" t="s">
        <v>367</v>
      </c>
      <c r="C56" s="189" t="s">
        <v>280</v>
      </c>
      <c r="D56" s="255"/>
      <c r="E56" s="189" t="s">
        <v>443</v>
      </c>
      <c r="F56" s="327">
        <v>3</v>
      </c>
      <c r="G56" s="326"/>
      <c r="H56" s="145">
        <f>F56*LVC!D21</f>
        <v>0.60236999999999996</v>
      </c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</row>
    <row r="57" spans="1:20" x14ac:dyDescent="0.25">
      <c r="A57" s="190">
        <v>44027.565972222219</v>
      </c>
      <c r="B57" s="112" t="s">
        <v>368</v>
      </c>
      <c r="C57" s="189" t="s">
        <v>399</v>
      </c>
      <c r="D57" s="255"/>
      <c r="E57" s="189" t="s">
        <v>444</v>
      </c>
      <c r="F57" s="327">
        <v>3</v>
      </c>
      <c r="G57" s="326"/>
      <c r="H57" s="145"/>
      <c r="I57" s="145">
        <f>F57*LVC!D14</f>
        <v>0.43371000000000004</v>
      </c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</row>
    <row r="58" spans="1:20" x14ac:dyDescent="0.25">
      <c r="A58" s="190">
        <v>44028.607638888891</v>
      </c>
      <c r="B58" s="112" t="s">
        <v>369</v>
      </c>
      <c r="C58" s="189" t="s">
        <v>400</v>
      </c>
      <c r="D58" s="255">
        <v>0.75</v>
      </c>
      <c r="E58" s="189" t="s">
        <v>445</v>
      </c>
      <c r="F58" s="327">
        <v>20</v>
      </c>
      <c r="G58" s="326"/>
      <c r="H58" s="145"/>
      <c r="I58" s="145"/>
      <c r="J58" s="145"/>
      <c r="K58" s="145"/>
      <c r="L58" s="145"/>
      <c r="M58" s="145">
        <f>F58*LVC!F17</f>
        <v>4.4008000000000003</v>
      </c>
      <c r="N58" s="145"/>
      <c r="O58" s="145"/>
      <c r="P58" s="145"/>
      <c r="Q58" s="145"/>
      <c r="R58" s="145"/>
      <c r="S58" s="145"/>
      <c r="T58" s="145"/>
    </row>
    <row r="59" spans="1:20" x14ac:dyDescent="0.25">
      <c r="A59" s="190">
        <v>44028.454861111109</v>
      </c>
      <c r="B59" s="112" t="s">
        <v>370</v>
      </c>
      <c r="C59" s="189" t="s">
        <v>281</v>
      </c>
      <c r="D59" s="255">
        <v>0.75</v>
      </c>
      <c r="E59" s="189" t="s">
        <v>446</v>
      </c>
      <c r="F59" s="327">
        <v>40</v>
      </c>
      <c r="G59" s="326"/>
      <c r="H59" s="145"/>
      <c r="I59" s="145"/>
      <c r="J59" s="145"/>
      <c r="K59" s="145"/>
      <c r="L59" s="145"/>
      <c r="M59" s="145"/>
      <c r="N59" s="145"/>
      <c r="O59" s="145"/>
      <c r="P59" s="145">
        <f>F59*LVC!E23</f>
        <v>4.8899999999999997</v>
      </c>
      <c r="Q59" s="145"/>
      <c r="R59" s="145"/>
      <c r="S59" s="145"/>
      <c r="T59" s="145"/>
    </row>
    <row r="60" spans="1:20" x14ac:dyDescent="0.25">
      <c r="A60" s="190">
        <v>44029.684027777781</v>
      </c>
      <c r="B60" s="112" t="s">
        <v>371</v>
      </c>
      <c r="C60" s="189" t="s">
        <v>399</v>
      </c>
      <c r="D60" s="255"/>
      <c r="E60" s="189" t="s">
        <v>447</v>
      </c>
      <c r="F60" s="327">
        <v>3</v>
      </c>
      <c r="G60" s="326"/>
      <c r="H60" s="145"/>
      <c r="I60" s="145">
        <f>F60*LVC!D19</f>
        <v>0.43371000000000004</v>
      </c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</row>
    <row r="61" spans="1:20" x14ac:dyDescent="0.25">
      <c r="A61" s="190">
        <v>44029.579861111109</v>
      </c>
      <c r="B61" s="112" t="s">
        <v>372</v>
      </c>
      <c r="C61" s="189" t="s">
        <v>399</v>
      </c>
      <c r="D61" s="255"/>
      <c r="E61" s="189" t="s">
        <v>448</v>
      </c>
      <c r="F61" s="327">
        <v>3</v>
      </c>
      <c r="G61" s="326"/>
      <c r="H61" s="145"/>
      <c r="I61" s="145">
        <f>F61*LVC!D22</f>
        <v>0.60236999999999996</v>
      </c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</row>
    <row r="62" spans="1:20" x14ac:dyDescent="0.25">
      <c r="A62" s="190">
        <v>44030.65625</v>
      </c>
      <c r="B62" s="112" t="s">
        <v>373</v>
      </c>
      <c r="C62" s="189" t="s">
        <v>282</v>
      </c>
      <c r="D62" s="255">
        <v>2</v>
      </c>
      <c r="E62" s="189" t="s">
        <v>449</v>
      </c>
      <c r="F62" s="327">
        <v>30</v>
      </c>
      <c r="G62" s="326"/>
      <c r="H62" s="145"/>
      <c r="I62" s="145"/>
      <c r="J62" s="145"/>
      <c r="K62" s="145"/>
      <c r="L62" s="145">
        <f>F62*LVC!I10</f>
        <v>9.1965000000000003</v>
      </c>
      <c r="M62" s="145"/>
      <c r="N62" s="145"/>
      <c r="O62" s="145"/>
      <c r="P62" s="145"/>
      <c r="Q62" s="145"/>
      <c r="R62" s="145"/>
      <c r="S62" s="145"/>
      <c r="T62" s="145"/>
    </row>
    <row r="63" spans="1:20" x14ac:dyDescent="0.25">
      <c r="A63" s="190">
        <v>44032.486111111109</v>
      </c>
      <c r="B63" s="112" t="s">
        <v>374</v>
      </c>
      <c r="C63" s="189" t="s">
        <v>280</v>
      </c>
      <c r="D63" s="255"/>
      <c r="E63" s="189" t="s">
        <v>450</v>
      </c>
      <c r="F63" s="327">
        <v>3</v>
      </c>
      <c r="G63" s="326"/>
      <c r="H63" s="145">
        <f>F63*LVC!D6</f>
        <v>0.31323000000000001</v>
      </c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</row>
    <row r="64" spans="1:20" x14ac:dyDescent="0.25">
      <c r="A64" s="190">
        <v>44032.579861111109</v>
      </c>
      <c r="B64" s="112" t="s">
        <v>375</v>
      </c>
      <c r="C64" s="189" t="s">
        <v>279</v>
      </c>
      <c r="D64" s="255"/>
      <c r="E64" s="189" t="s">
        <v>451</v>
      </c>
      <c r="F64" s="327">
        <v>3</v>
      </c>
      <c r="G64" s="326"/>
      <c r="H64" s="145"/>
      <c r="I64" s="145">
        <f>F64*LVC!D24</f>
        <v>0.19275</v>
      </c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</row>
    <row r="65" spans="1:20" x14ac:dyDescent="0.25">
      <c r="A65" s="190">
        <v>44032.629861111112</v>
      </c>
      <c r="B65" s="112" t="s">
        <v>376</v>
      </c>
      <c r="C65" s="189" t="s">
        <v>399</v>
      </c>
      <c r="D65" s="255"/>
      <c r="E65" s="189" t="s">
        <v>452</v>
      </c>
      <c r="F65" s="327">
        <v>3</v>
      </c>
      <c r="G65" s="326"/>
      <c r="H65" s="145"/>
      <c r="I65" s="145">
        <f>F65*LVC!D7</f>
        <v>0.28913999999999995</v>
      </c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</row>
    <row r="66" spans="1:20" x14ac:dyDescent="0.25">
      <c r="A66" s="190">
        <v>44032.609722222223</v>
      </c>
      <c r="B66" s="112" t="s">
        <v>377</v>
      </c>
      <c r="C66" s="189" t="s">
        <v>399</v>
      </c>
      <c r="D66" s="255"/>
      <c r="E66" s="189" t="s">
        <v>453</v>
      </c>
      <c r="F66" s="327">
        <v>3</v>
      </c>
      <c r="G66" s="326"/>
      <c r="H66" s="145"/>
      <c r="I66" s="145">
        <f>F66*LVC!D4</f>
        <v>0.38553000000000004</v>
      </c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</row>
    <row r="67" spans="1:20" x14ac:dyDescent="0.25">
      <c r="A67" s="190">
        <v>44032.491666666669</v>
      </c>
      <c r="B67" s="112" t="s">
        <v>378</v>
      </c>
      <c r="C67" s="189" t="s">
        <v>271</v>
      </c>
      <c r="D67" s="255">
        <v>0.5</v>
      </c>
      <c r="E67" s="189" t="s">
        <v>283</v>
      </c>
      <c r="F67" s="327">
        <v>3</v>
      </c>
      <c r="G67" s="326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>
        <f>F67*LVC!D11</f>
        <v>0.19275</v>
      </c>
      <c r="S67" s="145"/>
      <c r="T67" s="145"/>
    </row>
    <row r="68" spans="1:20" x14ac:dyDescent="0.25">
      <c r="A68" s="190">
        <v>44033.595833333333</v>
      </c>
      <c r="B68" s="112" t="s">
        <v>379</v>
      </c>
      <c r="C68" s="189" t="s">
        <v>399</v>
      </c>
      <c r="D68" s="255"/>
      <c r="E68" s="189" t="s">
        <v>454</v>
      </c>
      <c r="F68" s="327">
        <v>3</v>
      </c>
      <c r="G68" s="326"/>
      <c r="H68" s="145"/>
      <c r="I68" s="145">
        <f>F68*LVC!D21</f>
        <v>0.60236999999999996</v>
      </c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</row>
    <row r="69" spans="1:20" x14ac:dyDescent="0.25">
      <c r="A69" s="190">
        <v>44033.381944444445</v>
      </c>
      <c r="B69" s="112" t="s">
        <v>380</v>
      </c>
      <c r="C69" s="189" t="s">
        <v>399</v>
      </c>
      <c r="D69" s="255"/>
      <c r="E69" s="189" t="s">
        <v>455</v>
      </c>
      <c r="F69" s="327">
        <v>3</v>
      </c>
      <c r="G69" s="326"/>
      <c r="H69" s="145"/>
      <c r="I69" s="145">
        <f>F69*LVC!D20</f>
        <v>0.60236999999999996</v>
      </c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</row>
    <row r="70" spans="1:20" x14ac:dyDescent="0.25">
      <c r="A70" s="190">
        <v>44034.083333333336</v>
      </c>
      <c r="B70" s="112" t="s">
        <v>381</v>
      </c>
      <c r="C70" s="189" t="s">
        <v>269</v>
      </c>
      <c r="D70" s="255">
        <v>1</v>
      </c>
      <c r="E70" s="189" t="s">
        <v>438</v>
      </c>
      <c r="F70" s="327">
        <v>180</v>
      </c>
      <c r="G70" s="326"/>
      <c r="H70" s="145"/>
      <c r="I70" s="145"/>
      <c r="J70" s="145"/>
      <c r="K70" s="145"/>
      <c r="L70" s="145"/>
      <c r="M70" s="145"/>
      <c r="N70" s="145"/>
      <c r="O70" s="145"/>
      <c r="P70" s="145">
        <f>F70*LVC!F20</f>
        <v>49.510800000000003</v>
      </c>
      <c r="Q70" s="145"/>
      <c r="R70" s="145"/>
      <c r="S70" s="145"/>
      <c r="T70" s="145"/>
    </row>
    <row r="71" spans="1:20" x14ac:dyDescent="0.25">
      <c r="A71" s="190">
        <v>44034.625</v>
      </c>
      <c r="B71" s="112" t="s">
        <v>382</v>
      </c>
      <c r="C71" s="189" t="s">
        <v>399</v>
      </c>
      <c r="D71" s="255"/>
      <c r="E71" s="189" t="s">
        <v>456</v>
      </c>
      <c r="F71" s="327">
        <v>3</v>
      </c>
      <c r="G71" s="326"/>
      <c r="H71" s="145"/>
      <c r="I71" s="145">
        <f>F71*LVC!D14</f>
        <v>0.43371000000000004</v>
      </c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</row>
    <row r="72" spans="1:20" x14ac:dyDescent="0.25">
      <c r="A72" s="190">
        <v>44034.684027777781</v>
      </c>
      <c r="B72" s="112" t="s">
        <v>383</v>
      </c>
      <c r="C72" s="189" t="s">
        <v>399</v>
      </c>
      <c r="D72" s="255"/>
      <c r="E72" s="189" t="s">
        <v>457</v>
      </c>
      <c r="F72" s="327">
        <v>3</v>
      </c>
      <c r="G72" s="326"/>
      <c r="H72" s="145"/>
      <c r="I72" s="145">
        <f>F72*LVC!D17</f>
        <v>0.48188999999999999</v>
      </c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</row>
    <row r="73" spans="1:20" x14ac:dyDescent="0.25">
      <c r="A73" s="190">
        <v>44034.583333333336</v>
      </c>
      <c r="B73" s="112" t="s">
        <v>384</v>
      </c>
      <c r="C73" s="189" t="s">
        <v>401</v>
      </c>
      <c r="D73" s="255">
        <v>0.75</v>
      </c>
      <c r="E73" s="189" t="s">
        <v>283</v>
      </c>
      <c r="F73" s="327">
        <v>30</v>
      </c>
      <c r="G73" s="326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>
        <f>F73*LVC!F11</f>
        <v>2.6406000000000001</v>
      </c>
      <c r="S73" s="145"/>
      <c r="T73" s="145"/>
    </row>
    <row r="74" spans="1:20" x14ac:dyDescent="0.25">
      <c r="A74" s="190">
        <v>44035.402777777781</v>
      </c>
      <c r="B74" s="112" t="s">
        <v>385</v>
      </c>
      <c r="C74" s="189" t="s">
        <v>271</v>
      </c>
      <c r="D74" s="255">
        <v>0.5</v>
      </c>
      <c r="E74" s="189" t="s">
        <v>458</v>
      </c>
      <c r="F74" s="327">
        <v>15</v>
      </c>
      <c r="G74" s="326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>
        <f>F74*LVC!D12</f>
        <v>1.9276500000000003</v>
      </c>
      <c r="S74" s="145"/>
      <c r="T74" s="145"/>
    </row>
    <row r="75" spans="1:20" x14ac:dyDescent="0.25">
      <c r="A75" s="190">
        <v>44036.635416666664</v>
      </c>
      <c r="B75" s="112" t="s">
        <v>386</v>
      </c>
      <c r="C75" s="189" t="s">
        <v>402</v>
      </c>
      <c r="D75" s="255"/>
      <c r="E75" s="189" t="s">
        <v>459</v>
      </c>
      <c r="F75" s="327">
        <v>3</v>
      </c>
      <c r="G75" s="326"/>
      <c r="H75" s="145">
        <f>F75*LVC!D21</f>
        <v>0.60236999999999996</v>
      </c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</row>
    <row r="76" spans="1:20" x14ac:dyDescent="0.25">
      <c r="A76" s="190">
        <v>44036.479166666664</v>
      </c>
      <c r="B76" s="112" t="s">
        <v>387</v>
      </c>
      <c r="C76" s="189" t="s">
        <v>280</v>
      </c>
      <c r="D76" s="255"/>
      <c r="E76" s="189" t="s">
        <v>460</v>
      </c>
      <c r="F76" s="327">
        <v>3</v>
      </c>
      <c r="G76" s="326"/>
      <c r="H76" s="145">
        <f>F76*LVC!D21</f>
        <v>0.60236999999999996</v>
      </c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</row>
    <row r="77" spans="1:20" x14ac:dyDescent="0.25">
      <c r="A77" s="190">
        <v>44036.690972222219</v>
      </c>
      <c r="B77" s="112" t="s">
        <v>388</v>
      </c>
      <c r="C77" s="189" t="s">
        <v>280</v>
      </c>
      <c r="D77" s="255"/>
      <c r="E77" s="189" t="s">
        <v>461</v>
      </c>
      <c r="F77" s="327">
        <v>3</v>
      </c>
      <c r="G77" s="326"/>
      <c r="H77" s="145">
        <f>F77*LVC!D21</f>
        <v>0.60236999999999996</v>
      </c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</row>
    <row r="78" spans="1:20" x14ac:dyDescent="0.25">
      <c r="A78" s="190">
        <v>44037.418055555558</v>
      </c>
      <c r="B78" s="112" t="s">
        <v>389</v>
      </c>
      <c r="C78" s="189" t="s">
        <v>280</v>
      </c>
      <c r="D78" s="255"/>
      <c r="E78" s="189" t="s">
        <v>462</v>
      </c>
      <c r="F78" s="327">
        <v>3</v>
      </c>
      <c r="G78" s="326"/>
      <c r="H78" s="145">
        <f>F78*LVC!D12</f>
        <v>0.38553000000000004</v>
      </c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</row>
    <row r="79" spans="1:20" x14ac:dyDescent="0.25">
      <c r="A79" s="190">
        <v>44037.444444444445</v>
      </c>
      <c r="B79" s="112" t="s">
        <v>390</v>
      </c>
      <c r="C79" s="189" t="s">
        <v>399</v>
      </c>
      <c r="D79" s="255"/>
      <c r="E79" s="189" t="s">
        <v>463</v>
      </c>
      <c r="F79" s="327">
        <v>3</v>
      </c>
      <c r="G79" s="326"/>
      <c r="H79" s="145"/>
      <c r="I79" s="145">
        <f>F79*LVC!D22</f>
        <v>0.60236999999999996</v>
      </c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</row>
    <row r="80" spans="1:20" x14ac:dyDescent="0.25">
      <c r="A80" s="190">
        <v>44039.625</v>
      </c>
      <c r="B80" s="112" t="s">
        <v>391</v>
      </c>
      <c r="C80" s="189" t="s">
        <v>280</v>
      </c>
      <c r="D80" s="255"/>
      <c r="E80" s="189" t="s">
        <v>464</v>
      </c>
      <c r="F80" s="327">
        <v>3</v>
      </c>
      <c r="G80" s="326"/>
      <c r="H80" s="145">
        <f>F80*LVC!D12</f>
        <v>0.38553000000000004</v>
      </c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</row>
    <row r="81" spans="1:22" x14ac:dyDescent="0.25">
      <c r="A81" s="190">
        <v>44039.493055555555</v>
      </c>
      <c r="B81" s="112" t="s">
        <v>392</v>
      </c>
      <c r="C81" s="189" t="s">
        <v>399</v>
      </c>
      <c r="D81" s="255"/>
      <c r="E81" s="189" t="s">
        <v>470</v>
      </c>
      <c r="F81" s="327">
        <v>3</v>
      </c>
      <c r="G81" s="326"/>
      <c r="H81" s="145">
        <f>F81*LVC!D5</f>
        <v>0.36141000000000001</v>
      </c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</row>
    <row r="82" spans="1:22" x14ac:dyDescent="0.25">
      <c r="A82" s="190">
        <v>44039.458333333336</v>
      </c>
      <c r="B82" s="112" t="s">
        <v>393</v>
      </c>
      <c r="C82" s="189" t="s">
        <v>280</v>
      </c>
      <c r="D82" s="255"/>
      <c r="E82" s="189" t="s">
        <v>465</v>
      </c>
      <c r="F82" s="327">
        <v>3</v>
      </c>
      <c r="G82" s="326"/>
      <c r="H82" s="145">
        <f>F82*LVC!D13</f>
        <v>0.48188999999999999</v>
      </c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</row>
    <row r="83" spans="1:22" x14ac:dyDescent="0.25">
      <c r="A83" s="190">
        <v>44039.357638888891</v>
      </c>
      <c r="B83" s="112" t="s">
        <v>394</v>
      </c>
      <c r="C83" s="189" t="s">
        <v>281</v>
      </c>
      <c r="D83" s="255">
        <v>0.75</v>
      </c>
      <c r="E83" s="189" t="s">
        <v>466</v>
      </c>
      <c r="F83" s="327">
        <v>25</v>
      </c>
      <c r="G83" s="326"/>
      <c r="H83" s="145"/>
      <c r="I83" s="145"/>
      <c r="J83" s="145"/>
      <c r="K83" s="145"/>
      <c r="L83" s="145"/>
      <c r="M83" s="145"/>
      <c r="N83" s="145"/>
      <c r="O83" s="145"/>
      <c r="P83" s="145">
        <f>F83*LVC!E11</f>
        <v>2.4449999999999998</v>
      </c>
      <c r="Q83" s="145"/>
      <c r="R83" s="145"/>
      <c r="S83" s="145"/>
      <c r="T83" s="145"/>
    </row>
    <row r="84" spans="1:22" x14ac:dyDescent="0.25">
      <c r="A84" s="190">
        <v>44039.59375</v>
      </c>
      <c r="B84" s="112" t="s">
        <v>395</v>
      </c>
      <c r="C84" s="189" t="s">
        <v>281</v>
      </c>
      <c r="D84" s="255">
        <v>0.75</v>
      </c>
      <c r="E84" s="189" t="s">
        <v>467</v>
      </c>
      <c r="F84" s="327">
        <v>75</v>
      </c>
      <c r="G84" s="326"/>
      <c r="H84" s="145"/>
      <c r="I84" s="145"/>
      <c r="J84" s="145"/>
      <c r="K84" s="145"/>
      <c r="L84" s="145"/>
      <c r="M84" s="145"/>
      <c r="N84" s="145"/>
      <c r="O84" s="145"/>
      <c r="P84" s="145">
        <f>F84*LVC!E14</f>
        <v>16.503</v>
      </c>
      <c r="Q84" s="145"/>
      <c r="R84" s="145"/>
      <c r="S84" s="145"/>
      <c r="T84" s="145"/>
    </row>
    <row r="85" spans="1:22" x14ac:dyDescent="0.25">
      <c r="A85" s="190">
        <v>44039.395833333336</v>
      </c>
      <c r="B85" s="112" t="s">
        <v>396</v>
      </c>
      <c r="C85" s="189" t="s">
        <v>281</v>
      </c>
      <c r="D85" s="255">
        <v>0.75</v>
      </c>
      <c r="E85" s="189" t="s">
        <v>468</v>
      </c>
      <c r="F85" s="327">
        <v>30</v>
      </c>
      <c r="G85" s="326"/>
      <c r="H85" s="145"/>
      <c r="I85" s="145"/>
      <c r="J85" s="145"/>
      <c r="K85" s="145"/>
      <c r="L85" s="145"/>
      <c r="M85" s="145"/>
      <c r="N85" s="145"/>
      <c r="O85" s="145"/>
      <c r="P85" s="145">
        <f>F85*LVC!E10</f>
        <v>5.1345000000000001</v>
      </c>
      <c r="Q85" s="145"/>
      <c r="R85" s="145"/>
      <c r="S85" s="145"/>
      <c r="T85" s="145"/>
    </row>
    <row r="86" spans="1:22" x14ac:dyDescent="0.25">
      <c r="A86" s="190">
        <v>44040.729861111111</v>
      </c>
      <c r="B86" s="112" t="s">
        <v>397</v>
      </c>
      <c r="C86" s="189" t="s">
        <v>269</v>
      </c>
      <c r="D86" s="255">
        <v>0.75</v>
      </c>
      <c r="E86" s="189" t="s">
        <v>469</v>
      </c>
      <c r="F86" s="327">
        <v>13</v>
      </c>
      <c r="G86" s="326"/>
      <c r="H86" s="145"/>
      <c r="I86" s="145"/>
      <c r="J86" s="145"/>
      <c r="K86" s="145"/>
      <c r="L86" s="145"/>
      <c r="M86" s="145"/>
      <c r="N86" s="145"/>
      <c r="O86" s="145"/>
      <c r="P86" s="145">
        <f>F86*LVC!F21</f>
        <v>3.5757800000000004</v>
      </c>
      <c r="Q86" s="145"/>
      <c r="R86" s="145"/>
      <c r="S86" s="145"/>
      <c r="T86" s="145"/>
    </row>
    <row r="87" spans="1:22" x14ac:dyDescent="0.25">
      <c r="A87" s="190"/>
      <c r="B87" s="112"/>
      <c r="C87" s="189"/>
      <c r="D87" s="255"/>
      <c r="E87" s="189"/>
      <c r="F87" s="327"/>
      <c r="G87" s="326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</row>
    <row r="88" spans="1:22" x14ac:dyDescent="0.25">
      <c r="A88" s="190"/>
      <c r="B88" s="112"/>
      <c r="C88" s="189"/>
      <c r="D88" s="255"/>
      <c r="E88" s="189"/>
      <c r="F88" s="256"/>
      <c r="G88" s="23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</row>
    <row r="89" spans="1:22" x14ac:dyDescent="0.25">
      <c r="A89" s="190"/>
      <c r="B89" s="112"/>
      <c r="C89" s="189"/>
      <c r="D89" s="255"/>
      <c r="E89" s="189"/>
      <c r="F89" s="256"/>
      <c r="G89" s="23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</row>
    <row r="90" spans="1:22" s="77" customFormat="1" x14ac:dyDescent="0.25">
      <c r="A90" s="446" t="s">
        <v>6</v>
      </c>
      <c r="B90" s="446"/>
      <c r="C90" s="446"/>
      <c r="D90" s="446"/>
      <c r="E90" s="446"/>
      <c r="F90" s="446"/>
      <c r="G90" s="446"/>
      <c r="H90" s="75">
        <f t="shared" ref="H90:T90" si="0">SUM(H9:H89)</f>
        <v>9.2283599999999968</v>
      </c>
      <c r="I90" s="75">
        <f t="shared" si="0"/>
        <v>12.38472</v>
      </c>
      <c r="J90" s="75">
        <f t="shared" si="0"/>
        <v>0</v>
      </c>
      <c r="K90" s="75">
        <f t="shared" si="0"/>
        <v>0</v>
      </c>
      <c r="L90" s="75">
        <f t="shared" si="0"/>
        <v>9.1965000000000003</v>
      </c>
      <c r="M90" s="75">
        <f t="shared" si="0"/>
        <v>4.4008000000000003</v>
      </c>
      <c r="N90" s="75">
        <f t="shared" si="0"/>
        <v>0</v>
      </c>
      <c r="O90" s="75">
        <f t="shared" si="0"/>
        <v>0</v>
      </c>
      <c r="P90" s="75">
        <f t="shared" si="0"/>
        <v>256.47068000000002</v>
      </c>
      <c r="Q90" s="75">
        <f t="shared" si="0"/>
        <v>0</v>
      </c>
      <c r="R90" s="75">
        <f t="shared" si="0"/>
        <v>41.423979999999993</v>
      </c>
      <c r="S90" s="75">
        <f t="shared" si="0"/>
        <v>4.8511199999999999</v>
      </c>
      <c r="T90" s="75">
        <f t="shared" si="0"/>
        <v>0</v>
      </c>
      <c r="U90" s="76"/>
      <c r="V90" s="76"/>
    </row>
  </sheetData>
  <autoFilter ref="A1:E90"/>
  <mergeCells count="8">
    <mergeCell ref="P6:T6"/>
    <mergeCell ref="A90:G90"/>
    <mergeCell ref="A6:A7"/>
    <mergeCell ref="B6:B7"/>
    <mergeCell ref="G6:G7"/>
    <mergeCell ref="H6:K6"/>
    <mergeCell ref="L6:M6"/>
    <mergeCell ref="N6:O6"/>
  </mergeCells>
  <pageMargins left="0.24" right="0.2" top="0.28000000000000003" bottom="0.31" header="0.3" footer="0.3"/>
  <pageSetup paperSize="5" scale="70" orientation="landscape" horizontalDpi="4294967294" verticalDpi="144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9"/>
  <sheetViews>
    <sheetView topLeftCell="A7" zoomScaleNormal="100" workbookViewId="0">
      <selection activeCell="J39" sqref="J39"/>
    </sheetView>
  </sheetViews>
  <sheetFormatPr defaultColWidth="11" defaultRowHeight="15.75" x14ac:dyDescent="0.25"/>
  <cols>
    <col min="1" max="1" width="10.5" customWidth="1"/>
    <col min="2" max="2" width="6.875" customWidth="1"/>
    <col min="3" max="3" width="9.875" customWidth="1"/>
    <col min="4" max="4" width="9.125" customWidth="1"/>
    <col min="5" max="5" width="10.125" customWidth="1"/>
    <col min="6" max="6" width="8.5" customWidth="1"/>
    <col min="7" max="7" width="9.875" customWidth="1"/>
    <col min="8" max="8" width="8.25" customWidth="1"/>
    <col min="9" max="9" width="7.5" customWidth="1"/>
    <col min="10" max="10" width="8.875" customWidth="1"/>
    <col min="11" max="11" width="8.375" customWidth="1"/>
    <col min="12" max="12" width="7.75" customWidth="1"/>
    <col min="13" max="13" width="3.25" customWidth="1"/>
  </cols>
  <sheetData>
    <row r="1" spans="1:20" x14ac:dyDescent="0.25">
      <c r="A1" s="157" t="s">
        <v>179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20" x14ac:dyDescent="0.25">
      <c r="A2" s="45" t="s">
        <v>180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20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20" x14ac:dyDescent="0.25">
      <c r="A4" s="45" t="s">
        <v>74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20" x14ac:dyDescent="0.25">
      <c r="A5" s="45" t="s">
        <v>75</v>
      </c>
      <c r="B5" s="282" t="s">
        <v>472</v>
      </c>
      <c r="C5" s="282"/>
      <c r="D5" s="45"/>
      <c r="E5" s="277">
        <v>29</v>
      </c>
      <c r="F5" s="45" t="s">
        <v>170</v>
      </c>
      <c r="G5" s="45"/>
      <c r="H5" s="45"/>
      <c r="I5" s="45"/>
      <c r="J5" s="45"/>
      <c r="K5" s="45"/>
      <c r="L5" s="45"/>
      <c r="M5" s="45"/>
      <c r="N5" s="45"/>
      <c r="O5" s="45"/>
    </row>
    <row r="6" spans="1:20" x14ac:dyDescent="0.25">
      <c r="A6" s="45" t="s">
        <v>76</v>
      </c>
      <c r="B6" s="45"/>
      <c r="C6" s="45" t="s">
        <v>211</v>
      </c>
      <c r="D6" s="45"/>
      <c r="E6" s="45"/>
      <c r="F6" s="45"/>
      <c r="G6" s="45" t="s">
        <v>182</v>
      </c>
      <c r="H6" s="45"/>
      <c r="I6" s="45"/>
      <c r="J6" s="45"/>
      <c r="K6" s="45"/>
      <c r="L6" s="45"/>
      <c r="M6" s="45"/>
      <c r="N6" s="45"/>
      <c r="O6" s="45"/>
    </row>
    <row r="7" spans="1:20" x14ac:dyDescent="0.25">
      <c r="A7" s="54" t="s">
        <v>77</v>
      </c>
      <c r="B7" s="54" t="s">
        <v>78</v>
      </c>
      <c r="C7" s="455" t="s">
        <v>79</v>
      </c>
      <c r="D7" s="456"/>
      <c r="E7" s="156" t="s">
        <v>203</v>
      </c>
      <c r="F7" s="156" t="s">
        <v>204</v>
      </c>
      <c r="G7" s="156" t="s">
        <v>81</v>
      </c>
      <c r="H7" s="153" t="s">
        <v>82</v>
      </c>
      <c r="I7" s="153" t="s">
        <v>80</v>
      </c>
      <c r="J7" s="153" t="s">
        <v>83</v>
      </c>
      <c r="K7" s="158" t="s">
        <v>84</v>
      </c>
      <c r="L7" s="153"/>
      <c r="M7" s="46"/>
      <c r="N7" s="457" t="s">
        <v>169</v>
      </c>
      <c r="O7" s="458"/>
      <c r="P7" s="458"/>
      <c r="Q7" s="458"/>
      <c r="R7" s="459"/>
    </row>
    <row r="8" spans="1:20" x14ac:dyDescent="0.25">
      <c r="A8" s="47"/>
      <c r="B8" s="149" t="s">
        <v>5</v>
      </c>
      <c r="C8" s="79" t="s">
        <v>85</v>
      </c>
      <c r="D8" s="149" t="s">
        <v>86</v>
      </c>
      <c r="E8" s="149" t="s">
        <v>87</v>
      </c>
      <c r="F8" s="79" t="s">
        <v>88</v>
      </c>
      <c r="G8" s="79" t="s">
        <v>88</v>
      </c>
      <c r="H8" s="79" t="s">
        <v>89</v>
      </c>
      <c r="I8" s="79" t="s">
        <v>89</v>
      </c>
      <c r="J8" s="79" t="s">
        <v>90</v>
      </c>
      <c r="K8" s="79" t="s">
        <v>91</v>
      </c>
      <c r="L8" s="79" t="s">
        <v>92</v>
      </c>
      <c r="M8" s="46"/>
      <c r="N8" s="460" t="s">
        <v>95</v>
      </c>
      <c r="O8" s="460"/>
      <c r="P8" s="147" t="s">
        <v>173</v>
      </c>
      <c r="Q8" s="147" t="s">
        <v>166</v>
      </c>
      <c r="R8" s="154" t="s">
        <v>175</v>
      </c>
      <c r="S8" s="154" t="s">
        <v>201</v>
      </c>
      <c r="T8" s="54" t="s">
        <v>134</v>
      </c>
    </row>
    <row r="9" spans="1:20" x14ac:dyDescent="0.25">
      <c r="A9" s="48"/>
      <c r="B9" s="48"/>
      <c r="C9" s="49"/>
      <c r="D9" s="48"/>
      <c r="E9" s="48"/>
      <c r="F9" s="49"/>
      <c r="G9" s="49"/>
      <c r="H9" s="49"/>
      <c r="I9" s="49"/>
      <c r="J9" s="49"/>
      <c r="K9" s="49"/>
      <c r="L9" s="49"/>
      <c r="M9" s="46"/>
      <c r="N9" s="146" t="s">
        <v>171</v>
      </c>
      <c r="O9" s="146" t="s">
        <v>172</v>
      </c>
      <c r="P9" s="148" t="s">
        <v>174</v>
      </c>
      <c r="Q9" s="148" t="s">
        <v>168</v>
      </c>
      <c r="R9" s="148" t="s">
        <v>176</v>
      </c>
      <c r="S9" s="148" t="s">
        <v>202</v>
      </c>
      <c r="T9" s="175"/>
    </row>
    <row r="10" spans="1:20" x14ac:dyDescent="0.25">
      <c r="A10" s="285">
        <v>44012</v>
      </c>
      <c r="B10" s="272">
        <v>55.4</v>
      </c>
      <c r="C10" s="159">
        <v>174175</v>
      </c>
      <c r="D10" s="274">
        <v>174266</v>
      </c>
      <c r="E10" s="51">
        <f t="shared" ref="E10:E41" si="0">D10-C10</f>
        <v>91</v>
      </c>
      <c r="F10" s="69">
        <f t="shared" ref="F10:F41" si="1">I10*K10</f>
        <v>2.935483870967742</v>
      </c>
      <c r="G10" s="70">
        <f t="shared" ref="G10:G41" si="2">E10+F10</f>
        <v>93.935483870967744</v>
      </c>
      <c r="H10" s="69">
        <f t="shared" ref="H10:H40" si="3">I10+J10</f>
        <v>2.5833333333333335</v>
      </c>
      <c r="I10" s="271">
        <f t="shared" ref="I10:I17" si="4">5/60</f>
        <v>8.3333333333333329E-2</v>
      </c>
      <c r="J10" s="271">
        <v>2.5</v>
      </c>
      <c r="K10" s="70">
        <f t="shared" ref="K10:K41" si="5">E10/H10</f>
        <v>35.225806451612904</v>
      </c>
      <c r="L10" s="69">
        <f t="shared" ref="L10:L41" si="6">K10*264.17/60</f>
        <v>155.0933548387097</v>
      </c>
      <c r="M10" s="45"/>
      <c r="N10" s="274"/>
      <c r="O10" s="274"/>
      <c r="P10" s="274"/>
      <c r="Q10" s="274"/>
      <c r="R10" s="310"/>
      <c r="S10" s="180" t="e">
        <f t="shared" ref="S10:S41" si="7">R10/Q10</f>
        <v>#DIV/0!</v>
      </c>
      <c r="T10" s="55"/>
    </row>
    <row r="11" spans="1:20" x14ac:dyDescent="0.25">
      <c r="A11" s="285">
        <v>44013</v>
      </c>
      <c r="B11" s="272">
        <v>54</v>
      </c>
      <c r="C11" s="159">
        <f t="shared" ref="C11:C12" si="8">D10</f>
        <v>174266</v>
      </c>
      <c r="D11" s="274">
        <v>174694</v>
      </c>
      <c r="E11" s="51">
        <f t="shared" si="0"/>
        <v>428</v>
      </c>
      <c r="F11" s="69">
        <f t="shared" si="1"/>
        <v>2.2090322580645161</v>
      </c>
      <c r="G11" s="70">
        <f t="shared" si="2"/>
        <v>430.2090322580645</v>
      </c>
      <c r="H11" s="69">
        <f t="shared" si="3"/>
        <v>15.5</v>
      </c>
      <c r="I11" s="271">
        <v>0.08</v>
      </c>
      <c r="J11" s="271">
        <v>15.42</v>
      </c>
      <c r="K11" s="70">
        <f t="shared" ref="K11" si="9">E11/H11</f>
        <v>27.612903225806452</v>
      </c>
      <c r="L11" s="69">
        <f t="shared" ref="L11" si="10">K11*264.17/60</f>
        <v>121.57501075268819</v>
      </c>
      <c r="M11" s="45">
        <f>M10+1</f>
        <v>1</v>
      </c>
      <c r="N11" s="274"/>
      <c r="O11" s="274"/>
      <c r="P11" s="274"/>
      <c r="Q11" s="274"/>
      <c r="R11" s="310"/>
      <c r="S11" s="180" t="e">
        <f t="shared" si="7"/>
        <v>#DIV/0!</v>
      </c>
      <c r="T11" s="55"/>
    </row>
    <row r="12" spans="1:20" x14ac:dyDescent="0.25">
      <c r="A12" s="285">
        <v>44014</v>
      </c>
      <c r="B12" s="272">
        <v>64</v>
      </c>
      <c r="C12" s="159">
        <f t="shared" si="8"/>
        <v>174694</v>
      </c>
      <c r="D12" s="275">
        <v>175130</v>
      </c>
      <c r="E12" s="51">
        <f t="shared" si="0"/>
        <v>436</v>
      </c>
      <c r="F12" s="69">
        <f t="shared" si="1"/>
        <v>2.2503225806451614</v>
      </c>
      <c r="G12" s="70">
        <f t="shared" si="2"/>
        <v>438.25032258064516</v>
      </c>
      <c r="H12" s="69">
        <f t="shared" si="3"/>
        <v>15.5</v>
      </c>
      <c r="I12" s="271">
        <v>0.08</v>
      </c>
      <c r="J12" s="271">
        <v>15.42</v>
      </c>
      <c r="K12" s="70">
        <f t="shared" si="5"/>
        <v>28.129032258064516</v>
      </c>
      <c r="L12" s="69">
        <f t="shared" si="6"/>
        <v>123.84744086021506</v>
      </c>
      <c r="M12" s="45">
        <f t="shared" ref="M12:M41" si="11">M11+1</f>
        <v>2</v>
      </c>
      <c r="N12" s="274"/>
      <c r="O12" s="274"/>
      <c r="P12" s="274"/>
      <c r="Q12" s="274"/>
      <c r="R12" s="310"/>
      <c r="S12" s="180" t="e">
        <f t="shared" si="7"/>
        <v>#DIV/0!</v>
      </c>
      <c r="T12" s="55"/>
    </row>
    <row r="13" spans="1:20" x14ac:dyDescent="0.25">
      <c r="A13" s="285">
        <f t="shared" ref="A13:A38" si="12">A12+1</f>
        <v>44015</v>
      </c>
      <c r="B13" s="273">
        <v>60.2</v>
      </c>
      <c r="C13" s="160">
        <f>D12</f>
        <v>175130</v>
      </c>
      <c r="D13" s="275">
        <v>175620</v>
      </c>
      <c r="E13" s="51">
        <f t="shared" si="0"/>
        <v>490</v>
      </c>
      <c r="F13" s="69">
        <f t="shared" si="1"/>
        <v>2.6770104895104891</v>
      </c>
      <c r="G13" s="70">
        <f t="shared" si="2"/>
        <v>492.67701048951051</v>
      </c>
      <c r="H13" s="69">
        <f t="shared" si="3"/>
        <v>15.253333333333334</v>
      </c>
      <c r="I13" s="271">
        <f t="shared" si="4"/>
        <v>8.3333333333333329E-2</v>
      </c>
      <c r="J13" s="271">
        <v>15.17</v>
      </c>
      <c r="K13" s="70">
        <f t="shared" si="5"/>
        <v>32.124125874125873</v>
      </c>
      <c r="L13" s="52">
        <f t="shared" si="6"/>
        <v>141.4371722027972</v>
      </c>
      <c r="M13" s="45">
        <f t="shared" si="11"/>
        <v>3</v>
      </c>
      <c r="N13" s="274"/>
      <c r="O13" s="274"/>
      <c r="P13" s="274"/>
      <c r="Q13" s="274"/>
      <c r="R13" s="310"/>
      <c r="S13" s="180" t="e">
        <f t="shared" si="7"/>
        <v>#DIV/0!</v>
      </c>
      <c r="T13" s="55"/>
    </row>
    <row r="14" spans="1:20" x14ac:dyDescent="0.25">
      <c r="A14" s="285">
        <f t="shared" si="12"/>
        <v>44016</v>
      </c>
      <c r="B14" s="273">
        <v>47.16</v>
      </c>
      <c r="C14" s="159">
        <f>D13</f>
        <v>175620</v>
      </c>
      <c r="D14" s="275">
        <v>176141</v>
      </c>
      <c r="E14" s="51">
        <f t="shared" si="0"/>
        <v>521</v>
      </c>
      <c r="F14" s="69">
        <f t="shared" si="1"/>
        <v>2.8482396676142572</v>
      </c>
      <c r="G14" s="70">
        <f t="shared" si="2"/>
        <v>523.84823966761428</v>
      </c>
      <c r="H14" s="69">
        <f t="shared" si="3"/>
        <v>15.243333333333334</v>
      </c>
      <c r="I14" s="271">
        <f t="shared" si="4"/>
        <v>8.3333333333333329E-2</v>
      </c>
      <c r="J14" s="271">
        <v>15.16</v>
      </c>
      <c r="K14" s="70">
        <f t="shared" si="5"/>
        <v>34.178876011371088</v>
      </c>
      <c r="L14" s="52">
        <f t="shared" si="6"/>
        <v>150.48389459873169</v>
      </c>
      <c r="M14" s="45">
        <f t="shared" si="11"/>
        <v>4</v>
      </c>
      <c r="N14" s="274"/>
      <c r="O14" s="274"/>
      <c r="P14" s="274"/>
      <c r="Q14" s="274"/>
      <c r="R14" s="310"/>
      <c r="S14" s="180" t="e">
        <f t="shared" si="7"/>
        <v>#DIV/0!</v>
      </c>
      <c r="T14" s="55"/>
    </row>
    <row r="15" spans="1:20" x14ac:dyDescent="0.25">
      <c r="A15" s="285">
        <f t="shared" si="12"/>
        <v>44017</v>
      </c>
      <c r="B15" s="273">
        <v>57.16</v>
      </c>
      <c r="C15" s="159">
        <f>D14</f>
        <v>176141</v>
      </c>
      <c r="D15" s="275">
        <v>176585</v>
      </c>
      <c r="E15" s="51">
        <f t="shared" si="0"/>
        <v>444</v>
      </c>
      <c r="F15" s="69">
        <f t="shared" si="1"/>
        <v>2.3430079155672825</v>
      </c>
      <c r="G15" s="70">
        <f t="shared" si="2"/>
        <v>446.34300791556728</v>
      </c>
      <c r="H15" s="69">
        <f t="shared" si="3"/>
        <v>15.16</v>
      </c>
      <c r="I15" s="271">
        <v>0.08</v>
      </c>
      <c r="J15" s="271">
        <v>15.08</v>
      </c>
      <c r="K15" s="70">
        <f t="shared" si="5"/>
        <v>29.287598944591029</v>
      </c>
      <c r="L15" s="52">
        <f t="shared" si="6"/>
        <v>128.94841688654353</v>
      </c>
      <c r="M15" s="45">
        <f t="shared" si="11"/>
        <v>5</v>
      </c>
      <c r="N15" s="274"/>
      <c r="O15" s="274"/>
      <c r="P15" s="274"/>
      <c r="Q15" s="274"/>
      <c r="R15" s="310"/>
      <c r="S15" s="180" t="e">
        <f>R15/Q15</f>
        <v>#DIV/0!</v>
      </c>
      <c r="T15" s="55"/>
    </row>
    <row r="16" spans="1:20" x14ac:dyDescent="0.25">
      <c r="A16" s="285">
        <f t="shared" si="12"/>
        <v>44018</v>
      </c>
      <c r="B16" s="272">
        <v>52.57</v>
      </c>
      <c r="C16" s="159">
        <f t="shared" ref="C16:C18" si="13">D15</f>
        <v>176585</v>
      </c>
      <c r="D16" s="275">
        <v>176994</v>
      </c>
      <c r="E16" s="51">
        <f t="shared" si="0"/>
        <v>409</v>
      </c>
      <c r="F16" s="69">
        <f t="shared" si="1"/>
        <v>2.2359501421386394</v>
      </c>
      <c r="G16" s="70">
        <f t="shared" si="2"/>
        <v>411.23595014213862</v>
      </c>
      <c r="H16" s="69">
        <f t="shared" si="3"/>
        <v>15.243333333333334</v>
      </c>
      <c r="I16" s="271">
        <f t="shared" si="4"/>
        <v>8.3333333333333329E-2</v>
      </c>
      <c r="J16" s="271">
        <v>15.16</v>
      </c>
      <c r="K16" s="70">
        <f t="shared" si="5"/>
        <v>26.831401705663676</v>
      </c>
      <c r="L16" s="52">
        <f t="shared" si="6"/>
        <v>118.1341898097529</v>
      </c>
      <c r="M16" s="45">
        <f t="shared" si="11"/>
        <v>6</v>
      </c>
      <c r="N16" s="274"/>
      <c r="O16" s="274"/>
      <c r="P16" s="274"/>
      <c r="Q16" s="274"/>
      <c r="R16" s="310"/>
      <c r="S16" s="180" t="e">
        <f t="shared" si="7"/>
        <v>#DIV/0!</v>
      </c>
      <c r="T16" s="55"/>
    </row>
    <row r="17" spans="1:20" x14ac:dyDescent="0.25">
      <c r="A17" s="285">
        <f t="shared" si="12"/>
        <v>44019</v>
      </c>
      <c r="B17" s="272">
        <v>46.77</v>
      </c>
      <c r="C17" s="159">
        <f t="shared" si="13"/>
        <v>176994</v>
      </c>
      <c r="D17" s="275">
        <v>177469</v>
      </c>
      <c r="E17" s="51">
        <f t="shared" si="0"/>
        <v>475</v>
      </c>
      <c r="F17" s="69">
        <f t="shared" si="1"/>
        <v>2.6104638382061989</v>
      </c>
      <c r="G17" s="70">
        <f t="shared" si="2"/>
        <v>477.61046383820621</v>
      </c>
      <c r="H17" s="69">
        <f t="shared" si="3"/>
        <v>15.163333333333334</v>
      </c>
      <c r="I17" s="271">
        <f t="shared" si="4"/>
        <v>8.3333333333333329E-2</v>
      </c>
      <c r="J17" s="271">
        <v>15.08</v>
      </c>
      <c r="K17" s="70">
        <f t="shared" si="5"/>
        <v>31.32556605847439</v>
      </c>
      <c r="L17" s="52">
        <f t="shared" si="6"/>
        <v>137.92124642778631</v>
      </c>
      <c r="M17" s="45">
        <f t="shared" si="11"/>
        <v>7</v>
      </c>
      <c r="N17" s="274"/>
      <c r="O17" s="274"/>
      <c r="P17" s="274"/>
      <c r="Q17" s="274"/>
      <c r="R17" s="310"/>
      <c r="S17" s="180" t="e">
        <f t="shared" si="7"/>
        <v>#DIV/0!</v>
      </c>
      <c r="T17" s="55"/>
    </row>
    <row r="18" spans="1:20" x14ac:dyDescent="0.25">
      <c r="A18" s="285">
        <f t="shared" si="12"/>
        <v>44020</v>
      </c>
      <c r="B18" s="272">
        <v>49.33</v>
      </c>
      <c r="C18" s="159">
        <f t="shared" si="13"/>
        <v>177469</v>
      </c>
      <c r="D18" s="275">
        <v>177946</v>
      </c>
      <c r="E18" s="51">
        <f t="shared" si="0"/>
        <v>477</v>
      </c>
      <c r="F18" s="69">
        <f t="shared" si="1"/>
        <v>2.5039370078740157</v>
      </c>
      <c r="G18" s="70">
        <f t="shared" si="2"/>
        <v>479.50393700787401</v>
      </c>
      <c r="H18" s="69">
        <f t="shared" si="3"/>
        <v>15.24</v>
      </c>
      <c r="I18" s="271">
        <v>0.08</v>
      </c>
      <c r="J18" s="271">
        <v>15.16</v>
      </c>
      <c r="K18" s="70">
        <f t="shared" si="5"/>
        <v>31.299212598425196</v>
      </c>
      <c r="L18" s="52">
        <f t="shared" si="6"/>
        <v>137.80521653543306</v>
      </c>
      <c r="M18" s="45">
        <f t="shared" si="11"/>
        <v>8</v>
      </c>
      <c r="N18" s="274"/>
      <c r="O18" s="274"/>
      <c r="P18" s="274"/>
      <c r="Q18" s="274"/>
      <c r="R18" s="310"/>
      <c r="S18" s="180" t="e">
        <f t="shared" si="7"/>
        <v>#DIV/0!</v>
      </c>
      <c r="T18" s="55"/>
    </row>
    <row r="19" spans="1:20" x14ac:dyDescent="0.25">
      <c r="A19" s="285">
        <f t="shared" si="12"/>
        <v>44021</v>
      </c>
      <c r="B19" s="272">
        <v>56.75</v>
      </c>
      <c r="C19" s="159">
        <f>D18</f>
        <v>177946</v>
      </c>
      <c r="D19" s="274">
        <v>178399</v>
      </c>
      <c r="E19" s="51">
        <f t="shared" si="0"/>
        <v>453</v>
      </c>
      <c r="F19" s="69">
        <f t="shared" si="1"/>
        <v>2.3779527559055116</v>
      </c>
      <c r="G19" s="70">
        <f t="shared" si="2"/>
        <v>455.37795275590554</v>
      </c>
      <c r="H19" s="69">
        <f t="shared" si="3"/>
        <v>15.24</v>
      </c>
      <c r="I19" s="271">
        <v>0.08</v>
      </c>
      <c r="J19" s="271">
        <v>15.16</v>
      </c>
      <c r="K19" s="70">
        <f t="shared" si="5"/>
        <v>29.724409448818896</v>
      </c>
      <c r="L19" s="52">
        <f t="shared" si="6"/>
        <v>130.87162073490813</v>
      </c>
      <c r="M19" s="45">
        <f t="shared" si="11"/>
        <v>9</v>
      </c>
      <c r="N19" s="274"/>
      <c r="O19" s="274"/>
      <c r="P19" s="274"/>
      <c r="Q19" s="274"/>
      <c r="R19" s="310"/>
      <c r="S19" s="180" t="e">
        <f t="shared" si="7"/>
        <v>#DIV/0!</v>
      </c>
      <c r="T19" s="55"/>
    </row>
    <row r="20" spans="1:20" x14ac:dyDescent="0.25">
      <c r="A20" s="285">
        <f t="shared" si="12"/>
        <v>44022</v>
      </c>
      <c r="B20" s="272">
        <v>56.75</v>
      </c>
      <c r="C20" s="160">
        <f>D19</f>
        <v>178399</v>
      </c>
      <c r="D20" s="274">
        <v>178799</v>
      </c>
      <c r="E20" s="51">
        <f t="shared" si="0"/>
        <v>400</v>
      </c>
      <c r="F20" s="69">
        <f t="shared" si="1"/>
        <v>2.0997375328083989</v>
      </c>
      <c r="G20" s="70">
        <f t="shared" si="2"/>
        <v>402.09973753280838</v>
      </c>
      <c r="H20" s="69">
        <f t="shared" si="3"/>
        <v>15.24</v>
      </c>
      <c r="I20" s="271">
        <v>0.08</v>
      </c>
      <c r="J20" s="271">
        <v>15.16</v>
      </c>
      <c r="K20" s="70">
        <f t="shared" si="5"/>
        <v>26.246719160104988</v>
      </c>
      <c r="L20" s="52">
        <f t="shared" si="6"/>
        <v>115.55993000874892</v>
      </c>
      <c r="M20" s="45">
        <f t="shared" si="11"/>
        <v>10</v>
      </c>
      <c r="N20" s="274"/>
      <c r="O20" s="274"/>
      <c r="P20" s="274"/>
      <c r="Q20" s="274"/>
      <c r="R20" s="310"/>
      <c r="S20" s="180" t="e">
        <f t="shared" si="7"/>
        <v>#DIV/0!</v>
      </c>
      <c r="T20" s="55"/>
    </row>
    <row r="21" spans="1:20" x14ac:dyDescent="0.25">
      <c r="A21" s="285">
        <f t="shared" si="12"/>
        <v>44023</v>
      </c>
      <c r="B21" s="272">
        <v>54.6</v>
      </c>
      <c r="C21" s="159">
        <f t="shared" ref="C21:C41" si="14">D20</f>
        <v>178799</v>
      </c>
      <c r="D21" s="274">
        <v>179205</v>
      </c>
      <c r="E21" s="51">
        <f t="shared" si="0"/>
        <v>406</v>
      </c>
      <c r="F21" s="69">
        <f t="shared" si="1"/>
        <v>2.0954838709677421</v>
      </c>
      <c r="G21" s="70">
        <f t="shared" si="2"/>
        <v>408.09548387096777</v>
      </c>
      <c r="H21" s="69">
        <f t="shared" si="3"/>
        <v>15.5</v>
      </c>
      <c r="I21" s="271">
        <v>0.08</v>
      </c>
      <c r="J21" s="271">
        <v>15.42</v>
      </c>
      <c r="K21" s="70">
        <f t="shared" si="5"/>
        <v>26.193548387096776</v>
      </c>
      <c r="L21" s="52">
        <f t="shared" si="6"/>
        <v>115.32582795698926</v>
      </c>
      <c r="M21" s="45">
        <f t="shared" si="11"/>
        <v>11</v>
      </c>
      <c r="N21" s="274"/>
      <c r="O21" s="274"/>
      <c r="P21" s="274"/>
      <c r="Q21" s="274"/>
      <c r="R21" s="310"/>
      <c r="S21" s="180" t="e">
        <f t="shared" si="7"/>
        <v>#DIV/0!</v>
      </c>
      <c r="T21" s="55"/>
    </row>
    <row r="22" spans="1:20" x14ac:dyDescent="0.25">
      <c r="A22" s="285">
        <f t="shared" si="12"/>
        <v>44024</v>
      </c>
      <c r="B22" s="272">
        <v>51.33</v>
      </c>
      <c r="C22" s="160">
        <f t="shared" si="14"/>
        <v>179205</v>
      </c>
      <c r="D22" s="274">
        <v>179613</v>
      </c>
      <c r="E22" s="51">
        <f t="shared" si="0"/>
        <v>408</v>
      </c>
      <c r="F22" s="69">
        <f t="shared" si="1"/>
        <v>2.1891348088531184</v>
      </c>
      <c r="G22" s="70">
        <f t="shared" si="2"/>
        <v>410.18913480885311</v>
      </c>
      <c r="H22" s="69">
        <f t="shared" si="3"/>
        <v>14.91</v>
      </c>
      <c r="I22" s="271">
        <v>0.08</v>
      </c>
      <c r="J22" s="271">
        <v>14.83</v>
      </c>
      <c r="K22" s="51">
        <f t="shared" si="5"/>
        <v>27.364185110663982</v>
      </c>
      <c r="L22" s="52">
        <f t="shared" si="6"/>
        <v>120.47994634473507</v>
      </c>
      <c r="M22" s="45">
        <f t="shared" si="11"/>
        <v>12</v>
      </c>
      <c r="N22" s="309"/>
      <c r="O22" s="309"/>
      <c r="P22" s="309"/>
      <c r="Q22" s="309"/>
      <c r="R22" s="311"/>
      <c r="S22" s="180" t="e">
        <f t="shared" si="7"/>
        <v>#DIV/0!</v>
      </c>
      <c r="T22" s="55"/>
    </row>
    <row r="23" spans="1:20" x14ac:dyDescent="0.25">
      <c r="A23" s="285">
        <f t="shared" si="12"/>
        <v>44025</v>
      </c>
      <c r="B23" s="272">
        <v>55.42</v>
      </c>
      <c r="C23" s="159">
        <f t="shared" si="14"/>
        <v>179613</v>
      </c>
      <c r="D23" s="274">
        <v>180015</v>
      </c>
      <c r="E23" s="51">
        <f t="shared" si="0"/>
        <v>402</v>
      </c>
      <c r="F23" s="69">
        <f t="shared" si="1"/>
        <v>2.0978473581213306</v>
      </c>
      <c r="G23" s="70">
        <f t="shared" si="2"/>
        <v>404.09784735812133</v>
      </c>
      <c r="H23" s="69">
        <f t="shared" si="3"/>
        <v>15.33</v>
      </c>
      <c r="I23" s="271">
        <v>0.08</v>
      </c>
      <c r="J23" s="271">
        <v>15.25</v>
      </c>
      <c r="K23" s="51">
        <f t="shared" si="5"/>
        <v>26.223091976516635</v>
      </c>
      <c r="L23" s="52">
        <f t="shared" si="6"/>
        <v>115.45590345727332</v>
      </c>
      <c r="M23" s="45">
        <f t="shared" si="11"/>
        <v>13</v>
      </c>
      <c r="N23" s="274"/>
      <c r="O23" s="274"/>
      <c r="P23" s="274"/>
      <c r="Q23" s="274"/>
      <c r="R23" s="310"/>
      <c r="S23" s="180" t="e">
        <f t="shared" si="7"/>
        <v>#DIV/0!</v>
      </c>
      <c r="T23" s="55"/>
    </row>
    <row r="24" spans="1:20" x14ac:dyDescent="0.25">
      <c r="A24" s="285">
        <f t="shared" si="12"/>
        <v>44026</v>
      </c>
      <c r="B24" s="272">
        <v>65</v>
      </c>
      <c r="C24" s="159">
        <f t="shared" si="14"/>
        <v>180015</v>
      </c>
      <c r="D24" s="274">
        <v>180429</v>
      </c>
      <c r="E24" s="51">
        <f t="shared" si="0"/>
        <v>414</v>
      </c>
      <c r="F24" s="69">
        <f t="shared" si="1"/>
        <v>2.1604696673189823</v>
      </c>
      <c r="G24" s="70">
        <f t="shared" si="2"/>
        <v>416.16046966731898</v>
      </c>
      <c r="H24" s="69">
        <f t="shared" si="3"/>
        <v>15.33</v>
      </c>
      <c r="I24" s="271">
        <v>0.08</v>
      </c>
      <c r="J24" s="271">
        <v>15.25</v>
      </c>
      <c r="K24" s="51">
        <f t="shared" si="5"/>
        <v>27.00587084148728</v>
      </c>
      <c r="L24" s="52">
        <f t="shared" si="6"/>
        <v>118.90234833659493</v>
      </c>
      <c r="M24" s="45">
        <f t="shared" si="11"/>
        <v>14</v>
      </c>
      <c r="N24" s="274"/>
      <c r="O24" s="274"/>
      <c r="P24" s="274"/>
      <c r="Q24" s="274"/>
      <c r="R24" s="310"/>
      <c r="S24" s="180" t="e">
        <f t="shared" si="7"/>
        <v>#DIV/0!</v>
      </c>
      <c r="T24" s="55"/>
    </row>
    <row r="25" spans="1:20" x14ac:dyDescent="0.25">
      <c r="A25" s="285">
        <f t="shared" si="12"/>
        <v>44027</v>
      </c>
      <c r="B25" s="272">
        <v>54.16</v>
      </c>
      <c r="C25" s="159">
        <f t="shared" si="14"/>
        <v>180429</v>
      </c>
      <c r="D25" s="274">
        <v>180873</v>
      </c>
      <c r="E25" s="51">
        <f t="shared" si="0"/>
        <v>444</v>
      </c>
      <c r="F25" s="69">
        <f t="shared" si="1"/>
        <v>2.2930923176242737</v>
      </c>
      <c r="G25" s="70">
        <f t="shared" si="2"/>
        <v>446.29309231762426</v>
      </c>
      <c r="H25" s="69">
        <f t="shared" si="3"/>
        <v>15.49</v>
      </c>
      <c r="I25" s="271">
        <v>0.08</v>
      </c>
      <c r="J25" s="271">
        <v>15.41</v>
      </c>
      <c r="K25" s="51">
        <f t="shared" si="5"/>
        <v>28.663653970303422</v>
      </c>
      <c r="L25" s="52">
        <f t="shared" si="6"/>
        <v>126.20129115558424</v>
      </c>
      <c r="M25" s="45">
        <f t="shared" si="11"/>
        <v>15</v>
      </c>
      <c r="N25" s="274"/>
      <c r="O25" s="274"/>
      <c r="P25" s="274"/>
      <c r="Q25" s="274"/>
      <c r="R25" s="310"/>
      <c r="S25" s="180" t="e">
        <f t="shared" si="7"/>
        <v>#DIV/0!</v>
      </c>
      <c r="T25" s="55"/>
    </row>
    <row r="26" spans="1:20" x14ac:dyDescent="0.25">
      <c r="A26" s="285">
        <f t="shared" si="12"/>
        <v>44028</v>
      </c>
      <c r="B26" s="272">
        <v>57</v>
      </c>
      <c r="C26" s="160">
        <f t="shared" si="14"/>
        <v>180873</v>
      </c>
      <c r="D26" s="274">
        <v>181329</v>
      </c>
      <c r="E26" s="51">
        <f t="shared" si="0"/>
        <v>456</v>
      </c>
      <c r="F26" s="69">
        <f t="shared" si="1"/>
        <v>2.3796477495107631</v>
      </c>
      <c r="G26" s="70">
        <f t="shared" si="2"/>
        <v>458.37964774951075</v>
      </c>
      <c r="H26" s="69">
        <f t="shared" si="3"/>
        <v>15.33</v>
      </c>
      <c r="I26" s="271">
        <v>0.08</v>
      </c>
      <c r="J26" s="271">
        <v>15.25</v>
      </c>
      <c r="K26" s="51">
        <f t="shared" si="5"/>
        <v>29.74559686888454</v>
      </c>
      <c r="L26" s="52">
        <f t="shared" si="6"/>
        <v>130.96490541422048</v>
      </c>
      <c r="M26" s="45">
        <f t="shared" si="11"/>
        <v>16</v>
      </c>
      <c r="N26" s="274"/>
      <c r="O26" s="274"/>
      <c r="P26" s="274"/>
      <c r="Q26" s="274"/>
      <c r="R26" s="310"/>
      <c r="S26" s="180" t="e">
        <f t="shared" si="7"/>
        <v>#DIV/0!</v>
      </c>
      <c r="T26" s="55"/>
    </row>
    <row r="27" spans="1:20" x14ac:dyDescent="0.25">
      <c r="A27" s="285">
        <f t="shared" si="12"/>
        <v>44029</v>
      </c>
      <c r="B27" s="272">
        <v>55.2</v>
      </c>
      <c r="C27" s="160">
        <f>D26</f>
        <v>181329</v>
      </c>
      <c r="D27" s="274">
        <v>181839</v>
      </c>
      <c r="E27" s="51">
        <f t="shared" si="0"/>
        <v>510</v>
      </c>
      <c r="F27" s="69">
        <f t="shared" si="1"/>
        <v>2.6476314081765087</v>
      </c>
      <c r="G27" s="70">
        <f t="shared" si="2"/>
        <v>512.64763140817649</v>
      </c>
      <c r="H27" s="69">
        <f t="shared" si="3"/>
        <v>15.41</v>
      </c>
      <c r="I27" s="271">
        <v>0.08</v>
      </c>
      <c r="J27" s="271">
        <v>15.33</v>
      </c>
      <c r="K27" s="51">
        <f>E27/H27</f>
        <v>33.09539260220636</v>
      </c>
      <c r="L27" s="52">
        <f t="shared" si="6"/>
        <v>145.71349772874757</v>
      </c>
      <c r="M27" s="45">
        <f t="shared" si="11"/>
        <v>17</v>
      </c>
      <c r="N27" s="315"/>
      <c r="O27" s="315"/>
      <c r="P27" s="274"/>
      <c r="Q27" s="274"/>
      <c r="R27" s="310"/>
      <c r="S27" s="180" t="e">
        <f>R27/Q27</f>
        <v>#DIV/0!</v>
      </c>
      <c r="T27" s="55"/>
    </row>
    <row r="28" spans="1:20" x14ac:dyDescent="0.25">
      <c r="A28" s="285">
        <f t="shared" si="12"/>
        <v>44030</v>
      </c>
      <c r="B28" s="273">
        <v>48.6</v>
      </c>
      <c r="C28" s="159">
        <f>D27</f>
        <v>181839</v>
      </c>
      <c r="D28" s="274">
        <v>182365</v>
      </c>
      <c r="E28" s="51">
        <f t="shared" si="0"/>
        <v>526</v>
      </c>
      <c r="F28" s="69">
        <f t="shared" si="1"/>
        <v>2.7306943543153794</v>
      </c>
      <c r="G28" s="70">
        <f t="shared" si="2"/>
        <v>528.73069435431535</v>
      </c>
      <c r="H28" s="69">
        <f t="shared" si="3"/>
        <v>15.41</v>
      </c>
      <c r="I28" s="271">
        <v>0.08</v>
      </c>
      <c r="J28" s="271">
        <v>15.33</v>
      </c>
      <c r="K28" s="51">
        <f t="shared" si="5"/>
        <v>34.133679428942244</v>
      </c>
      <c r="L28" s="52">
        <f t="shared" si="6"/>
        <v>150.28490157906123</v>
      </c>
      <c r="M28" s="45">
        <f t="shared" si="11"/>
        <v>18</v>
      </c>
      <c r="N28" s="274"/>
      <c r="O28" s="274"/>
      <c r="P28" s="274"/>
      <c r="Q28" s="274"/>
      <c r="R28" s="310"/>
      <c r="S28" s="180" t="e">
        <f t="shared" si="7"/>
        <v>#DIV/0!</v>
      </c>
      <c r="T28" s="50"/>
    </row>
    <row r="29" spans="1:20" x14ac:dyDescent="0.25">
      <c r="A29" s="285">
        <f t="shared" si="12"/>
        <v>44031</v>
      </c>
      <c r="B29" s="273">
        <v>52.33</v>
      </c>
      <c r="C29" s="159">
        <f>D28</f>
        <v>182365</v>
      </c>
      <c r="D29" s="274">
        <v>182823</v>
      </c>
      <c r="E29" s="51">
        <f t="shared" si="0"/>
        <v>458</v>
      </c>
      <c r="F29" s="69">
        <f t="shared" si="1"/>
        <v>2.3776768332251788</v>
      </c>
      <c r="G29" s="70">
        <f t="shared" si="2"/>
        <v>460.37767683322517</v>
      </c>
      <c r="H29" s="69">
        <f t="shared" si="3"/>
        <v>15.41</v>
      </c>
      <c r="I29" s="271">
        <v>0.08</v>
      </c>
      <c r="J29" s="271">
        <v>15.33</v>
      </c>
      <c r="K29" s="51">
        <f t="shared" si="5"/>
        <v>29.720960415314732</v>
      </c>
      <c r="L29" s="52">
        <f t="shared" si="6"/>
        <v>130.85643521522823</v>
      </c>
      <c r="M29" s="45">
        <f t="shared" si="11"/>
        <v>19</v>
      </c>
      <c r="N29" s="274"/>
      <c r="O29" s="274"/>
      <c r="P29" s="274"/>
      <c r="Q29" s="274"/>
      <c r="R29" s="310"/>
      <c r="S29" s="180" t="e">
        <f t="shared" si="7"/>
        <v>#DIV/0!</v>
      </c>
      <c r="T29" s="55"/>
    </row>
    <row r="30" spans="1:20" x14ac:dyDescent="0.25">
      <c r="A30" s="285">
        <f t="shared" si="12"/>
        <v>44032</v>
      </c>
      <c r="B30" s="272">
        <v>50.34</v>
      </c>
      <c r="C30" s="160">
        <f>D29</f>
        <v>182823</v>
      </c>
      <c r="D30" s="274">
        <v>183269</v>
      </c>
      <c r="E30" s="51">
        <f t="shared" si="0"/>
        <v>446</v>
      </c>
      <c r="F30" s="69">
        <f t="shared" si="1"/>
        <v>2.3535620052770447</v>
      </c>
      <c r="G30" s="70">
        <f t="shared" si="2"/>
        <v>448.35356200527707</v>
      </c>
      <c r="H30" s="69">
        <f t="shared" si="3"/>
        <v>15.16</v>
      </c>
      <c r="I30" s="271">
        <v>0.08</v>
      </c>
      <c r="J30" s="271">
        <v>15.08</v>
      </c>
      <c r="K30" s="51">
        <f t="shared" si="5"/>
        <v>29.419525065963061</v>
      </c>
      <c r="L30" s="52">
        <f t="shared" si="6"/>
        <v>129.5292656112577</v>
      </c>
      <c r="M30" s="45">
        <f t="shared" si="11"/>
        <v>20</v>
      </c>
      <c r="N30" s="274"/>
      <c r="O30" s="274"/>
      <c r="P30" s="274"/>
      <c r="Q30" s="274"/>
      <c r="R30" s="310"/>
      <c r="S30" s="180" t="e">
        <f t="shared" si="7"/>
        <v>#DIV/0!</v>
      </c>
      <c r="T30" s="55"/>
    </row>
    <row r="31" spans="1:20" x14ac:dyDescent="0.25">
      <c r="A31" s="285">
        <f t="shared" si="12"/>
        <v>44033</v>
      </c>
      <c r="B31" s="272">
        <v>49</v>
      </c>
      <c r="C31" s="159">
        <f t="shared" si="14"/>
        <v>183269</v>
      </c>
      <c r="D31" s="274">
        <v>183734</v>
      </c>
      <c r="E31" s="51">
        <f t="shared" si="0"/>
        <v>465</v>
      </c>
      <c r="F31" s="69">
        <f t="shared" si="1"/>
        <v>2.4266144814090023</v>
      </c>
      <c r="G31" s="70">
        <f t="shared" si="2"/>
        <v>467.42661448140899</v>
      </c>
      <c r="H31" s="69">
        <f t="shared" si="3"/>
        <v>15.33</v>
      </c>
      <c r="I31" s="271">
        <v>0.08</v>
      </c>
      <c r="J31" s="271">
        <v>15.25</v>
      </c>
      <c r="K31" s="51">
        <f t="shared" si="5"/>
        <v>30.332681017612526</v>
      </c>
      <c r="L31" s="52">
        <f t="shared" si="6"/>
        <v>133.54973907371169</v>
      </c>
      <c r="M31" s="45">
        <f t="shared" si="11"/>
        <v>21</v>
      </c>
      <c r="N31" s="274"/>
      <c r="O31" s="274"/>
      <c r="P31" s="274"/>
      <c r="Q31" s="274"/>
      <c r="R31" s="310"/>
      <c r="S31" s="180" t="e">
        <f t="shared" si="7"/>
        <v>#DIV/0!</v>
      </c>
      <c r="T31" s="55"/>
    </row>
    <row r="32" spans="1:20" x14ac:dyDescent="0.25">
      <c r="A32" s="285">
        <f t="shared" si="12"/>
        <v>44034</v>
      </c>
      <c r="B32" s="272">
        <v>52.18</v>
      </c>
      <c r="C32" s="159">
        <f>D31</f>
        <v>183734</v>
      </c>
      <c r="D32" s="274">
        <v>184180</v>
      </c>
      <c r="E32" s="51">
        <f t="shared" si="0"/>
        <v>446</v>
      </c>
      <c r="F32" s="69">
        <f t="shared" si="1"/>
        <v>2.3274624918460534</v>
      </c>
      <c r="G32" s="70">
        <f t="shared" si="2"/>
        <v>448.32746249184606</v>
      </c>
      <c r="H32" s="69">
        <f t="shared" si="3"/>
        <v>15.33</v>
      </c>
      <c r="I32" s="271">
        <v>0.08</v>
      </c>
      <c r="J32" s="271">
        <v>15.25</v>
      </c>
      <c r="K32" s="51">
        <f t="shared" si="5"/>
        <v>29.093281148075668</v>
      </c>
      <c r="L32" s="52">
        <f t="shared" si="6"/>
        <v>128.09286801478584</v>
      </c>
      <c r="M32" s="45">
        <f t="shared" si="11"/>
        <v>22</v>
      </c>
      <c r="N32" s="316"/>
      <c r="O32" s="316"/>
      <c r="P32" s="309"/>
      <c r="Q32" s="309"/>
      <c r="R32" s="311"/>
      <c r="S32" s="180" t="e">
        <f t="shared" si="7"/>
        <v>#DIV/0!</v>
      </c>
      <c r="T32" s="55"/>
    </row>
    <row r="33" spans="1:20" x14ac:dyDescent="0.25">
      <c r="A33" s="285">
        <f t="shared" si="12"/>
        <v>44035</v>
      </c>
      <c r="B33" s="273">
        <v>44.8</v>
      </c>
      <c r="C33" s="160">
        <f>D32</f>
        <v>184180</v>
      </c>
      <c r="D33" s="274">
        <v>184614</v>
      </c>
      <c r="E33" s="51">
        <f t="shared" si="0"/>
        <v>434</v>
      </c>
      <c r="F33" s="69">
        <f t="shared" si="1"/>
        <v>2.2767213114754101</v>
      </c>
      <c r="G33" s="70">
        <f t="shared" si="2"/>
        <v>436.2767213114754</v>
      </c>
      <c r="H33" s="69">
        <f t="shared" si="3"/>
        <v>15.25</v>
      </c>
      <c r="I33" s="271">
        <v>0.08</v>
      </c>
      <c r="J33" s="271">
        <v>15.17</v>
      </c>
      <c r="K33" s="51">
        <f t="shared" si="5"/>
        <v>28.459016393442624</v>
      </c>
      <c r="L33" s="52">
        <f>K33*264.17/60</f>
        <v>125.30030601092898</v>
      </c>
      <c r="M33" s="45">
        <f t="shared" si="11"/>
        <v>23</v>
      </c>
      <c r="N33" s="309"/>
      <c r="O33" s="309"/>
      <c r="P33" s="309"/>
      <c r="Q33" s="309"/>
      <c r="R33" s="311"/>
      <c r="S33" s="180" t="e">
        <f t="shared" si="7"/>
        <v>#DIV/0!</v>
      </c>
      <c r="T33" s="55"/>
    </row>
    <row r="34" spans="1:20" x14ac:dyDescent="0.25">
      <c r="A34" s="285">
        <f t="shared" si="12"/>
        <v>44036</v>
      </c>
      <c r="B34" s="272">
        <v>50.37</v>
      </c>
      <c r="C34" s="159">
        <f t="shared" si="14"/>
        <v>184614</v>
      </c>
      <c r="D34" s="274">
        <v>185039</v>
      </c>
      <c r="E34" s="51">
        <f t="shared" si="0"/>
        <v>425</v>
      </c>
      <c r="F34" s="69">
        <f t="shared" si="1"/>
        <v>2.193548387096774</v>
      </c>
      <c r="G34" s="70">
        <f t="shared" si="2"/>
        <v>427.19354838709677</v>
      </c>
      <c r="H34" s="69">
        <f t="shared" si="3"/>
        <v>15.5</v>
      </c>
      <c r="I34" s="271">
        <v>0.08</v>
      </c>
      <c r="J34" s="271">
        <v>15.42</v>
      </c>
      <c r="K34" s="51">
        <f t="shared" si="5"/>
        <v>27.419354838709676</v>
      </c>
      <c r="L34" s="52">
        <f t="shared" si="6"/>
        <v>120.72284946236559</v>
      </c>
      <c r="M34" s="45">
        <f t="shared" si="11"/>
        <v>24</v>
      </c>
      <c r="N34" s="309"/>
      <c r="O34" s="309"/>
      <c r="P34" s="309"/>
      <c r="Q34" s="309"/>
      <c r="R34" s="311"/>
      <c r="S34" s="180" t="e">
        <f t="shared" si="7"/>
        <v>#DIV/0!</v>
      </c>
      <c r="T34" s="55"/>
    </row>
    <row r="35" spans="1:20" x14ac:dyDescent="0.25">
      <c r="A35" s="285">
        <f t="shared" si="12"/>
        <v>44037</v>
      </c>
      <c r="B35" s="272">
        <v>53.2</v>
      </c>
      <c r="C35" s="160">
        <f t="shared" si="14"/>
        <v>185039</v>
      </c>
      <c r="D35" s="274">
        <v>185479</v>
      </c>
      <c r="E35" s="51">
        <f t="shared" si="0"/>
        <v>440</v>
      </c>
      <c r="F35" s="69">
        <f t="shared" si="1"/>
        <v>2.259306803594352</v>
      </c>
      <c r="G35" s="70">
        <f t="shared" si="2"/>
        <v>442.25930680359437</v>
      </c>
      <c r="H35" s="69">
        <f t="shared" si="3"/>
        <v>15.58</v>
      </c>
      <c r="I35" s="271">
        <v>0.08</v>
      </c>
      <c r="J35" s="271">
        <v>15.5</v>
      </c>
      <c r="K35" s="51">
        <f t="shared" si="5"/>
        <v>28.241335044929397</v>
      </c>
      <c r="L35" s="52">
        <f t="shared" si="6"/>
        <v>124.34189131364998</v>
      </c>
      <c r="M35" s="45">
        <f t="shared" si="11"/>
        <v>25</v>
      </c>
      <c r="N35" s="309"/>
      <c r="O35" s="309"/>
      <c r="P35" s="309"/>
      <c r="Q35" s="309"/>
      <c r="R35" s="311"/>
      <c r="S35" s="180" t="e">
        <f t="shared" si="7"/>
        <v>#DIV/0!</v>
      </c>
      <c r="T35" s="55"/>
    </row>
    <row r="36" spans="1:20" x14ac:dyDescent="0.25">
      <c r="A36" s="285">
        <f t="shared" si="12"/>
        <v>44038</v>
      </c>
      <c r="B36" s="272">
        <v>49.42</v>
      </c>
      <c r="C36" s="159">
        <f t="shared" si="14"/>
        <v>185479</v>
      </c>
      <c r="D36" s="274">
        <v>185920</v>
      </c>
      <c r="E36" s="51">
        <f t="shared" si="0"/>
        <v>441</v>
      </c>
      <c r="F36" s="69">
        <f t="shared" si="1"/>
        <v>2.2761290322580647</v>
      </c>
      <c r="G36" s="70">
        <f t="shared" si="2"/>
        <v>443.27612903225804</v>
      </c>
      <c r="H36" s="69">
        <f t="shared" si="3"/>
        <v>15.5</v>
      </c>
      <c r="I36" s="271">
        <v>0.08</v>
      </c>
      <c r="J36" s="271">
        <v>15.42</v>
      </c>
      <c r="K36" s="51">
        <f t="shared" si="5"/>
        <v>28.451612903225808</v>
      </c>
      <c r="L36" s="52">
        <f t="shared" si="6"/>
        <v>125.26770967741936</v>
      </c>
      <c r="M36" s="45">
        <f t="shared" si="11"/>
        <v>26</v>
      </c>
      <c r="N36" s="309"/>
      <c r="O36" s="309"/>
      <c r="P36" s="309"/>
      <c r="Q36" s="309"/>
      <c r="R36" s="311"/>
      <c r="S36" s="180" t="e">
        <f t="shared" si="7"/>
        <v>#DIV/0!</v>
      </c>
      <c r="T36" s="55"/>
    </row>
    <row r="37" spans="1:20" x14ac:dyDescent="0.25">
      <c r="A37" s="285">
        <f t="shared" si="12"/>
        <v>44039</v>
      </c>
      <c r="B37" s="272">
        <v>51</v>
      </c>
      <c r="C37" s="160">
        <f t="shared" si="14"/>
        <v>185920</v>
      </c>
      <c r="D37" s="274">
        <v>186368</v>
      </c>
      <c r="E37" s="51">
        <f t="shared" si="0"/>
        <v>448</v>
      </c>
      <c r="F37" s="69">
        <f t="shared" si="1"/>
        <v>2.3257624918883839</v>
      </c>
      <c r="G37" s="70">
        <f t="shared" si="2"/>
        <v>450.32576249188838</v>
      </c>
      <c r="H37" s="69">
        <f t="shared" si="3"/>
        <v>15.41</v>
      </c>
      <c r="I37" s="271">
        <v>0.08</v>
      </c>
      <c r="J37" s="271">
        <v>15.33</v>
      </c>
      <c r="K37" s="51">
        <f t="shared" si="5"/>
        <v>29.0720311486048</v>
      </c>
      <c r="L37" s="52">
        <f t="shared" si="6"/>
        <v>127.99930780878218</v>
      </c>
      <c r="M37" s="45">
        <f t="shared" si="11"/>
        <v>27</v>
      </c>
      <c r="N37" s="309"/>
      <c r="O37" s="309"/>
      <c r="P37" s="309"/>
      <c r="Q37" s="309"/>
      <c r="R37" s="311"/>
      <c r="S37" s="180" t="e">
        <f t="shared" si="7"/>
        <v>#DIV/0!</v>
      </c>
      <c r="T37" s="55"/>
    </row>
    <row r="38" spans="1:20" x14ac:dyDescent="0.25">
      <c r="A38" s="285">
        <f t="shared" si="12"/>
        <v>44040</v>
      </c>
      <c r="B38" s="272">
        <v>53.85</v>
      </c>
      <c r="C38" s="160">
        <f t="shared" si="14"/>
        <v>186368</v>
      </c>
      <c r="D38" s="274">
        <v>186815</v>
      </c>
      <c r="E38" s="51">
        <f t="shared" si="0"/>
        <v>447</v>
      </c>
      <c r="F38" s="69">
        <f t="shared" si="1"/>
        <v>2.3326810176125243</v>
      </c>
      <c r="G38" s="70">
        <f t="shared" si="2"/>
        <v>449.33268101761252</v>
      </c>
      <c r="H38" s="69">
        <f t="shared" si="3"/>
        <v>15.33</v>
      </c>
      <c r="I38" s="271">
        <v>0.08</v>
      </c>
      <c r="J38" s="271">
        <v>15.25</v>
      </c>
      <c r="K38" s="51">
        <f t="shared" si="5"/>
        <v>29.158512720156555</v>
      </c>
      <c r="L38" s="52">
        <f t="shared" si="6"/>
        <v>128.3800717547293</v>
      </c>
      <c r="M38" s="45">
        <f t="shared" si="11"/>
        <v>28</v>
      </c>
      <c r="N38" s="309"/>
      <c r="O38" s="309"/>
      <c r="P38" s="309"/>
      <c r="Q38" s="309"/>
      <c r="R38" s="311"/>
      <c r="S38" s="180" t="e">
        <f t="shared" si="7"/>
        <v>#DIV/0!</v>
      </c>
      <c r="T38" s="55"/>
    </row>
    <row r="39" spans="1:20" x14ac:dyDescent="0.25">
      <c r="A39" s="285">
        <v>44041</v>
      </c>
      <c r="B39" s="272">
        <v>52.85</v>
      </c>
      <c r="C39" s="160">
        <f t="shared" si="14"/>
        <v>186815</v>
      </c>
      <c r="D39" s="274">
        <v>187174</v>
      </c>
      <c r="E39" s="51">
        <f t="shared" si="0"/>
        <v>359</v>
      </c>
      <c r="F39" s="69">
        <f t="shared" si="1"/>
        <v>2.1957186544342511</v>
      </c>
      <c r="G39" s="70">
        <f t="shared" si="2"/>
        <v>361.19571865443424</v>
      </c>
      <c r="H39" s="69">
        <f t="shared" si="3"/>
        <v>13.08</v>
      </c>
      <c r="I39" s="271">
        <v>0.08</v>
      </c>
      <c r="J39" s="271">
        <v>13</v>
      </c>
      <c r="K39" s="51">
        <f t="shared" si="5"/>
        <v>27.446483180428135</v>
      </c>
      <c r="L39" s="52">
        <f t="shared" si="6"/>
        <v>120.84229102956168</v>
      </c>
      <c r="M39" s="45">
        <f t="shared" si="11"/>
        <v>29</v>
      </c>
      <c r="N39" s="309"/>
      <c r="O39" s="309"/>
      <c r="P39" s="309"/>
      <c r="Q39" s="309"/>
      <c r="R39" s="311"/>
      <c r="S39" s="180" t="e">
        <f t="shared" si="7"/>
        <v>#DIV/0!</v>
      </c>
      <c r="T39" s="55"/>
    </row>
    <row r="40" spans="1:20" hidden="1" x14ac:dyDescent="0.25">
      <c r="A40" s="285">
        <v>44011</v>
      </c>
      <c r="B40" s="272"/>
      <c r="C40" s="160"/>
      <c r="D40" s="274"/>
      <c r="E40" s="51">
        <f t="shared" si="0"/>
        <v>0</v>
      </c>
      <c r="F40" s="69">
        <f t="shared" si="1"/>
        <v>0</v>
      </c>
      <c r="G40" s="70">
        <f t="shared" si="2"/>
        <v>0</v>
      </c>
      <c r="H40" s="69">
        <f t="shared" si="3"/>
        <v>0.08</v>
      </c>
      <c r="I40" s="271">
        <v>0.08</v>
      </c>
      <c r="J40" s="271"/>
      <c r="K40" s="51">
        <f t="shared" ref="K40" si="15">E40/H40</f>
        <v>0</v>
      </c>
      <c r="L40" s="52">
        <f t="shared" ref="L40" si="16">K40*264.17/60</f>
        <v>0</v>
      </c>
      <c r="M40" s="45">
        <f t="shared" si="11"/>
        <v>30</v>
      </c>
      <c r="N40" s="309"/>
      <c r="O40" s="309"/>
      <c r="P40" s="309"/>
      <c r="Q40" s="309"/>
      <c r="R40" s="311"/>
      <c r="S40" s="180" t="e">
        <f t="shared" si="7"/>
        <v>#DIV/0!</v>
      </c>
      <c r="T40" s="55"/>
    </row>
    <row r="41" spans="1:20" hidden="1" x14ac:dyDescent="0.25">
      <c r="A41" s="285">
        <v>44012</v>
      </c>
      <c r="B41" s="272"/>
      <c r="C41" s="160">
        <f t="shared" si="14"/>
        <v>0</v>
      </c>
      <c r="D41" s="274"/>
      <c r="E41" s="51">
        <f t="shared" si="0"/>
        <v>0</v>
      </c>
      <c r="F41" s="69">
        <f t="shared" si="1"/>
        <v>0</v>
      </c>
      <c r="G41" s="70">
        <f t="shared" si="2"/>
        <v>0</v>
      </c>
      <c r="H41" s="69">
        <v>12</v>
      </c>
      <c r="I41" s="271">
        <v>0.08</v>
      </c>
      <c r="J41" s="271"/>
      <c r="K41" s="51">
        <f t="shared" si="5"/>
        <v>0</v>
      </c>
      <c r="L41" s="52">
        <f t="shared" si="6"/>
        <v>0</v>
      </c>
      <c r="M41" s="45">
        <f t="shared" si="11"/>
        <v>31</v>
      </c>
      <c r="N41" s="309"/>
      <c r="O41" s="309"/>
      <c r="P41" s="309"/>
      <c r="Q41" s="309"/>
      <c r="R41" s="311"/>
      <c r="S41" s="180" t="e">
        <f t="shared" si="7"/>
        <v>#DIV/0!</v>
      </c>
      <c r="T41" s="55"/>
    </row>
    <row r="42" spans="1:20" x14ac:dyDescent="0.25">
      <c r="A42" s="150" t="s">
        <v>178</v>
      </c>
      <c r="B42" s="52">
        <f>SUM(B10:B41)</f>
        <v>1600.7399999999996</v>
      </c>
      <c r="C42" s="49"/>
      <c r="D42" s="50"/>
      <c r="E42" s="51">
        <f>SUM(E10:E39)</f>
        <v>12999</v>
      </c>
      <c r="F42" s="52">
        <f t="shared" ref="F42:L42" si="17">SUM(F10:F41)</f>
        <v>71.030323104307357</v>
      </c>
      <c r="G42" s="52">
        <f t="shared" si="17"/>
        <v>13070.030323104309</v>
      </c>
      <c r="H42" s="52">
        <f t="shared" si="17"/>
        <v>457.03666666666675</v>
      </c>
      <c r="I42" s="52">
        <f t="shared" si="17"/>
        <v>2.576666666666668</v>
      </c>
      <c r="J42" s="52">
        <f t="shared" si="17"/>
        <v>442.53999999999996</v>
      </c>
      <c r="K42" s="52">
        <f t="shared" si="17"/>
        <v>881.2254647996233</v>
      </c>
      <c r="L42" s="52">
        <f t="shared" si="17"/>
        <v>3879.8888506019421</v>
      </c>
      <c r="M42" s="45"/>
      <c r="N42" s="461" t="s">
        <v>6</v>
      </c>
      <c r="O42" s="462"/>
      <c r="P42" s="50">
        <f>SUM(P10:P41)</f>
        <v>0</v>
      </c>
      <c r="Q42" s="50">
        <f>SUM(Q10:Q38)</f>
        <v>0</v>
      </c>
      <c r="R42" s="179">
        <f>SUM(R10:R38)</f>
        <v>0</v>
      </c>
      <c r="S42" s="180" t="e">
        <f>R42/Q42</f>
        <v>#DIV/0!</v>
      </c>
      <c r="T42" s="55"/>
    </row>
    <row r="43" spans="1:20" x14ac:dyDescent="0.25">
      <c r="A43" s="150" t="s">
        <v>177</v>
      </c>
      <c r="B43" s="52">
        <f>B42/E5</f>
        <v>55.197931034482743</v>
      </c>
      <c r="C43" s="49"/>
      <c r="D43" s="50"/>
      <c r="E43" s="52">
        <f>E42/E5</f>
        <v>448.24137931034483</v>
      </c>
      <c r="F43" s="52">
        <f>F42/E5</f>
        <v>2.449321486355426</v>
      </c>
      <c r="G43" s="52">
        <f>G42/E5</f>
        <v>450.6907007967003</v>
      </c>
      <c r="H43" s="52">
        <f>H42/E5</f>
        <v>15.759885057471267</v>
      </c>
      <c r="I43" s="52">
        <f>I42/E5</f>
        <v>8.8850574712643723E-2</v>
      </c>
      <c r="J43" s="52">
        <f>J42/E5</f>
        <v>15.259999999999998</v>
      </c>
      <c r="K43" s="52">
        <f>K42/E5</f>
        <v>30.387084993090458</v>
      </c>
      <c r="L43" s="52">
        <f>L42/E5</f>
        <v>133.78927071041178</v>
      </c>
      <c r="M43" s="45"/>
      <c r="N43" s="45"/>
      <c r="O43" s="45"/>
      <c r="P43" s="77"/>
      <c r="Q43" s="77"/>
      <c r="R43" s="77"/>
      <c r="S43" s="77"/>
      <c r="T43" s="77"/>
    </row>
    <row r="44" spans="1:20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77"/>
      <c r="Q44" s="77"/>
      <c r="R44" s="77"/>
      <c r="S44" s="77"/>
      <c r="T44" s="77"/>
    </row>
    <row r="45" spans="1:20" x14ac:dyDescent="0.25">
      <c r="A45" s="45" t="s">
        <v>93</v>
      </c>
      <c r="B45" s="45"/>
      <c r="C45" s="45"/>
      <c r="D45" s="45"/>
      <c r="E45" s="161">
        <f>D39-C10</f>
        <v>12999</v>
      </c>
      <c r="F45" s="45"/>
      <c r="G45" s="45"/>
      <c r="H45" s="45"/>
      <c r="I45" s="45" t="s">
        <v>94</v>
      </c>
      <c r="J45" s="45"/>
      <c r="K45" s="45"/>
      <c r="L45" s="45"/>
      <c r="M45" s="45"/>
      <c r="N45" s="45"/>
      <c r="O45" s="77"/>
      <c r="P45" s="77"/>
      <c r="Q45" s="77"/>
      <c r="R45" s="77"/>
      <c r="S45" s="77"/>
      <c r="T45" s="77"/>
    </row>
    <row r="46" spans="1:20" x14ac:dyDescent="0.25">
      <c r="A46" s="53" t="s">
        <v>205</v>
      </c>
      <c r="B46" s="53" t="s">
        <v>206</v>
      </c>
      <c r="C46" s="53"/>
      <c r="D46" s="45"/>
      <c r="E46" s="71"/>
      <c r="F46" s="45"/>
      <c r="G46" s="45"/>
      <c r="H46" s="45"/>
      <c r="I46" s="77" t="s">
        <v>274</v>
      </c>
      <c r="J46" s="45"/>
      <c r="K46" s="45"/>
      <c r="L46" s="45"/>
      <c r="M46" s="45"/>
      <c r="N46" s="45"/>
      <c r="O46" s="45"/>
      <c r="P46" s="77"/>
      <c r="Q46" s="77"/>
      <c r="R46" s="77"/>
      <c r="S46" s="77"/>
      <c r="T46" s="77"/>
    </row>
    <row r="47" spans="1:20" x14ac:dyDescent="0.25">
      <c r="A47" s="53" t="s">
        <v>207</v>
      </c>
      <c r="B47" s="53"/>
      <c r="C47" s="53" t="s">
        <v>208</v>
      </c>
      <c r="D47" s="45"/>
      <c r="E47" s="71"/>
      <c r="F47" s="45"/>
      <c r="G47" s="45"/>
      <c r="H47" s="45"/>
      <c r="I47" s="45" t="s">
        <v>209</v>
      </c>
      <c r="J47" s="45"/>
      <c r="K47" s="45"/>
      <c r="L47" s="45"/>
      <c r="M47" s="45"/>
      <c r="N47" s="45"/>
      <c r="O47" s="45"/>
      <c r="P47" s="77"/>
      <c r="Q47" s="77"/>
      <c r="R47" s="77"/>
      <c r="S47" s="77"/>
      <c r="T47" s="77"/>
    </row>
    <row r="48" spans="1:20" x14ac:dyDescent="0.25">
      <c r="A48" s="74"/>
      <c r="B48" s="74"/>
      <c r="C48" s="53"/>
      <c r="D48" s="45"/>
      <c r="E48" s="45"/>
      <c r="F48" s="45"/>
      <c r="G48" s="45"/>
      <c r="H48" s="45"/>
      <c r="I48" s="45"/>
      <c r="K48" s="45"/>
      <c r="L48" s="45"/>
      <c r="M48" s="45"/>
      <c r="N48" s="45"/>
      <c r="O48" s="45"/>
    </row>
    <row r="49" spans="1:15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</row>
  </sheetData>
  <mergeCells count="4">
    <mergeCell ref="C7:D7"/>
    <mergeCell ref="N7:R7"/>
    <mergeCell ref="N8:O8"/>
    <mergeCell ref="N42:O42"/>
  </mergeCells>
  <pageMargins left="0.5" right="0.25" top="0.5" bottom="0.5" header="0.5" footer="0.5"/>
  <pageSetup scale="80" orientation="portrait" horizontalDpi="4294967294" verticalDpi="144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opLeftCell="A5" workbookViewId="0">
      <selection activeCell="J25" sqref="J25"/>
    </sheetView>
  </sheetViews>
  <sheetFormatPr defaultColWidth="11" defaultRowHeight="15.75" x14ac:dyDescent="0.25"/>
  <cols>
    <col min="1" max="1" width="10.5" customWidth="1"/>
    <col min="2" max="2" width="6.875" customWidth="1"/>
    <col min="3" max="3" width="9.875" customWidth="1"/>
    <col min="4" max="4" width="9.125" customWidth="1"/>
    <col min="5" max="5" width="10.125" customWidth="1"/>
    <col min="6" max="6" width="8.5" customWidth="1"/>
    <col min="7" max="7" width="9.875" customWidth="1"/>
    <col min="8" max="8" width="8.25" customWidth="1"/>
    <col min="9" max="9" width="7.5" customWidth="1"/>
    <col min="10" max="10" width="8.875" customWidth="1"/>
    <col min="11" max="11" width="8.375" customWidth="1"/>
    <col min="12" max="12" width="7.75" customWidth="1"/>
    <col min="13" max="13" width="3.25" customWidth="1"/>
    <col min="19" max="19" width="0" hidden="1" customWidth="1"/>
    <col min="21" max="21" width="13.5" customWidth="1"/>
  </cols>
  <sheetData>
    <row r="1" spans="1:21" x14ac:dyDescent="0.25">
      <c r="A1" s="157" t="s">
        <v>179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</row>
    <row r="2" spans="1:21" x14ac:dyDescent="0.25">
      <c r="A2" s="45" t="s">
        <v>180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</row>
    <row r="3" spans="1:21" x14ac:dyDescent="0.25">
      <c r="A3" s="45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</row>
    <row r="4" spans="1:21" x14ac:dyDescent="0.25">
      <c r="A4" s="45" t="s">
        <v>74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</row>
    <row r="5" spans="1:21" x14ac:dyDescent="0.25">
      <c r="A5" s="45" t="s">
        <v>75</v>
      </c>
      <c r="B5" s="282" t="s">
        <v>472</v>
      </c>
      <c r="C5" s="282"/>
      <c r="D5" s="45"/>
      <c r="E5" s="277">
        <v>29</v>
      </c>
      <c r="F5" s="45" t="s">
        <v>170</v>
      </c>
      <c r="G5" s="45"/>
      <c r="H5" s="45"/>
      <c r="I5" s="45"/>
      <c r="J5" s="45"/>
      <c r="K5" s="45"/>
      <c r="L5" s="45"/>
      <c r="M5" s="45"/>
      <c r="N5" s="45"/>
      <c r="O5" s="45"/>
    </row>
    <row r="6" spans="1:21" x14ac:dyDescent="0.25">
      <c r="A6" s="45" t="s">
        <v>76</v>
      </c>
      <c r="B6" s="45"/>
      <c r="C6" s="45" t="s">
        <v>210</v>
      </c>
      <c r="D6" s="45"/>
      <c r="E6" s="45"/>
      <c r="F6" s="45"/>
      <c r="G6" s="45" t="s">
        <v>182</v>
      </c>
      <c r="H6" s="45"/>
      <c r="I6" s="45"/>
      <c r="J6" s="45"/>
      <c r="K6" s="45"/>
      <c r="L6" s="45"/>
      <c r="M6" s="45"/>
      <c r="N6" s="45"/>
      <c r="O6" s="45"/>
    </row>
    <row r="7" spans="1:21" x14ac:dyDescent="0.25">
      <c r="A7" s="54" t="s">
        <v>77</v>
      </c>
      <c r="B7" s="54" t="s">
        <v>78</v>
      </c>
      <c r="C7" s="455" t="s">
        <v>79</v>
      </c>
      <c r="D7" s="456"/>
      <c r="E7" s="156" t="s">
        <v>203</v>
      </c>
      <c r="F7" s="156" t="s">
        <v>204</v>
      </c>
      <c r="G7" s="156" t="s">
        <v>81</v>
      </c>
      <c r="H7" s="153" t="s">
        <v>82</v>
      </c>
      <c r="I7" s="153" t="s">
        <v>80</v>
      </c>
      <c r="J7" s="153" t="s">
        <v>83</v>
      </c>
      <c r="K7" s="158" t="s">
        <v>84</v>
      </c>
      <c r="L7" s="153"/>
      <c r="M7" s="46"/>
      <c r="N7" s="457" t="s">
        <v>169</v>
      </c>
      <c r="O7" s="458"/>
      <c r="P7" s="458"/>
      <c r="Q7" s="458"/>
      <c r="R7" s="459"/>
    </row>
    <row r="8" spans="1:21" x14ac:dyDescent="0.25">
      <c r="A8" s="47"/>
      <c r="B8" s="149" t="s">
        <v>5</v>
      </c>
      <c r="C8" s="79" t="s">
        <v>85</v>
      </c>
      <c r="D8" s="149" t="s">
        <v>86</v>
      </c>
      <c r="E8" s="149" t="s">
        <v>87</v>
      </c>
      <c r="F8" s="79" t="s">
        <v>88</v>
      </c>
      <c r="G8" s="79" t="s">
        <v>88</v>
      </c>
      <c r="H8" s="79" t="s">
        <v>89</v>
      </c>
      <c r="I8" s="79" t="s">
        <v>89</v>
      </c>
      <c r="J8" s="79" t="s">
        <v>90</v>
      </c>
      <c r="K8" s="79" t="s">
        <v>91</v>
      </c>
      <c r="L8" s="79" t="s">
        <v>92</v>
      </c>
      <c r="M8" s="46"/>
      <c r="N8" s="460" t="s">
        <v>95</v>
      </c>
      <c r="O8" s="460"/>
      <c r="P8" s="147" t="s">
        <v>173</v>
      </c>
      <c r="Q8" s="147" t="s">
        <v>166</v>
      </c>
      <c r="R8" s="154" t="s">
        <v>175</v>
      </c>
      <c r="T8" s="154" t="s">
        <v>201</v>
      </c>
      <c r="U8" s="54" t="s">
        <v>134</v>
      </c>
    </row>
    <row r="9" spans="1:21" x14ac:dyDescent="0.25">
      <c r="A9" s="48"/>
      <c r="B9" s="48"/>
      <c r="C9" s="49"/>
      <c r="D9" s="48"/>
      <c r="E9" s="48"/>
      <c r="F9" s="49"/>
      <c r="G9" s="49"/>
      <c r="H9" s="49"/>
      <c r="I9" s="49"/>
      <c r="J9" s="49"/>
      <c r="K9" s="49"/>
      <c r="L9" s="49"/>
      <c r="M9" s="46"/>
      <c r="N9" s="146" t="s">
        <v>171</v>
      </c>
      <c r="O9" s="146" t="s">
        <v>172</v>
      </c>
      <c r="P9" s="148" t="s">
        <v>174</v>
      </c>
      <c r="Q9" s="148" t="s">
        <v>168</v>
      </c>
      <c r="R9" s="148" t="s">
        <v>176</v>
      </c>
      <c r="T9" s="148" t="s">
        <v>202</v>
      </c>
      <c r="U9" s="175"/>
    </row>
    <row r="10" spans="1:21" x14ac:dyDescent="0.25">
      <c r="A10" s="285">
        <v>44012</v>
      </c>
      <c r="B10" s="271">
        <v>50.6</v>
      </c>
      <c r="C10" s="177">
        <v>387854</v>
      </c>
      <c r="D10" s="274">
        <v>388067</v>
      </c>
      <c r="E10" s="51">
        <f t="shared" ref="E10:E37" si="0">D10-C10</f>
        <v>213</v>
      </c>
      <c r="F10" s="69">
        <f t="shared" ref="F10:F39" si="1">I10*K10</f>
        <v>3.3543307086614176</v>
      </c>
      <c r="G10" s="70">
        <f t="shared" ref="G10:G39" si="2">E10+F10</f>
        <v>216.35433070866142</v>
      </c>
      <c r="H10" s="69">
        <f t="shared" ref="H10:H39" si="3">I10+J10</f>
        <v>5.08</v>
      </c>
      <c r="I10" s="278">
        <v>0.08</v>
      </c>
      <c r="J10" s="271">
        <v>5</v>
      </c>
      <c r="K10" s="70">
        <f t="shared" ref="K10:K37" si="4">E10/H10</f>
        <v>41.929133858267718</v>
      </c>
      <c r="L10" s="69">
        <f t="shared" ref="L10:L37" si="5">K10*264.17/60</f>
        <v>184.60698818897637</v>
      </c>
      <c r="M10" s="45"/>
      <c r="N10" s="306"/>
      <c r="O10" s="306"/>
      <c r="P10" s="274"/>
      <c r="Q10" s="274"/>
      <c r="R10" s="310"/>
      <c r="T10" s="180" t="e">
        <f t="shared" ref="T10:T39" si="6">R10/Q10</f>
        <v>#DIV/0!</v>
      </c>
      <c r="U10" s="55"/>
    </row>
    <row r="11" spans="1:21" x14ac:dyDescent="0.25">
      <c r="A11" s="285">
        <v>44013</v>
      </c>
      <c r="B11" s="271">
        <v>61</v>
      </c>
      <c r="C11" s="177">
        <f t="shared" ref="C11:C13" si="7">D10</f>
        <v>388067</v>
      </c>
      <c r="D11" s="274">
        <v>389014</v>
      </c>
      <c r="E11" s="51">
        <f t="shared" ref="E11" si="8">D11-C11</f>
        <v>947</v>
      </c>
      <c r="F11" s="69">
        <f t="shared" si="1"/>
        <v>4.1718061674008817</v>
      </c>
      <c r="G11" s="70">
        <f t="shared" si="2"/>
        <v>951.17180616740086</v>
      </c>
      <c r="H11" s="69">
        <f t="shared" si="3"/>
        <v>18.159999999999997</v>
      </c>
      <c r="I11" s="278">
        <v>0.08</v>
      </c>
      <c r="J11" s="271">
        <v>18.079999999999998</v>
      </c>
      <c r="K11" s="70">
        <f t="shared" ref="K11" si="9">E11/H11</f>
        <v>52.147577092511021</v>
      </c>
      <c r="L11" s="69">
        <f t="shared" ref="L11" si="10">K11*264.17/60</f>
        <v>229.59709067547729</v>
      </c>
      <c r="M11" s="45">
        <f>M10+1</f>
        <v>1</v>
      </c>
      <c r="N11" s="306"/>
      <c r="O11" s="306"/>
      <c r="P11" s="274"/>
      <c r="Q11" s="274"/>
      <c r="R11" s="310"/>
      <c r="T11" s="180" t="e">
        <f t="shared" si="6"/>
        <v>#DIV/0!</v>
      </c>
      <c r="U11" s="55"/>
    </row>
    <row r="12" spans="1:21" x14ac:dyDescent="0.25">
      <c r="A12" s="285">
        <v>44014</v>
      </c>
      <c r="B12" s="271">
        <v>50.5</v>
      </c>
      <c r="C12" s="177">
        <f t="shared" si="7"/>
        <v>389014</v>
      </c>
      <c r="D12" s="275">
        <v>390001</v>
      </c>
      <c r="E12" s="51">
        <f t="shared" si="0"/>
        <v>987</v>
      </c>
      <c r="F12" s="69">
        <f t="shared" si="1"/>
        <v>4.3672566371681425</v>
      </c>
      <c r="G12" s="70">
        <f t="shared" si="2"/>
        <v>991.36725663716811</v>
      </c>
      <c r="H12" s="69">
        <f t="shared" si="3"/>
        <v>18.079999999999998</v>
      </c>
      <c r="I12" s="278">
        <v>0.08</v>
      </c>
      <c r="J12" s="271">
        <v>18</v>
      </c>
      <c r="K12" s="70">
        <f t="shared" si="4"/>
        <v>54.590707964601776</v>
      </c>
      <c r="L12" s="69">
        <f t="shared" si="5"/>
        <v>240.35378871681419</v>
      </c>
      <c r="M12" s="45">
        <f t="shared" ref="M12:M39" si="11">M11+1</f>
        <v>2</v>
      </c>
      <c r="N12" s="306"/>
      <c r="O12" s="306"/>
      <c r="P12" s="274"/>
      <c r="Q12" s="274"/>
      <c r="R12" s="310"/>
      <c r="T12" s="180" t="e">
        <f t="shared" si="6"/>
        <v>#DIV/0!</v>
      </c>
      <c r="U12" s="55"/>
    </row>
    <row r="13" spans="1:21" x14ac:dyDescent="0.25">
      <c r="A13" s="285">
        <f t="shared" ref="A13:A39" si="12">A12+1</f>
        <v>44015</v>
      </c>
      <c r="B13" s="279">
        <v>48</v>
      </c>
      <c r="C13" s="177">
        <f t="shared" si="7"/>
        <v>390001</v>
      </c>
      <c r="D13" s="275">
        <v>390975</v>
      </c>
      <c r="E13" s="51">
        <f t="shared" si="0"/>
        <v>974</v>
      </c>
      <c r="F13" s="69">
        <f t="shared" si="1"/>
        <v>4.3097345132743365</v>
      </c>
      <c r="G13" s="70">
        <f t="shared" si="2"/>
        <v>978.30973451327429</v>
      </c>
      <c r="H13" s="69">
        <f t="shared" si="3"/>
        <v>18.079999999999998</v>
      </c>
      <c r="I13" s="278">
        <v>0.08</v>
      </c>
      <c r="J13" s="271">
        <v>18</v>
      </c>
      <c r="K13" s="70">
        <f t="shared" si="4"/>
        <v>53.87168141592921</v>
      </c>
      <c r="L13" s="52">
        <f t="shared" si="5"/>
        <v>237.18803466076699</v>
      </c>
      <c r="M13" s="45">
        <f t="shared" si="11"/>
        <v>3</v>
      </c>
      <c r="N13" s="306"/>
      <c r="O13" s="306"/>
      <c r="P13" s="274"/>
      <c r="Q13" s="274"/>
      <c r="R13" s="310"/>
      <c r="T13" s="180" t="e">
        <f t="shared" si="6"/>
        <v>#DIV/0!</v>
      </c>
      <c r="U13" s="55"/>
    </row>
    <row r="14" spans="1:21" x14ac:dyDescent="0.25">
      <c r="A14" s="285">
        <f t="shared" si="12"/>
        <v>44016</v>
      </c>
      <c r="B14" s="279">
        <v>42.83</v>
      </c>
      <c r="C14" s="177">
        <f>D13</f>
        <v>390975</v>
      </c>
      <c r="D14" s="275">
        <v>391932</v>
      </c>
      <c r="E14" s="51">
        <f t="shared" si="0"/>
        <v>957</v>
      </c>
      <c r="F14" s="69">
        <f t="shared" si="1"/>
        <v>4.2158590308370059</v>
      </c>
      <c r="G14" s="70">
        <f t="shared" si="2"/>
        <v>961.21585903083701</v>
      </c>
      <c r="H14" s="69">
        <f t="shared" si="3"/>
        <v>18.159999999999997</v>
      </c>
      <c r="I14" s="278">
        <v>0.08</v>
      </c>
      <c r="J14" s="271">
        <v>18.079999999999998</v>
      </c>
      <c r="K14" s="70">
        <f t="shared" si="4"/>
        <v>52.698237885462568</v>
      </c>
      <c r="L14" s="52">
        <f t="shared" si="5"/>
        <v>232.02155837004412</v>
      </c>
      <c r="M14" s="45">
        <f t="shared" si="11"/>
        <v>4</v>
      </c>
      <c r="N14" s="306"/>
      <c r="O14" s="306"/>
      <c r="P14" s="274"/>
      <c r="Q14" s="274"/>
      <c r="R14" s="310"/>
      <c r="T14" s="180" t="e">
        <f t="shared" si="6"/>
        <v>#DIV/0!</v>
      </c>
      <c r="U14" s="55"/>
    </row>
    <row r="15" spans="1:21" x14ac:dyDescent="0.25">
      <c r="A15" s="285">
        <f t="shared" si="12"/>
        <v>44017</v>
      </c>
      <c r="B15" s="279">
        <v>45.33</v>
      </c>
      <c r="C15" s="177">
        <f t="shared" ref="C15:C26" si="13">D14</f>
        <v>391932</v>
      </c>
      <c r="D15" s="275">
        <v>392878</v>
      </c>
      <c r="E15" s="51">
        <f t="shared" si="0"/>
        <v>946</v>
      </c>
      <c r="F15" s="69">
        <f t="shared" si="1"/>
        <v>4.1858407079646023</v>
      </c>
      <c r="G15" s="70">
        <f t="shared" si="2"/>
        <v>950.18584070796464</v>
      </c>
      <c r="H15" s="69">
        <f t="shared" si="3"/>
        <v>18.079999999999998</v>
      </c>
      <c r="I15" s="278">
        <v>0.08</v>
      </c>
      <c r="J15" s="271">
        <v>18</v>
      </c>
      <c r="K15" s="70">
        <f t="shared" si="4"/>
        <v>52.323008849557525</v>
      </c>
      <c r="L15" s="52">
        <f t="shared" si="5"/>
        <v>230.36948746312686</v>
      </c>
      <c r="M15" s="45">
        <f t="shared" si="11"/>
        <v>5</v>
      </c>
      <c r="N15" s="306"/>
      <c r="O15" s="306"/>
      <c r="P15" s="274"/>
      <c r="Q15" s="274"/>
      <c r="R15" s="310"/>
      <c r="T15" s="180" t="e">
        <f t="shared" si="6"/>
        <v>#DIV/0!</v>
      </c>
      <c r="U15" s="55"/>
    </row>
    <row r="16" spans="1:21" x14ac:dyDescent="0.25">
      <c r="A16" s="285">
        <f t="shared" si="12"/>
        <v>44018</v>
      </c>
      <c r="B16" s="271">
        <v>41.57</v>
      </c>
      <c r="C16" s="286">
        <f t="shared" si="13"/>
        <v>392878</v>
      </c>
      <c r="D16" s="275">
        <v>393863</v>
      </c>
      <c r="E16" s="51">
        <f t="shared" si="0"/>
        <v>985</v>
      </c>
      <c r="F16" s="69">
        <f t="shared" si="1"/>
        <v>4.3392070484581504</v>
      </c>
      <c r="G16" s="70">
        <f t="shared" si="2"/>
        <v>989.33920704845821</v>
      </c>
      <c r="H16" s="69">
        <f t="shared" si="3"/>
        <v>18.159999999999997</v>
      </c>
      <c r="I16" s="278">
        <v>0.08</v>
      </c>
      <c r="J16" s="271">
        <v>18.079999999999998</v>
      </c>
      <c r="K16" s="70">
        <f t="shared" si="4"/>
        <v>54.240088105726883</v>
      </c>
      <c r="L16" s="52">
        <f t="shared" si="5"/>
        <v>238.81006791483119</v>
      </c>
      <c r="M16" s="45">
        <f t="shared" si="11"/>
        <v>6</v>
      </c>
      <c r="N16" s="306"/>
      <c r="O16" s="306"/>
      <c r="P16" s="274"/>
      <c r="Q16" s="274"/>
      <c r="R16" s="310"/>
      <c r="T16" s="180" t="e">
        <f t="shared" si="6"/>
        <v>#DIV/0!</v>
      </c>
      <c r="U16" s="55"/>
    </row>
    <row r="17" spans="1:21" x14ac:dyDescent="0.25">
      <c r="A17" s="285">
        <f t="shared" si="12"/>
        <v>44019</v>
      </c>
      <c r="B17" s="271">
        <v>41.57</v>
      </c>
      <c r="C17" s="286">
        <f t="shared" si="13"/>
        <v>393863</v>
      </c>
      <c r="D17" s="275">
        <v>394834</v>
      </c>
      <c r="E17" s="51">
        <f t="shared" si="0"/>
        <v>971</v>
      </c>
      <c r="F17" s="69">
        <f t="shared" si="1"/>
        <v>4.2587719298245617</v>
      </c>
      <c r="G17" s="70">
        <f t="shared" si="2"/>
        <v>975.25877192982455</v>
      </c>
      <c r="H17" s="69">
        <f t="shared" si="3"/>
        <v>18.239999999999998</v>
      </c>
      <c r="I17" s="278">
        <v>0.08</v>
      </c>
      <c r="J17" s="271">
        <v>18.16</v>
      </c>
      <c r="K17" s="70">
        <f t="shared" si="4"/>
        <v>53.234649122807021</v>
      </c>
      <c r="L17" s="52">
        <f t="shared" si="5"/>
        <v>234.38328764619885</v>
      </c>
      <c r="M17" s="45">
        <f t="shared" si="11"/>
        <v>7</v>
      </c>
      <c r="N17" s="306"/>
      <c r="O17" s="306"/>
      <c r="P17" s="274"/>
      <c r="Q17" s="274"/>
      <c r="R17" s="310"/>
      <c r="T17" s="180" t="e">
        <f t="shared" si="6"/>
        <v>#DIV/0!</v>
      </c>
      <c r="U17" s="55"/>
    </row>
    <row r="18" spans="1:21" x14ac:dyDescent="0.25">
      <c r="A18" s="285">
        <f t="shared" si="12"/>
        <v>44020</v>
      </c>
      <c r="B18" s="271">
        <v>38.42</v>
      </c>
      <c r="C18" s="286">
        <f>D17</f>
        <v>394834</v>
      </c>
      <c r="D18" s="275">
        <v>395793</v>
      </c>
      <c r="E18" s="51">
        <f t="shared" si="0"/>
        <v>959</v>
      </c>
      <c r="F18" s="69">
        <f t="shared" si="1"/>
        <v>4.2061403508771935</v>
      </c>
      <c r="G18" s="70">
        <f t="shared" si="2"/>
        <v>963.20614035087715</v>
      </c>
      <c r="H18" s="69">
        <f t="shared" si="3"/>
        <v>18.239999999999998</v>
      </c>
      <c r="I18" s="278">
        <v>0.08</v>
      </c>
      <c r="J18" s="271">
        <v>18.16</v>
      </c>
      <c r="K18" s="70">
        <f t="shared" si="4"/>
        <v>52.576754385964918</v>
      </c>
      <c r="L18" s="52">
        <f t="shared" si="5"/>
        <v>231.48668676900587</v>
      </c>
      <c r="M18" s="45">
        <f t="shared" si="11"/>
        <v>8</v>
      </c>
      <c r="N18" s="306"/>
      <c r="O18" s="306"/>
      <c r="P18" s="274"/>
      <c r="Q18" s="274"/>
      <c r="R18" s="310"/>
      <c r="T18" s="180"/>
      <c r="U18" s="55"/>
    </row>
    <row r="19" spans="1:21" x14ac:dyDescent="0.25">
      <c r="A19" s="285">
        <f t="shared" si="12"/>
        <v>44021</v>
      </c>
      <c r="B19" s="271">
        <v>45.33</v>
      </c>
      <c r="C19" s="177">
        <f>D18</f>
        <v>395793</v>
      </c>
      <c r="D19" s="274">
        <v>396747</v>
      </c>
      <c r="E19" s="51">
        <f t="shared" si="0"/>
        <v>954</v>
      </c>
      <c r="F19" s="69">
        <f t="shared" si="1"/>
        <v>4.2212389380530979</v>
      </c>
      <c r="G19" s="70">
        <f t="shared" si="2"/>
        <v>958.22123893805315</v>
      </c>
      <c r="H19" s="69">
        <f t="shared" si="3"/>
        <v>18.079999999999998</v>
      </c>
      <c r="I19" s="278">
        <v>0.08</v>
      </c>
      <c r="J19" s="271">
        <v>18</v>
      </c>
      <c r="K19" s="70">
        <f t="shared" si="4"/>
        <v>52.76548672566372</v>
      </c>
      <c r="L19" s="52">
        <f t="shared" si="5"/>
        <v>232.31764380530976</v>
      </c>
      <c r="M19" s="45">
        <f t="shared" si="11"/>
        <v>9</v>
      </c>
      <c r="N19" s="274"/>
      <c r="O19" s="274"/>
      <c r="P19" s="274"/>
      <c r="Q19" s="274"/>
      <c r="R19" s="310"/>
      <c r="T19" s="180" t="e">
        <f t="shared" si="6"/>
        <v>#DIV/0!</v>
      </c>
      <c r="U19" s="55"/>
    </row>
    <row r="20" spans="1:21" x14ac:dyDescent="0.25">
      <c r="A20" s="285">
        <f t="shared" si="12"/>
        <v>44022</v>
      </c>
      <c r="B20" s="271">
        <v>45.33</v>
      </c>
      <c r="C20" s="286">
        <f>D19</f>
        <v>396747</v>
      </c>
      <c r="D20" s="274">
        <v>397695</v>
      </c>
      <c r="E20" s="51">
        <f t="shared" si="0"/>
        <v>948</v>
      </c>
      <c r="F20" s="69">
        <f t="shared" si="1"/>
        <v>4.3914302258251308</v>
      </c>
      <c r="G20" s="70">
        <f t="shared" si="2"/>
        <v>952.39143022582516</v>
      </c>
      <c r="H20" s="69">
        <f t="shared" si="3"/>
        <v>17.27</v>
      </c>
      <c r="I20" s="278">
        <v>0.08</v>
      </c>
      <c r="J20" s="271">
        <v>17.190000000000001</v>
      </c>
      <c r="K20" s="70">
        <f t="shared" si="4"/>
        <v>54.892877822814128</v>
      </c>
      <c r="L20" s="52">
        <f t="shared" si="5"/>
        <v>241.68419224088015</v>
      </c>
      <c r="M20" s="45">
        <f t="shared" si="11"/>
        <v>10</v>
      </c>
      <c r="N20" s="306" t="s">
        <v>315</v>
      </c>
      <c r="O20" s="306" t="s">
        <v>316</v>
      </c>
      <c r="P20" s="273">
        <f>47/60</f>
        <v>0.78333333333333333</v>
      </c>
      <c r="Q20" s="274">
        <v>34</v>
      </c>
      <c r="R20" s="310">
        <v>146.88</v>
      </c>
      <c r="S20" s="182">
        <f>6/60</f>
        <v>0.1</v>
      </c>
      <c r="T20" s="180">
        <f t="shared" si="6"/>
        <v>4.32</v>
      </c>
      <c r="U20" s="55"/>
    </row>
    <row r="21" spans="1:21" x14ac:dyDescent="0.25">
      <c r="A21" s="285">
        <f t="shared" si="12"/>
        <v>44023</v>
      </c>
      <c r="B21" s="271">
        <v>40</v>
      </c>
      <c r="C21" s="177">
        <f t="shared" si="13"/>
        <v>397695</v>
      </c>
      <c r="D21" s="274">
        <v>398643</v>
      </c>
      <c r="E21" s="51">
        <f t="shared" si="0"/>
        <v>948</v>
      </c>
      <c r="F21" s="69">
        <f t="shared" si="1"/>
        <v>4.1578947368421062</v>
      </c>
      <c r="G21" s="70">
        <f t="shared" si="2"/>
        <v>952.15789473684208</v>
      </c>
      <c r="H21" s="69">
        <f t="shared" si="3"/>
        <v>18.239999999999998</v>
      </c>
      <c r="I21" s="278">
        <v>0.08</v>
      </c>
      <c r="J21" s="271">
        <v>18.16</v>
      </c>
      <c r="K21" s="70">
        <f t="shared" si="4"/>
        <v>51.973684210526322</v>
      </c>
      <c r="L21" s="52">
        <f t="shared" si="5"/>
        <v>228.83146929824565</v>
      </c>
      <c r="M21" s="45">
        <f t="shared" si="11"/>
        <v>11</v>
      </c>
      <c r="N21" s="306"/>
      <c r="O21" s="306"/>
      <c r="P21" s="274"/>
      <c r="Q21" s="274"/>
      <c r="R21" s="310"/>
      <c r="S21" s="182">
        <f>5/60</f>
        <v>8.3333333333333329E-2</v>
      </c>
      <c r="T21" s="180" t="e">
        <f t="shared" si="6"/>
        <v>#DIV/0!</v>
      </c>
      <c r="U21" s="55"/>
    </row>
    <row r="22" spans="1:21" x14ac:dyDescent="0.25">
      <c r="A22" s="285">
        <f t="shared" si="12"/>
        <v>44024</v>
      </c>
      <c r="B22" s="271">
        <v>47.33</v>
      </c>
      <c r="C22" s="286">
        <f t="shared" si="13"/>
        <v>398643</v>
      </c>
      <c r="D22" s="274">
        <v>399607</v>
      </c>
      <c r="E22" s="51">
        <f t="shared" si="0"/>
        <v>964</v>
      </c>
      <c r="F22" s="69">
        <f t="shared" si="1"/>
        <v>4.2466960352422918</v>
      </c>
      <c r="G22" s="70">
        <f t="shared" si="2"/>
        <v>968.24669603524228</v>
      </c>
      <c r="H22" s="69">
        <f t="shared" si="3"/>
        <v>18.159999999999997</v>
      </c>
      <c r="I22" s="278">
        <v>0.08</v>
      </c>
      <c r="J22" s="271">
        <v>18.079999999999998</v>
      </c>
      <c r="K22" s="51">
        <f t="shared" si="4"/>
        <v>53.083700440528645</v>
      </c>
      <c r="L22" s="52">
        <f t="shared" si="5"/>
        <v>233.71868575624089</v>
      </c>
      <c r="M22" s="45">
        <f t="shared" si="11"/>
        <v>12</v>
      </c>
      <c r="N22" s="307"/>
      <c r="O22" s="307"/>
      <c r="P22" s="309"/>
      <c r="Q22" s="309"/>
      <c r="R22" s="311"/>
      <c r="S22" s="182">
        <f>15/60</f>
        <v>0.25</v>
      </c>
      <c r="T22" s="180" t="e">
        <f t="shared" si="6"/>
        <v>#DIV/0!</v>
      </c>
      <c r="U22" s="55"/>
    </row>
    <row r="23" spans="1:21" x14ac:dyDescent="0.25">
      <c r="A23" s="285">
        <f t="shared" si="12"/>
        <v>44025</v>
      </c>
      <c r="B23" s="271">
        <v>52</v>
      </c>
      <c r="C23" s="177">
        <f t="shared" si="13"/>
        <v>399607</v>
      </c>
      <c r="D23" s="274">
        <v>400502</v>
      </c>
      <c r="E23" s="51">
        <f t="shared" si="0"/>
        <v>895</v>
      </c>
      <c r="F23" s="69">
        <f t="shared" si="1"/>
        <v>3.9427312775330403</v>
      </c>
      <c r="G23" s="70">
        <f t="shared" si="2"/>
        <v>898.94273127753308</v>
      </c>
      <c r="H23" s="69">
        <f t="shared" si="3"/>
        <v>18.159999999999997</v>
      </c>
      <c r="I23" s="278">
        <v>0.08</v>
      </c>
      <c r="J23" s="271">
        <v>18.079999999999998</v>
      </c>
      <c r="K23" s="51">
        <f t="shared" si="4"/>
        <v>49.284140969163005</v>
      </c>
      <c r="L23" s="52">
        <f t="shared" si="5"/>
        <v>216.98985866372988</v>
      </c>
      <c r="M23" s="45">
        <f t="shared" si="11"/>
        <v>13</v>
      </c>
      <c r="N23" s="306"/>
      <c r="O23" s="306"/>
      <c r="P23" s="274"/>
      <c r="Q23" s="274"/>
      <c r="R23" s="310"/>
      <c r="S23" s="182"/>
      <c r="T23" s="180" t="e">
        <f t="shared" si="6"/>
        <v>#DIV/0!</v>
      </c>
      <c r="U23" s="55"/>
    </row>
    <row r="24" spans="1:21" x14ac:dyDescent="0.25">
      <c r="A24" s="285">
        <f t="shared" si="12"/>
        <v>44026</v>
      </c>
      <c r="B24" s="271">
        <v>64.33</v>
      </c>
      <c r="C24" s="177">
        <f t="shared" si="13"/>
        <v>400502</v>
      </c>
      <c r="D24" s="274">
        <v>401460</v>
      </c>
      <c r="E24" s="51">
        <f t="shared" si="0"/>
        <v>958</v>
      </c>
      <c r="F24" s="69">
        <f t="shared" si="1"/>
        <v>4.2389380530973453</v>
      </c>
      <c r="G24" s="70">
        <f t="shared" si="2"/>
        <v>962.2389380530974</v>
      </c>
      <c r="H24" s="69">
        <f t="shared" si="3"/>
        <v>18.079999999999998</v>
      </c>
      <c r="I24" s="278">
        <v>0.08</v>
      </c>
      <c r="J24" s="271">
        <v>18</v>
      </c>
      <c r="K24" s="51">
        <f t="shared" si="4"/>
        <v>52.986725663716818</v>
      </c>
      <c r="L24" s="52">
        <f t="shared" si="5"/>
        <v>233.29172197640122</v>
      </c>
      <c r="M24" s="45">
        <f t="shared" si="11"/>
        <v>14</v>
      </c>
      <c r="N24" s="306"/>
      <c r="O24" s="306"/>
      <c r="P24" s="274"/>
      <c r="Q24" s="274"/>
      <c r="R24" s="310"/>
      <c r="S24" s="182">
        <f>8/60</f>
        <v>0.13333333333333333</v>
      </c>
      <c r="T24" s="180" t="e">
        <f t="shared" si="6"/>
        <v>#DIV/0!</v>
      </c>
      <c r="U24" s="55"/>
    </row>
    <row r="25" spans="1:21" x14ac:dyDescent="0.25">
      <c r="A25" s="285">
        <f t="shared" si="12"/>
        <v>44027</v>
      </c>
      <c r="B25" s="271">
        <v>45.25</v>
      </c>
      <c r="C25" s="177">
        <f t="shared" si="13"/>
        <v>401460</v>
      </c>
      <c r="D25" s="274">
        <v>402435</v>
      </c>
      <c r="E25" s="51">
        <f t="shared" si="0"/>
        <v>975</v>
      </c>
      <c r="F25" s="69">
        <f t="shared" si="1"/>
        <v>4.2951541850220272</v>
      </c>
      <c r="G25" s="70">
        <f t="shared" si="2"/>
        <v>979.29515418502206</v>
      </c>
      <c r="H25" s="69">
        <f t="shared" si="3"/>
        <v>18.159999999999997</v>
      </c>
      <c r="I25" s="278">
        <v>0.08</v>
      </c>
      <c r="J25" s="271">
        <v>18.079999999999998</v>
      </c>
      <c r="K25" s="51">
        <f t="shared" si="4"/>
        <v>53.689427312775344</v>
      </c>
      <c r="L25" s="52">
        <f t="shared" si="5"/>
        <v>236.38560022026437</v>
      </c>
      <c r="M25" s="45">
        <f t="shared" si="11"/>
        <v>15</v>
      </c>
      <c r="N25" s="308"/>
      <c r="O25" s="308"/>
      <c r="P25" s="274"/>
      <c r="Q25" s="274"/>
      <c r="R25" s="310"/>
      <c r="S25" s="182">
        <f>13/60</f>
        <v>0.21666666666666667</v>
      </c>
      <c r="T25" s="180" t="e">
        <f t="shared" si="6"/>
        <v>#DIV/0!</v>
      </c>
      <c r="U25" s="55"/>
    </row>
    <row r="26" spans="1:21" x14ac:dyDescent="0.25">
      <c r="A26" s="285">
        <f t="shared" si="12"/>
        <v>44028</v>
      </c>
      <c r="B26" s="271">
        <v>43.6</v>
      </c>
      <c r="C26" s="286">
        <f t="shared" si="13"/>
        <v>402435</v>
      </c>
      <c r="D26" s="274">
        <v>403399</v>
      </c>
      <c r="E26" s="51">
        <f t="shared" si="0"/>
        <v>964</v>
      </c>
      <c r="F26" s="69">
        <f t="shared" si="1"/>
        <v>4.2654867256637177</v>
      </c>
      <c r="G26" s="70">
        <f t="shared" si="2"/>
        <v>968.26548672566366</v>
      </c>
      <c r="H26" s="69">
        <f t="shared" si="3"/>
        <v>18.079999999999998</v>
      </c>
      <c r="I26" s="278">
        <v>0.08</v>
      </c>
      <c r="J26" s="271">
        <v>18</v>
      </c>
      <c r="K26" s="51">
        <f t="shared" si="4"/>
        <v>53.318584070796469</v>
      </c>
      <c r="L26" s="52">
        <f t="shared" si="5"/>
        <v>234.7528392330384</v>
      </c>
      <c r="M26" s="45">
        <f t="shared" si="11"/>
        <v>16</v>
      </c>
      <c r="N26" s="306"/>
      <c r="O26" s="306"/>
      <c r="P26" s="274"/>
      <c r="Q26" s="274"/>
      <c r="R26" s="310"/>
      <c r="S26" s="182">
        <f>11/60</f>
        <v>0.18333333333333332</v>
      </c>
      <c r="T26" s="180" t="e">
        <f t="shared" si="6"/>
        <v>#DIV/0!</v>
      </c>
      <c r="U26" s="55"/>
    </row>
    <row r="27" spans="1:21" x14ac:dyDescent="0.25">
      <c r="A27" s="285">
        <f t="shared" si="12"/>
        <v>44029</v>
      </c>
      <c r="B27" s="271">
        <v>51.08</v>
      </c>
      <c r="C27" s="286">
        <f>D26</f>
        <v>403399</v>
      </c>
      <c r="D27" s="274">
        <v>404383</v>
      </c>
      <c r="E27" s="51">
        <f t="shared" si="0"/>
        <v>984</v>
      </c>
      <c r="F27" s="69">
        <f t="shared" si="1"/>
        <v>4.3157894736842115</v>
      </c>
      <c r="G27" s="70">
        <f t="shared" si="2"/>
        <v>988.31578947368416</v>
      </c>
      <c r="H27" s="69">
        <f t="shared" si="3"/>
        <v>18.239999999999998</v>
      </c>
      <c r="I27" s="278">
        <v>0.08</v>
      </c>
      <c r="J27" s="271">
        <v>18.16</v>
      </c>
      <c r="K27" s="51">
        <f t="shared" si="4"/>
        <v>53.947368421052637</v>
      </c>
      <c r="L27" s="52">
        <f t="shared" si="5"/>
        <v>237.52127192982459</v>
      </c>
      <c r="M27" s="45">
        <f t="shared" si="11"/>
        <v>17</v>
      </c>
      <c r="N27" s="308"/>
      <c r="O27" s="308"/>
      <c r="P27" s="274"/>
      <c r="Q27" s="274"/>
      <c r="R27" s="310"/>
      <c r="S27" s="182">
        <f>8/60</f>
        <v>0.13333333333333333</v>
      </c>
      <c r="T27" s="180" t="e">
        <f t="shared" si="6"/>
        <v>#DIV/0!</v>
      </c>
      <c r="U27" s="55"/>
    </row>
    <row r="28" spans="1:21" x14ac:dyDescent="0.25">
      <c r="A28" s="285">
        <f t="shared" si="12"/>
        <v>44030</v>
      </c>
      <c r="B28" s="279">
        <v>42.2</v>
      </c>
      <c r="C28" s="177">
        <f>D27</f>
        <v>404383</v>
      </c>
      <c r="D28" s="274">
        <v>405401</v>
      </c>
      <c r="E28" s="51">
        <f t="shared" si="0"/>
        <v>1018</v>
      </c>
      <c r="F28" s="69">
        <f t="shared" si="1"/>
        <v>4.4845814977973575</v>
      </c>
      <c r="G28" s="70">
        <f t="shared" si="2"/>
        <v>1022.4845814977973</v>
      </c>
      <c r="H28" s="69">
        <f t="shared" si="3"/>
        <v>18.159999999999997</v>
      </c>
      <c r="I28" s="278">
        <v>0.08</v>
      </c>
      <c r="J28" s="271">
        <v>18.079999999999998</v>
      </c>
      <c r="K28" s="51">
        <f t="shared" si="4"/>
        <v>56.057268722466972</v>
      </c>
      <c r="L28" s="52">
        <f t="shared" si="5"/>
        <v>246.81081130690168</v>
      </c>
      <c r="M28" s="45">
        <f t="shared" si="11"/>
        <v>18</v>
      </c>
      <c r="N28" s="306"/>
      <c r="O28" s="306"/>
      <c r="P28" s="274"/>
      <c r="Q28" s="274"/>
      <c r="R28" s="310"/>
      <c r="S28" s="182">
        <f>29/60</f>
        <v>0.48333333333333334</v>
      </c>
      <c r="T28" s="180" t="e">
        <f t="shared" si="6"/>
        <v>#DIV/0!</v>
      </c>
      <c r="U28" s="50"/>
    </row>
    <row r="29" spans="1:21" x14ac:dyDescent="0.25">
      <c r="A29" s="285">
        <f t="shared" si="12"/>
        <v>44031</v>
      </c>
      <c r="B29" s="279">
        <v>43</v>
      </c>
      <c r="C29" s="177">
        <f>D28</f>
        <v>405401</v>
      </c>
      <c r="D29" s="274">
        <v>406374</v>
      </c>
      <c r="E29" s="51">
        <f t="shared" si="0"/>
        <v>973</v>
      </c>
      <c r="F29" s="69">
        <f t="shared" si="1"/>
        <v>4.2675438596491233</v>
      </c>
      <c r="G29" s="70">
        <f t="shared" si="2"/>
        <v>977.26754385964909</v>
      </c>
      <c r="H29" s="69">
        <f t="shared" si="3"/>
        <v>18.239999999999998</v>
      </c>
      <c r="I29" s="278">
        <v>0.08</v>
      </c>
      <c r="J29" s="271">
        <v>18.16</v>
      </c>
      <c r="K29" s="51">
        <f t="shared" si="4"/>
        <v>53.344298245614041</v>
      </c>
      <c r="L29" s="52">
        <f t="shared" si="5"/>
        <v>234.86605445906437</v>
      </c>
      <c r="M29" s="45">
        <f t="shared" si="11"/>
        <v>19</v>
      </c>
      <c r="N29" s="306"/>
      <c r="O29" s="306"/>
      <c r="P29" s="274"/>
      <c r="Q29" s="274"/>
      <c r="R29" s="310"/>
      <c r="S29" s="182">
        <f>10/60</f>
        <v>0.16666666666666666</v>
      </c>
      <c r="T29" s="180" t="e">
        <f t="shared" si="6"/>
        <v>#DIV/0!</v>
      </c>
      <c r="U29" s="55"/>
    </row>
    <row r="30" spans="1:21" x14ac:dyDescent="0.25">
      <c r="A30" s="285">
        <f t="shared" si="12"/>
        <v>44032</v>
      </c>
      <c r="B30" s="271">
        <v>38.869999999999997</v>
      </c>
      <c r="C30" s="286">
        <f>D29</f>
        <v>406374</v>
      </c>
      <c r="D30" s="274">
        <v>407340</v>
      </c>
      <c r="E30" s="51">
        <f t="shared" si="0"/>
        <v>966</v>
      </c>
      <c r="F30" s="69">
        <f t="shared" si="1"/>
        <v>4.255506607929517</v>
      </c>
      <c r="G30" s="70">
        <f t="shared" si="2"/>
        <v>970.25550660792953</v>
      </c>
      <c r="H30" s="69">
        <f t="shared" si="3"/>
        <v>18.159999999999997</v>
      </c>
      <c r="I30" s="278">
        <v>0.08</v>
      </c>
      <c r="J30" s="271">
        <v>18.079999999999998</v>
      </c>
      <c r="K30" s="51">
        <f t="shared" si="4"/>
        <v>53.193832599118956</v>
      </c>
      <c r="L30" s="52">
        <f t="shared" si="5"/>
        <v>234.20357929515424</v>
      </c>
      <c r="M30" s="45">
        <f t="shared" si="11"/>
        <v>20</v>
      </c>
      <c r="N30" s="306"/>
      <c r="O30" s="306"/>
      <c r="P30" s="274"/>
      <c r="Q30" s="274"/>
      <c r="R30" s="310"/>
      <c r="S30" s="182">
        <f>9/60</f>
        <v>0.15</v>
      </c>
      <c r="T30" s="180" t="e">
        <f t="shared" si="6"/>
        <v>#DIV/0!</v>
      </c>
      <c r="U30" s="55"/>
    </row>
    <row r="31" spans="1:21" x14ac:dyDescent="0.25">
      <c r="A31" s="285">
        <f t="shared" si="12"/>
        <v>44033</v>
      </c>
      <c r="B31" s="271">
        <v>40.25</v>
      </c>
      <c r="C31" s="177">
        <f t="shared" ref="C31:C37" si="14">D30</f>
        <v>407340</v>
      </c>
      <c r="D31" s="274">
        <v>408304</v>
      </c>
      <c r="E31" s="51">
        <f t="shared" si="0"/>
        <v>964</v>
      </c>
      <c r="F31" s="69">
        <f t="shared" si="1"/>
        <v>4.2466960352422918</v>
      </c>
      <c r="G31" s="70">
        <f t="shared" si="2"/>
        <v>968.24669603524228</v>
      </c>
      <c r="H31" s="69">
        <f t="shared" si="3"/>
        <v>18.159999999999997</v>
      </c>
      <c r="I31" s="278">
        <v>0.08</v>
      </c>
      <c r="J31" s="271">
        <v>18.079999999999998</v>
      </c>
      <c r="K31" s="51">
        <f t="shared" si="4"/>
        <v>53.083700440528645</v>
      </c>
      <c r="L31" s="52">
        <f t="shared" si="5"/>
        <v>233.71868575624089</v>
      </c>
      <c r="M31" s="45">
        <f t="shared" si="11"/>
        <v>21</v>
      </c>
      <c r="N31" s="306"/>
      <c r="O31" s="306"/>
      <c r="P31" s="274"/>
      <c r="Q31" s="274"/>
      <c r="R31" s="310"/>
      <c r="S31" s="182">
        <f>6/60</f>
        <v>0.1</v>
      </c>
      <c r="T31" s="180" t="e">
        <f t="shared" si="6"/>
        <v>#DIV/0!</v>
      </c>
      <c r="U31" s="55"/>
    </row>
    <row r="32" spans="1:21" x14ac:dyDescent="0.25">
      <c r="A32" s="285">
        <f t="shared" si="12"/>
        <v>44034</v>
      </c>
      <c r="B32" s="271">
        <v>49.37</v>
      </c>
      <c r="C32" s="177">
        <f>D31</f>
        <v>408304</v>
      </c>
      <c r="D32" s="274">
        <v>409230</v>
      </c>
      <c r="E32" s="51">
        <f t="shared" si="0"/>
        <v>926</v>
      </c>
      <c r="F32" s="69">
        <f t="shared" si="1"/>
        <v>4.0792951541850231</v>
      </c>
      <c r="G32" s="70">
        <f t="shared" si="2"/>
        <v>930.07929515418505</v>
      </c>
      <c r="H32" s="69">
        <f t="shared" si="3"/>
        <v>18.159999999999997</v>
      </c>
      <c r="I32" s="278">
        <v>0.08</v>
      </c>
      <c r="J32" s="271">
        <v>18.079999999999998</v>
      </c>
      <c r="K32" s="51">
        <f t="shared" si="4"/>
        <v>50.991189427312783</v>
      </c>
      <c r="L32" s="52">
        <f t="shared" si="5"/>
        <v>224.50570851688698</v>
      </c>
      <c r="M32" s="45">
        <f t="shared" si="11"/>
        <v>22</v>
      </c>
      <c r="N32" s="307"/>
      <c r="O32" s="307"/>
      <c r="P32" s="309"/>
      <c r="Q32" s="309"/>
      <c r="R32" s="311"/>
      <c r="S32" s="182">
        <f>15/60</f>
        <v>0.25</v>
      </c>
      <c r="T32" s="180" t="e">
        <f t="shared" si="6"/>
        <v>#DIV/0!</v>
      </c>
      <c r="U32" s="55"/>
    </row>
    <row r="33" spans="1:21" x14ac:dyDescent="0.25">
      <c r="A33" s="285">
        <f t="shared" si="12"/>
        <v>44035</v>
      </c>
      <c r="B33" s="279">
        <v>38.71</v>
      </c>
      <c r="C33" s="286">
        <f>D32</f>
        <v>409230</v>
      </c>
      <c r="D33" s="274">
        <v>410188</v>
      </c>
      <c r="E33" s="51">
        <f t="shared" si="0"/>
        <v>958</v>
      </c>
      <c r="F33" s="69">
        <f t="shared" si="1"/>
        <v>4.427498555748123</v>
      </c>
      <c r="G33" s="70">
        <f t="shared" si="2"/>
        <v>962.42749855574812</v>
      </c>
      <c r="H33" s="69">
        <f t="shared" si="3"/>
        <v>17.309999999999999</v>
      </c>
      <c r="I33" s="278">
        <v>0.08</v>
      </c>
      <c r="J33" s="271">
        <v>17.23</v>
      </c>
      <c r="K33" s="51">
        <f t="shared" si="4"/>
        <v>55.343731946851534</v>
      </c>
      <c r="L33" s="52">
        <f>K33*264.17/60</f>
        <v>243.66922780666286</v>
      </c>
      <c r="M33" s="45">
        <f t="shared" si="11"/>
        <v>23</v>
      </c>
      <c r="N33" s="307"/>
      <c r="O33" s="307"/>
      <c r="P33" s="309"/>
      <c r="Q33" s="309"/>
      <c r="R33" s="311"/>
      <c r="S33" s="182">
        <f>10/60</f>
        <v>0.16666666666666666</v>
      </c>
      <c r="T33" s="180" t="e">
        <f t="shared" si="6"/>
        <v>#DIV/0!</v>
      </c>
      <c r="U33" s="55"/>
    </row>
    <row r="34" spans="1:21" x14ac:dyDescent="0.25">
      <c r="A34" s="285">
        <f t="shared" si="12"/>
        <v>44036</v>
      </c>
      <c r="B34" s="271">
        <v>38.630000000000003</v>
      </c>
      <c r="C34" s="177">
        <f t="shared" si="14"/>
        <v>410188</v>
      </c>
      <c r="D34" s="274">
        <v>411161</v>
      </c>
      <c r="E34" s="51">
        <f t="shared" si="0"/>
        <v>973</v>
      </c>
      <c r="F34" s="69">
        <f t="shared" si="1"/>
        <v>4.2675438596491233</v>
      </c>
      <c r="G34" s="70">
        <f t="shared" si="2"/>
        <v>977.26754385964909</v>
      </c>
      <c r="H34" s="69">
        <f t="shared" si="3"/>
        <v>18.239999999999998</v>
      </c>
      <c r="I34" s="278">
        <v>0.08</v>
      </c>
      <c r="J34" s="271">
        <v>18.16</v>
      </c>
      <c r="K34" s="51">
        <f t="shared" si="4"/>
        <v>53.344298245614041</v>
      </c>
      <c r="L34" s="52">
        <f t="shared" si="5"/>
        <v>234.86605445906437</v>
      </c>
      <c r="M34" s="45">
        <f t="shared" si="11"/>
        <v>24</v>
      </c>
      <c r="N34" s="307"/>
      <c r="O34" s="307"/>
      <c r="P34" s="309"/>
      <c r="Q34" s="309"/>
      <c r="R34" s="311"/>
      <c r="S34" s="182">
        <f>13/60</f>
        <v>0.21666666666666667</v>
      </c>
      <c r="T34" s="180" t="e">
        <f t="shared" si="6"/>
        <v>#DIV/0!</v>
      </c>
      <c r="U34" s="55"/>
    </row>
    <row r="35" spans="1:21" x14ac:dyDescent="0.25">
      <c r="A35" s="285">
        <f t="shared" si="12"/>
        <v>44037</v>
      </c>
      <c r="B35" s="271">
        <v>45.12</v>
      </c>
      <c r="C35" s="286">
        <f t="shared" si="14"/>
        <v>411161</v>
      </c>
      <c r="D35" s="274">
        <v>412115</v>
      </c>
      <c r="E35" s="51">
        <f t="shared" si="0"/>
        <v>954</v>
      </c>
      <c r="F35" s="69">
        <f t="shared" si="1"/>
        <v>4.6114803625377654</v>
      </c>
      <c r="G35" s="70">
        <f t="shared" si="2"/>
        <v>958.6114803625378</v>
      </c>
      <c r="H35" s="69">
        <f t="shared" si="3"/>
        <v>16.549999999999997</v>
      </c>
      <c r="I35" s="278">
        <v>0.08</v>
      </c>
      <c r="J35" s="271">
        <v>16.47</v>
      </c>
      <c r="K35" s="51">
        <f t="shared" si="4"/>
        <v>57.643504531722066</v>
      </c>
      <c r="L35" s="52">
        <f t="shared" si="5"/>
        <v>253.79474320241698</v>
      </c>
      <c r="M35" s="45">
        <f t="shared" si="11"/>
        <v>25</v>
      </c>
      <c r="N35" s="307"/>
      <c r="O35" s="307"/>
      <c r="P35" s="309"/>
      <c r="Q35" s="309"/>
      <c r="R35" s="311"/>
      <c r="S35" s="182">
        <f>5/60</f>
        <v>8.3333333333333329E-2</v>
      </c>
      <c r="T35" s="180" t="e">
        <f t="shared" si="6"/>
        <v>#DIV/0!</v>
      </c>
      <c r="U35" s="55"/>
    </row>
    <row r="36" spans="1:21" x14ac:dyDescent="0.25">
      <c r="A36" s="285">
        <f t="shared" si="12"/>
        <v>44038</v>
      </c>
      <c r="B36" s="271">
        <v>32.729999999999997</v>
      </c>
      <c r="C36" s="177">
        <f t="shared" si="14"/>
        <v>412115</v>
      </c>
      <c r="D36" s="274">
        <v>413089</v>
      </c>
      <c r="E36" s="51">
        <f t="shared" si="0"/>
        <v>974</v>
      </c>
      <c r="F36" s="69">
        <f t="shared" si="1"/>
        <v>4.290748898678415</v>
      </c>
      <c r="G36" s="70">
        <f t="shared" si="2"/>
        <v>978.29074889867843</v>
      </c>
      <c r="H36" s="69">
        <f t="shared" si="3"/>
        <v>18.159999999999997</v>
      </c>
      <c r="I36" s="278">
        <v>0.08</v>
      </c>
      <c r="J36" s="271">
        <v>18.079999999999998</v>
      </c>
      <c r="K36" s="51">
        <f t="shared" si="4"/>
        <v>53.634361233480185</v>
      </c>
      <c r="L36" s="52">
        <f t="shared" si="5"/>
        <v>236.14315345080769</v>
      </c>
      <c r="M36" s="45">
        <f t="shared" si="11"/>
        <v>26</v>
      </c>
      <c r="N36" s="307"/>
      <c r="O36" s="307"/>
      <c r="P36" s="309"/>
      <c r="Q36" s="309"/>
      <c r="R36" s="311"/>
      <c r="S36" s="182">
        <f>7/60</f>
        <v>0.11666666666666667</v>
      </c>
      <c r="T36" s="180" t="e">
        <f t="shared" si="6"/>
        <v>#DIV/0!</v>
      </c>
      <c r="U36" s="55"/>
    </row>
    <row r="37" spans="1:21" x14ac:dyDescent="0.25">
      <c r="A37" s="285">
        <f t="shared" si="12"/>
        <v>44039</v>
      </c>
      <c r="B37" s="271">
        <v>37.85</v>
      </c>
      <c r="C37" s="177">
        <f t="shared" si="14"/>
        <v>413089</v>
      </c>
      <c r="D37" s="274">
        <v>414059</v>
      </c>
      <c r="E37" s="51">
        <f t="shared" si="0"/>
        <v>970</v>
      </c>
      <c r="F37" s="69">
        <f t="shared" si="1"/>
        <v>4.2731277533039655</v>
      </c>
      <c r="G37" s="70">
        <f t="shared" si="2"/>
        <v>974.27312775330392</v>
      </c>
      <c r="H37" s="69">
        <f t="shared" si="3"/>
        <v>18.159999999999997</v>
      </c>
      <c r="I37" s="278">
        <v>0.08</v>
      </c>
      <c r="J37" s="271">
        <v>18.079999999999998</v>
      </c>
      <c r="K37" s="51">
        <f t="shared" si="4"/>
        <v>53.41409691629957</v>
      </c>
      <c r="L37" s="52">
        <f t="shared" si="5"/>
        <v>235.17336637298098</v>
      </c>
      <c r="M37" s="45">
        <f t="shared" si="11"/>
        <v>27</v>
      </c>
      <c r="N37" s="307"/>
      <c r="O37" s="307"/>
      <c r="P37" s="309"/>
      <c r="Q37" s="309"/>
      <c r="R37" s="311"/>
      <c r="S37" s="182">
        <f>3/60</f>
        <v>0.05</v>
      </c>
      <c r="T37" s="180" t="e">
        <f t="shared" si="6"/>
        <v>#DIV/0!</v>
      </c>
      <c r="U37" s="55"/>
    </row>
    <row r="38" spans="1:21" x14ac:dyDescent="0.25">
      <c r="A38" s="285">
        <f t="shared" si="12"/>
        <v>44040</v>
      </c>
      <c r="B38" s="271">
        <v>40.83</v>
      </c>
      <c r="C38" s="177">
        <v>414059</v>
      </c>
      <c r="D38" s="276">
        <v>415016</v>
      </c>
      <c r="E38" s="51">
        <f t="shared" ref="E38:E39" si="15">D38-C38</f>
        <v>957</v>
      </c>
      <c r="F38" s="69">
        <f t="shared" si="1"/>
        <v>4.2345132743362841</v>
      </c>
      <c r="G38" s="70">
        <f t="shared" si="2"/>
        <v>961.23451327433634</v>
      </c>
      <c r="H38" s="69">
        <f t="shared" si="3"/>
        <v>18.079999999999998</v>
      </c>
      <c r="I38" s="278">
        <v>0.08</v>
      </c>
      <c r="J38" s="271">
        <v>18</v>
      </c>
      <c r="K38" s="51">
        <f t="shared" ref="K38:K39" si="16">E38/H38</f>
        <v>52.931415929203546</v>
      </c>
      <c r="L38" s="52">
        <f t="shared" ref="L38:L39" si="17">K38*264.17/60</f>
        <v>233.04820243362835</v>
      </c>
      <c r="M38" s="45">
        <f t="shared" si="11"/>
        <v>28</v>
      </c>
      <c r="N38" s="307"/>
      <c r="O38" s="307"/>
      <c r="P38" s="309"/>
      <c r="Q38" s="309"/>
      <c r="R38" s="311"/>
      <c r="S38">
        <f>3/60</f>
        <v>0.05</v>
      </c>
      <c r="T38" s="180" t="e">
        <f t="shared" si="6"/>
        <v>#DIV/0!</v>
      </c>
      <c r="U38" s="55"/>
    </row>
    <row r="39" spans="1:21" x14ac:dyDescent="0.25">
      <c r="A39" s="285">
        <f t="shared" si="12"/>
        <v>44041</v>
      </c>
      <c r="B39" s="271">
        <v>39.68</v>
      </c>
      <c r="C39" s="177">
        <v>415016</v>
      </c>
      <c r="D39" s="276">
        <v>415757</v>
      </c>
      <c r="E39" s="51">
        <f t="shared" si="15"/>
        <v>741</v>
      </c>
      <c r="F39" s="69">
        <f t="shared" si="1"/>
        <v>4.5321100917431192</v>
      </c>
      <c r="G39" s="70">
        <f t="shared" si="2"/>
        <v>745.53211009174311</v>
      </c>
      <c r="H39" s="69">
        <f t="shared" si="3"/>
        <v>13.08</v>
      </c>
      <c r="I39" s="278">
        <v>0.08</v>
      </c>
      <c r="J39" s="271">
        <v>13</v>
      </c>
      <c r="K39" s="51">
        <f t="shared" si="16"/>
        <v>56.651376146788991</v>
      </c>
      <c r="L39" s="52">
        <f t="shared" si="17"/>
        <v>249.42656727828748</v>
      </c>
      <c r="M39" s="45">
        <f t="shared" si="11"/>
        <v>29</v>
      </c>
      <c r="N39" s="307"/>
      <c r="O39" s="307"/>
      <c r="P39" s="309"/>
      <c r="Q39" s="309"/>
      <c r="R39" s="311"/>
      <c r="S39">
        <f>3/60</f>
        <v>0.05</v>
      </c>
      <c r="T39" s="180" t="e">
        <f t="shared" si="6"/>
        <v>#DIV/0!</v>
      </c>
      <c r="U39" s="55"/>
    </row>
    <row r="40" spans="1:21" hidden="1" x14ac:dyDescent="0.25">
      <c r="A40" s="285"/>
      <c r="B40" s="271"/>
      <c r="C40" s="177"/>
      <c r="D40" s="276"/>
      <c r="E40" s="51"/>
      <c r="F40" s="69"/>
      <c r="G40" s="70"/>
      <c r="H40" s="69"/>
      <c r="I40" s="278"/>
      <c r="J40" s="271"/>
      <c r="K40" s="51"/>
      <c r="L40" s="52"/>
      <c r="M40" s="45"/>
      <c r="N40" s="307"/>
      <c r="O40" s="307"/>
      <c r="P40" s="309"/>
      <c r="Q40" s="309"/>
      <c r="R40" s="311"/>
      <c r="T40" s="180"/>
      <c r="U40" s="55"/>
    </row>
    <row r="41" spans="1:21" hidden="1" x14ac:dyDescent="0.25">
      <c r="A41" s="285"/>
      <c r="B41" s="271"/>
      <c r="C41" s="287"/>
      <c r="D41" s="276"/>
      <c r="E41" s="51"/>
      <c r="F41" s="69"/>
      <c r="G41" s="70"/>
      <c r="H41" s="69"/>
      <c r="I41" s="278"/>
      <c r="J41" s="271"/>
      <c r="K41" s="51"/>
      <c r="L41" s="52"/>
      <c r="M41" s="45"/>
      <c r="N41" s="307"/>
      <c r="O41" s="307"/>
      <c r="P41" s="309"/>
      <c r="Q41" s="309"/>
      <c r="R41" s="311"/>
      <c r="T41" s="180"/>
      <c r="U41" s="55"/>
    </row>
    <row r="42" spans="1:21" x14ac:dyDescent="0.25">
      <c r="A42" s="150" t="s">
        <v>178</v>
      </c>
      <c r="B42" s="52">
        <f>SUM(B10:B41)</f>
        <v>1341.3100000000002</v>
      </c>
      <c r="C42" s="49"/>
      <c r="D42" s="50"/>
      <c r="E42" s="51">
        <f>SUM(E10:E39)</f>
        <v>27903</v>
      </c>
      <c r="F42" s="52">
        <f t="shared" ref="F42:L42" si="18">SUM(F10:F41)</f>
        <v>127.45495269622936</v>
      </c>
      <c r="G42" s="52">
        <f t="shared" si="18"/>
        <v>28030.454952696229</v>
      </c>
      <c r="H42" s="52">
        <f t="shared" si="18"/>
        <v>523.20999999999992</v>
      </c>
      <c r="I42" s="52">
        <f t="shared" si="18"/>
        <v>2.4000000000000008</v>
      </c>
      <c r="J42" s="52">
        <f t="shared" si="18"/>
        <v>520.80999999999995</v>
      </c>
      <c r="K42" s="52">
        <f t="shared" si="18"/>
        <v>1593.1869087028667</v>
      </c>
      <c r="L42" s="52">
        <f t="shared" si="18"/>
        <v>7014.5364278672751</v>
      </c>
      <c r="M42" s="45"/>
      <c r="N42" s="461" t="s">
        <v>6</v>
      </c>
      <c r="O42" s="462"/>
      <c r="P42" s="181">
        <f>SUM(P10:P41)</f>
        <v>0.78333333333333333</v>
      </c>
      <c r="Q42" s="159">
        <f>SUM(Q10:Q41)</f>
        <v>34</v>
      </c>
      <c r="R42" s="179">
        <f>SUM(R10:R41)</f>
        <v>146.88</v>
      </c>
      <c r="T42" s="180">
        <f t="shared" ref="T42" si="19">R42/Q42</f>
        <v>4.32</v>
      </c>
      <c r="U42" s="55"/>
    </row>
    <row r="43" spans="1:21" x14ac:dyDescent="0.25">
      <c r="A43" s="150" t="s">
        <v>177</v>
      </c>
      <c r="B43" s="52">
        <f>B42/E5</f>
        <v>46.252068965517246</v>
      </c>
      <c r="C43" s="49"/>
      <c r="D43" s="50"/>
      <c r="E43" s="52">
        <f>E42/E5</f>
        <v>962.17241379310349</v>
      </c>
      <c r="F43" s="52">
        <f>F42/E5</f>
        <v>4.3949983688354948</v>
      </c>
      <c r="G43" s="52">
        <f>G42/E5</f>
        <v>966.56741216193893</v>
      </c>
      <c r="H43" s="52">
        <f>H42/E5</f>
        <v>18.04172413793103</v>
      </c>
      <c r="I43" s="52">
        <f>I42/E5</f>
        <v>8.2758620689655199E-2</v>
      </c>
      <c r="J43" s="52">
        <f>J42/E5</f>
        <v>17.958965517241378</v>
      </c>
      <c r="K43" s="52">
        <f>K42/E5</f>
        <v>54.937479610443681</v>
      </c>
      <c r="L43" s="52">
        <f>L42/E5</f>
        <v>241.88056647818189</v>
      </c>
      <c r="M43" s="45"/>
      <c r="N43" s="45"/>
      <c r="O43" s="45"/>
      <c r="P43" s="77"/>
      <c r="Q43" s="77"/>
      <c r="R43" s="77"/>
    </row>
    <row r="44" spans="1:21" x14ac:dyDescent="0.25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77"/>
      <c r="Q44" s="77"/>
      <c r="R44" s="77"/>
    </row>
    <row r="45" spans="1:21" x14ac:dyDescent="0.25">
      <c r="A45" s="45" t="s">
        <v>93</v>
      </c>
      <c r="B45" s="45"/>
      <c r="C45" s="45"/>
      <c r="D45" s="45"/>
      <c r="E45" s="161" t="e">
        <f>D39-#REF!</f>
        <v>#REF!</v>
      </c>
      <c r="F45" s="45"/>
      <c r="G45" s="45"/>
      <c r="H45" s="45"/>
      <c r="I45" s="45" t="s">
        <v>94</v>
      </c>
      <c r="J45" s="45"/>
      <c r="K45" s="45"/>
      <c r="L45" s="45"/>
      <c r="M45" s="45"/>
      <c r="N45" s="45"/>
      <c r="O45" s="77"/>
      <c r="P45" s="77"/>
      <c r="Q45" s="77"/>
      <c r="R45" s="77"/>
    </row>
    <row r="46" spans="1:21" x14ac:dyDescent="0.25">
      <c r="A46" s="53" t="s">
        <v>205</v>
      </c>
      <c r="B46" s="53" t="s">
        <v>206</v>
      </c>
      <c r="C46" s="53"/>
      <c r="D46" s="45"/>
      <c r="E46" s="71"/>
      <c r="F46" s="45"/>
      <c r="G46" s="45"/>
      <c r="H46" s="45"/>
      <c r="I46" t="s">
        <v>274</v>
      </c>
      <c r="J46" s="45"/>
      <c r="K46" s="45"/>
      <c r="L46" s="45"/>
      <c r="M46" s="45"/>
      <c r="N46" s="45"/>
      <c r="O46" s="45"/>
    </row>
    <row r="47" spans="1:21" x14ac:dyDescent="0.25">
      <c r="A47" s="53" t="s">
        <v>207</v>
      </c>
      <c r="B47" s="53"/>
      <c r="C47" s="53" t="s">
        <v>208</v>
      </c>
      <c r="D47" s="45"/>
      <c r="E47" s="71"/>
      <c r="F47" s="45"/>
      <c r="G47" s="45"/>
      <c r="H47" s="45"/>
      <c r="I47" s="45" t="s">
        <v>209</v>
      </c>
      <c r="J47" s="45"/>
      <c r="K47" s="45"/>
      <c r="L47" s="45"/>
      <c r="M47" s="45"/>
      <c r="N47" s="45"/>
      <c r="O47" s="45"/>
    </row>
    <row r="48" spans="1:21" x14ac:dyDescent="0.25">
      <c r="A48" s="74"/>
      <c r="B48" s="74"/>
      <c r="C48" s="53"/>
      <c r="D48" s="45"/>
      <c r="E48" s="45"/>
      <c r="F48" s="45"/>
      <c r="G48" s="45"/>
      <c r="H48" s="45"/>
      <c r="I48" s="45"/>
      <c r="K48" s="45"/>
      <c r="L48" s="45"/>
      <c r="M48" s="45"/>
      <c r="N48" s="45"/>
      <c r="O48" s="45"/>
    </row>
    <row r="49" spans="1:15" x14ac:dyDescent="0.25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</row>
  </sheetData>
  <mergeCells count="4">
    <mergeCell ref="C7:D7"/>
    <mergeCell ref="N7:R7"/>
    <mergeCell ref="N8:O8"/>
    <mergeCell ref="N42:O42"/>
  </mergeCells>
  <pageMargins left="0.5" right="0.25" top="0.5" bottom="0.5" header="0.5" footer="0.5"/>
  <pageSetup scale="80" orientation="portrait" horizontalDpi="4294967294" verticalDpi="14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MNF Graph -dma3</vt:lpstr>
      <vt:lpstr>Analysis</vt:lpstr>
      <vt:lpstr>DMA FM</vt:lpstr>
      <vt:lpstr>DMA Con</vt:lpstr>
      <vt:lpstr>NRW Per DMA</vt:lpstr>
      <vt:lpstr>LVC</vt:lpstr>
      <vt:lpstr>COMPUTATION (2)</vt:lpstr>
      <vt:lpstr>MPPR#5</vt:lpstr>
      <vt:lpstr>MPPR#4</vt:lpstr>
      <vt:lpstr>MPPR#3</vt:lpstr>
      <vt:lpstr>MPPR#2</vt:lpstr>
      <vt:lpstr>MPPR#1</vt:lpstr>
      <vt:lpstr>W.B. Input Data</vt:lpstr>
      <vt:lpstr>Water Balance</vt:lpstr>
      <vt:lpstr>Pump Lowest &amp; Highest PSI</vt:lpstr>
      <vt:lpstr>'COMPUTATION (2)'!Print_Area</vt:lpstr>
      <vt:lpstr>'DMA FM'!Print_Area</vt:lpstr>
      <vt:lpstr>LVC!Print_Area</vt:lpstr>
      <vt:lpstr>'MPPR#1'!Print_Area</vt:lpstr>
      <vt:lpstr>'MPPR#2'!Print_Area</vt:lpstr>
      <vt:lpstr>'MPPR#3'!Print_Area</vt:lpstr>
      <vt:lpstr>'MPPR#4'!Print_Area</vt:lpstr>
      <vt:lpstr>'MPPR#5'!Print_Area</vt:lpstr>
      <vt:lpstr>'NRW Per DMA'!Print_Area</vt:lpstr>
      <vt:lpstr>'W.B. Input Data'!Print_Area</vt:lpstr>
      <vt:lpstr>'Water Balance'!Print_Area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Isabelle Alejandro</dc:creator>
  <cp:lastModifiedBy>Joy Cenizal</cp:lastModifiedBy>
  <cp:lastPrinted>2020-08-12T06:02:40Z</cp:lastPrinted>
  <dcterms:created xsi:type="dcterms:W3CDTF">2013-04-24T03:47:31Z</dcterms:created>
  <dcterms:modified xsi:type="dcterms:W3CDTF">2020-09-02T02:53:52Z</dcterms:modified>
</cp:coreProperties>
</file>